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ulaevAM\ShulaevAM\Проект Обработчик смет\"/>
    </mc:Choice>
  </mc:AlternateContent>
  <xr:revisionPtr revIDLastSave="0" documentId="13_ncr:1_{0C435EE1-54B6-4CD3-B719-582293061D83}" xr6:coauthVersionLast="36" xr6:coauthVersionMax="36" xr10:uidLastSave="{00000000-0000-0000-0000-000000000000}"/>
  <bookViews>
    <workbookView xWindow="0" yWindow="0" windowWidth="46080" windowHeight="16020" xr2:uid="{00000000-000D-0000-FFFF-FFFF00000000}"/>
  </bookViews>
  <sheets>
    <sheet name="Смета СН-2012 по гл. 1-5" sheetId="5" r:id="rId1"/>
    <sheet name="RV_DATA" sheetId="7" state="hidden" r:id="rId2"/>
    <sheet name="Расчет стоимости ресурсов" sheetId="6" r:id="rId3"/>
    <sheet name="Source" sheetId="1" r:id="rId4"/>
    <sheet name="SourceObSm" sheetId="2" r:id="rId5"/>
    <sheet name="SmtRes" sheetId="3" r:id="rId6"/>
    <sheet name="EtalonRes" sheetId="4" r:id="rId7"/>
    <sheet name="dataset" sheetId="8" r:id="rId8"/>
  </sheets>
  <definedNames>
    <definedName name="_xlnm.Print_Titles" localSheetId="2">'Расчет стоимости ресурсов'!$4:$7</definedName>
    <definedName name="_xlnm.Print_Titles" localSheetId="0">'Смета СН-2012 по гл. 1-5'!$30:$30</definedName>
    <definedName name="_xlnm.Print_Area" localSheetId="2">'Расчет стоимости ресурсов'!$A$1:$F$35</definedName>
    <definedName name="_xlnm.Print_Area" localSheetId="0">'Смета СН-2012 по гл. 1-5'!$A$1:$K$177</definedName>
  </definedNames>
  <calcPr calcId="191029"/>
</workbook>
</file>

<file path=xl/calcChain.xml><?xml version="1.0" encoding="utf-8"?>
<calcChain xmlns="http://schemas.openxmlformats.org/spreadsheetml/2006/main">
  <c r="A34" i="5" l="1"/>
  <c r="U38" i="7" l="1"/>
  <c r="S38" i="7"/>
  <c r="P38" i="7"/>
  <c r="N38" i="7"/>
  <c r="K38" i="7"/>
  <c r="J38" i="7"/>
  <c r="H38" i="7"/>
  <c r="G38" i="7"/>
  <c r="F38" i="7"/>
  <c r="E38" i="7"/>
  <c r="U37" i="7"/>
  <c r="S37" i="7"/>
  <c r="P37" i="7"/>
  <c r="N37" i="7"/>
  <c r="K37" i="7"/>
  <c r="E30" i="6" s="1"/>
  <c r="J37" i="7"/>
  <c r="H37" i="7"/>
  <c r="G37" i="7"/>
  <c r="F37" i="7"/>
  <c r="E37" i="7"/>
  <c r="U36" i="7"/>
  <c r="S36" i="7"/>
  <c r="P36" i="7"/>
  <c r="N36" i="7"/>
  <c r="K36" i="7"/>
  <c r="J36" i="7"/>
  <c r="H36" i="7"/>
  <c r="G36" i="7"/>
  <c r="F36" i="7"/>
  <c r="E36" i="7"/>
  <c r="U35" i="7"/>
  <c r="S35" i="7"/>
  <c r="P35" i="7"/>
  <c r="N35" i="7"/>
  <c r="K35" i="7"/>
  <c r="J35" i="7"/>
  <c r="H35" i="7"/>
  <c r="G35" i="7"/>
  <c r="F35" i="7"/>
  <c r="E35" i="7"/>
  <c r="U34" i="7"/>
  <c r="S34" i="7"/>
  <c r="P34" i="7"/>
  <c r="N34" i="7"/>
  <c r="K34" i="7"/>
  <c r="E12" i="6" s="1"/>
  <c r="J34" i="7"/>
  <c r="H34" i="7"/>
  <c r="G34" i="7"/>
  <c r="F34" i="7"/>
  <c r="E34" i="7"/>
  <c r="U33" i="7"/>
  <c r="S33" i="7"/>
  <c r="P33" i="7"/>
  <c r="N33" i="7"/>
  <c r="K33" i="7"/>
  <c r="E15" i="6" s="1"/>
  <c r="J33" i="7"/>
  <c r="H33" i="7"/>
  <c r="G33" i="7"/>
  <c r="F33" i="7"/>
  <c r="E33" i="7"/>
  <c r="U32" i="7"/>
  <c r="S32" i="7"/>
  <c r="P32" i="7"/>
  <c r="N32" i="7"/>
  <c r="K32" i="7"/>
  <c r="E31" i="6" s="1"/>
  <c r="J32" i="7"/>
  <c r="H32" i="7"/>
  <c r="G32" i="7"/>
  <c r="F32" i="7"/>
  <c r="E32" i="7"/>
  <c r="G31" i="7"/>
  <c r="A31" i="7"/>
  <c r="U30" i="7"/>
  <c r="H30" i="7"/>
  <c r="G30" i="7"/>
  <c r="F30" i="7"/>
  <c r="E30" i="7"/>
  <c r="D30" i="7"/>
  <c r="A30" i="7"/>
  <c r="U29" i="7"/>
  <c r="S29" i="7"/>
  <c r="P29" i="7"/>
  <c r="N29" i="7"/>
  <c r="K29" i="7"/>
  <c r="E27" i="6" s="1"/>
  <c r="J29" i="7"/>
  <c r="H29" i="7"/>
  <c r="G29" i="7"/>
  <c r="F29" i="7"/>
  <c r="E29" i="7"/>
  <c r="U28" i="7"/>
  <c r="S28" i="7"/>
  <c r="P28" i="7"/>
  <c r="N28" i="7"/>
  <c r="K28" i="7"/>
  <c r="E28" i="6" s="1"/>
  <c r="J28" i="7"/>
  <c r="H28" i="7"/>
  <c r="G28" i="7"/>
  <c r="F28" i="7"/>
  <c r="E28" i="7"/>
  <c r="U27" i="7"/>
  <c r="H27" i="7"/>
  <c r="G27" i="7"/>
  <c r="F27" i="7"/>
  <c r="E27" i="7"/>
  <c r="D27" i="7"/>
  <c r="A27" i="7"/>
  <c r="U26" i="7"/>
  <c r="S26" i="7"/>
  <c r="P26" i="7"/>
  <c r="N26" i="7"/>
  <c r="K26" i="7"/>
  <c r="J26" i="7"/>
  <c r="H26" i="7"/>
  <c r="G26" i="7"/>
  <c r="F26" i="7"/>
  <c r="E26" i="7"/>
  <c r="U25" i="7"/>
  <c r="S25" i="7"/>
  <c r="P25" i="7"/>
  <c r="N25" i="7"/>
  <c r="K25" i="7"/>
  <c r="E25" i="6" s="1"/>
  <c r="J25" i="7"/>
  <c r="H25" i="7"/>
  <c r="G25" i="7"/>
  <c r="F25" i="7"/>
  <c r="E25" i="7"/>
  <c r="U24" i="7"/>
  <c r="S24" i="7"/>
  <c r="P24" i="7"/>
  <c r="N24" i="7"/>
  <c r="K24" i="7"/>
  <c r="E10" i="6" s="1"/>
  <c r="J24" i="7"/>
  <c r="H24" i="7"/>
  <c r="G24" i="7"/>
  <c r="F24" i="7"/>
  <c r="E24" i="7"/>
  <c r="U23" i="7"/>
  <c r="S23" i="7"/>
  <c r="P23" i="7"/>
  <c r="N23" i="7"/>
  <c r="K23" i="7"/>
  <c r="E17" i="6" s="1"/>
  <c r="J23" i="7"/>
  <c r="H23" i="7"/>
  <c r="G23" i="7"/>
  <c r="F23" i="7"/>
  <c r="E23" i="7"/>
  <c r="U22" i="7"/>
  <c r="S22" i="7"/>
  <c r="P22" i="7"/>
  <c r="N22" i="7"/>
  <c r="K22" i="7"/>
  <c r="E18" i="6" s="1"/>
  <c r="J22" i="7"/>
  <c r="H22" i="7"/>
  <c r="G22" i="7"/>
  <c r="F22" i="7"/>
  <c r="E22" i="7"/>
  <c r="U21" i="7"/>
  <c r="S21" i="7"/>
  <c r="P21" i="7"/>
  <c r="N21" i="7"/>
  <c r="K21" i="7"/>
  <c r="E19" i="6" s="1"/>
  <c r="J21" i="7"/>
  <c r="H21" i="7"/>
  <c r="G21" i="7"/>
  <c r="F21" i="7"/>
  <c r="E21" i="7"/>
  <c r="U20" i="7"/>
  <c r="S20" i="7"/>
  <c r="P20" i="7"/>
  <c r="N20" i="7"/>
  <c r="K20" i="7"/>
  <c r="J20" i="7"/>
  <c r="H20" i="7"/>
  <c r="G20" i="7"/>
  <c r="F20" i="7"/>
  <c r="E20" i="7"/>
  <c r="U19" i="7"/>
  <c r="S19" i="7"/>
  <c r="P19" i="7"/>
  <c r="N19" i="7"/>
  <c r="K19" i="7"/>
  <c r="E21" i="6" s="1"/>
  <c r="J19" i="7"/>
  <c r="H19" i="7"/>
  <c r="G19" i="7"/>
  <c r="F19" i="7"/>
  <c r="E19" i="7"/>
  <c r="U18" i="7"/>
  <c r="S18" i="7"/>
  <c r="P18" i="7"/>
  <c r="N18" i="7"/>
  <c r="K18" i="7"/>
  <c r="E24" i="6" s="1"/>
  <c r="J18" i="7"/>
  <c r="H18" i="7"/>
  <c r="G18" i="7"/>
  <c r="F18" i="7"/>
  <c r="E18" i="7"/>
  <c r="U17" i="7"/>
  <c r="S17" i="7"/>
  <c r="P17" i="7"/>
  <c r="N17" i="7"/>
  <c r="K17" i="7"/>
  <c r="E26" i="6" s="1"/>
  <c r="J17" i="7"/>
  <c r="H17" i="7"/>
  <c r="G17" i="7"/>
  <c r="F17" i="7"/>
  <c r="E17" i="7"/>
  <c r="U16" i="7"/>
  <c r="H16" i="7"/>
  <c r="G16" i="7"/>
  <c r="F16" i="7"/>
  <c r="E16" i="7"/>
  <c r="D16" i="7"/>
  <c r="A16" i="7"/>
  <c r="U15" i="7"/>
  <c r="S15" i="7"/>
  <c r="P15" i="7"/>
  <c r="N15" i="7"/>
  <c r="K15" i="7"/>
  <c r="J15" i="7"/>
  <c r="H15" i="7"/>
  <c r="G15" i="7"/>
  <c r="F15" i="7"/>
  <c r="E15" i="7"/>
  <c r="U14" i="7"/>
  <c r="S14" i="7"/>
  <c r="P14" i="7"/>
  <c r="N14" i="7"/>
  <c r="K14" i="7"/>
  <c r="J14" i="7"/>
  <c r="H14" i="7"/>
  <c r="G14" i="7"/>
  <c r="F14" i="7"/>
  <c r="E14" i="7"/>
  <c r="U13" i="7"/>
  <c r="S13" i="7"/>
  <c r="P13" i="7"/>
  <c r="N13" i="7"/>
  <c r="K13" i="7"/>
  <c r="E13" i="6" s="1"/>
  <c r="J13" i="7"/>
  <c r="H13" i="7"/>
  <c r="G13" i="7"/>
  <c r="F13" i="7"/>
  <c r="E13" i="7"/>
  <c r="U12" i="7"/>
  <c r="S12" i="7"/>
  <c r="P12" i="7"/>
  <c r="N12" i="7"/>
  <c r="K12" i="7"/>
  <c r="E14" i="6" s="1"/>
  <c r="J12" i="7"/>
  <c r="H12" i="7"/>
  <c r="G12" i="7"/>
  <c r="F12" i="7"/>
  <c r="E12" i="7"/>
  <c r="U11" i="7"/>
  <c r="S11" i="7"/>
  <c r="P11" i="7"/>
  <c r="N11" i="7"/>
  <c r="K11" i="7"/>
  <c r="E11" i="6" s="1"/>
  <c r="J11" i="7"/>
  <c r="H11" i="7"/>
  <c r="G11" i="7"/>
  <c r="F11" i="7"/>
  <c r="E11" i="7"/>
  <c r="U10" i="7"/>
  <c r="S10" i="7"/>
  <c r="P10" i="7"/>
  <c r="N10" i="7"/>
  <c r="K10" i="7"/>
  <c r="E9" i="6" s="1"/>
  <c r="J10" i="7"/>
  <c r="H10" i="7"/>
  <c r="G10" i="7"/>
  <c r="F10" i="7"/>
  <c r="E10" i="7"/>
  <c r="U9" i="7"/>
  <c r="S9" i="7"/>
  <c r="P9" i="7"/>
  <c r="N9" i="7"/>
  <c r="K9" i="7"/>
  <c r="E16" i="6" s="1"/>
  <c r="J9" i="7"/>
  <c r="H9" i="7"/>
  <c r="G9" i="7"/>
  <c r="F9" i="7"/>
  <c r="E9" i="7"/>
  <c r="U8" i="7"/>
  <c r="S8" i="7"/>
  <c r="P8" i="7"/>
  <c r="N8" i="7"/>
  <c r="K8" i="7"/>
  <c r="E20" i="6" s="1"/>
  <c r="J8" i="7"/>
  <c r="H8" i="7"/>
  <c r="G8" i="7"/>
  <c r="F8" i="7"/>
  <c r="E8" i="7"/>
  <c r="G7" i="7"/>
  <c r="A7" i="7"/>
  <c r="G6" i="7"/>
  <c r="A6" i="7"/>
  <c r="H175" i="5"/>
  <c r="H172" i="5"/>
  <c r="C175" i="5"/>
  <c r="C172" i="5"/>
  <c r="C168" i="5"/>
  <c r="C167" i="5"/>
  <c r="C162" i="5"/>
  <c r="C161" i="5"/>
  <c r="H156" i="5"/>
  <c r="G156" i="5"/>
  <c r="E156" i="5"/>
  <c r="E155" i="5"/>
  <c r="E154" i="5"/>
  <c r="I153" i="5"/>
  <c r="H153" i="5"/>
  <c r="G153" i="5"/>
  <c r="F153" i="5"/>
  <c r="I152" i="5"/>
  <c r="H152" i="5"/>
  <c r="G152" i="5"/>
  <c r="F152" i="5"/>
  <c r="D150" i="5"/>
  <c r="C150" i="5"/>
  <c r="B150" i="5"/>
  <c r="A150" i="5"/>
  <c r="H148" i="5"/>
  <c r="G148" i="5"/>
  <c r="E148" i="5"/>
  <c r="E147" i="5"/>
  <c r="E146" i="5"/>
  <c r="I145" i="5"/>
  <c r="H145" i="5"/>
  <c r="G145" i="5"/>
  <c r="F145" i="5"/>
  <c r="I144" i="5"/>
  <c r="H144" i="5"/>
  <c r="G144" i="5"/>
  <c r="F144" i="5"/>
  <c r="D142" i="5"/>
  <c r="C142" i="5"/>
  <c r="B142" i="5"/>
  <c r="A142" i="5"/>
  <c r="H140" i="5"/>
  <c r="G140" i="5"/>
  <c r="E140" i="5"/>
  <c r="E139" i="5"/>
  <c r="E138" i="5"/>
  <c r="I137" i="5"/>
  <c r="H137" i="5"/>
  <c r="G137" i="5"/>
  <c r="F137" i="5"/>
  <c r="I136" i="5"/>
  <c r="H136" i="5"/>
  <c r="G136" i="5"/>
  <c r="F136" i="5"/>
  <c r="D134" i="5"/>
  <c r="C134" i="5"/>
  <c r="B134" i="5"/>
  <c r="A134" i="5"/>
  <c r="H132" i="5"/>
  <c r="G132" i="5"/>
  <c r="E132" i="5"/>
  <c r="E131" i="5"/>
  <c r="E130" i="5"/>
  <c r="E129" i="5"/>
  <c r="I128" i="5"/>
  <c r="H128" i="5"/>
  <c r="G128" i="5"/>
  <c r="F128" i="5"/>
  <c r="I127" i="5"/>
  <c r="H127" i="5"/>
  <c r="G127" i="5"/>
  <c r="F127" i="5"/>
  <c r="I126" i="5"/>
  <c r="H126" i="5"/>
  <c r="G126" i="5"/>
  <c r="F126" i="5"/>
  <c r="I125" i="5"/>
  <c r="H125" i="5"/>
  <c r="G125" i="5"/>
  <c r="F125" i="5"/>
  <c r="D123" i="5"/>
  <c r="C123" i="5"/>
  <c r="B123" i="5"/>
  <c r="A123" i="5"/>
  <c r="I122" i="5"/>
  <c r="K122" i="5" s="1"/>
  <c r="E121" i="5"/>
  <c r="D121" i="5"/>
  <c r="C121" i="5"/>
  <c r="B121" i="5"/>
  <c r="A121" i="5"/>
  <c r="A120" i="5"/>
  <c r="C117" i="5"/>
  <c r="C116" i="5"/>
  <c r="H111" i="5"/>
  <c r="G111" i="5"/>
  <c r="E111" i="5"/>
  <c r="E110" i="5"/>
  <c r="E109" i="5"/>
  <c r="I108" i="5"/>
  <c r="H108" i="5"/>
  <c r="F108" i="5"/>
  <c r="D108" i="5"/>
  <c r="B108" i="5"/>
  <c r="A108" i="5"/>
  <c r="I107" i="5"/>
  <c r="H107" i="5"/>
  <c r="F107" i="5"/>
  <c r="D107" i="5"/>
  <c r="C107" i="5"/>
  <c r="B107" i="5"/>
  <c r="A107" i="5"/>
  <c r="I106" i="5"/>
  <c r="H106" i="5"/>
  <c r="G106" i="5"/>
  <c r="F106" i="5"/>
  <c r="I105" i="5"/>
  <c r="H105" i="5"/>
  <c r="G105" i="5"/>
  <c r="F105" i="5"/>
  <c r="D103" i="5"/>
  <c r="C103" i="5"/>
  <c r="B103" i="5"/>
  <c r="A103" i="5"/>
  <c r="H101" i="5"/>
  <c r="G101" i="5"/>
  <c r="E101" i="5"/>
  <c r="E100" i="5"/>
  <c r="E99" i="5"/>
  <c r="E98" i="5"/>
  <c r="I97" i="5"/>
  <c r="H97" i="5"/>
  <c r="F97" i="5"/>
  <c r="D97" i="5"/>
  <c r="C97" i="5"/>
  <c r="B97" i="5"/>
  <c r="A97" i="5"/>
  <c r="I96" i="5"/>
  <c r="H96" i="5"/>
  <c r="F96" i="5"/>
  <c r="D96" i="5"/>
  <c r="C96" i="5"/>
  <c r="B96" i="5"/>
  <c r="A96" i="5"/>
  <c r="I95" i="5"/>
  <c r="H95" i="5"/>
  <c r="G95" i="5"/>
  <c r="F95" i="5"/>
  <c r="I94" i="5"/>
  <c r="H94" i="5"/>
  <c r="G94" i="5"/>
  <c r="F94" i="5"/>
  <c r="I93" i="5"/>
  <c r="H93" i="5"/>
  <c r="G93" i="5"/>
  <c r="F93" i="5"/>
  <c r="I92" i="5"/>
  <c r="H92" i="5"/>
  <c r="G92" i="5"/>
  <c r="F92" i="5"/>
  <c r="C90" i="5"/>
  <c r="B90" i="5"/>
  <c r="A90" i="5"/>
  <c r="H88" i="5"/>
  <c r="G88" i="5"/>
  <c r="E88" i="5"/>
  <c r="E87" i="5"/>
  <c r="E86" i="5"/>
  <c r="E85" i="5"/>
  <c r="I84" i="5"/>
  <c r="H84" i="5"/>
  <c r="G84" i="5"/>
  <c r="F84" i="5"/>
  <c r="I83" i="5"/>
  <c r="H83" i="5"/>
  <c r="G83" i="5"/>
  <c r="F83" i="5"/>
  <c r="I82" i="5"/>
  <c r="H82" i="5"/>
  <c r="G82" i="5"/>
  <c r="F82" i="5"/>
  <c r="I81" i="5"/>
  <c r="H81" i="5"/>
  <c r="G81" i="5"/>
  <c r="F81" i="5"/>
  <c r="D79" i="5"/>
  <c r="C79" i="5"/>
  <c r="B79" i="5"/>
  <c r="A79" i="5"/>
  <c r="I77" i="5"/>
  <c r="H77" i="5"/>
  <c r="G77" i="5"/>
  <c r="F77" i="5"/>
  <c r="D77" i="5"/>
  <c r="B77" i="5"/>
  <c r="A77" i="5"/>
  <c r="I75" i="5"/>
  <c r="H75" i="5"/>
  <c r="G75" i="5"/>
  <c r="F75" i="5"/>
  <c r="I74" i="5"/>
  <c r="H74" i="5"/>
  <c r="G74" i="5"/>
  <c r="F74" i="5"/>
  <c r="D73" i="5"/>
  <c r="C73" i="5"/>
  <c r="B73" i="5"/>
  <c r="A73" i="5"/>
  <c r="I71" i="5"/>
  <c r="H71" i="5"/>
  <c r="G71" i="5"/>
  <c r="F71" i="5"/>
  <c r="I70" i="5"/>
  <c r="H70" i="5"/>
  <c r="G70" i="5"/>
  <c r="F70" i="5"/>
  <c r="D69" i="5"/>
  <c r="C69" i="5"/>
  <c r="B69" i="5"/>
  <c r="A69" i="5"/>
  <c r="E67" i="5"/>
  <c r="I66" i="5"/>
  <c r="H66" i="5"/>
  <c r="G66" i="5"/>
  <c r="F66" i="5"/>
  <c r="I65" i="5"/>
  <c r="H65" i="5"/>
  <c r="G65" i="5"/>
  <c r="F65" i="5"/>
  <c r="D63" i="5"/>
  <c r="C63" i="5"/>
  <c r="B63" i="5"/>
  <c r="A63" i="5"/>
  <c r="H61" i="5"/>
  <c r="G61" i="5"/>
  <c r="E61" i="5"/>
  <c r="E60" i="5"/>
  <c r="E59" i="5"/>
  <c r="I58" i="5"/>
  <c r="H58" i="5"/>
  <c r="G58" i="5"/>
  <c r="F58" i="5"/>
  <c r="D56" i="5"/>
  <c r="C56" i="5"/>
  <c r="B56" i="5"/>
  <c r="A56" i="5"/>
  <c r="H54" i="5"/>
  <c r="G54" i="5"/>
  <c r="E54" i="5"/>
  <c r="E53" i="5"/>
  <c r="E52" i="5"/>
  <c r="I51" i="5"/>
  <c r="H51" i="5"/>
  <c r="G51" i="5"/>
  <c r="F51" i="5"/>
  <c r="D49" i="5"/>
  <c r="C49" i="5"/>
  <c r="B49" i="5"/>
  <c r="A49" i="5"/>
  <c r="H47" i="5"/>
  <c r="G47" i="5"/>
  <c r="E47" i="5"/>
  <c r="E46" i="5"/>
  <c r="E45" i="5"/>
  <c r="E44" i="5"/>
  <c r="I43" i="5"/>
  <c r="H43" i="5"/>
  <c r="G43" i="5"/>
  <c r="F43" i="5"/>
  <c r="I42" i="5"/>
  <c r="H42" i="5"/>
  <c r="G42" i="5"/>
  <c r="F42" i="5"/>
  <c r="I41" i="5"/>
  <c r="H41" i="5"/>
  <c r="G41" i="5"/>
  <c r="F41" i="5"/>
  <c r="D39" i="5"/>
  <c r="C39" i="5"/>
  <c r="B39" i="5"/>
  <c r="A39" i="5"/>
  <c r="I38" i="5"/>
  <c r="K38" i="5" s="1"/>
  <c r="E37" i="5"/>
  <c r="D37" i="5"/>
  <c r="C37" i="5"/>
  <c r="B37" i="5"/>
  <c r="A37" i="5"/>
  <c r="I36" i="5"/>
  <c r="K36" i="5" s="1"/>
  <c r="E35" i="5"/>
  <c r="D35" i="5"/>
  <c r="C35" i="5"/>
  <c r="B35" i="5"/>
  <c r="A35" i="5"/>
  <c r="A32" i="5"/>
  <c r="A18" i="5"/>
  <c r="AE15" i="5"/>
  <c r="A10" i="5"/>
  <c r="G6" i="5"/>
  <c r="B6" i="5"/>
  <c r="A1" i="5"/>
  <c r="P122" i="5" l="1"/>
  <c r="P36" i="5"/>
  <c r="P38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1" i="3"/>
  <c r="CY1" i="3"/>
  <c r="CZ1" i="3"/>
  <c r="DA1" i="3"/>
  <c r="DB1" i="3"/>
  <c r="DC1" i="3"/>
  <c r="A2" i="3"/>
  <c r="CY2" i="3"/>
  <c r="CZ2" i="3"/>
  <c r="DB2" i="3" s="1"/>
  <c r="L10" i="7" s="1"/>
  <c r="DA2" i="3"/>
  <c r="DC2" i="3"/>
  <c r="Q10" i="7" s="1"/>
  <c r="A3" i="3"/>
  <c r="CY3" i="3"/>
  <c r="CZ3" i="3"/>
  <c r="DA3" i="3"/>
  <c r="DB3" i="3"/>
  <c r="L9" i="7" s="1"/>
  <c r="O9" i="7" s="1"/>
  <c r="DC3" i="3"/>
  <c r="Q9" i="7" s="1"/>
  <c r="A4" i="3"/>
  <c r="CY4" i="3"/>
  <c r="CZ4" i="3"/>
  <c r="DB4" i="3" s="1"/>
  <c r="L8" i="7" s="1"/>
  <c r="DA4" i="3"/>
  <c r="DC4" i="3"/>
  <c r="Q8" i="7" s="1"/>
  <c r="A5" i="3"/>
  <c r="CY5" i="3"/>
  <c r="CZ5" i="3"/>
  <c r="DB5" i="3" s="1"/>
  <c r="DA5" i="3"/>
  <c r="DC5" i="3"/>
  <c r="A6" i="3"/>
  <c r="CY6" i="3"/>
  <c r="CZ6" i="3"/>
  <c r="DB6" i="3" s="1"/>
  <c r="DA6" i="3"/>
  <c r="DC6" i="3"/>
  <c r="A7" i="3"/>
  <c r="CY7" i="3"/>
  <c r="CZ7" i="3"/>
  <c r="DB7" i="3" s="1"/>
  <c r="L11" i="7" s="1"/>
  <c r="DA7" i="3"/>
  <c r="DC7" i="3"/>
  <c r="Q11" i="7" s="1"/>
  <c r="A8" i="3"/>
  <c r="CY8" i="3"/>
  <c r="CZ8" i="3"/>
  <c r="DB8" i="3" s="1"/>
  <c r="L13" i="7" s="1"/>
  <c r="DA8" i="3"/>
  <c r="DC8" i="3"/>
  <c r="Q13" i="7" s="1"/>
  <c r="A9" i="3"/>
  <c r="CY9" i="3"/>
  <c r="CZ9" i="3"/>
  <c r="DA9" i="3"/>
  <c r="DB9" i="3"/>
  <c r="L12" i="7" s="1"/>
  <c r="DC9" i="3"/>
  <c r="Q12" i="7" s="1"/>
  <c r="A10" i="3"/>
  <c r="CY10" i="3"/>
  <c r="CZ10" i="3"/>
  <c r="DB10" i="3" s="1"/>
  <c r="L15" i="7" s="1"/>
  <c r="DA10" i="3"/>
  <c r="DC10" i="3"/>
  <c r="Q15" i="7" s="1"/>
  <c r="A11" i="3"/>
  <c r="CY11" i="3"/>
  <c r="CZ11" i="3"/>
  <c r="DB11" i="3" s="1"/>
  <c r="L14" i="7" s="1"/>
  <c r="DA11" i="3"/>
  <c r="DC11" i="3"/>
  <c r="Q14" i="7" s="1"/>
  <c r="A12" i="3"/>
  <c r="CY12" i="3"/>
  <c r="CZ12" i="3"/>
  <c r="DB12" i="3" s="1"/>
  <c r="DA12" i="3"/>
  <c r="DC12" i="3"/>
  <c r="A13" i="3"/>
  <c r="CY13" i="3"/>
  <c r="CZ13" i="3"/>
  <c r="DB13" i="3" s="1"/>
  <c r="L24" i="7" s="1"/>
  <c r="DA13" i="3"/>
  <c r="DC13" i="3"/>
  <c r="Q24" i="7" s="1"/>
  <c r="A14" i="3"/>
  <c r="CY14" i="3"/>
  <c r="CZ14" i="3"/>
  <c r="DB14" i="3" s="1"/>
  <c r="L23" i="7" s="1"/>
  <c r="DA14" i="3"/>
  <c r="DC14" i="3"/>
  <c r="Q23" i="7" s="1"/>
  <c r="A15" i="3"/>
  <c r="CY15" i="3"/>
  <c r="CZ15" i="3"/>
  <c r="DB15" i="3" s="1"/>
  <c r="L22" i="7" s="1"/>
  <c r="DA15" i="3"/>
  <c r="DC15" i="3"/>
  <c r="Q22" i="7" s="1"/>
  <c r="A16" i="3"/>
  <c r="CY16" i="3"/>
  <c r="CZ16" i="3"/>
  <c r="DB16" i="3" s="1"/>
  <c r="L21" i="7" s="1"/>
  <c r="DA16" i="3"/>
  <c r="DC16" i="3"/>
  <c r="Q21" i="7" s="1"/>
  <c r="A17" i="3"/>
  <c r="CY17" i="3"/>
  <c r="CZ17" i="3"/>
  <c r="DB17" i="3" s="1"/>
  <c r="L20" i="7" s="1"/>
  <c r="DA17" i="3"/>
  <c r="DC17" i="3"/>
  <c r="Q20" i="7" s="1"/>
  <c r="A18" i="3"/>
  <c r="CY18" i="3"/>
  <c r="CZ18" i="3"/>
  <c r="DB18" i="3" s="1"/>
  <c r="L19" i="7" s="1"/>
  <c r="DA18" i="3"/>
  <c r="DC18" i="3"/>
  <c r="Q19" i="7" s="1"/>
  <c r="A19" i="3"/>
  <c r="CY19" i="3"/>
  <c r="CZ19" i="3"/>
  <c r="DB19" i="3" s="1"/>
  <c r="L18" i="7" s="1"/>
  <c r="DA19" i="3"/>
  <c r="DC19" i="3"/>
  <c r="Q18" i="7" s="1"/>
  <c r="A20" i="3"/>
  <c r="CY20" i="3"/>
  <c r="CZ20" i="3"/>
  <c r="DB20" i="3" s="1"/>
  <c r="L17" i="7" s="1"/>
  <c r="DA20" i="3"/>
  <c r="DC20" i="3"/>
  <c r="Q17" i="7" s="1"/>
  <c r="A21" i="3"/>
  <c r="CY21" i="3"/>
  <c r="CZ21" i="3"/>
  <c r="DA21" i="3"/>
  <c r="DB21" i="3"/>
  <c r="DC21" i="3"/>
  <c r="A22" i="3"/>
  <c r="CY22" i="3"/>
  <c r="CZ22" i="3"/>
  <c r="DB22" i="3" s="1"/>
  <c r="L26" i="7" s="1"/>
  <c r="DA22" i="3"/>
  <c r="DC22" i="3"/>
  <c r="Q26" i="7" s="1"/>
  <c r="A23" i="3"/>
  <c r="CY23" i="3"/>
  <c r="CZ23" i="3"/>
  <c r="DB23" i="3" s="1"/>
  <c r="L25" i="7" s="1"/>
  <c r="DA23" i="3"/>
  <c r="DC23" i="3"/>
  <c r="Q25" i="7" s="1"/>
  <c r="A24" i="3"/>
  <c r="CY24" i="3"/>
  <c r="CZ24" i="3"/>
  <c r="DB24" i="3" s="1"/>
  <c r="DA24" i="3"/>
  <c r="DC24" i="3"/>
  <c r="A25" i="3"/>
  <c r="CY25" i="3"/>
  <c r="CZ25" i="3"/>
  <c r="DB25" i="3" s="1"/>
  <c r="DA25" i="3"/>
  <c r="DC25" i="3"/>
  <c r="A26" i="3"/>
  <c r="CY26" i="3"/>
  <c r="CZ26" i="3"/>
  <c r="DB26" i="3" s="1"/>
  <c r="DA26" i="3"/>
  <c r="DC26" i="3"/>
  <c r="A27" i="3"/>
  <c r="CY27" i="3"/>
  <c r="CZ27" i="3"/>
  <c r="DA27" i="3"/>
  <c r="DB27" i="3"/>
  <c r="L29" i="7" s="1"/>
  <c r="DC27" i="3"/>
  <c r="Q29" i="7" s="1"/>
  <c r="A28" i="3"/>
  <c r="CY28" i="3"/>
  <c r="CZ28" i="3"/>
  <c r="DB28" i="3" s="1"/>
  <c r="L28" i="7" s="1"/>
  <c r="DA28" i="3"/>
  <c r="DC28" i="3"/>
  <c r="Q28" i="7" s="1"/>
  <c r="A29" i="3"/>
  <c r="CY29" i="3"/>
  <c r="CZ29" i="3"/>
  <c r="DB29" i="3" s="1"/>
  <c r="DA29" i="3"/>
  <c r="DC29" i="3"/>
  <c r="A30" i="3"/>
  <c r="CY30" i="3"/>
  <c r="CZ30" i="3"/>
  <c r="DB30" i="3" s="1"/>
  <c r="DA30" i="3"/>
  <c r="DC30" i="3"/>
  <c r="A31" i="3"/>
  <c r="CY31" i="3"/>
  <c r="CZ31" i="3"/>
  <c r="DB31" i="3" s="1"/>
  <c r="DA31" i="3"/>
  <c r="DC31" i="3"/>
  <c r="A32" i="3"/>
  <c r="CY32" i="3"/>
  <c r="CZ32" i="3"/>
  <c r="DB32" i="3" s="1"/>
  <c r="L34" i="7" s="1"/>
  <c r="DA32" i="3"/>
  <c r="DC32" i="3"/>
  <c r="Q34" i="7" s="1"/>
  <c r="A33" i="3"/>
  <c r="CY33" i="3"/>
  <c r="CZ33" i="3"/>
  <c r="DB33" i="3" s="1"/>
  <c r="L33" i="7" s="1"/>
  <c r="DA33" i="3"/>
  <c r="DC33" i="3"/>
  <c r="Q33" i="7" s="1"/>
  <c r="A34" i="3"/>
  <c r="CY34" i="3"/>
  <c r="CZ34" i="3"/>
  <c r="DB34" i="3" s="1"/>
  <c r="L32" i="7" s="1"/>
  <c r="DA34" i="3"/>
  <c r="DC34" i="3"/>
  <c r="Q32" i="7" s="1"/>
  <c r="A35" i="3"/>
  <c r="CY35" i="3"/>
  <c r="CZ35" i="3"/>
  <c r="DA35" i="3"/>
  <c r="DB35" i="3"/>
  <c r="DC35" i="3"/>
  <c r="A36" i="3"/>
  <c r="CY36" i="3"/>
  <c r="CZ36" i="3"/>
  <c r="DB36" i="3" s="1"/>
  <c r="L35" i="7" s="1"/>
  <c r="DA36" i="3"/>
  <c r="DC36" i="3"/>
  <c r="Q35" i="7" s="1"/>
  <c r="A37" i="3"/>
  <c r="CY37" i="3"/>
  <c r="CZ37" i="3"/>
  <c r="DB37" i="3" s="1"/>
  <c r="DA37" i="3"/>
  <c r="DC37" i="3"/>
  <c r="A38" i="3"/>
  <c r="CY38" i="3"/>
  <c r="CZ38" i="3"/>
  <c r="DB38" i="3" s="1"/>
  <c r="L36" i="7" s="1"/>
  <c r="DA38" i="3"/>
  <c r="DC38" i="3"/>
  <c r="Q36" i="7" s="1"/>
  <c r="A39" i="3"/>
  <c r="CY39" i="3"/>
  <c r="CZ39" i="3"/>
  <c r="DB39" i="3" s="1"/>
  <c r="DA39" i="3"/>
  <c r="DC39" i="3"/>
  <c r="A40" i="3"/>
  <c r="CY40" i="3"/>
  <c r="CZ40" i="3"/>
  <c r="DB40" i="3" s="1"/>
  <c r="L38" i="7" s="1"/>
  <c r="DA40" i="3"/>
  <c r="DC40" i="3"/>
  <c r="Q38" i="7" s="1"/>
  <c r="A41" i="3"/>
  <c r="CY41" i="3"/>
  <c r="CZ41" i="3"/>
  <c r="DA41" i="3"/>
  <c r="DB41" i="3"/>
  <c r="L37" i="7" s="1"/>
  <c r="DC41" i="3"/>
  <c r="Q37" i="7" s="1"/>
  <c r="D12" i="1"/>
  <c r="E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D20" i="1"/>
  <c r="E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D24" i="1"/>
  <c r="E26" i="1"/>
  <c r="Z26" i="1"/>
  <c r="AA26" i="1"/>
  <c r="AM26" i="1"/>
  <c r="AN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AC28" i="1"/>
  <c r="CQ28" i="1" s="1"/>
  <c r="P28" i="1" s="1"/>
  <c r="AE28" i="1"/>
  <c r="U35" i="5" s="1"/>
  <c r="AF28" i="1"/>
  <c r="AG28" i="1"/>
  <c r="AH28" i="1"/>
  <c r="CV28" i="1" s="1"/>
  <c r="U28" i="1" s="1"/>
  <c r="AI28" i="1"/>
  <c r="CW28" i="1" s="1"/>
  <c r="V28" i="1" s="1"/>
  <c r="AJ28" i="1"/>
  <c r="CX28" i="1" s="1"/>
  <c r="W28" i="1" s="1"/>
  <c r="CR28" i="1"/>
  <c r="Q28" i="1" s="1"/>
  <c r="CS28" i="1"/>
  <c r="CU28" i="1"/>
  <c r="T28" i="1" s="1"/>
  <c r="FR28" i="1"/>
  <c r="GL28" i="1"/>
  <c r="GN28" i="1"/>
  <c r="GO28" i="1"/>
  <c r="GV28" i="1"/>
  <c r="HC28" i="1" s="1"/>
  <c r="GX28" i="1" s="1"/>
  <c r="AC29" i="1"/>
  <c r="AE29" i="1"/>
  <c r="AF29" i="1"/>
  <c r="AG29" i="1"/>
  <c r="CU29" i="1" s="1"/>
  <c r="T29" i="1" s="1"/>
  <c r="AH29" i="1"/>
  <c r="CV29" i="1" s="1"/>
  <c r="U29" i="1" s="1"/>
  <c r="AI29" i="1"/>
  <c r="CW29" i="1" s="1"/>
  <c r="V29" i="1" s="1"/>
  <c r="AJ29" i="1"/>
  <c r="CX29" i="1" s="1"/>
  <c r="W29" i="1" s="1"/>
  <c r="CR29" i="1"/>
  <c r="Q29" i="1" s="1"/>
  <c r="CT29" i="1"/>
  <c r="S29" i="1" s="1"/>
  <c r="FR29" i="1"/>
  <c r="GL29" i="1"/>
  <c r="GN29" i="1"/>
  <c r="GO29" i="1"/>
  <c r="GV29" i="1"/>
  <c r="HC29" i="1" s="1"/>
  <c r="GX29" i="1" s="1"/>
  <c r="C30" i="1"/>
  <c r="D30" i="1"/>
  <c r="I30" i="1"/>
  <c r="AC30" i="1"/>
  <c r="AE30" i="1"/>
  <c r="CR30" i="1" s="1"/>
  <c r="Q30" i="1" s="1"/>
  <c r="J42" i="5" s="1"/>
  <c r="AF30" i="1"/>
  <c r="CT30" i="1" s="1"/>
  <c r="AG30" i="1"/>
  <c r="CU30" i="1" s="1"/>
  <c r="T30" i="1" s="1"/>
  <c r="AH30" i="1"/>
  <c r="CV30" i="1" s="1"/>
  <c r="U30" i="1" s="1"/>
  <c r="K47" i="5" s="1"/>
  <c r="AI30" i="1"/>
  <c r="CW30" i="1" s="1"/>
  <c r="AJ30" i="1"/>
  <c r="CX30" i="1" s="1"/>
  <c r="FR30" i="1"/>
  <c r="GL30" i="1"/>
  <c r="GN30" i="1"/>
  <c r="GO30" i="1"/>
  <c r="GV30" i="1"/>
  <c r="HC30" i="1" s="1"/>
  <c r="GX30" i="1" s="1"/>
  <c r="C31" i="1"/>
  <c r="D31" i="1"/>
  <c r="I31" i="1"/>
  <c r="AC31" i="1"/>
  <c r="AE31" i="1"/>
  <c r="AD31" i="1" s="1"/>
  <c r="AF31" i="1"/>
  <c r="AG31" i="1"/>
  <c r="CU31" i="1" s="1"/>
  <c r="T31" i="1" s="1"/>
  <c r="AH31" i="1"/>
  <c r="CV31" i="1" s="1"/>
  <c r="AI31" i="1"/>
  <c r="CW31" i="1" s="1"/>
  <c r="AJ31" i="1"/>
  <c r="CX31" i="1" s="1"/>
  <c r="CQ31" i="1"/>
  <c r="CS31" i="1"/>
  <c r="FR31" i="1"/>
  <c r="GL31" i="1"/>
  <c r="GN31" i="1"/>
  <c r="GO31" i="1"/>
  <c r="GV31" i="1"/>
  <c r="HC31" i="1"/>
  <c r="C32" i="1"/>
  <c r="D32" i="1"/>
  <c r="I32" i="1"/>
  <c r="AC32" i="1"/>
  <c r="CQ32" i="1" s="1"/>
  <c r="P32" i="1" s="1"/>
  <c r="AE32" i="1"/>
  <c r="AF32" i="1"/>
  <c r="AG32" i="1"/>
  <c r="CU32" i="1" s="1"/>
  <c r="AH32" i="1"/>
  <c r="CV32" i="1" s="1"/>
  <c r="AI32" i="1"/>
  <c r="CW32" i="1" s="1"/>
  <c r="AJ32" i="1"/>
  <c r="CX32" i="1" s="1"/>
  <c r="CS32" i="1"/>
  <c r="FR32" i="1"/>
  <c r="GL32" i="1"/>
  <c r="GN32" i="1"/>
  <c r="GO32" i="1"/>
  <c r="GV32" i="1"/>
  <c r="HC32" i="1" s="1"/>
  <c r="C33" i="1"/>
  <c r="D33" i="1"/>
  <c r="AC33" i="1"/>
  <c r="AE33" i="1"/>
  <c r="AD33" i="1" s="1"/>
  <c r="AF33" i="1"/>
  <c r="AG33" i="1"/>
  <c r="CU33" i="1" s="1"/>
  <c r="AH33" i="1"/>
  <c r="CV33" i="1" s="1"/>
  <c r="AI33" i="1"/>
  <c r="CW33" i="1" s="1"/>
  <c r="AJ33" i="1"/>
  <c r="CX33" i="1" s="1"/>
  <c r="CQ33" i="1"/>
  <c r="CS33" i="1"/>
  <c r="FR33" i="1"/>
  <c r="GL33" i="1"/>
  <c r="GN33" i="1"/>
  <c r="GO33" i="1"/>
  <c r="GV33" i="1"/>
  <c r="HC33" i="1" s="1"/>
  <c r="C34" i="1"/>
  <c r="D34" i="1"/>
  <c r="AC34" i="1"/>
  <c r="CQ34" i="1" s="1"/>
  <c r="AE34" i="1"/>
  <c r="AF34" i="1"/>
  <c r="AG34" i="1"/>
  <c r="AH34" i="1"/>
  <c r="CV34" i="1" s="1"/>
  <c r="AI34" i="1"/>
  <c r="CW34" i="1" s="1"/>
  <c r="AJ34" i="1"/>
  <c r="CX34" i="1" s="1"/>
  <c r="CU34" i="1"/>
  <c r="FR34" i="1"/>
  <c r="GL34" i="1"/>
  <c r="GN34" i="1"/>
  <c r="GO34" i="1"/>
  <c r="GV34" i="1"/>
  <c r="HC34" i="1"/>
  <c r="C35" i="1"/>
  <c r="D35" i="1"/>
  <c r="AC35" i="1"/>
  <c r="AE35" i="1"/>
  <c r="CR35" i="1" s="1"/>
  <c r="AF35" i="1"/>
  <c r="CT35" i="1" s="1"/>
  <c r="AG35" i="1"/>
  <c r="CU35" i="1" s="1"/>
  <c r="AH35" i="1"/>
  <c r="AI35" i="1"/>
  <c r="CW35" i="1" s="1"/>
  <c r="AJ35" i="1"/>
  <c r="CX35" i="1" s="1"/>
  <c r="CV35" i="1"/>
  <c r="FR35" i="1"/>
  <c r="GL35" i="1"/>
  <c r="GN35" i="1"/>
  <c r="GO35" i="1"/>
  <c r="GV35" i="1"/>
  <c r="HC35" i="1" s="1"/>
  <c r="AC36" i="1"/>
  <c r="AD36" i="1"/>
  <c r="AE36" i="1"/>
  <c r="AF36" i="1"/>
  <c r="AG36" i="1"/>
  <c r="CU36" i="1" s="1"/>
  <c r="AH36" i="1"/>
  <c r="CV36" i="1" s="1"/>
  <c r="AI36" i="1"/>
  <c r="AJ36" i="1"/>
  <c r="CX36" i="1" s="1"/>
  <c r="CQ36" i="1"/>
  <c r="CR36" i="1"/>
  <c r="CS36" i="1"/>
  <c r="CW36" i="1"/>
  <c r="FR36" i="1"/>
  <c r="GL36" i="1"/>
  <c r="GO36" i="1"/>
  <c r="GP36" i="1"/>
  <c r="GV36" i="1"/>
  <c r="HC36" i="1" s="1"/>
  <c r="C37" i="1"/>
  <c r="D37" i="1"/>
  <c r="I37" i="1"/>
  <c r="AC37" i="1"/>
  <c r="CQ37" i="1" s="1"/>
  <c r="AE37" i="1"/>
  <c r="AF37" i="1"/>
  <c r="AG37" i="1"/>
  <c r="CU37" i="1" s="1"/>
  <c r="T37" i="1" s="1"/>
  <c r="AH37" i="1"/>
  <c r="CV37" i="1" s="1"/>
  <c r="AI37" i="1"/>
  <c r="CW37" i="1" s="1"/>
  <c r="AJ37" i="1"/>
  <c r="CX37" i="1" s="1"/>
  <c r="FR37" i="1"/>
  <c r="GL37" i="1"/>
  <c r="GN37" i="1"/>
  <c r="GO37" i="1"/>
  <c r="GV37" i="1"/>
  <c r="HC37" i="1" s="1"/>
  <c r="C38" i="1"/>
  <c r="D38" i="1"/>
  <c r="I38" i="1"/>
  <c r="AC38" i="1"/>
  <c r="AE38" i="1"/>
  <c r="AD38" i="1" s="1"/>
  <c r="AF38" i="1"/>
  <c r="AG38" i="1"/>
  <c r="CU38" i="1" s="1"/>
  <c r="T38" i="1" s="1"/>
  <c r="AH38" i="1"/>
  <c r="CV38" i="1" s="1"/>
  <c r="AI38" i="1"/>
  <c r="CW38" i="1" s="1"/>
  <c r="AJ38" i="1"/>
  <c r="CX38" i="1" s="1"/>
  <c r="CQ38" i="1"/>
  <c r="FR38" i="1"/>
  <c r="GL38" i="1"/>
  <c r="GN38" i="1"/>
  <c r="GO38" i="1"/>
  <c r="GV38" i="1"/>
  <c r="HC38" i="1"/>
  <c r="AC39" i="1"/>
  <c r="AE39" i="1"/>
  <c r="CS39" i="1" s="1"/>
  <c r="AF39" i="1"/>
  <c r="AG39" i="1"/>
  <c r="CU39" i="1" s="1"/>
  <c r="AH39" i="1"/>
  <c r="CV39" i="1" s="1"/>
  <c r="AI39" i="1"/>
  <c r="CW39" i="1" s="1"/>
  <c r="AJ39" i="1"/>
  <c r="CX39" i="1" s="1"/>
  <c r="CQ39" i="1"/>
  <c r="FR39" i="1"/>
  <c r="GL39" i="1"/>
  <c r="GN39" i="1"/>
  <c r="GO39" i="1"/>
  <c r="GV39" i="1"/>
  <c r="HC39" i="1"/>
  <c r="AC40" i="1"/>
  <c r="AE40" i="1"/>
  <c r="AD40" i="1" s="1"/>
  <c r="AB40" i="1" s="1"/>
  <c r="AF40" i="1"/>
  <c r="AG40" i="1"/>
  <c r="CU40" i="1" s="1"/>
  <c r="AH40" i="1"/>
  <c r="CV40" i="1" s="1"/>
  <c r="AI40" i="1"/>
  <c r="CW40" i="1" s="1"/>
  <c r="AJ40" i="1"/>
  <c r="CX40" i="1" s="1"/>
  <c r="CQ40" i="1"/>
  <c r="FR40" i="1"/>
  <c r="GL40" i="1"/>
  <c r="GN40" i="1"/>
  <c r="GO40" i="1"/>
  <c r="GV40" i="1"/>
  <c r="HC40" i="1" s="1"/>
  <c r="C41" i="1"/>
  <c r="D41" i="1"/>
  <c r="I41" i="1"/>
  <c r="I42" i="1" s="1"/>
  <c r="E107" i="5" s="1"/>
  <c r="AC41" i="1"/>
  <c r="AE41" i="1"/>
  <c r="CS41" i="1" s="1"/>
  <c r="AF41" i="1"/>
  <c r="AG41" i="1"/>
  <c r="CU41" i="1" s="1"/>
  <c r="AH41" i="1"/>
  <c r="CV41" i="1" s="1"/>
  <c r="AI41" i="1"/>
  <c r="CW41" i="1" s="1"/>
  <c r="AJ41" i="1"/>
  <c r="CX41" i="1" s="1"/>
  <c r="CQ41" i="1"/>
  <c r="FR41" i="1"/>
  <c r="GL41" i="1"/>
  <c r="GN41" i="1"/>
  <c r="GO41" i="1"/>
  <c r="GV41" i="1"/>
  <c r="HC41" i="1" s="1"/>
  <c r="GX41" i="1" s="1"/>
  <c r="AC42" i="1"/>
  <c r="AE42" i="1"/>
  <c r="AD42" i="1" s="1"/>
  <c r="AB42" i="1" s="1"/>
  <c r="AF42" i="1"/>
  <c r="AG42" i="1"/>
  <c r="CU42" i="1" s="1"/>
  <c r="AH42" i="1"/>
  <c r="CV42" i="1" s="1"/>
  <c r="AI42" i="1"/>
  <c r="CW42" i="1" s="1"/>
  <c r="AJ42" i="1"/>
  <c r="CX42" i="1" s="1"/>
  <c r="CQ42" i="1"/>
  <c r="FR42" i="1"/>
  <c r="GL42" i="1"/>
  <c r="GN42" i="1"/>
  <c r="GO42" i="1"/>
  <c r="GV42" i="1"/>
  <c r="HC42" i="1" s="1"/>
  <c r="AC43" i="1"/>
  <c r="AE43" i="1"/>
  <c r="AD43" i="1" s="1"/>
  <c r="AF43" i="1"/>
  <c r="AG43" i="1"/>
  <c r="CU43" i="1" s="1"/>
  <c r="AH43" i="1"/>
  <c r="CV43" i="1" s="1"/>
  <c r="AI43" i="1"/>
  <c r="AJ43" i="1"/>
  <c r="CX43" i="1" s="1"/>
  <c r="CR43" i="1"/>
  <c r="CW43" i="1"/>
  <c r="FR43" i="1"/>
  <c r="GL43" i="1"/>
  <c r="GO43" i="1"/>
  <c r="GP43" i="1"/>
  <c r="GV43" i="1"/>
  <c r="HC43" i="1" s="1"/>
  <c r="B45" i="1"/>
  <c r="B26" i="1" s="1"/>
  <c r="C45" i="1"/>
  <c r="C26" i="1" s="1"/>
  <c r="D45" i="1"/>
  <c r="D26" i="1" s="1"/>
  <c r="F45" i="1"/>
  <c r="F26" i="1" s="1"/>
  <c r="G45" i="1"/>
  <c r="BX45" i="1"/>
  <c r="BX26" i="1" s="1"/>
  <c r="CK45" i="1"/>
  <c r="CK26" i="1" s="1"/>
  <c r="CL45" i="1"/>
  <c r="CL26" i="1" s="1"/>
  <c r="CM45" i="1"/>
  <c r="CM26" i="1" s="1"/>
  <c r="D83" i="1"/>
  <c r="E85" i="1"/>
  <c r="Z85" i="1"/>
  <c r="AA85" i="1"/>
  <c r="AM85" i="1"/>
  <c r="AN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AC87" i="1"/>
  <c r="AE87" i="1"/>
  <c r="U121" i="5" s="1"/>
  <c r="AF87" i="1"/>
  <c r="AG87" i="1"/>
  <c r="CU87" i="1" s="1"/>
  <c r="T87" i="1" s="1"/>
  <c r="AH87" i="1"/>
  <c r="CV87" i="1" s="1"/>
  <c r="U87" i="1" s="1"/>
  <c r="AI87" i="1"/>
  <c r="CW87" i="1" s="1"/>
  <c r="V87" i="1" s="1"/>
  <c r="AJ87" i="1"/>
  <c r="CX87" i="1" s="1"/>
  <c r="W87" i="1" s="1"/>
  <c r="CQ87" i="1"/>
  <c r="P87" i="1" s="1"/>
  <c r="FR87" i="1"/>
  <c r="GL87" i="1"/>
  <c r="GN87" i="1"/>
  <c r="GO87" i="1"/>
  <c r="GV87" i="1"/>
  <c r="HC87" i="1"/>
  <c r="GX87" i="1" s="1"/>
  <c r="C88" i="1"/>
  <c r="D88" i="1"/>
  <c r="I88" i="1"/>
  <c r="AC88" i="1"/>
  <c r="CQ88" i="1" s="1"/>
  <c r="P88" i="1" s="1"/>
  <c r="J128" i="5" s="1"/>
  <c r="AE88" i="1"/>
  <c r="AD88" i="1" s="1"/>
  <c r="AF88" i="1"/>
  <c r="AG88" i="1"/>
  <c r="CU88" i="1" s="1"/>
  <c r="AH88" i="1"/>
  <c r="CV88" i="1" s="1"/>
  <c r="AI88" i="1"/>
  <c r="AJ88" i="1"/>
  <c r="CX88" i="1" s="1"/>
  <c r="W88" i="1" s="1"/>
  <c r="CS88" i="1"/>
  <c r="CW88" i="1"/>
  <c r="V88" i="1" s="1"/>
  <c r="FR88" i="1"/>
  <c r="GL88" i="1"/>
  <c r="BZ93" i="1" s="1"/>
  <c r="AQ93" i="1" s="1"/>
  <c r="GN88" i="1"/>
  <c r="GO88" i="1"/>
  <c r="GV88" i="1"/>
  <c r="HC88" i="1" s="1"/>
  <c r="C89" i="1"/>
  <c r="D89" i="1"/>
  <c r="I89" i="1"/>
  <c r="AC89" i="1"/>
  <c r="CQ89" i="1" s="1"/>
  <c r="AD89" i="1"/>
  <c r="AE89" i="1"/>
  <c r="CR89" i="1" s="1"/>
  <c r="AF89" i="1"/>
  <c r="AG89" i="1"/>
  <c r="CU89" i="1" s="1"/>
  <c r="AH89" i="1"/>
  <c r="CV89" i="1" s="1"/>
  <c r="AI89" i="1"/>
  <c r="CW89" i="1" s="1"/>
  <c r="AJ89" i="1"/>
  <c r="CX89" i="1" s="1"/>
  <c r="W89" i="1" s="1"/>
  <c r="CS89" i="1"/>
  <c r="FR89" i="1"/>
  <c r="GL89" i="1"/>
  <c r="GN89" i="1"/>
  <c r="GO89" i="1"/>
  <c r="GV89" i="1"/>
  <c r="HC89" i="1" s="1"/>
  <c r="GX89" i="1" s="1"/>
  <c r="C90" i="1"/>
  <c r="D90" i="1"/>
  <c r="I90" i="1"/>
  <c r="AC90" i="1"/>
  <c r="CQ90" i="1" s="1"/>
  <c r="AE90" i="1"/>
  <c r="AF90" i="1"/>
  <c r="AG90" i="1"/>
  <c r="CU90" i="1" s="1"/>
  <c r="AH90" i="1"/>
  <c r="CV90" i="1" s="1"/>
  <c r="U90" i="1" s="1"/>
  <c r="K148" i="5" s="1"/>
  <c r="AI90" i="1"/>
  <c r="CW90" i="1" s="1"/>
  <c r="AJ90" i="1"/>
  <c r="CX90" i="1" s="1"/>
  <c r="W90" i="1" s="1"/>
  <c r="CS90" i="1"/>
  <c r="FR90" i="1"/>
  <c r="GL90" i="1"/>
  <c r="GN90" i="1"/>
  <c r="GO90" i="1"/>
  <c r="GV90" i="1"/>
  <c r="HC90" i="1" s="1"/>
  <c r="GX90" i="1" s="1"/>
  <c r="C91" i="1"/>
  <c r="D91" i="1"/>
  <c r="I91" i="1"/>
  <c r="AC91" i="1"/>
  <c r="CQ91" i="1" s="1"/>
  <c r="AE91" i="1"/>
  <c r="AF91" i="1"/>
  <c r="AG91" i="1"/>
  <c r="CU91" i="1" s="1"/>
  <c r="AH91" i="1"/>
  <c r="CV91" i="1" s="1"/>
  <c r="AI91" i="1"/>
  <c r="CW91" i="1" s="1"/>
  <c r="AJ91" i="1"/>
  <c r="CX91" i="1" s="1"/>
  <c r="CS91" i="1"/>
  <c r="FR91" i="1"/>
  <c r="GL91" i="1"/>
  <c r="GN91" i="1"/>
  <c r="GO91" i="1"/>
  <c r="GV91" i="1"/>
  <c r="HC91" i="1" s="1"/>
  <c r="GX91" i="1" s="1"/>
  <c r="B93" i="1"/>
  <c r="B85" i="1" s="1"/>
  <c r="C93" i="1"/>
  <c r="C85" i="1" s="1"/>
  <c r="D93" i="1"/>
  <c r="D85" i="1" s="1"/>
  <c r="F93" i="1"/>
  <c r="F85" i="1" s="1"/>
  <c r="G93" i="1"/>
  <c r="BX93" i="1"/>
  <c r="AO93" i="1" s="1"/>
  <c r="CK93" i="1"/>
  <c r="CK85" i="1" s="1"/>
  <c r="CL93" i="1"/>
  <c r="BC93" i="1" s="1"/>
  <c r="BC85" i="1" s="1"/>
  <c r="CM93" i="1"/>
  <c r="CM85" i="1" s="1"/>
  <c r="B131" i="1"/>
  <c r="B22" i="1" s="1"/>
  <c r="C131" i="1"/>
  <c r="C22" i="1" s="1"/>
  <c r="D131" i="1"/>
  <c r="D22" i="1" s="1"/>
  <c r="F131" i="1"/>
  <c r="F22" i="1" s="1"/>
  <c r="G131" i="1"/>
  <c r="G22" i="1" s="1"/>
  <c r="B169" i="1"/>
  <c r="B18" i="1" s="1"/>
  <c r="C169" i="1"/>
  <c r="C18" i="1" s="1"/>
  <c r="D169" i="1"/>
  <c r="D18" i="1" s="1"/>
  <c r="F169" i="1"/>
  <c r="F18" i="1" s="1"/>
  <c r="G169" i="1"/>
  <c r="T41" i="1" l="1"/>
  <c r="U79" i="5"/>
  <c r="W32" i="1"/>
  <c r="V89" i="1"/>
  <c r="GX32" i="1"/>
  <c r="V32" i="1"/>
  <c r="O33" i="7"/>
  <c r="T21" i="7"/>
  <c r="T90" i="1"/>
  <c r="CC93" i="1"/>
  <c r="CC85" i="1" s="1"/>
  <c r="GX88" i="1"/>
  <c r="W38" i="1"/>
  <c r="T32" i="1"/>
  <c r="W31" i="1"/>
  <c r="T38" i="7"/>
  <c r="T91" i="1"/>
  <c r="AG93" i="1" s="1"/>
  <c r="GX38" i="1"/>
  <c r="CC45" i="1"/>
  <c r="CC26" i="1" s="1"/>
  <c r="T34" i="7"/>
  <c r="V37" i="1"/>
  <c r="Q89" i="1"/>
  <c r="T88" i="1"/>
  <c r="CS43" i="1"/>
  <c r="R43" i="1" s="1"/>
  <c r="GK43" i="1" s="1"/>
  <c r="CS42" i="1"/>
  <c r="R42" i="1" s="1"/>
  <c r="GK42" i="1" s="1"/>
  <c r="CS40" i="1"/>
  <c r="GX37" i="1"/>
  <c r="CR33" i="1"/>
  <c r="U56" i="5"/>
  <c r="BY93" i="1"/>
  <c r="BY85" i="1" s="1"/>
  <c r="V42" i="1"/>
  <c r="CG93" i="1"/>
  <c r="CG85" i="1" s="1"/>
  <c r="AB89" i="1"/>
  <c r="U103" i="5"/>
  <c r="AB33" i="1"/>
  <c r="GX31" i="1"/>
  <c r="AD28" i="1"/>
  <c r="T17" i="7"/>
  <c r="T8" i="7"/>
  <c r="V90" i="1"/>
  <c r="P89" i="1"/>
  <c r="J137" i="5" s="1"/>
  <c r="CS87" i="1"/>
  <c r="CR31" i="1"/>
  <c r="Q31" i="1" s="1"/>
  <c r="CJ93" i="1"/>
  <c r="BA93" i="1" s="1"/>
  <c r="W41" i="1"/>
  <c r="CR32" i="1"/>
  <c r="AD32" i="1"/>
  <c r="BZ45" i="1"/>
  <c r="BZ26" i="1" s="1"/>
  <c r="T32" i="7"/>
  <c r="T19" i="7"/>
  <c r="T10" i="7"/>
  <c r="U89" i="1"/>
  <c r="K140" i="5" s="1"/>
  <c r="BY45" i="1"/>
  <c r="BY26" i="1" s="1"/>
  <c r="V41" i="1"/>
  <c r="CR40" i="1"/>
  <c r="T28" i="7"/>
  <c r="U142" i="5"/>
  <c r="T89" i="1"/>
  <c r="CR88" i="1"/>
  <c r="Q88" i="1" s="1"/>
  <c r="CB93" i="1"/>
  <c r="AS93" i="1" s="1"/>
  <c r="AS85" i="1" s="1"/>
  <c r="W37" i="1"/>
  <c r="I33" i="1"/>
  <c r="O37" i="7"/>
  <c r="T36" i="7"/>
  <c r="CS38" i="1"/>
  <c r="R38" i="1" s="1"/>
  <c r="U134" i="5"/>
  <c r="CR42" i="1"/>
  <c r="Q42" i="1" s="1"/>
  <c r="CR38" i="1"/>
  <c r="U32" i="1"/>
  <c r="K61" i="5" s="1"/>
  <c r="V33" i="1"/>
  <c r="O36" i="7"/>
  <c r="M36" i="7"/>
  <c r="M26" i="7"/>
  <c r="O26" i="7"/>
  <c r="O23" i="7"/>
  <c r="M23" i="7"/>
  <c r="F17" i="6" s="1"/>
  <c r="GX42" i="1"/>
  <c r="O38" i="7"/>
  <c r="M38" i="7"/>
  <c r="O34" i="7"/>
  <c r="M34" i="7"/>
  <c r="F12" i="6" s="1"/>
  <c r="O21" i="7"/>
  <c r="M21" i="7"/>
  <c r="F19" i="6" s="1"/>
  <c r="F110" i="1"/>
  <c r="CX7" i="3"/>
  <c r="I11" i="7"/>
  <c r="D11" i="6" s="1"/>
  <c r="E63" i="5"/>
  <c r="O32" i="7"/>
  <c r="M32" i="7"/>
  <c r="O19" i="7"/>
  <c r="M19" i="7"/>
  <c r="F21" i="6" s="1"/>
  <c r="O10" i="7"/>
  <c r="M10" i="7"/>
  <c r="F9" i="6" s="1"/>
  <c r="BA85" i="1"/>
  <c r="F113" i="1"/>
  <c r="M35" i="7"/>
  <c r="O35" i="7"/>
  <c r="O28" i="7"/>
  <c r="M28" i="7"/>
  <c r="F28" i="6" s="1"/>
  <c r="O17" i="7"/>
  <c r="M17" i="7"/>
  <c r="O8" i="7"/>
  <c r="M8" i="7"/>
  <c r="W91" i="1"/>
  <c r="AJ93" i="1" s="1"/>
  <c r="U150" i="5"/>
  <c r="CR90" i="1"/>
  <c r="Q90" i="1" s="1"/>
  <c r="CT88" i="1"/>
  <c r="S88" i="1" s="1"/>
  <c r="J125" i="5" s="1"/>
  <c r="Q123" i="5"/>
  <c r="S123" i="5"/>
  <c r="R87" i="1"/>
  <c r="V121" i="5"/>
  <c r="G26" i="1"/>
  <c r="A114" i="5"/>
  <c r="N30" i="7"/>
  <c r="K30" i="7"/>
  <c r="R41" i="1"/>
  <c r="GK41" i="1" s="1"/>
  <c r="V103" i="5"/>
  <c r="CT38" i="1"/>
  <c r="S38" i="1" s="1"/>
  <c r="J92" i="5" s="1"/>
  <c r="S90" i="5"/>
  <c r="Q90" i="5"/>
  <c r="I25" i="7"/>
  <c r="D25" i="6" s="1"/>
  <c r="C91" i="5"/>
  <c r="I26" i="7"/>
  <c r="E90" i="5"/>
  <c r="CS37" i="1"/>
  <c r="Q33" i="1"/>
  <c r="J65" i="5" s="1"/>
  <c r="G18" i="1"/>
  <c r="A3" i="6"/>
  <c r="AF166" i="5"/>
  <c r="A166" i="5"/>
  <c r="F109" i="1"/>
  <c r="CR91" i="1"/>
  <c r="Q91" i="1" s="1"/>
  <c r="U91" i="1"/>
  <c r="K156" i="5" s="1"/>
  <c r="AD91" i="1"/>
  <c r="AB91" i="1" s="1"/>
  <c r="P90" i="1"/>
  <c r="J145" i="5" s="1"/>
  <c r="CT89" i="1"/>
  <c r="S89" i="1" s="1"/>
  <c r="J136" i="5" s="1"/>
  <c r="S134" i="5"/>
  <c r="Q134" i="5"/>
  <c r="I35" i="7"/>
  <c r="E134" i="5"/>
  <c r="C135" i="5"/>
  <c r="R88" i="1"/>
  <c r="V123" i="5"/>
  <c r="J131" i="5" s="1"/>
  <c r="U123" i="5"/>
  <c r="CR87" i="1"/>
  <c r="Q87" i="1" s="1"/>
  <c r="AD87" i="1"/>
  <c r="AB87" i="1" s="1"/>
  <c r="CT43" i="1"/>
  <c r="I43" i="1"/>
  <c r="T43" i="1" s="1"/>
  <c r="P42" i="1"/>
  <c r="CR41" i="1"/>
  <c r="Q41" i="1" s="1"/>
  <c r="U41" i="1"/>
  <c r="K111" i="5" s="1"/>
  <c r="AD41" i="1"/>
  <c r="AB41" i="1" s="1"/>
  <c r="N27" i="7"/>
  <c r="K27" i="7"/>
  <c r="CR39" i="1"/>
  <c r="AD39" i="1"/>
  <c r="AB39" i="1" s="1"/>
  <c r="U90" i="5"/>
  <c r="CR37" i="1"/>
  <c r="Q37" i="1" s="1"/>
  <c r="J82" i="5" s="1"/>
  <c r="U37" i="1"/>
  <c r="K88" i="5" s="1"/>
  <c r="AD37" i="1"/>
  <c r="AB37" i="1" s="1"/>
  <c r="CT36" i="1"/>
  <c r="CR34" i="1"/>
  <c r="AD34" i="1"/>
  <c r="AB34" i="1" s="1"/>
  <c r="P33" i="1"/>
  <c r="CT32" i="1"/>
  <c r="S32" i="1" s="1"/>
  <c r="J58" i="5" s="1"/>
  <c r="S56" i="5"/>
  <c r="Q56" i="5"/>
  <c r="CX6" i="3"/>
  <c r="E56" i="5"/>
  <c r="C57" i="5"/>
  <c r="R31" i="1"/>
  <c r="GK31" i="1" s="1"/>
  <c r="V49" i="5"/>
  <c r="U49" i="5"/>
  <c r="W30" i="1"/>
  <c r="Q39" i="5"/>
  <c r="S39" i="5"/>
  <c r="Q37" i="5"/>
  <c r="S37" i="5"/>
  <c r="R28" i="1"/>
  <c r="GK28" i="1" s="1"/>
  <c r="V35" i="5"/>
  <c r="CI93" i="1"/>
  <c r="CI85" i="1" s="1"/>
  <c r="G85" i="1"/>
  <c r="A159" i="5"/>
  <c r="V91" i="1"/>
  <c r="P91" i="1"/>
  <c r="J153" i="5" s="1"/>
  <c r="CT90" i="1"/>
  <c r="S90" i="1" s="1"/>
  <c r="J144" i="5" s="1"/>
  <c r="S142" i="5"/>
  <c r="Q142" i="5"/>
  <c r="I36" i="7"/>
  <c r="E142" i="5"/>
  <c r="C143" i="5"/>
  <c r="R89" i="1"/>
  <c r="GK89" i="1" s="1"/>
  <c r="V134" i="5"/>
  <c r="U88" i="1"/>
  <c r="K132" i="5" s="1"/>
  <c r="AB88" i="1"/>
  <c r="S30" i="7"/>
  <c r="P30" i="7"/>
  <c r="T42" i="1"/>
  <c r="W42" i="1"/>
  <c r="CT42" i="1"/>
  <c r="S42" i="1" s="1"/>
  <c r="S107" i="5"/>
  <c r="Q107" i="5"/>
  <c r="P41" i="1"/>
  <c r="J106" i="5" s="1"/>
  <c r="CT40" i="1"/>
  <c r="I40" i="1"/>
  <c r="V40" i="1" s="1"/>
  <c r="Q38" i="1"/>
  <c r="J93" i="5" s="1"/>
  <c r="U38" i="1"/>
  <c r="K101" i="5" s="1"/>
  <c r="AB38" i="1"/>
  <c r="P37" i="1"/>
  <c r="J84" i="5" s="1"/>
  <c r="S16" i="7"/>
  <c r="P16" i="7"/>
  <c r="T33" i="1"/>
  <c r="W33" i="1"/>
  <c r="CT33" i="1"/>
  <c r="S33" i="1" s="1"/>
  <c r="S63" i="5"/>
  <c r="Q63" i="5"/>
  <c r="R32" i="1"/>
  <c r="GK32" i="1" s="1"/>
  <c r="V56" i="5"/>
  <c r="U31" i="1"/>
  <c r="K54" i="5" s="1"/>
  <c r="AB31" i="1"/>
  <c r="V30" i="1"/>
  <c r="AD30" i="1"/>
  <c r="AB30" i="1" s="1"/>
  <c r="U39" i="5"/>
  <c r="AD29" i="1"/>
  <c r="U37" i="5"/>
  <c r="AB28" i="1"/>
  <c r="T37" i="7"/>
  <c r="R37" i="7"/>
  <c r="T33" i="7"/>
  <c r="R33" i="7"/>
  <c r="T29" i="7"/>
  <c r="R29" i="7"/>
  <c r="R25" i="7"/>
  <c r="T18" i="7"/>
  <c r="R18" i="7"/>
  <c r="T20" i="7"/>
  <c r="R20" i="7"/>
  <c r="T22" i="7"/>
  <c r="R22" i="7"/>
  <c r="T24" i="7"/>
  <c r="R24" i="7"/>
  <c r="T11" i="7"/>
  <c r="R11" i="7"/>
  <c r="T9" i="7"/>
  <c r="R9" i="7"/>
  <c r="CT91" i="1"/>
  <c r="S91" i="1" s="1"/>
  <c r="J152" i="5" s="1"/>
  <c r="S150" i="5"/>
  <c r="Q150" i="5"/>
  <c r="R90" i="1"/>
  <c r="GK90" i="1" s="1"/>
  <c r="V142" i="5"/>
  <c r="CT87" i="1"/>
  <c r="S87" i="1" s="1"/>
  <c r="Q121" i="5"/>
  <c r="S121" i="5"/>
  <c r="U43" i="1"/>
  <c r="AB43" i="1"/>
  <c r="U107" i="5"/>
  <c r="CT41" i="1"/>
  <c r="S41" i="1" s="1"/>
  <c r="J105" i="5" s="1"/>
  <c r="S103" i="5"/>
  <c r="Q103" i="5"/>
  <c r="I28" i="7"/>
  <c r="D28" i="6" s="1"/>
  <c r="I29" i="7"/>
  <c r="D27" i="6" s="1"/>
  <c r="E103" i="5"/>
  <c r="C104" i="5"/>
  <c r="S27" i="7"/>
  <c r="P27" i="7"/>
  <c r="CT39" i="1"/>
  <c r="I39" i="1"/>
  <c r="U39" i="1" s="1"/>
  <c r="V38" i="1"/>
  <c r="P38" i="1"/>
  <c r="CT37" i="1"/>
  <c r="S37" i="1" s="1"/>
  <c r="J81" i="5" s="1"/>
  <c r="Q79" i="5"/>
  <c r="S79" i="5"/>
  <c r="I22" i="7"/>
  <c r="I17" i="7"/>
  <c r="I23" i="7"/>
  <c r="D17" i="6" s="1"/>
  <c r="I20" i="7"/>
  <c r="I21" i="7"/>
  <c r="D19" i="6" s="1"/>
  <c r="I18" i="7"/>
  <c r="D24" i="6" s="1"/>
  <c r="E79" i="5"/>
  <c r="I24" i="7"/>
  <c r="D10" i="6" s="1"/>
  <c r="I19" i="7"/>
  <c r="D21" i="6" s="1"/>
  <c r="C80" i="5"/>
  <c r="AB36" i="1"/>
  <c r="CT34" i="1"/>
  <c r="R33" i="1"/>
  <c r="V63" i="5"/>
  <c r="J67" i="5" s="1"/>
  <c r="U63" i="5"/>
  <c r="AB32" i="1"/>
  <c r="V31" i="1"/>
  <c r="P31" i="1"/>
  <c r="S30" i="1"/>
  <c r="J41" i="5" s="1"/>
  <c r="AB29" i="1"/>
  <c r="M37" i="7"/>
  <c r="F30" i="6" s="1"/>
  <c r="M33" i="7"/>
  <c r="F15" i="6" s="1"/>
  <c r="M29" i="7"/>
  <c r="F27" i="6" s="1"/>
  <c r="O25" i="7"/>
  <c r="M25" i="7"/>
  <c r="F25" i="6" s="1"/>
  <c r="M18" i="7"/>
  <c r="F24" i="6" s="1"/>
  <c r="O18" i="7"/>
  <c r="M20" i="7"/>
  <c r="O20" i="7"/>
  <c r="M22" i="7"/>
  <c r="O22" i="7"/>
  <c r="M24" i="7"/>
  <c r="F10" i="6" s="1"/>
  <c r="O24" i="7"/>
  <c r="M11" i="7"/>
  <c r="F11" i="6" s="1"/>
  <c r="M9" i="7"/>
  <c r="F16" i="6" s="1"/>
  <c r="T25" i="7"/>
  <c r="I37" i="7"/>
  <c r="D30" i="6" s="1"/>
  <c r="I38" i="7"/>
  <c r="E150" i="5"/>
  <c r="C151" i="5"/>
  <c r="R91" i="1"/>
  <c r="GK91" i="1" s="1"/>
  <c r="V150" i="5"/>
  <c r="AD90" i="1"/>
  <c r="AB90" i="1" s="1"/>
  <c r="I33" i="7"/>
  <c r="D15" i="6" s="1"/>
  <c r="E123" i="5"/>
  <c r="I34" i="7"/>
  <c r="D12" i="6" s="1"/>
  <c r="I32" i="7"/>
  <c r="C124" i="5"/>
  <c r="CQ43" i="1"/>
  <c r="U42" i="1"/>
  <c r="U40" i="1"/>
  <c r="N16" i="7"/>
  <c r="K16" i="7"/>
  <c r="AD35" i="1"/>
  <c r="AB35" i="1" s="1"/>
  <c r="CS34" i="1"/>
  <c r="U33" i="1"/>
  <c r="CT31" i="1"/>
  <c r="S31" i="1" s="1"/>
  <c r="J51" i="5" s="1"/>
  <c r="Q49" i="5"/>
  <c r="S49" i="5"/>
  <c r="CX5" i="3"/>
  <c r="E49" i="5"/>
  <c r="C50" i="5"/>
  <c r="CX4" i="3"/>
  <c r="I10" i="7"/>
  <c r="D9" i="6" s="1"/>
  <c r="I8" i="7"/>
  <c r="I9" i="7"/>
  <c r="D16" i="6" s="1"/>
  <c r="C40" i="5"/>
  <c r="E39" i="5"/>
  <c r="CT28" i="1"/>
  <c r="S28" i="1" s="1"/>
  <c r="CP28" i="1" s="1"/>
  <c r="O28" i="1" s="1"/>
  <c r="Q35" i="5"/>
  <c r="S35" i="5"/>
  <c r="R38" i="7"/>
  <c r="R36" i="7"/>
  <c r="T35" i="7"/>
  <c r="R35" i="7"/>
  <c r="R32" i="7"/>
  <c r="R34" i="7"/>
  <c r="R28" i="7"/>
  <c r="T26" i="7"/>
  <c r="R26" i="7"/>
  <c r="R17" i="7"/>
  <c r="R19" i="7"/>
  <c r="R21" i="7"/>
  <c r="R23" i="7"/>
  <c r="R8" i="7"/>
  <c r="R10" i="7"/>
  <c r="O29" i="7"/>
  <c r="T23" i="7"/>
  <c r="AQ85" i="1"/>
  <c r="F103" i="1"/>
  <c r="AO85" i="1"/>
  <c r="F97" i="1"/>
  <c r="BB93" i="1"/>
  <c r="AT93" i="1"/>
  <c r="AP93" i="1"/>
  <c r="CZ91" i="1"/>
  <c r="Y91" i="1" s="1"/>
  <c r="T150" i="5" s="1"/>
  <c r="J155" i="5" s="1"/>
  <c r="CY91" i="1"/>
  <c r="X91" i="1" s="1"/>
  <c r="R150" i="5" s="1"/>
  <c r="J154" i="5" s="1"/>
  <c r="CZ89" i="1"/>
  <c r="Y89" i="1" s="1"/>
  <c r="T134" i="5" s="1"/>
  <c r="J139" i="5" s="1"/>
  <c r="CY89" i="1"/>
  <c r="X89" i="1" s="1"/>
  <c r="R134" i="5" s="1"/>
  <c r="J138" i="5" s="1"/>
  <c r="CZ87" i="1"/>
  <c r="Y87" i="1" s="1"/>
  <c r="T121" i="5" s="1"/>
  <c r="CY87" i="1"/>
  <c r="X87" i="1" s="1"/>
  <c r="R121" i="5" s="1"/>
  <c r="BD93" i="1"/>
  <c r="AZ93" i="1"/>
  <c r="AI93" i="1"/>
  <c r="GK87" i="1"/>
  <c r="CP87" i="1"/>
  <c r="O87" i="1" s="1"/>
  <c r="CX39" i="3"/>
  <c r="CX41" i="3"/>
  <c r="CX40" i="3"/>
  <c r="CX37" i="3"/>
  <c r="CX38" i="3"/>
  <c r="CX35" i="3"/>
  <c r="CX36" i="3"/>
  <c r="CX31" i="3"/>
  <c r="CX33" i="3"/>
  <c r="CX34" i="3"/>
  <c r="CX32" i="3"/>
  <c r="CL85" i="1"/>
  <c r="CJ85" i="1"/>
  <c r="CB85" i="1"/>
  <c r="BZ85" i="1"/>
  <c r="BX85" i="1"/>
  <c r="BD45" i="1"/>
  <c r="BB45" i="1"/>
  <c r="AT45" i="1"/>
  <c r="AP45" i="1"/>
  <c r="CY41" i="1"/>
  <c r="X41" i="1" s="1"/>
  <c r="R103" i="5" s="1"/>
  <c r="CZ41" i="1"/>
  <c r="Y41" i="1" s="1"/>
  <c r="T103" i="5" s="1"/>
  <c r="CY37" i="1"/>
  <c r="X37" i="1" s="1"/>
  <c r="R79" i="5" s="1"/>
  <c r="J85" i="5" s="1"/>
  <c r="CZ37" i="1"/>
  <c r="Y37" i="1" s="1"/>
  <c r="T79" i="5" s="1"/>
  <c r="J86" i="5" s="1"/>
  <c r="CY32" i="1"/>
  <c r="X32" i="1" s="1"/>
  <c r="R56" i="5" s="1"/>
  <c r="J59" i="5" s="1"/>
  <c r="CZ32" i="1"/>
  <c r="Y32" i="1" s="1"/>
  <c r="T56" i="5" s="1"/>
  <c r="J60" i="5" s="1"/>
  <c r="BC45" i="1"/>
  <c r="AQ45" i="1"/>
  <c r="AO45" i="1"/>
  <c r="CY42" i="1"/>
  <c r="X42" i="1" s="1"/>
  <c r="CZ42" i="1"/>
  <c r="Y42" i="1" s="1"/>
  <c r="T107" i="5" s="1"/>
  <c r="CY38" i="1"/>
  <c r="X38" i="1" s="1"/>
  <c r="CZ38" i="1"/>
  <c r="Y38" i="1" s="1"/>
  <c r="T90" i="5" s="1"/>
  <c r="CP37" i="1"/>
  <c r="O37" i="1" s="1"/>
  <c r="CY33" i="1"/>
  <c r="X33" i="1" s="1"/>
  <c r="CZ33" i="1"/>
  <c r="Y33" i="1" s="1"/>
  <c r="T63" i="5" s="1"/>
  <c r="CS35" i="1"/>
  <c r="CQ35" i="1"/>
  <c r="Q32" i="1"/>
  <c r="CP32" i="1" s="1"/>
  <c r="O32" i="1" s="1"/>
  <c r="CY29" i="1"/>
  <c r="X29" i="1" s="1"/>
  <c r="R37" i="5" s="1"/>
  <c r="CZ29" i="1"/>
  <c r="Y29" i="1" s="1"/>
  <c r="T37" i="5" s="1"/>
  <c r="CX27" i="3"/>
  <c r="CX29" i="3"/>
  <c r="CX26" i="3"/>
  <c r="CX30" i="3"/>
  <c r="CX28" i="3"/>
  <c r="CX21" i="3"/>
  <c r="CX23" i="3"/>
  <c r="CX25" i="3"/>
  <c r="CX22" i="3"/>
  <c r="CX24" i="3"/>
  <c r="CX13" i="3"/>
  <c r="CX15" i="3"/>
  <c r="CX17" i="3"/>
  <c r="CX19" i="3"/>
  <c r="CX14" i="3"/>
  <c r="CX18" i="3"/>
  <c r="CX12" i="3"/>
  <c r="CX16" i="3"/>
  <c r="CX20" i="3"/>
  <c r="CY28" i="1"/>
  <c r="X28" i="1" s="1"/>
  <c r="R35" i="5" s="1"/>
  <c r="CS30" i="1"/>
  <c r="CQ30" i="1"/>
  <c r="P30" i="1" s="1"/>
  <c r="CP30" i="1" s="1"/>
  <c r="O30" i="1" s="1"/>
  <c r="CX1" i="3"/>
  <c r="CX3" i="3"/>
  <c r="CS29" i="1"/>
  <c r="CQ29" i="1"/>
  <c r="P29" i="1" s="1"/>
  <c r="CX2" i="3"/>
  <c r="Q43" i="1" l="1"/>
  <c r="CY88" i="1"/>
  <c r="X88" i="1" s="1"/>
  <c r="R123" i="5" s="1"/>
  <c r="J129" i="5" s="1"/>
  <c r="V43" i="1"/>
  <c r="D18" i="6"/>
  <c r="U108" i="5"/>
  <c r="CI45" i="1"/>
  <c r="AH93" i="1"/>
  <c r="AH85" i="1" s="1"/>
  <c r="O11" i="7"/>
  <c r="C64" i="5"/>
  <c r="P43" i="1"/>
  <c r="S96" i="5"/>
  <c r="CY30" i="1"/>
  <c r="X30" i="1" s="1"/>
  <c r="R39" i="5" s="1"/>
  <c r="J44" i="5" s="1"/>
  <c r="CP89" i="1"/>
  <c r="O89" i="1" s="1"/>
  <c r="AX93" i="1"/>
  <c r="D31" i="6"/>
  <c r="F18" i="6"/>
  <c r="V107" i="5"/>
  <c r="V108" i="5"/>
  <c r="CG45" i="1"/>
  <c r="CZ31" i="1"/>
  <c r="Y31" i="1" s="1"/>
  <c r="T49" i="5" s="1"/>
  <c r="J53" i="5" s="1"/>
  <c r="CZ30" i="1"/>
  <c r="Y30" i="1" s="1"/>
  <c r="T39" i="5" s="1"/>
  <c r="J45" i="5" s="1"/>
  <c r="CY90" i="1"/>
  <c r="X90" i="1" s="1"/>
  <c r="R142" i="5" s="1"/>
  <c r="J146" i="5" s="1"/>
  <c r="V90" i="5"/>
  <c r="AE93" i="1"/>
  <c r="CP31" i="1"/>
  <c r="O31" i="1" s="1"/>
  <c r="CZ88" i="1"/>
  <c r="Y88" i="1" s="1"/>
  <c r="T123" i="5" s="1"/>
  <c r="J130" i="5" s="1"/>
  <c r="CY31" i="1"/>
  <c r="X31" i="1" s="1"/>
  <c r="R49" i="5" s="1"/>
  <c r="J52" i="5" s="1"/>
  <c r="AC93" i="1"/>
  <c r="CZ90" i="1"/>
  <c r="Y90" i="1" s="1"/>
  <c r="T142" i="5" s="1"/>
  <c r="J147" i="5" s="1"/>
  <c r="I149" i="5" s="1"/>
  <c r="P149" i="5" s="1"/>
  <c r="CP90" i="1"/>
  <c r="O90" i="1" s="1"/>
  <c r="J126" i="5"/>
  <c r="I133" i="5" s="1"/>
  <c r="CP88" i="1"/>
  <c r="O88" i="1" s="1"/>
  <c r="GP88" i="1" s="1"/>
  <c r="AD93" i="1"/>
  <c r="U97" i="5"/>
  <c r="R40" i="1"/>
  <c r="GK40" i="1" s="1"/>
  <c r="CP41" i="1"/>
  <c r="O41" i="1" s="1"/>
  <c r="Q40" i="1"/>
  <c r="Q97" i="5"/>
  <c r="GX33" i="1"/>
  <c r="CP91" i="1"/>
  <c r="O91" i="1" s="1"/>
  <c r="D20" i="6"/>
  <c r="T40" i="1"/>
  <c r="S43" i="1"/>
  <c r="I34" i="1"/>
  <c r="E69" i="5" s="1"/>
  <c r="AF93" i="1"/>
  <c r="S93" i="1" s="1"/>
  <c r="W93" i="1"/>
  <c r="AJ85" i="1"/>
  <c r="GM42" i="1"/>
  <c r="R107" i="5"/>
  <c r="D26" i="6"/>
  <c r="Q96" i="5"/>
  <c r="T39" i="1"/>
  <c r="V97" i="5"/>
  <c r="J100" i="5" s="1"/>
  <c r="S97" i="5"/>
  <c r="GK38" i="1"/>
  <c r="J94" i="5"/>
  <c r="E29" i="6"/>
  <c r="Q108" i="5"/>
  <c r="GK88" i="1"/>
  <c r="J127" i="5"/>
  <c r="I68" i="5"/>
  <c r="V96" i="5"/>
  <c r="E32" i="6"/>
  <c r="F26" i="6"/>
  <c r="I35" i="1"/>
  <c r="R35" i="1" s="1"/>
  <c r="J75" i="5" s="1"/>
  <c r="I12" i="7"/>
  <c r="I13" i="7"/>
  <c r="T12" i="7"/>
  <c r="I55" i="5"/>
  <c r="CP38" i="1"/>
  <c r="O38" i="1" s="1"/>
  <c r="GP38" i="1" s="1"/>
  <c r="J95" i="5"/>
  <c r="P39" i="1"/>
  <c r="S40" i="1"/>
  <c r="S108" i="5"/>
  <c r="R39" i="1"/>
  <c r="GK39" i="1" s="1"/>
  <c r="R30" i="1"/>
  <c r="V39" i="5"/>
  <c r="J46" i="5" s="1"/>
  <c r="I48" i="5" s="1"/>
  <c r="R90" i="5"/>
  <c r="E33" i="6"/>
  <c r="GK33" i="1"/>
  <c r="J66" i="5"/>
  <c r="S39" i="1"/>
  <c r="I157" i="5"/>
  <c r="E97" i="5"/>
  <c r="I27" i="7"/>
  <c r="D29" i="6" s="1"/>
  <c r="W40" i="1"/>
  <c r="I62" i="5"/>
  <c r="P40" i="1"/>
  <c r="CP42" i="1"/>
  <c r="O42" i="1" s="1"/>
  <c r="J107" i="5" s="1"/>
  <c r="I141" i="5"/>
  <c r="F20" i="6"/>
  <c r="F31" i="6"/>
  <c r="GX40" i="1"/>
  <c r="R29" i="1"/>
  <c r="V37" i="5"/>
  <c r="CZ28" i="1"/>
  <c r="Y28" i="1" s="1"/>
  <c r="T35" i="5" s="1"/>
  <c r="R63" i="5"/>
  <c r="R34" i="1"/>
  <c r="J71" i="5" s="1"/>
  <c r="V69" i="5"/>
  <c r="E96" i="5"/>
  <c r="GX39" i="1"/>
  <c r="W39" i="1"/>
  <c r="CP33" i="1"/>
  <c r="O33" i="1" s="1"/>
  <c r="Q39" i="1"/>
  <c r="I30" i="7"/>
  <c r="D32" i="6" s="1"/>
  <c r="E108" i="5"/>
  <c r="W43" i="1"/>
  <c r="R37" i="1"/>
  <c r="V79" i="5"/>
  <c r="J87" i="5" s="1"/>
  <c r="I89" i="5" s="1"/>
  <c r="U96" i="5"/>
  <c r="V39" i="1"/>
  <c r="GX43" i="1"/>
  <c r="CP29" i="1"/>
  <c r="O29" i="1" s="1"/>
  <c r="AQ26" i="1"/>
  <c r="F55" i="1"/>
  <c r="AQ131" i="1"/>
  <c r="GM33" i="1"/>
  <c r="GP42" i="1"/>
  <c r="AT26" i="1"/>
  <c r="F63" i="1"/>
  <c r="AT131" i="1"/>
  <c r="BD26" i="1"/>
  <c r="F70" i="1"/>
  <c r="BD131" i="1"/>
  <c r="GM87" i="1"/>
  <c r="GP87" i="1"/>
  <c r="AB93" i="1"/>
  <c r="GM89" i="1"/>
  <c r="GP89" i="1"/>
  <c r="AZ85" i="1"/>
  <c r="F104" i="1"/>
  <c r="AL93" i="1"/>
  <c r="Q93" i="1"/>
  <c r="AD85" i="1"/>
  <c r="AP85" i="1"/>
  <c r="F102" i="1"/>
  <c r="AX85" i="1"/>
  <c r="F100" i="1"/>
  <c r="GK29" i="1"/>
  <c r="GM28" i="1"/>
  <c r="GP28" i="1"/>
  <c r="GM31" i="1"/>
  <c r="GP31" i="1"/>
  <c r="GP32" i="1"/>
  <c r="GM32" i="1"/>
  <c r="GP41" i="1"/>
  <c r="GM41" i="1"/>
  <c r="AO26" i="1"/>
  <c r="F49" i="1"/>
  <c r="AO131" i="1"/>
  <c r="BC26" i="1"/>
  <c r="F61" i="1"/>
  <c r="BC131" i="1"/>
  <c r="AP26" i="1"/>
  <c r="F54" i="1"/>
  <c r="AP131" i="1"/>
  <c r="BB26" i="1"/>
  <c r="F58" i="1"/>
  <c r="BB131" i="1"/>
  <c r="AC85" i="1"/>
  <c r="CF93" i="1"/>
  <c r="CH93" i="1"/>
  <c r="P93" i="1"/>
  <c r="CE93" i="1"/>
  <c r="AE85" i="1"/>
  <c r="R93" i="1"/>
  <c r="AI85" i="1"/>
  <c r="V93" i="1"/>
  <c r="GM91" i="1"/>
  <c r="GP91" i="1"/>
  <c r="BD85" i="1"/>
  <c r="F118" i="1"/>
  <c r="AK93" i="1"/>
  <c r="U93" i="1"/>
  <c r="AG85" i="1"/>
  <c r="T93" i="1"/>
  <c r="GM90" i="1"/>
  <c r="GP90" i="1"/>
  <c r="W85" i="1"/>
  <c r="F117" i="1"/>
  <c r="AT85" i="1"/>
  <c r="F111" i="1"/>
  <c r="BB85" i="1"/>
  <c r="F106" i="1"/>
  <c r="AM150" i="5" l="1"/>
  <c r="CI26" i="1"/>
  <c r="AZ45" i="1"/>
  <c r="M27" i="7"/>
  <c r="F29" i="6" s="1"/>
  <c r="Q34" i="1"/>
  <c r="J70" i="5" s="1"/>
  <c r="I72" i="5" s="1"/>
  <c r="P72" i="5" s="1"/>
  <c r="CG26" i="1"/>
  <c r="AX45" i="1"/>
  <c r="S34" i="1"/>
  <c r="CY34" i="1" s="1"/>
  <c r="X34" i="1" s="1"/>
  <c r="R69" i="5" s="1"/>
  <c r="AF85" i="1"/>
  <c r="CP43" i="1"/>
  <c r="O43" i="1" s="1"/>
  <c r="CZ43" i="1"/>
  <c r="Y43" i="1" s="1"/>
  <c r="T108" i="5" s="1"/>
  <c r="J110" i="5" s="1"/>
  <c r="CY43" i="1"/>
  <c r="X43" i="1" s="1"/>
  <c r="R108" i="5" s="1"/>
  <c r="J109" i="5" s="1"/>
  <c r="GM88" i="1"/>
  <c r="P35" i="1"/>
  <c r="GM38" i="1"/>
  <c r="CP40" i="1"/>
  <c r="O40" i="1" s="1"/>
  <c r="J97" i="5" s="1"/>
  <c r="GP33" i="1"/>
  <c r="CP39" i="1"/>
  <c r="O39" i="1" s="1"/>
  <c r="J96" i="5" s="1"/>
  <c r="M13" i="7"/>
  <c r="S69" i="5"/>
  <c r="M12" i="7"/>
  <c r="R13" i="7"/>
  <c r="CX9" i="3"/>
  <c r="CX8" i="3"/>
  <c r="O13" i="7"/>
  <c r="T34" i="1"/>
  <c r="GX34" i="1"/>
  <c r="U69" i="5"/>
  <c r="U34" i="1"/>
  <c r="P34" i="1"/>
  <c r="R12" i="7"/>
  <c r="V34" i="1"/>
  <c r="W34" i="1"/>
  <c r="O12" i="7"/>
  <c r="T13" i="7"/>
  <c r="Q69" i="5"/>
  <c r="K48" i="5"/>
  <c r="P48" i="5"/>
  <c r="P89" i="5"/>
  <c r="K89" i="5"/>
  <c r="K141" i="5"/>
  <c r="P141" i="5"/>
  <c r="K55" i="5"/>
  <c r="P55" i="5"/>
  <c r="T27" i="7"/>
  <c r="GK30" i="1"/>
  <c r="J43" i="5"/>
  <c r="O27" i="7"/>
  <c r="R27" i="7"/>
  <c r="P133" i="5"/>
  <c r="K133" i="5"/>
  <c r="P68" i="5"/>
  <c r="K68" i="5"/>
  <c r="T30" i="7"/>
  <c r="R30" i="7"/>
  <c r="CZ39" i="1"/>
  <c r="Y39" i="1" s="1"/>
  <c r="T96" i="5" s="1"/>
  <c r="CY39" i="1"/>
  <c r="X39" i="1" s="1"/>
  <c r="O30" i="7"/>
  <c r="K149" i="5"/>
  <c r="I14" i="7"/>
  <c r="D14" i="6" s="1"/>
  <c r="I15" i="7"/>
  <c r="D13" i="6" s="1"/>
  <c r="E73" i="5"/>
  <c r="S35" i="1"/>
  <c r="M15" i="7"/>
  <c r="F13" i="6" s="1"/>
  <c r="I36" i="1"/>
  <c r="Q35" i="1"/>
  <c r="O15" i="7"/>
  <c r="W35" i="1"/>
  <c r="T14" i="7"/>
  <c r="CX11" i="3"/>
  <c r="V35" i="1"/>
  <c r="CX10" i="3"/>
  <c r="S73" i="5"/>
  <c r="O14" i="7"/>
  <c r="T15" i="7"/>
  <c r="R14" i="7"/>
  <c r="Q73" i="5"/>
  <c r="M14" i="7"/>
  <c r="U73" i="5"/>
  <c r="R15" i="7"/>
  <c r="GX35" i="1"/>
  <c r="U35" i="1"/>
  <c r="T35" i="1"/>
  <c r="M30" i="7"/>
  <c r="F32" i="6" s="1"/>
  <c r="GK37" i="1"/>
  <c r="J83" i="5"/>
  <c r="K62" i="5"/>
  <c r="P62" i="5"/>
  <c r="CZ40" i="1"/>
  <c r="Y40" i="1" s="1"/>
  <c r="T97" i="5" s="1"/>
  <c r="CY40" i="1"/>
  <c r="X40" i="1" s="1"/>
  <c r="P157" i="5"/>
  <c r="K157" i="5"/>
  <c r="V73" i="5"/>
  <c r="T85" i="1"/>
  <c r="F114" i="1"/>
  <c r="AK85" i="1"/>
  <c r="X93" i="1"/>
  <c r="P85" i="1"/>
  <c r="F96" i="1"/>
  <c r="AW93" i="1"/>
  <c r="CF85" i="1"/>
  <c r="BB22" i="1"/>
  <c r="BB169" i="1"/>
  <c r="F144" i="1"/>
  <c r="AP22" i="1"/>
  <c r="AP169" i="1"/>
  <c r="F140" i="1"/>
  <c r="G16" i="2" s="1"/>
  <c r="G18" i="2" s="1"/>
  <c r="AO22" i="1"/>
  <c r="F135" i="1"/>
  <c r="AO169" i="1"/>
  <c r="Y93" i="1"/>
  <c r="AL85" i="1"/>
  <c r="S85" i="1"/>
  <c r="F108" i="1"/>
  <c r="F122" i="1" s="1"/>
  <c r="CD93" i="1"/>
  <c r="BD22" i="1"/>
  <c r="BD169" i="1"/>
  <c r="F156" i="1"/>
  <c r="AT22" i="1"/>
  <c r="F149" i="1"/>
  <c r="F16" i="2" s="1"/>
  <c r="F18" i="2" s="1"/>
  <c r="AT169" i="1"/>
  <c r="AQ22" i="1"/>
  <c r="F141" i="1"/>
  <c r="AQ169" i="1"/>
  <c r="GP29" i="1"/>
  <c r="GM29" i="1"/>
  <c r="U85" i="1"/>
  <c r="F115" i="1"/>
  <c r="V85" i="1"/>
  <c r="F116" i="1"/>
  <c r="F107" i="1"/>
  <c r="R85" i="1"/>
  <c r="CE85" i="1"/>
  <c r="AV93" i="1"/>
  <c r="AY93" i="1"/>
  <c r="CH85" i="1"/>
  <c r="BC22" i="1"/>
  <c r="F147" i="1"/>
  <c r="BC169" i="1"/>
  <c r="Q85" i="1"/>
  <c r="F105" i="1"/>
  <c r="O93" i="1"/>
  <c r="AB85" i="1"/>
  <c r="CA93" i="1"/>
  <c r="F52" i="1" l="1"/>
  <c r="AX26" i="1"/>
  <c r="AX131" i="1"/>
  <c r="CZ34" i="1"/>
  <c r="Y34" i="1" s="1"/>
  <c r="T69" i="5" s="1"/>
  <c r="F56" i="1"/>
  <c r="AZ131" i="1"/>
  <c r="AZ26" i="1"/>
  <c r="F14" i="6"/>
  <c r="E22" i="6" s="1"/>
  <c r="CP34" i="1"/>
  <c r="O34" i="1" s="1"/>
  <c r="K72" i="5"/>
  <c r="GM34" i="1"/>
  <c r="GP34" i="1"/>
  <c r="J108" i="5"/>
  <c r="I112" i="5" s="1"/>
  <c r="AM103" i="5" s="1"/>
  <c r="GN43" i="1"/>
  <c r="GM43" i="1"/>
  <c r="R96" i="5"/>
  <c r="GM39" i="1"/>
  <c r="GP37" i="1"/>
  <c r="GM37" i="1"/>
  <c r="J74" i="5"/>
  <c r="I76" i="5" s="1"/>
  <c r="J99" i="5"/>
  <c r="GP39" i="1"/>
  <c r="CJ45" i="1"/>
  <c r="GX36" i="1"/>
  <c r="I16" i="7"/>
  <c r="E77" i="5"/>
  <c r="U36" i="1"/>
  <c r="AH45" i="1" s="1"/>
  <c r="V36" i="1"/>
  <c r="AI45" i="1" s="1"/>
  <c r="R36" i="1"/>
  <c r="Q77" i="5"/>
  <c r="U77" i="5"/>
  <c r="S77" i="5"/>
  <c r="V77" i="5"/>
  <c r="Q36" i="1"/>
  <c r="AD45" i="1" s="1"/>
  <c r="P36" i="1"/>
  <c r="S36" i="1"/>
  <c r="W36" i="1"/>
  <c r="AJ45" i="1" s="1"/>
  <c r="T36" i="1"/>
  <c r="AG45" i="1" s="1"/>
  <c r="I159" i="5"/>
  <c r="GM40" i="1"/>
  <c r="R97" i="5"/>
  <c r="GP40" i="1"/>
  <c r="CY35" i="1"/>
  <c r="X35" i="1" s="1"/>
  <c r="R73" i="5" s="1"/>
  <c r="CZ35" i="1"/>
  <c r="Y35" i="1" s="1"/>
  <c r="T73" i="5" s="1"/>
  <c r="GP30" i="1"/>
  <c r="GM30" i="1"/>
  <c r="CP35" i="1"/>
  <c r="O35" i="1" s="1"/>
  <c r="AV85" i="1"/>
  <c r="F98" i="1"/>
  <c r="BB18" i="1"/>
  <c r="F182" i="1"/>
  <c r="X85" i="1"/>
  <c r="F119" i="1"/>
  <c r="CA85" i="1"/>
  <c r="AR93" i="1"/>
  <c r="O85" i="1"/>
  <c r="F95" i="1"/>
  <c r="BC18" i="1"/>
  <c r="F185" i="1"/>
  <c r="AY85" i="1"/>
  <c r="F101" i="1"/>
  <c r="F123" i="1"/>
  <c r="F125" i="1"/>
  <c r="AQ18" i="1"/>
  <c r="F179" i="1"/>
  <c r="AT18" i="1"/>
  <c r="F187" i="1"/>
  <c r="I22" i="5" s="1"/>
  <c r="BD18" i="1"/>
  <c r="F194" i="1"/>
  <c r="AU93" i="1"/>
  <c r="CD85" i="1"/>
  <c r="Y85" i="1"/>
  <c r="F120" i="1"/>
  <c r="F124" i="1" s="1"/>
  <c r="AO18" i="1"/>
  <c r="F173" i="1"/>
  <c r="AP18" i="1"/>
  <c r="F178" i="1"/>
  <c r="I23" i="5" s="1"/>
  <c r="AW85" i="1"/>
  <c r="F99" i="1"/>
  <c r="F142" i="1" l="1"/>
  <c r="AZ169" i="1"/>
  <c r="AZ22" i="1"/>
  <c r="AX22" i="1"/>
  <c r="AX169" i="1"/>
  <c r="F138" i="1"/>
  <c r="K112" i="5"/>
  <c r="P112" i="5"/>
  <c r="CD45" i="1"/>
  <c r="T45" i="1"/>
  <c r="AG26" i="1"/>
  <c r="AD26" i="1"/>
  <c r="Q45" i="1"/>
  <c r="AI26" i="1"/>
  <c r="V45" i="1"/>
  <c r="GP35" i="1"/>
  <c r="GM35" i="1"/>
  <c r="CZ36" i="1"/>
  <c r="Y36" i="1" s="1"/>
  <c r="AF45" i="1"/>
  <c r="CY36" i="1"/>
  <c r="X36" i="1" s="1"/>
  <c r="D33" i="6"/>
  <c r="R16" i="7"/>
  <c r="O16" i="7"/>
  <c r="T16" i="7"/>
  <c r="M16" i="7"/>
  <c r="F33" i="6" s="1"/>
  <c r="E34" i="6" s="1"/>
  <c r="I161" i="5"/>
  <c r="I162" i="5" s="1"/>
  <c r="J77" i="5"/>
  <c r="I78" i="5" s="1"/>
  <c r="AC45" i="1"/>
  <c r="CP36" i="1"/>
  <c r="O36" i="1" s="1"/>
  <c r="P76" i="5"/>
  <c r="K76" i="5"/>
  <c r="BA45" i="1"/>
  <c r="CJ26" i="1"/>
  <c r="AH26" i="1"/>
  <c r="U45" i="1"/>
  <c r="J98" i="5"/>
  <c r="I102" i="5" s="1"/>
  <c r="AJ26" i="1"/>
  <c r="W45" i="1"/>
  <c r="GK36" i="1"/>
  <c r="AE45" i="1"/>
  <c r="AU85" i="1"/>
  <c r="F112" i="1"/>
  <c r="AR85" i="1"/>
  <c r="F121" i="1"/>
  <c r="F126" i="1" s="1"/>
  <c r="AX18" i="1" l="1"/>
  <c r="F176" i="1"/>
  <c r="P102" i="5"/>
  <c r="AM90" i="5"/>
  <c r="AZ18" i="1"/>
  <c r="F180" i="1"/>
  <c r="AE26" i="1"/>
  <c r="R45" i="1"/>
  <c r="K102" i="5"/>
  <c r="F65" i="1"/>
  <c r="BA131" i="1"/>
  <c r="BA26" i="1"/>
  <c r="Q26" i="1"/>
  <c r="F57" i="1"/>
  <c r="Q131" i="1"/>
  <c r="CD26" i="1"/>
  <c r="AU45" i="1"/>
  <c r="U26" i="1"/>
  <c r="F67" i="1"/>
  <c r="U131" i="1"/>
  <c r="P78" i="5"/>
  <c r="I114" i="5" s="1"/>
  <c r="I116" i="5" s="1"/>
  <c r="I117" i="5" s="1"/>
  <c r="K78" i="5"/>
  <c r="AK45" i="1"/>
  <c r="R77" i="5"/>
  <c r="W26" i="1"/>
  <c r="F69" i="1"/>
  <c r="W131" i="1"/>
  <c r="S45" i="1"/>
  <c r="AF26" i="1"/>
  <c r="V26" i="1"/>
  <c r="F68" i="1"/>
  <c r="V131" i="1"/>
  <c r="GN36" i="1"/>
  <c r="CB45" i="1" s="1"/>
  <c r="GM36" i="1"/>
  <c r="CA45" i="1" s="1"/>
  <c r="AB45" i="1"/>
  <c r="AL45" i="1"/>
  <c r="T77" i="5"/>
  <c r="T26" i="1"/>
  <c r="F66" i="1"/>
  <c r="T131" i="1"/>
  <c r="AC26" i="1"/>
  <c r="CE45" i="1"/>
  <c r="P45" i="1"/>
  <c r="CH45" i="1"/>
  <c r="CF45" i="1"/>
  <c r="F127" i="1"/>
  <c r="F128" i="1" s="1"/>
  <c r="F129" i="1" s="1"/>
  <c r="I166" i="5" l="1"/>
  <c r="I167" i="5" s="1"/>
  <c r="I168" i="5" s="1"/>
  <c r="CE26" i="1"/>
  <c r="AV45" i="1"/>
  <c r="CB26" i="1"/>
  <c r="AS45" i="1"/>
  <c r="W22" i="1"/>
  <c r="W169" i="1"/>
  <c r="F155" i="1"/>
  <c r="AK26" i="1"/>
  <c r="X45" i="1"/>
  <c r="Q22" i="1"/>
  <c r="F143" i="1"/>
  <c r="Q169" i="1"/>
  <c r="BA22" i="1"/>
  <c r="F151" i="1"/>
  <c r="BA169" i="1"/>
  <c r="R131" i="1"/>
  <c r="R26" i="1"/>
  <c r="F59" i="1"/>
  <c r="CH26" i="1"/>
  <c r="AY45" i="1"/>
  <c r="F152" i="1"/>
  <c r="T22" i="1"/>
  <c r="T169" i="1"/>
  <c r="Y45" i="1"/>
  <c r="AL26" i="1"/>
  <c r="V169" i="1"/>
  <c r="V22" i="1"/>
  <c r="F154" i="1"/>
  <c r="S26" i="1"/>
  <c r="F60" i="1"/>
  <c r="F74" i="1" s="1"/>
  <c r="S131" i="1"/>
  <c r="P26" i="1"/>
  <c r="F48" i="1"/>
  <c r="P131" i="1"/>
  <c r="AB26" i="1"/>
  <c r="O45" i="1"/>
  <c r="F64" i="1"/>
  <c r="AU131" i="1"/>
  <c r="AU26" i="1"/>
  <c r="U22" i="1"/>
  <c r="F153" i="1"/>
  <c r="U169" i="1"/>
  <c r="CA26" i="1"/>
  <c r="AR45" i="1"/>
  <c r="AW45" i="1"/>
  <c r="CF26" i="1"/>
  <c r="AW26" i="1" l="1"/>
  <c r="F51" i="1"/>
  <c r="AW131" i="1"/>
  <c r="F71" i="1"/>
  <c r="X131" i="1"/>
  <c r="X26" i="1"/>
  <c r="AR26" i="1"/>
  <c r="F73" i="1"/>
  <c r="AR131" i="1"/>
  <c r="O26" i="1"/>
  <c r="O131" i="1"/>
  <c r="F47" i="1"/>
  <c r="Y26" i="1"/>
  <c r="F72" i="1"/>
  <c r="F76" i="1" s="1"/>
  <c r="Y131" i="1"/>
  <c r="AY131" i="1"/>
  <c r="AY26" i="1"/>
  <c r="F53" i="1"/>
  <c r="R169" i="1"/>
  <c r="F145" i="1"/>
  <c r="R22" i="1"/>
  <c r="Q18" i="1"/>
  <c r="F181" i="1"/>
  <c r="AS26" i="1"/>
  <c r="F62" i="1"/>
  <c r="AS131" i="1"/>
  <c r="S169" i="1"/>
  <c r="S22" i="1"/>
  <c r="F146" i="1"/>
  <c r="T18" i="1"/>
  <c r="F190" i="1"/>
  <c r="F189" i="1"/>
  <c r="BA18" i="1"/>
  <c r="U18" i="1"/>
  <c r="F191" i="1"/>
  <c r="AU22" i="1"/>
  <c r="F150" i="1"/>
  <c r="H16" i="2" s="1"/>
  <c r="H18" i="2" s="1"/>
  <c r="AU169" i="1"/>
  <c r="P169" i="1"/>
  <c r="P22" i="1"/>
  <c r="F134" i="1"/>
  <c r="V18" i="1"/>
  <c r="F192" i="1"/>
  <c r="F75" i="1"/>
  <c r="F77" i="1"/>
  <c r="W18" i="1"/>
  <c r="F193" i="1"/>
  <c r="F50" i="1"/>
  <c r="AV131" i="1"/>
  <c r="AV26" i="1"/>
  <c r="P18" i="1" l="1"/>
  <c r="F172" i="1"/>
  <c r="S18" i="1"/>
  <c r="F184" i="1"/>
  <c r="R18" i="1"/>
  <c r="F183" i="1"/>
  <c r="F158" i="1"/>
  <c r="F162" i="1" s="1"/>
  <c r="Y22" i="1"/>
  <c r="Y169" i="1"/>
  <c r="O169" i="1"/>
  <c r="O22" i="1"/>
  <c r="F133" i="1"/>
  <c r="AW169" i="1"/>
  <c r="AW22" i="1"/>
  <c r="F137" i="1"/>
  <c r="F188" i="1"/>
  <c r="I24" i="5" s="1"/>
  <c r="AU18" i="1"/>
  <c r="F148" i="1"/>
  <c r="E16" i="2" s="1"/>
  <c r="AS169" i="1"/>
  <c r="AS22" i="1"/>
  <c r="F136" i="1"/>
  <c r="AV22" i="1"/>
  <c r="AV169" i="1"/>
  <c r="F160" i="1"/>
  <c r="J16" i="2"/>
  <c r="J18" i="2" s="1"/>
  <c r="AR22" i="1"/>
  <c r="F159" i="1"/>
  <c r="AR169" i="1"/>
  <c r="X169" i="1"/>
  <c r="X22" i="1"/>
  <c r="F157" i="1"/>
  <c r="F163" i="1"/>
  <c r="F161" i="1"/>
  <c r="F139" i="1"/>
  <c r="AY169" i="1"/>
  <c r="AY22" i="1"/>
  <c r="F78" i="1"/>
  <c r="F164" i="1" l="1"/>
  <c r="AY18" i="1"/>
  <c r="F177" i="1"/>
  <c r="F165" i="1"/>
  <c r="F166" i="1" s="1"/>
  <c r="F167" i="1" s="1"/>
  <c r="AV18" i="1"/>
  <c r="F174" i="1"/>
  <c r="AS18" i="1"/>
  <c r="F186" i="1"/>
  <c r="I21" i="5" s="1"/>
  <c r="E18" i="2"/>
  <c r="I16" i="2"/>
  <c r="I18" i="2" s="1"/>
  <c r="O18" i="1"/>
  <c r="F171" i="1"/>
  <c r="F199" i="1"/>
  <c r="F201" i="1"/>
  <c r="F79" i="1"/>
  <c r="F80" i="1" s="1"/>
  <c r="F81" i="1" s="1"/>
  <c r="F195" i="1"/>
  <c r="X18" i="1"/>
  <c r="AW18" i="1"/>
  <c r="F175" i="1"/>
  <c r="F196" i="1"/>
  <c r="F200" i="1" s="1"/>
  <c r="Y18" i="1"/>
  <c r="F197" i="1"/>
  <c r="AR18" i="1"/>
  <c r="F198" i="1"/>
  <c r="I25" i="5"/>
  <c r="F202" i="1" l="1"/>
  <c r="F203" i="1" s="1"/>
  <c r="F204" i="1" s="1"/>
  <c r="F205" i="1" s="1"/>
  <c r="I169" i="5" s="1"/>
  <c r="N169" i="5" s="1"/>
  <c r="AM151" i="5" l="1"/>
  <c r="AM104" i="5"/>
  <c r="AM91" i="5"/>
  <c r="I20" i="5"/>
</calcChain>
</file>

<file path=xl/sharedStrings.xml><?xml version="1.0" encoding="utf-8"?>
<sst xmlns="http://schemas.openxmlformats.org/spreadsheetml/2006/main" count="2270" uniqueCount="366">
  <si>
    <t>Smeta.RU  (495) 974-1589</t>
  </si>
  <si>
    <t>_PS_</t>
  </si>
  <si>
    <t>Smeta.RU</t>
  </si>
  <si>
    <t/>
  </si>
  <si>
    <t>Ремонт асфальтобетонных покрытий дворовой территории района Кузьминки ЮВАО г. Москвы по адресу: Волгоградский проспект 94 к.1, 96 к.1</t>
  </si>
  <si>
    <t>А.Р. Альбова</t>
  </si>
  <si>
    <t>Инженер-сметчик</t>
  </si>
  <si>
    <t>Д.Р. Мусиков</t>
  </si>
  <si>
    <t>Руководитель</t>
  </si>
  <si>
    <t>ГБУ "Жилищник района Кузьминки"</t>
  </si>
  <si>
    <t>О.В. Пундель</t>
  </si>
  <si>
    <t>Глава</t>
  </si>
  <si>
    <t>Управа района Кузьминки</t>
  </si>
  <si>
    <t>Сметные нормы списания</t>
  </si>
  <si>
    <t>Коды ОКП для СН-2012 - 2021 г.</t>
  </si>
  <si>
    <t>СН-2012 - 2021 г_глава_1-5,7</t>
  </si>
  <si>
    <t>Типовой расчет для СН-2012 - 2021 г</t>
  </si>
  <si>
    <t>СН-2012-2021 г. База данных "Сборник стоимостных нормативов"</t>
  </si>
  <si>
    <t>Поправки для СН-2012-2021 в ценах на 01.10.2020 г И3</t>
  </si>
  <si>
    <t>Новая локальная смета</t>
  </si>
  <si>
    <t>Новый раздел</t>
  </si>
  <si>
    <t>Ремонт асфальтобетонного покрытия пешеходных дорожек</t>
  </si>
  <si>
    <t>1</t>
  </si>
  <si>
    <t>кв.м.</t>
  </si>
  <si>
    <t>СН-2012</t>
  </si>
  <si>
    <t>Подрядные работы, гл. 1-5,7</t>
  </si>
  <si>
    <t>работа</t>
  </si>
  <si>
    <t>2</t>
  </si>
  <si>
    <t>Бортовой камень</t>
  </si>
  <si>
    <t>ПОГ.М.</t>
  </si>
  <si>
    <t>3</t>
  </si>
  <si>
    <t>2.1-3104-1-4/1</t>
  </si>
  <si>
    <t>Разборка покрытий и оснований асфальтобетонных</t>
  </si>
  <si>
    <t>100 м3</t>
  </si>
  <si>
    <t>СН-2012-2021.2. База. Сб.1-3104-1-4/1</t>
  </si>
  <si>
    <t>4</t>
  </si>
  <si>
    <t>2.1-3104-4-1/1</t>
  </si>
  <si>
    <t>Разборка тротуаров и дорожек из плит с отноской и укладкой в штабель</t>
  </si>
  <si>
    <t>100 м2</t>
  </si>
  <si>
    <t>СН-2012-2021.2. База. Сб.1-3104-4-1/1</t>
  </si>
  <si>
    <t>5</t>
  </si>
  <si>
    <t>2.1-3204-6-1/1</t>
  </si>
  <si>
    <t>Разборка бортовых камней на бетонном основании</t>
  </si>
  <si>
    <t>100 м</t>
  </si>
  <si>
    <t>СН-2012-2021.2. База. Сб.1-3204-6-1/1</t>
  </si>
  <si>
    <t>6</t>
  </si>
  <si>
    <t>1.49-9101-7-1/1</t>
  </si>
  <si>
    <t>Механизированная погрузка строительного мусора в автомобили-самосвалы</t>
  </si>
  <si>
    <t>т</t>
  </si>
  <si>
    <t>СН-2012-2021.1. База. Сб.49-9101-7-1/1</t>
  </si>
  <si>
    <t>7</t>
  </si>
  <si>
    <t>1.49-9201-1-2/1</t>
  </si>
  <si>
    <t>Перевозка строительного мусора автосамосвалами грузоподъемностью до 10 т на расстояние 1 км - при механизированной погрузке</t>
  </si>
  <si>
    <t>СН-2012-2021.1. База. Сб.49-9201-1-2/1</t>
  </si>
  <si>
    <t>Подрядные работы, гл. 1 перевозка мусора</t>
  </si>
  <si>
    <t>8</t>
  </si>
  <si>
    <t>1.49-9201-1-3/1</t>
  </si>
  <si>
    <t>Перевозка строительного мусора автосамосвалами грузоподъемностью до 10 т - добавляется на каждый последующий 1 км до 100 км</t>
  </si>
  <si>
    <t>СН-2012-2021.1. База. Сб.49-9201-1-3/1</t>
  </si>
  <si>
    <t>*52</t>
  </si>
  <si>
    <t>9</t>
  </si>
  <si>
    <t>Цена по экспертному заключению №0097-6-1-2-110221)</t>
  </si>
  <si>
    <t>Стоимость приемки отходов строительства и сноса</t>
  </si>
  <si>
    <t>[180,73 / 1,2]</t>
  </si>
  <si>
    <t>10</t>
  </si>
  <si>
    <t>2.1-3303-1-2/1</t>
  </si>
  <si>
    <t>Устройство подстилающих и выравнивающих слоев оснований из щебня</t>
  </si>
  <si>
    <t>СН-2012-2021.2. База. Сб.1-3303-1-2/1</t>
  </si>
  <si>
    <t>11</t>
  </si>
  <si>
    <t>2.1-3103-19-4/1</t>
  </si>
  <si>
    <t>Устройство асфальтобетонных покрытий дорожек и тротуаров двухслойных, верхний слой из песчаной асфальтобетонной смеси толщиной 3 см (толщиной 5см)</t>
  </si>
  <si>
    <t>СН-2012-2021.2. База. Сб.1-3103-19-4/1</t>
  </si>
  <si>
    <t>11,1</t>
  </si>
  <si>
    <t>21.3-3-34</t>
  </si>
  <si>
    <t>Смеси асфальтобетонные дорожные горячие песчаные, тип Д, марка III</t>
  </si>
  <si>
    <t>СН-2012-2021.21. База. Р.3, о.3, поз.34</t>
  </si>
  <si>
    <t>11,2</t>
  </si>
  <si>
    <t>12</t>
  </si>
  <si>
    <t>2.1-3203-1-2/1</t>
  </si>
  <si>
    <t>Установка бортовых камней бетонных марки БР 100.30.15 при других видах покрытий</t>
  </si>
  <si>
    <t>СН-2012-2021.2. Доп.2. Сб.1-3203-1-2/1</t>
  </si>
  <si>
    <t>12,1</t>
  </si>
  <si>
    <t>21.5-3-13</t>
  </si>
  <si>
    <t>Камни бетонные бортовые, марка БР 100.30.15</t>
  </si>
  <si>
    <t>м3</t>
  </si>
  <si>
    <t>СН-2012-2021.21. Доп.2. Р.5, о.3, поз.13</t>
  </si>
  <si>
    <t>12,2</t>
  </si>
  <si>
    <t>Цена за единицу в соответствии с экспертным заключением       № 0307-5-1-1-190220 от 19.02.2020</t>
  </si>
  <si>
    <t>Бортовой камень марки БР 100.30.15</t>
  </si>
  <si>
    <t>м</t>
  </si>
  <si>
    <t>[447,12 / 1,2]</t>
  </si>
  <si>
    <t>ПЗ</t>
  </si>
  <si>
    <t>Прямые затраты</t>
  </si>
  <si>
    <t>СтМатОб</t>
  </si>
  <si>
    <t>Стоимость материальных ресурсов (всего)</t>
  </si>
  <si>
    <t>СтМатОбЗак</t>
  </si>
  <si>
    <t>Стоимость материалов и оборудования заказчика</t>
  </si>
  <si>
    <t>СтМатОбПод</t>
  </si>
  <si>
    <t>Стоимость материалов и оборудования подрядчика</t>
  </si>
  <si>
    <t>СтМат</t>
  </si>
  <si>
    <t>Стоимость материалов (всего)</t>
  </si>
  <si>
    <t>СтМатЗак</t>
  </si>
  <si>
    <t>Стоимость материалов заказчика</t>
  </si>
  <si>
    <t>СтМатПод</t>
  </si>
  <si>
    <t>Стоимость материалов подрядчика</t>
  </si>
  <si>
    <t>Оборуд</t>
  </si>
  <si>
    <t>Стоимость оборудования (всего)</t>
  </si>
  <si>
    <t>ОборудЗак</t>
  </si>
  <si>
    <t>Стоимость оборудования заказчика</t>
  </si>
  <si>
    <t>ОборудПод</t>
  </si>
  <si>
    <t>Стоимость оборудования подрядчика</t>
  </si>
  <si>
    <t>ЭММ</t>
  </si>
  <si>
    <t>Эксплуатация машин</t>
  </si>
  <si>
    <t>ЭММсНРиСП</t>
  </si>
  <si>
    <t>Эксплуатация машин по ТСН-2001.16</t>
  </si>
  <si>
    <t>ЗПМ</t>
  </si>
  <si>
    <t>ЗП машинистов</t>
  </si>
  <si>
    <t>ОЗП</t>
  </si>
  <si>
    <t>Основная ЗП рабочих</t>
  </si>
  <si>
    <t>ОЗПсНРиСП</t>
  </si>
  <si>
    <t>Основная ЗП рабочих по ТСН-2001.16</t>
  </si>
  <si>
    <t>Строит</t>
  </si>
  <si>
    <t>Строительные работы с НР и СП</t>
  </si>
  <si>
    <t>Монтаж</t>
  </si>
  <si>
    <t>Монтажные работы с НР и СП</t>
  </si>
  <si>
    <t>Прочие</t>
  </si>
  <si>
    <t>Прочие работы с НР и СП</t>
  </si>
  <si>
    <t>ПрочиеЗатр</t>
  </si>
  <si>
    <t>Прочие затраты по ТСН-2001.16</t>
  </si>
  <si>
    <t>ВозврМат</t>
  </si>
  <si>
    <t>Возврат материалов</t>
  </si>
  <si>
    <t>ТрудСтр</t>
  </si>
  <si>
    <t>Трудозатраты строителей</t>
  </si>
  <si>
    <t>ТрудМаш</t>
  </si>
  <si>
    <t>Трудозатраты машинистов</t>
  </si>
  <si>
    <t>ТранспМат</t>
  </si>
  <si>
    <t>Транспорт материалов</t>
  </si>
  <si>
    <t>Перевозка</t>
  </si>
  <si>
    <t>Перевозка грузов</t>
  </si>
  <si>
    <t>НР</t>
  </si>
  <si>
    <t>Накладные расходы</t>
  </si>
  <si>
    <t>СмПриб</t>
  </si>
  <si>
    <t>Сметная прибыль</t>
  </si>
  <si>
    <t>Всего</t>
  </si>
  <si>
    <t>Всего с НР и СП</t>
  </si>
  <si>
    <t>Зарплата основных рабочих ЗП по смете</t>
  </si>
  <si>
    <t>Зарплата машинистов ЗПМ по смете</t>
  </si>
  <si>
    <t>СП от ЗП</t>
  </si>
  <si>
    <t>СП от ЗПМ</t>
  </si>
  <si>
    <t>Итого без СП и ЗП, ЗПМ</t>
  </si>
  <si>
    <t>НДС 20%</t>
  </si>
  <si>
    <t>Итого с НДС</t>
  </si>
  <si>
    <t>Итого с ЗП,ЗПМ</t>
  </si>
  <si>
    <t>Ремонт газонов</t>
  </si>
  <si>
    <t>13</t>
  </si>
  <si>
    <t>14</t>
  </si>
  <si>
    <t>5.4-3203-3-3/1</t>
  </si>
  <si>
    <t>Подготовка почвы для устройства партерного и обыкновенного газонов с внесением растительной земли слоем 15 см механизированным способом</t>
  </si>
  <si>
    <t>СН-2012-2021.5. База. Сб.4-3203-3-3/1</t>
  </si>
  <si>
    <t>15</t>
  </si>
  <si>
    <t>5.4-3203-3-4/1</t>
  </si>
  <si>
    <t>Подготовка почвы для устройства партерного и обыкновенного газонов с внесением растительной земли слоем 15 см вручную</t>
  </si>
  <si>
    <t>СН-2012-2021.5. База. Сб.4-3203-3-4/1</t>
  </si>
  <si>
    <t>16</t>
  </si>
  <si>
    <t>5.4-3203-3-5/1</t>
  </si>
  <si>
    <t>Подготовка почвы для устройства партерного и обыкновенного газонов на каждые 5 см изменения толщины слоя добавлять или исключать</t>
  </si>
  <si>
    <t>СН-2012-2021.5. База. Сб.4-3203-3-5/1</t>
  </si>
  <si>
    <t>17</t>
  </si>
  <si>
    <t>5.4-3203-3-6/1</t>
  </si>
  <si>
    <t>Посев газонов партерных, мавританских, и обыкновенных вручную</t>
  </si>
  <si>
    <t>СН-2012-2021.5. База. Сб.4-3203-3-6/1</t>
  </si>
  <si>
    <t>Уровень цен на 01.10.2020 г</t>
  </si>
  <si>
    <t>_OBSM_</t>
  </si>
  <si>
    <t>9999990008</t>
  </si>
  <si>
    <t>Трудозатраты рабочих</t>
  </si>
  <si>
    <t>чел.-ч.</t>
  </si>
  <si>
    <t>22.1-10-5</t>
  </si>
  <si>
    <t>СН-2012-2021.22. База. п.1-10-5 (101002)</t>
  </si>
  <si>
    <t>Компрессоры с дизельным двигателем прицепные до 5 м3/мин</t>
  </si>
  <si>
    <t>маш.-ч</t>
  </si>
  <si>
    <t>22.1-30-54</t>
  </si>
  <si>
    <t>СН-2012-2021.22. База. п.1-30-54 (308901)</t>
  </si>
  <si>
    <t>Молотки отбойные</t>
  </si>
  <si>
    <t>22.1-5-48</t>
  </si>
  <si>
    <t>СН-2012-2021.22. База. п.1-5-48 (056003)</t>
  </si>
  <si>
    <t>Автогрейдеры, мощность 99-147 кВт (130-200 л.с.)</t>
  </si>
  <si>
    <t>22.1-1-5</t>
  </si>
  <si>
    <t>СН-2012-2021.22. База. п.1-1-5 (010109)</t>
  </si>
  <si>
    <t>Экскаваторы на гусеничном ходу гидравлические, объем ковша до 0,65 м3</t>
  </si>
  <si>
    <t>22.1-18-12</t>
  </si>
  <si>
    <t>СН-2012-2021.22. База. п.1-18-12 (184001)</t>
  </si>
  <si>
    <t>Автомобили-самосвалы, грузоподъемность до 7 т</t>
  </si>
  <si>
    <t>22.1-18-13</t>
  </si>
  <si>
    <t>СН-2012-2021.22. База. п.1-18-13 (184002)</t>
  </si>
  <si>
    <t>Автомобили-самосвалы, грузоподъемность до 10 т</t>
  </si>
  <si>
    <t>22.1-1-43</t>
  </si>
  <si>
    <t>СН-2012-2021.22. База. п.1-1-43 (012102)</t>
  </si>
  <si>
    <t>Бульдозеры гусеничные, мощность до 59 кВт (80 л.с.)</t>
  </si>
  <si>
    <t>22.1-5-18</t>
  </si>
  <si>
    <t>СН-2012-2021.22. База. п.1-5-18 (050902)</t>
  </si>
  <si>
    <t>Поливомоечные машины, емкость цистерны более 5000 л</t>
  </si>
  <si>
    <t>22.1-5-2</t>
  </si>
  <si>
    <t>СН-2012-2021.22. База. п.1-5-2 (050102)</t>
  </si>
  <si>
    <t>Катки самоходные вибрационные, масса до 8 т</t>
  </si>
  <si>
    <t>22.1-5-3</t>
  </si>
  <si>
    <t>СН-2012-2021.22. База. п.1-5-3 (050103)</t>
  </si>
  <si>
    <t>Катки самоходные вибрационные, масса более 8 т</t>
  </si>
  <si>
    <t>22.1-5-7</t>
  </si>
  <si>
    <t>СН-2012-2021.22. База. п.1-5-7 (050301)</t>
  </si>
  <si>
    <t>Катки дорожные самоходные на пневмоколесном ходу, масса до 16 т</t>
  </si>
  <si>
    <t>21.1-12-36</t>
  </si>
  <si>
    <t>СН-2012-2021.21. База. Р.1, о.12, поз.36</t>
  </si>
  <si>
    <t>Щебень из естественного камня для строительных работ, марка 1200-800, фракция 20-40 мм</t>
  </si>
  <si>
    <t>21.1-25-13</t>
  </si>
  <si>
    <t>СН-2012-2021.21. База. Р.1, о.25, поз.13</t>
  </si>
  <si>
    <t>Вода</t>
  </si>
  <si>
    <t>21.1-1-3</t>
  </si>
  <si>
    <t>СН-2012-2021.21. База. Р.1, о.1, поз.3</t>
  </si>
  <si>
    <t>Битумы нефтяные, дорожные жидкие, марка МГ, СГ</t>
  </si>
  <si>
    <t>21.3-1-69</t>
  </si>
  <si>
    <t>СН-2012-2021.21. Доп.2. Р.3, о.1, поз.69</t>
  </si>
  <si>
    <t>Смеси бетонные, БСГ, тяжелого бетона на гранитном щебне, класс прочности: В15 (М200); П3, фракция 5-20, F50-100, W0-2</t>
  </si>
  <si>
    <t>21.3-2-15</t>
  </si>
  <si>
    <t>СН-2012-2021.21. Доп.2. Р.3, о.2, поз.15</t>
  </si>
  <si>
    <t>Растворы цементные, марка 100</t>
  </si>
  <si>
    <t>22.1-17-39</t>
  </si>
  <si>
    <t>СН-2012-2021.22. База. п.1-17-39 (176001)</t>
  </si>
  <si>
    <t>Плуги выкопочные (без трактора)</t>
  </si>
  <si>
    <t>22.1-2-7</t>
  </si>
  <si>
    <t>СН-2012-2021.22. База. п.1-2-7 (021003)</t>
  </si>
  <si>
    <t>Тракторы на пневмоколесном ходу, мощность до 60 (81) кВт (л.с.)</t>
  </si>
  <si>
    <t>21.4-6-5</t>
  </si>
  <si>
    <t>СН-2012-2021.21. База. Р.4, о.6, поз.5</t>
  </si>
  <si>
    <t>Земля растительная</t>
  </si>
  <si>
    <t>21.4-6-11</t>
  </si>
  <si>
    <t>СН-2012-2021.21. База. Р.4, о.6, поз.11</t>
  </si>
  <si>
    <t>Семена (смесь универсальная) газонных трав</t>
  </si>
  <si>
    <t>кг</t>
  </si>
  <si>
    <t>"СОГЛАСОВАНО"</t>
  </si>
  <si>
    <t>"УТВЕРЖДАЮ"</t>
  </si>
  <si>
    <t>Форма № 1а (глава 1-5)</t>
  </si>
  <si>
    <t>Глава Управа района Кузьминки</t>
  </si>
  <si>
    <t>"_____"________________ 2021 г.</t>
  </si>
  <si>
    <t>Руководитель ГБУ "Жилищник района Кузьминки"</t>
  </si>
  <si>
    <t>(локальный сметный расчет)</t>
  </si>
  <si>
    <t>(наименование работ и затрат, наименование объекта)</t>
  </si>
  <si>
    <t>Сметная стоимость</t>
  </si>
  <si>
    <t>тыс.руб</t>
  </si>
  <si>
    <t>Строительные работы</t>
  </si>
  <si>
    <t>Монтажные работы</t>
  </si>
  <si>
    <t>Оборудование</t>
  </si>
  <si>
    <t>Прочие работы</t>
  </si>
  <si>
    <t>Средства на оплату труда</t>
  </si>
  <si>
    <t>№№ п/п</t>
  </si>
  <si>
    <t>Шифр расценки и коды ресурсов</t>
  </si>
  <si>
    <t>Наименование работ и затрат</t>
  </si>
  <si>
    <t>Единица измерения</t>
  </si>
  <si>
    <t>Кол-во единиц</t>
  </si>
  <si>
    <t>Цена на ед. изм. руб.</t>
  </si>
  <si>
    <t>Попра-вочные коэфф.</t>
  </si>
  <si>
    <t>Коэфф. зимних удоро-жаний</t>
  </si>
  <si>
    <t>Коэфф. пересчета</t>
  </si>
  <si>
    <t>ВСЕГО затрат, руб.</t>
  </si>
  <si>
    <t>Справочно</t>
  </si>
  <si>
    <t>ЗТР, всего чел.-час</t>
  </si>
  <si>
    <t>Ст-ть ед. с начислен.</t>
  </si>
  <si>
    <t>Составлен(а) в уровне текущих (прогнозных) цен октябрь 2020 года</t>
  </si>
  <si>
    <t>ЗП</t>
  </si>
  <si>
    <t>ЭМ</t>
  </si>
  <si>
    <t>в т.ч. ЗПМ</t>
  </si>
  <si>
    <t>НР от ЗП</t>
  </si>
  <si>
    <t>%</t>
  </si>
  <si>
    <t>НР и СП от ЗПМ</t>
  </si>
  <si>
    <t>ЗТР</t>
  </si>
  <si>
    <t>чел-ч</t>
  </si>
  <si>
    <r>
      <t>Стоимость приемки отходов строительства и сноса</t>
    </r>
    <r>
      <rPr>
        <i/>
        <sz val="10"/>
        <rFont val="Arial"/>
        <family val="2"/>
        <charset val="204"/>
      </rPr>
      <t xml:space="preserve">
Базисная стоимость: 150,61 = [180,73 / 1,2]</t>
    </r>
  </si>
  <si>
    <t>МР</t>
  </si>
  <si>
    <r>
      <t>Бортовой камень марки БР 100.30.15</t>
    </r>
    <r>
      <rPr>
        <i/>
        <sz val="10"/>
        <rFont val="Arial"/>
        <family val="2"/>
        <charset val="204"/>
      </rPr>
      <t xml:space="preserve">
Базисная стоимость: 372,60 = [447,12 / 1,2]</t>
    </r>
  </si>
  <si>
    <t xml:space="preserve">Составил   </t>
  </si>
  <si>
    <t>[должность,подпись(инициалы,фамилия)]</t>
  </si>
  <si>
    <t xml:space="preserve">Проверил   </t>
  </si>
  <si>
    <t>TYPE</t>
  </si>
  <si>
    <t>SOURCE_LINK</t>
  </si>
  <si>
    <t>RABMAT_EX</t>
  </si>
  <si>
    <t>TIP_RAB</t>
  </si>
  <si>
    <t>TYPE_TRUD</t>
  </si>
  <si>
    <t>TAB</t>
  </si>
  <si>
    <t>NAME</t>
  </si>
  <si>
    <t>EDIZM</t>
  </si>
  <si>
    <t>KOLL</t>
  </si>
  <si>
    <t>UCH</t>
  </si>
  <si>
    <t>PRICE_B</t>
  </si>
  <si>
    <t>PRICE_ED</t>
  </si>
  <si>
    <t>STOIM_B</t>
  </si>
  <si>
    <t>PRICE_C</t>
  </si>
  <si>
    <t>STOIM_C</t>
  </si>
  <si>
    <t>ZPM_B</t>
  </si>
  <si>
    <t>ZPM_ED</t>
  </si>
  <si>
    <t>STOIM_ZPM_B</t>
  </si>
  <si>
    <t>ZPM_C</t>
  </si>
  <si>
    <t>STOIM_ZPM_C</t>
  </si>
  <si>
    <t>CRC_GR_RES</t>
  </si>
  <si>
    <t>CRC_B</t>
  </si>
  <si>
    <t>CRC_C</t>
  </si>
  <si>
    <t>RABMAT</t>
  </si>
  <si>
    <t>BuildingFinished</t>
  </si>
  <si>
    <t>Trud</t>
  </si>
  <si>
    <t>Mash</t>
  </si>
  <si>
    <t>Mat</t>
  </si>
  <si>
    <t>MatZak</t>
  </si>
  <si>
    <t>Oborud</t>
  </si>
  <si>
    <t>OborudZak</t>
  </si>
  <si>
    <t>ZeroStoim</t>
  </si>
  <si>
    <t>NegativeKoll</t>
  </si>
  <si>
    <t>ReUnionKollResurcy</t>
  </si>
  <si>
    <t>UnionOneUchRes</t>
  </si>
  <si>
    <t>IdLevel</t>
  </si>
  <si>
    <t>Ресурсная ведомость на</t>
  </si>
  <si>
    <t>Объект: Ремонт асфальтобетонных покрытий дворовой территории района Кузьминки ЮВАО г. Москвы по адресу: Волгоградский проспект 94 к.1, 96 к.1</t>
  </si>
  <si>
    <t>Обоснование</t>
  </si>
  <si>
    <t>Наименование</t>
  </si>
  <si>
    <t>Объем</t>
  </si>
  <si>
    <t>Базовая</t>
  </si>
  <si>
    <t>цена</t>
  </si>
  <si>
    <t>стоимость</t>
  </si>
  <si>
    <t xml:space="preserve">Машины и механизмы </t>
  </si>
  <si>
    <t xml:space="preserve">Итого машины и механизмы </t>
  </si>
  <si>
    <t xml:space="preserve">Материальные ресурсы </t>
  </si>
  <si>
    <t xml:space="preserve">Итого материальные ресурсы </t>
  </si>
  <si>
    <t xml:space="preserve">Итого с Кфин. Обеспечености </t>
  </si>
  <si>
    <t>Устройство дорожно-тропиночной сети на дворовых территориях района Кузьминки по адресам: Волгоградский проспект д. 94 к.1, 96 к.1 в 2021 году (среди СМП)</t>
  </si>
  <si>
    <t>применительная</t>
  </si>
  <si>
    <t>Адрес:</t>
  </si>
  <si>
    <t>Волгоградский проспект д. 94 к.1, 96 к.1</t>
  </si>
  <si>
    <t>Раздел</t>
  </si>
  <si>
    <t>СПГЗ</t>
  </si>
  <si>
    <t>нет шифра, доп.информация</t>
  </si>
  <si>
    <r>
      <t>вспомогательные работы</t>
    </r>
    <r>
      <rPr>
        <sz val="10"/>
        <color rgb="FFFF0000"/>
        <rFont val="Arial"/>
        <family val="2"/>
        <charset val="204"/>
      </rPr>
      <t xml:space="preserve"> асфальт</t>
    </r>
  </si>
  <si>
    <r>
      <t xml:space="preserve">вспомогательные работы </t>
    </r>
    <r>
      <rPr>
        <sz val="10"/>
        <color rgb="FFFF0000"/>
        <rFont val="Arial"/>
        <family val="2"/>
        <charset val="204"/>
      </rPr>
      <t>асфальт</t>
    </r>
  </si>
  <si>
    <t>тропиночн, устройство</t>
  </si>
  <si>
    <t xml:space="preserve"> +Ключевые слова на смету</t>
  </si>
  <si>
    <t>ключевые слова ремонт, асфальт+тропиночн из названия сметы</t>
  </si>
  <si>
    <t>вспомогательные работы, нет четкого распрееления, до 1 найденой СПГЗ</t>
  </si>
  <si>
    <r>
      <t xml:space="preserve">вспомогательные работы </t>
    </r>
    <r>
      <rPr>
        <sz val="10"/>
        <color rgb="FFFF0000"/>
        <rFont val="Arial"/>
        <family val="2"/>
        <charset val="204"/>
      </rPr>
      <t>бортовой камень, разборка. Если есть разборка, то дальше будет установка или устройство. Они объединяются</t>
    </r>
  </si>
  <si>
    <t>Устройство дорожно-тропиночной сети из асфальтобетонного покрытия в рамках благоустройства территории</t>
  </si>
  <si>
    <t>м2</t>
  </si>
  <si>
    <t>Кол-во</t>
  </si>
  <si>
    <t>ед.изм</t>
  </si>
  <si>
    <t>сумма</t>
  </si>
  <si>
    <t>Адрес</t>
  </si>
  <si>
    <t>Комментарий</t>
  </si>
  <si>
    <t>Красным, т.к. стоимостные покаатели отличны от СН-2012, требует обратить внимание после преобразования</t>
  </si>
  <si>
    <t>зеленым, т.к. однозначное определение СПГЗ</t>
  </si>
  <si>
    <t>Раздел, ключевые слова ремонт и газон</t>
  </si>
  <si>
    <t>Ремонт газона в рамках благоустройства территории</t>
  </si>
  <si>
    <t>конец раздела</t>
  </si>
  <si>
    <t>конец сметы</t>
  </si>
  <si>
    <t>Пересчет суммы</t>
  </si>
  <si>
    <t>Устройство бортового камня в рамках благоустройства территории</t>
  </si>
  <si>
    <t>нет, т.к. сумма 0</t>
  </si>
  <si>
    <t>Пересчет суммы после окончания сметы</t>
  </si>
  <si>
    <t>ID сметы</t>
  </si>
  <si>
    <t>№ строки в смете</t>
  </si>
  <si>
    <t>Наименование работ сметы</t>
  </si>
  <si>
    <t>Наименование раздела</t>
  </si>
  <si>
    <t>Характеристики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</si>
</sst>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"/>
    <numFmt numFmtId="165" formatCode="#,##0.00####;[Red]\-\ #,##0.00####"/>
    <numFmt numFmtId="166" formatCode="#,##0.00;[Red]\-\ #,##0.00"/>
    <numFmt numFmtId="167" formatCode="#,##0.00_ ;[Red]\-#,##0.00\ "/>
  </numFmts>
  <fonts count="24" x14ac:knownFonts="1">
    <font>
      <sz val="10"/>
      <name val="Arial"/>
      <charset val="204"/>
    </font>
    <font>
      <b/>
      <sz val="10"/>
      <color indexed="12"/>
      <name val="Arial"/>
      <family val="2"/>
      <charset val="204"/>
    </font>
    <font>
      <b/>
      <sz val="10"/>
      <color indexed="16"/>
      <name val="Arial"/>
      <family val="2"/>
      <charset val="204"/>
    </font>
    <font>
      <b/>
      <sz val="10"/>
      <color indexed="20"/>
      <name val="Arial"/>
      <family val="2"/>
      <charset val="204"/>
    </font>
    <font>
      <b/>
      <sz val="10"/>
      <color indexed="17"/>
      <name val="Arial"/>
      <family val="2"/>
      <charset val="204"/>
    </font>
    <font>
      <sz val="10"/>
      <color indexed="12"/>
      <name val="Arial"/>
      <family val="2"/>
      <charset val="204"/>
    </font>
    <font>
      <sz val="10"/>
      <color indexed="14"/>
      <name val="Arial"/>
      <family val="2"/>
      <charset val="204"/>
    </font>
    <font>
      <b/>
      <sz val="10"/>
      <color indexed="14"/>
      <name val="Arial"/>
      <family val="2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b/>
      <sz val="13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i/>
      <sz val="11"/>
      <name val="Arial"/>
      <family val="2"/>
      <charset val="204"/>
    </font>
    <font>
      <sz val="13"/>
      <name val="Arial"/>
      <family val="2"/>
      <charset val="204"/>
    </font>
    <font>
      <b/>
      <sz val="11"/>
      <name val="Arial"/>
      <family val="2"/>
      <charset val="204"/>
    </font>
    <font>
      <i/>
      <sz val="10"/>
      <name val="Arial"/>
      <family val="2"/>
      <charset val="204"/>
    </font>
    <font>
      <sz val="11"/>
      <color rgb="FFFF0000"/>
      <name val="Arial"/>
      <family val="2"/>
      <charset val="204"/>
    </font>
    <font>
      <i/>
      <sz val="11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C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Border="1" applyAlignment="1">
      <alignment wrapText="1"/>
    </xf>
    <xf numFmtId="164" fontId="10" fillId="0" borderId="0" xfId="0" applyNumberFormat="1" applyFont="1"/>
    <xf numFmtId="1" fontId="10" fillId="0" borderId="0" xfId="0" applyNumberFormat="1" applyFont="1"/>
    <xf numFmtId="0" fontId="15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5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166" fontId="0" fillId="0" borderId="0" xfId="0" applyNumberFormat="1"/>
    <xf numFmtId="0" fontId="0" fillId="0" borderId="6" xfId="0" applyBorder="1"/>
    <xf numFmtId="166" fontId="17" fillId="0" borderId="6" xfId="0" applyNumberFormat="1" applyFont="1" applyBorder="1" applyAlignment="1">
      <alignment horizontal="right"/>
    </xf>
    <xf numFmtId="0" fontId="8" fillId="0" borderId="0" xfId="0" applyFont="1" applyAlignment="1">
      <alignment wrapText="1"/>
    </xf>
    <xf numFmtId="166" fontId="15" fillId="0" borderId="0" xfId="0" applyNumberFormat="1" applyFont="1" applyAlignment="1">
      <alignment horizontal="right"/>
    </xf>
    <xf numFmtId="0" fontId="10" fillId="0" borderId="0" xfId="0" quotePrefix="1" applyFont="1" applyAlignment="1">
      <alignment horizontal="right" wrapText="1"/>
    </xf>
    <xf numFmtId="0" fontId="17" fillId="0" borderId="0" xfId="0" applyFont="1"/>
    <xf numFmtId="0" fontId="17" fillId="0" borderId="0" xfId="0" applyFont="1" applyAlignment="1">
      <alignment horizontal="left" wrapText="1"/>
    </xf>
    <xf numFmtId="0" fontId="10" fillId="0" borderId="1" xfId="0" applyFont="1" applyBorder="1"/>
    <xf numFmtId="0" fontId="11" fillId="0" borderId="3" xfId="0" quotePrefix="1" applyFont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left" vertical="top" wrapText="1"/>
    </xf>
    <xf numFmtId="0" fontId="10" fillId="0" borderId="3" xfId="0" applyFont="1" applyBorder="1" applyAlignment="1">
      <alignment horizontal="left" wrapText="1"/>
    </xf>
    <xf numFmtId="0" fontId="10" fillId="0" borderId="3" xfId="0" applyFont="1" applyBorder="1" applyAlignment="1">
      <alignment horizontal="right" wrapText="1"/>
    </xf>
    <xf numFmtId="166" fontId="10" fillId="0" borderId="3" xfId="0" applyNumberFormat="1" applyFont="1" applyBorder="1" applyAlignment="1">
      <alignment horizontal="right" wrapText="1"/>
    </xf>
    <xf numFmtId="167" fontId="0" fillId="0" borderId="0" xfId="0" applyNumberFormat="1"/>
    <xf numFmtId="0" fontId="8" fillId="0" borderId="0" xfId="0" applyFont="1"/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horizontal="right" wrapText="1"/>
    </xf>
    <xf numFmtId="0" fontId="19" fillId="0" borderId="0" xfId="0" applyFont="1" applyAlignment="1">
      <alignment horizontal="right"/>
    </xf>
    <xf numFmtId="0" fontId="10" fillId="5" borderId="0" xfId="0" applyFont="1" applyFill="1" applyAlignment="1">
      <alignment horizontal="left" vertical="top"/>
    </xf>
    <xf numFmtId="0" fontId="10" fillId="5" borderId="0" xfId="0" applyFont="1" applyFill="1" applyAlignment="1">
      <alignment horizontal="left" vertical="top" wrapText="1"/>
    </xf>
    <xf numFmtId="0" fontId="15" fillId="5" borderId="0" xfId="0" applyFont="1" applyFill="1" applyAlignment="1">
      <alignment horizontal="right" wrapText="1"/>
    </xf>
    <xf numFmtId="0" fontId="10" fillId="5" borderId="0" xfId="0" applyFont="1" applyFill="1" applyAlignment="1">
      <alignment horizontal="right"/>
    </xf>
    <xf numFmtId="165" fontId="10" fillId="5" borderId="0" xfId="0" applyNumberFormat="1" applyFont="1" applyFill="1" applyAlignment="1">
      <alignment horizontal="right"/>
    </xf>
    <xf numFmtId="0" fontId="10" fillId="5" borderId="0" xfId="0" applyFont="1" applyFill="1" applyAlignment="1">
      <alignment horizontal="right" wrapText="1"/>
    </xf>
    <xf numFmtId="166" fontId="10" fillId="5" borderId="0" xfId="0" applyNumberFormat="1" applyFont="1" applyFill="1" applyAlignment="1">
      <alignment horizontal="right"/>
    </xf>
    <xf numFmtId="0" fontId="21" fillId="0" borderId="0" xfId="0" applyFont="1"/>
    <xf numFmtId="0" fontId="0" fillId="0" borderId="0" xfId="0" applyAlignment="1">
      <alignment wrapText="1"/>
    </xf>
    <xf numFmtId="0" fontId="22" fillId="0" borderId="0" xfId="0" applyFont="1" applyAlignment="1">
      <alignment horizontal="left" wrapText="1"/>
    </xf>
    <xf numFmtId="0" fontId="0" fillId="0" borderId="3" xfId="0" applyBorder="1"/>
    <xf numFmtId="0" fontId="8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8" fillId="7" borderId="0" xfId="0" applyFont="1" applyFill="1" applyAlignment="1">
      <alignment vertical="center" wrapText="1"/>
    </xf>
    <xf numFmtId="0" fontId="8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0" fillId="7" borderId="3" xfId="0" applyFont="1" applyFill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center"/>
    </xf>
    <xf numFmtId="166" fontId="17" fillId="3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166" fontId="17" fillId="4" borderId="3" xfId="0" applyNumberFormat="1" applyFont="1" applyFill="1" applyBorder="1" applyAlignment="1">
      <alignment vertical="center"/>
    </xf>
    <xf numFmtId="0" fontId="23" fillId="0" borderId="0" xfId="0" applyFont="1"/>
    <xf numFmtId="166" fontId="17" fillId="2" borderId="3" xfId="0" applyNumberFormat="1" applyFont="1" applyFill="1" applyBorder="1" applyAlignment="1"/>
    <xf numFmtId="166" fontId="17" fillId="2" borderId="3" xfId="0" applyNumberFormat="1" applyFont="1" applyFill="1" applyBorder="1" applyAlignment="1">
      <alignment vertical="center"/>
    </xf>
    <xf numFmtId="0" fontId="10" fillId="0" borderId="0" xfId="0" applyFont="1" applyAlignment="1">
      <alignment horizontal="left" wrapText="1"/>
    </xf>
    <xf numFmtId="166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/>
    </xf>
    <xf numFmtId="166" fontId="19" fillId="0" borderId="0" xfId="0" applyNumberFormat="1" applyFont="1" applyAlignment="1">
      <alignment horizontal="right"/>
    </xf>
    <xf numFmtId="166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left" wrapText="1"/>
    </xf>
    <xf numFmtId="166" fontId="17" fillId="0" borderId="6" xfId="0" applyNumberFormat="1" applyFont="1" applyBorder="1" applyAlignment="1">
      <alignment horizontal="right"/>
    </xf>
    <xf numFmtId="166" fontId="17" fillId="2" borderId="0" xfId="0" applyNumberFormat="1" applyFont="1" applyFill="1" applyAlignment="1">
      <alignment horizontal="right"/>
    </xf>
    <xf numFmtId="0" fontId="17" fillId="2" borderId="0" xfId="0" applyFont="1" applyFill="1" applyAlignment="1">
      <alignment horizontal="right"/>
    </xf>
    <xf numFmtId="0" fontId="11" fillId="0" borderId="0" xfId="0" applyFont="1" applyAlignment="1">
      <alignment horizontal="center" wrapText="1"/>
    </xf>
    <xf numFmtId="166" fontId="17" fillId="3" borderId="6" xfId="0" applyNumberFormat="1" applyFont="1" applyFill="1" applyBorder="1" applyAlignment="1">
      <alignment horizontal="right"/>
    </xf>
    <xf numFmtId="166" fontId="17" fillId="4" borderId="6" xfId="0" applyNumberFormat="1" applyFont="1" applyFill="1" applyBorder="1" applyAlignment="1">
      <alignment horizontal="right"/>
    </xf>
    <xf numFmtId="0" fontId="11" fillId="5" borderId="0" xfId="0" applyFont="1" applyFill="1" applyAlignment="1">
      <alignment horizontal="center"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0" fillId="0" borderId="0" xfId="0" applyAlignment="1"/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12" fillId="0" borderId="0" xfId="0" applyFont="1" applyAlignment="1">
      <alignment horizontal="left"/>
    </xf>
    <xf numFmtId="0" fontId="10" fillId="0" borderId="0" xfId="0" applyFont="1" applyBorder="1" applyAlignment="1">
      <alignment horizontal="left" wrapText="1"/>
    </xf>
    <xf numFmtId="0" fontId="17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right"/>
    </xf>
    <xf numFmtId="166" fontId="17" fillId="0" borderId="3" xfId="0" applyNumberFormat="1" applyFont="1" applyBorder="1" applyAlignment="1">
      <alignment horizontal="right"/>
    </xf>
    <xf numFmtId="0" fontId="11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167</xdr:row>
      <xdr:rowOff>57150</xdr:rowOff>
    </xdr:from>
    <xdr:to>
      <xdr:col>36</xdr:col>
      <xdr:colOff>295275</xdr:colOff>
      <xdr:row>169</xdr:row>
      <xdr:rowOff>95250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848975" y="39776400"/>
          <a:ext cx="3714750" cy="400050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ln>
              <a:solidFill>
                <a:srgbClr val="C00000"/>
              </a:solidFill>
            </a:ln>
            <a:noFill/>
          </a:endParaRPr>
        </a:p>
      </xdr:txBody>
    </xdr:sp>
    <xdr:clientData/>
  </xdr:twoCellAnchor>
  <xdr:twoCellAnchor>
    <xdr:from>
      <xdr:col>10</xdr:col>
      <xdr:colOff>180975</xdr:colOff>
      <xdr:row>168</xdr:row>
      <xdr:rowOff>76200</xdr:rowOff>
    </xdr:from>
    <xdr:to>
      <xdr:col>11</xdr:col>
      <xdr:colOff>476250</xdr:colOff>
      <xdr:row>168</xdr:row>
      <xdr:rowOff>76200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>
          <a:endCxn id="2" idx="1"/>
        </xdr:cNvCxnSpPr>
      </xdr:nvCxnSpPr>
      <xdr:spPr>
        <a:xfrm>
          <a:off x="9705975" y="39976425"/>
          <a:ext cx="1143000" cy="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385555</xdr:colOff>
      <xdr:row>165</xdr:row>
      <xdr:rowOff>296932</xdr:rowOff>
    </xdr:from>
    <xdr:to>
      <xdr:col>8</xdr:col>
      <xdr:colOff>824896</xdr:colOff>
      <xdr:row>165</xdr:row>
      <xdr:rowOff>300504</xdr:rowOff>
    </xdr:to>
    <xdr:cxnSp macro="">
      <xdr:nvCxnSpPr>
        <xdr:cNvPr id="39" name="Прямая соединительная линия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 flipH="1" flipV="1">
          <a:off x="8212620" y="39639323"/>
          <a:ext cx="439341" cy="3572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397566</xdr:colOff>
      <xdr:row>165</xdr:row>
      <xdr:rowOff>306457</xdr:rowOff>
    </xdr:from>
    <xdr:to>
      <xdr:col>8</xdr:col>
      <xdr:colOff>397567</xdr:colOff>
      <xdr:row>168</xdr:row>
      <xdr:rowOff>82826</xdr:rowOff>
    </xdr:to>
    <xdr:cxnSp macro="">
      <xdr:nvCxnSpPr>
        <xdr:cNvPr id="43" name="Прямая соединительная линия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 flipH="1">
          <a:off x="8224631" y="39648848"/>
          <a:ext cx="1" cy="521804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396323</xdr:colOff>
      <xdr:row>168</xdr:row>
      <xdr:rowOff>76200</xdr:rowOff>
    </xdr:from>
    <xdr:to>
      <xdr:col>9</xdr:col>
      <xdr:colOff>57979</xdr:colOff>
      <xdr:row>168</xdr:row>
      <xdr:rowOff>76200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8223388" y="40164026"/>
          <a:ext cx="506482" cy="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81642</xdr:colOff>
      <xdr:row>151</xdr:row>
      <xdr:rowOff>0</xdr:rowOff>
    </xdr:from>
    <xdr:to>
      <xdr:col>38</xdr:col>
      <xdr:colOff>99393</xdr:colOff>
      <xdr:row>168</xdr:row>
      <xdr:rowOff>66262</xdr:rowOff>
    </xdr:to>
    <xdr:cxnSp macro="">
      <xdr:nvCxnSpPr>
        <xdr:cNvPr id="49" name="Прямая со стрелкой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>
        <a:xfrm flipH="1" flipV="1">
          <a:off x="16709571" y="36439929"/>
          <a:ext cx="17751" cy="3250333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286164</xdr:colOff>
      <xdr:row>168</xdr:row>
      <xdr:rowOff>56736</xdr:rowOff>
    </xdr:from>
    <xdr:to>
      <xdr:col>38</xdr:col>
      <xdr:colOff>74544</xdr:colOff>
      <xdr:row>168</xdr:row>
      <xdr:rowOff>74544</xdr:rowOff>
    </xdr:to>
    <xdr:cxnSp macro="">
      <xdr:nvCxnSpPr>
        <xdr:cNvPr id="52" name="Прямая соединительная линия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/>
      </xdr:nvCxnSpPr>
      <xdr:spPr>
        <a:xfrm flipH="1" flipV="1">
          <a:off x="14548816" y="40144562"/>
          <a:ext cx="2157206" cy="17808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435429</xdr:colOff>
      <xdr:row>104</xdr:row>
      <xdr:rowOff>0</xdr:rowOff>
    </xdr:from>
    <xdr:to>
      <xdr:col>37</xdr:col>
      <xdr:colOff>466786</xdr:colOff>
      <xdr:row>168</xdr:row>
      <xdr:rowOff>66262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/>
      </xdr:nvCxnSpPr>
      <xdr:spPr>
        <a:xfrm flipH="1" flipV="1">
          <a:off x="16451036" y="23934964"/>
          <a:ext cx="31357" cy="15755298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231322</xdr:colOff>
      <xdr:row>91</xdr:row>
      <xdr:rowOff>27214</xdr:rowOff>
    </xdr:from>
    <xdr:to>
      <xdr:col>37</xdr:col>
      <xdr:colOff>357930</xdr:colOff>
      <xdr:row>168</xdr:row>
      <xdr:rowOff>66262</xdr:rowOff>
    </xdr:to>
    <xdr:cxnSp macro="">
      <xdr:nvCxnSpPr>
        <xdr:cNvPr id="57" name="Прямая со стрелкой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/>
      </xdr:nvCxnSpPr>
      <xdr:spPr>
        <a:xfrm flipH="1" flipV="1">
          <a:off x="16246929" y="20614821"/>
          <a:ext cx="126608" cy="19075441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2653392</xdr:colOff>
      <xdr:row>149</xdr:row>
      <xdr:rowOff>234043</xdr:rowOff>
    </xdr:from>
    <xdr:to>
      <xdr:col>37</xdr:col>
      <xdr:colOff>54430</xdr:colOff>
      <xdr:row>149</xdr:row>
      <xdr:rowOff>625929</xdr:rowOff>
    </xdr:to>
    <xdr:sp macro="" textlink="">
      <xdr:nvSpPr>
        <xdr:cNvPr id="59" name="Прямоугольник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14233071" y="35667043"/>
          <a:ext cx="1836966" cy="391886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ln>
              <a:solidFill>
                <a:srgbClr val="C00000"/>
              </a:solidFill>
            </a:ln>
            <a:noFill/>
          </a:endParaRPr>
        </a:p>
      </xdr:txBody>
    </xdr:sp>
    <xdr:clientData/>
  </xdr:twoCellAnchor>
  <xdr:twoCellAnchor>
    <xdr:from>
      <xdr:col>4</xdr:col>
      <xdr:colOff>707571</xdr:colOff>
      <xdr:row>149</xdr:row>
      <xdr:rowOff>639536</xdr:rowOff>
    </xdr:from>
    <xdr:to>
      <xdr:col>13</xdr:col>
      <xdr:colOff>2639785</xdr:colOff>
      <xdr:row>149</xdr:row>
      <xdr:rowOff>748393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/>
      </xdr:nvCxnSpPr>
      <xdr:spPr>
        <a:xfrm flipV="1">
          <a:off x="5524500" y="36072536"/>
          <a:ext cx="8694964" cy="108857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2656113</xdr:colOff>
      <xdr:row>102</xdr:row>
      <xdr:rowOff>223156</xdr:rowOff>
    </xdr:from>
    <xdr:to>
      <xdr:col>37</xdr:col>
      <xdr:colOff>57151</xdr:colOff>
      <xdr:row>102</xdr:row>
      <xdr:rowOff>615042</xdr:rowOff>
    </xdr:to>
    <xdr:sp macro="" textlink="">
      <xdr:nvSpPr>
        <xdr:cNvPr id="64" name="Прямоугольник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14235792" y="23151192"/>
          <a:ext cx="1836966" cy="391886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ln>
              <a:solidFill>
                <a:srgbClr val="C00000"/>
              </a:solidFill>
            </a:ln>
            <a:noFill/>
          </a:endParaRPr>
        </a:p>
      </xdr:txBody>
    </xdr:sp>
    <xdr:clientData/>
  </xdr:twoCellAnchor>
  <xdr:twoCellAnchor>
    <xdr:from>
      <xdr:col>4</xdr:col>
      <xdr:colOff>710292</xdr:colOff>
      <xdr:row>102</xdr:row>
      <xdr:rowOff>628649</xdr:rowOff>
    </xdr:from>
    <xdr:to>
      <xdr:col>13</xdr:col>
      <xdr:colOff>2642506</xdr:colOff>
      <xdr:row>102</xdr:row>
      <xdr:rowOff>737506</xdr:rowOff>
    </xdr:to>
    <xdr:cxnSp macro="">
      <xdr:nvCxnSpPr>
        <xdr:cNvPr id="65" name="Прямая со стрелкой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CxnSpPr/>
      </xdr:nvCxnSpPr>
      <xdr:spPr>
        <a:xfrm flipV="1">
          <a:off x="5527221" y="23556685"/>
          <a:ext cx="8694964" cy="108857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2656113</xdr:colOff>
      <xdr:row>89</xdr:row>
      <xdr:rowOff>263978</xdr:rowOff>
    </xdr:from>
    <xdr:to>
      <xdr:col>37</xdr:col>
      <xdr:colOff>57151</xdr:colOff>
      <xdr:row>89</xdr:row>
      <xdr:rowOff>655864</xdr:rowOff>
    </xdr:to>
    <xdr:sp macro="" textlink="">
      <xdr:nvSpPr>
        <xdr:cNvPr id="66" name="Прямоугольник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14235792" y="19776621"/>
          <a:ext cx="1836966" cy="391886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ln>
              <a:solidFill>
                <a:srgbClr val="C00000"/>
              </a:solidFill>
            </a:ln>
            <a:noFill/>
          </a:endParaRPr>
        </a:p>
      </xdr:txBody>
    </xdr:sp>
    <xdr:clientData/>
  </xdr:twoCellAnchor>
  <xdr:twoCellAnchor>
    <xdr:from>
      <xdr:col>4</xdr:col>
      <xdr:colOff>710292</xdr:colOff>
      <xdr:row>89</xdr:row>
      <xdr:rowOff>669471</xdr:rowOff>
    </xdr:from>
    <xdr:to>
      <xdr:col>13</xdr:col>
      <xdr:colOff>2642506</xdr:colOff>
      <xdr:row>89</xdr:row>
      <xdr:rowOff>778328</xdr:rowOff>
    </xdr:to>
    <xdr:cxnSp macro="">
      <xdr:nvCxnSpPr>
        <xdr:cNvPr id="67" name="Прямая со стрелкой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/>
      </xdr:nvCxnSpPr>
      <xdr:spPr>
        <a:xfrm flipV="1">
          <a:off x="5527221" y="20182114"/>
          <a:ext cx="8694964" cy="108857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478971</xdr:colOff>
      <xdr:row>102</xdr:row>
      <xdr:rowOff>223156</xdr:rowOff>
    </xdr:from>
    <xdr:to>
      <xdr:col>39</xdr:col>
      <xdr:colOff>204107</xdr:colOff>
      <xdr:row>102</xdr:row>
      <xdr:rowOff>615042</xdr:rowOff>
    </xdr:to>
    <xdr:sp macro="" textlink="">
      <xdr:nvSpPr>
        <xdr:cNvPr id="68" name="Прямоугольник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16494578" y="23151192"/>
          <a:ext cx="1303565" cy="391886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ln>
              <a:solidFill>
                <a:srgbClr val="C00000"/>
              </a:solidFill>
            </a:ln>
            <a:noFill/>
          </a:endParaRPr>
        </a:p>
      </xdr:txBody>
    </xdr:sp>
    <xdr:clientData/>
  </xdr:twoCellAnchor>
  <xdr:twoCellAnchor>
    <xdr:from>
      <xdr:col>10</xdr:col>
      <xdr:colOff>27214</xdr:colOff>
      <xdr:row>102</xdr:row>
      <xdr:rowOff>625928</xdr:rowOff>
    </xdr:from>
    <xdr:to>
      <xdr:col>37</xdr:col>
      <xdr:colOff>503464</xdr:colOff>
      <xdr:row>111</xdr:row>
      <xdr:rowOff>54429</xdr:rowOff>
    </xdr:to>
    <xdr:cxnSp macro="">
      <xdr:nvCxnSpPr>
        <xdr:cNvPr id="69" name="Прямая со стрелкой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CxnSpPr/>
      </xdr:nvCxnSpPr>
      <xdr:spPr>
        <a:xfrm flipH="1">
          <a:off x="9538607" y="23553964"/>
          <a:ext cx="6980464" cy="3551465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40821</xdr:colOff>
      <xdr:row>62</xdr:row>
      <xdr:rowOff>81643</xdr:rowOff>
    </xdr:from>
    <xdr:to>
      <xdr:col>37</xdr:col>
      <xdr:colOff>598715</xdr:colOff>
      <xdr:row>102</xdr:row>
      <xdr:rowOff>204108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/>
      </xdr:nvCxnSpPr>
      <xdr:spPr>
        <a:xfrm flipH="1" flipV="1">
          <a:off x="9552214" y="11892643"/>
          <a:ext cx="7062108" cy="11239501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13607</xdr:colOff>
      <xdr:row>37</xdr:row>
      <xdr:rowOff>149680</xdr:rowOff>
    </xdr:from>
    <xdr:to>
      <xdr:col>37</xdr:col>
      <xdr:colOff>598714</xdr:colOff>
      <xdr:row>102</xdr:row>
      <xdr:rowOff>217714</xdr:rowOff>
    </xdr:to>
    <xdr:cxnSp macro="">
      <xdr:nvCxnSpPr>
        <xdr:cNvPr id="79" name="Прямая со стрелкой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CxnSpPr/>
      </xdr:nvCxnSpPr>
      <xdr:spPr>
        <a:xfrm flipH="1" flipV="1">
          <a:off x="9525000" y="6667501"/>
          <a:ext cx="7089321" cy="16478249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176"/>
  <sheetViews>
    <sheetView tabSelected="1" zoomScaleNormal="100" workbookViewId="0">
      <pane ySplit="30" topLeftCell="A39" activePane="bottomLeft" state="frozen"/>
      <selection pane="bottomLeft" activeCell="AK46" sqref="AK46"/>
    </sheetView>
  </sheetViews>
  <sheetFormatPr defaultRowHeight="13.2" x14ac:dyDescent="0.25"/>
  <cols>
    <col min="1" max="1" width="5.6640625" customWidth="1"/>
    <col min="2" max="2" width="14" customWidth="1"/>
    <col min="3" max="3" width="40.6640625" customWidth="1"/>
    <col min="4" max="6" width="11.6640625" customWidth="1"/>
    <col min="7" max="7" width="12.6640625" customWidth="1"/>
    <col min="9" max="11" width="12.6640625" customWidth="1"/>
    <col min="14" max="14" width="40.109375" style="54" customWidth="1"/>
    <col min="15" max="30" width="0" hidden="1" customWidth="1"/>
    <col min="31" max="31" width="149.109375" hidden="1" customWidth="1"/>
    <col min="32" max="32" width="113.109375" hidden="1" customWidth="1"/>
    <col min="33" max="36" width="0" hidden="1" customWidth="1"/>
    <col min="37" max="37" width="26.33203125" customWidth="1"/>
    <col min="39" max="39" width="14.5546875" customWidth="1"/>
    <col min="41" max="41" width="50.5546875" customWidth="1"/>
  </cols>
  <sheetData>
    <row r="1" spans="1:38" x14ac:dyDescent="0.25">
      <c r="A1" s="8" t="str">
        <f>CONCATENATE(Source!B1, "     СН-2012 (© ОАО МЦЦС 'Мосстройцены', ", "2021", ")")</f>
        <v>Smeta.RU  (495) 974-1589     СН-2012 (© ОАО МЦЦС 'Мосстройцены', 2021)</v>
      </c>
    </row>
    <row r="2" spans="1:38" ht="13.8" x14ac:dyDescent="0.25">
      <c r="A2" s="9"/>
      <c r="B2" s="9"/>
      <c r="C2" s="9"/>
      <c r="D2" s="9"/>
      <c r="E2" s="9"/>
      <c r="F2" s="9"/>
      <c r="G2" s="9"/>
      <c r="H2" s="9"/>
      <c r="I2" s="9"/>
      <c r="J2" s="93" t="s">
        <v>240</v>
      </c>
      <c r="K2" s="93"/>
    </row>
    <row r="3" spans="1:38" ht="16.8" x14ac:dyDescent="0.3">
      <c r="A3" s="11"/>
      <c r="B3" s="102" t="s">
        <v>238</v>
      </c>
      <c r="C3" s="102"/>
      <c r="D3" s="102"/>
      <c r="E3" s="102"/>
      <c r="F3" s="10"/>
      <c r="G3" s="102" t="s">
        <v>239</v>
      </c>
      <c r="H3" s="102"/>
      <c r="I3" s="102"/>
      <c r="J3" s="102"/>
      <c r="K3" s="102"/>
    </row>
    <row r="4" spans="1:38" ht="13.8" x14ac:dyDescent="0.25">
      <c r="A4" s="10"/>
      <c r="B4" s="92" t="s">
        <v>241</v>
      </c>
      <c r="C4" s="92"/>
      <c r="D4" s="92"/>
      <c r="E4" s="92"/>
      <c r="F4" s="10"/>
      <c r="G4" s="92" t="s">
        <v>243</v>
      </c>
      <c r="H4" s="92"/>
      <c r="I4" s="92"/>
      <c r="J4" s="92"/>
      <c r="K4" s="92"/>
    </row>
    <row r="5" spans="1:38" ht="13.8" x14ac:dyDescent="0.25">
      <c r="A5" s="12"/>
      <c r="B5" s="12"/>
      <c r="C5" s="13"/>
      <c r="D5" s="13"/>
      <c r="E5" s="13"/>
      <c r="F5" s="10"/>
      <c r="G5" s="14"/>
      <c r="H5" s="13"/>
      <c r="I5" s="13"/>
      <c r="J5" s="13"/>
      <c r="K5" s="14"/>
    </row>
    <row r="6" spans="1:38" ht="13.8" x14ac:dyDescent="0.25">
      <c r="A6" s="14"/>
      <c r="B6" s="92" t="str">
        <f>CONCATENATE("______________________ ", IF(Source!AL12&lt;&gt;"", Source!AL12, ""))</f>
        <v>______________________ О.В. Пундель</v>
      </c>
      <c r="C6" s="92"/>
      <c r="D6" s="92"/>
      <c r="E6" s="92"/>
      <c r="F6" s="10"/>
      <c r="G6" s="92" t="str">
        <f>CONCATENATE("______________________ ", IF(Source!AH12&lt;&gt;"", Source!AH12, ""))</f>
        <v>______________________ Д.Р. Мусиков</v>
      </c>
      <c r="H6" s="92"/>
      <c r="I6" s="92"/>
      <c r="J6" s="92"/>
      <c r="K6" s="92"/>
    </row>
    <row r="7" spans="1:38" ht="13.8" x14ac:dyDescent="0.25">
      <c r="A7" s="15"/>
      <c r="B7" s="103" t="s">
        <v>242</v>
      </c>
      <c r="C7" s="103"/>
      <c r="D7" s="103"/>
      <c r="E7" s="103"/>
      <c r="F7" s="10"/>
      <c r="G7" s="103" t="s">
        <v>242</v>
      </c>
      <c r="H7" s="103"/>
      <c r="I7" s="103"/>
      <c r="J7" s="103"/>
      <c r="K7" s="103"/>
    </row>
    <row r="9" spans="1:38" ht="13.8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38" ht="15.6" x14ac:dyDescent="0.3">
      <c r="A10" s="99" t="str">
        <f>CONCATENATE( "ЛОКАЛЬНАЯ СМЕТА № ",IF(Source!F12&lt;&gt;"Новый объект", Source!F12, ""))</f>
        <v xml:space="preserve">ЛОКАЛЬНАЯ СМЕТА № 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38" x14ac:dyDescent="0.25">
      <c r="A11" s="97" t="s">
        <v>244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</row>
    <row r="12" spans="1:38" ht="13.8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38" ht="17.399999999999999" hidden="1" x14ac:dyDescent="0.3">
      <c r="A13" s="101"/>
      <c r="B13" s="101"/>
      <c r="C13" s="101"/>
      <c r="D13" s="101"/>
      <c r="E13" s="101"/>
      <c r="F13" s="101"/>
      <c r="G13" s="101"/>
      <c r="H13" s="101"/>
      <c r="I13" s="101"/>
      <c r="J13" s="101"/>
      <c r="K13" s="101"/>
    </row>
    <row r="14" spans="1:38" ht="13.8" hidden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38" ht="34.799999999999997" x14ac:dyDescent="0.3">
      <c r="A15" s="96" t="s">
        <v>330</v>
      </c>
      <c r="B15" s="96"/>
      <c r="C15" s="96"/>
      <c r="D15" s="96"/>
      <c r="E15" s="96"/>
      <c r="F15" s="96"/>
      <c r="G15" s="96"/>
      <c r="H15" s="96"/>
      <c r="I15" s="96"/>
      <c r="J15" s="96"/>
      <c r="K15" s="96"/>
      <c r="M15" s="53" t="s">
        <v>332</v>
      </c>
      <c r="N15" s="55" t="s">
        <v>333</v>
      </c>
      <c r="AE15" s="20" t="str">
        <f>IF(Source!G12&lt;&gt;"Новый объект", Source!G12, "")</f>
        <v>Ремонт асфальтобетонных покрытий дворовой территории района Кузьминки ЮВАО г. Москвы по адресу: Волгоградский проспект 94 к.1, 96 к.1</v>
      </c>
      <c r="AK15" s="42" t="s">
        <v>340</v>
      </c>
      <c r="AL15" s="42" t="s">
        <v>339</v>
      </c>
    </row>
    <row r="16" spans="1:38" x14ac:dyDescent="0.25">
      <c r="A16" s="97" t="s">
        <v>245</v>
      </c>
      <c r="B16" s="98"/>
      <c r="C16" s="98"/>
      <c r="D16" s="98"/>
      <c r="E16" s="98"/>
      <c r="F16" s="98"/>
      <c r="G16" s="98"/>
      <c r="H16" s="98"/>
      <c r="I16" s="98"/>
      <c r="J16" s="98"/>
      <c r="K16" s="98"/>
    </row>
    <row r="17" spans="1:11" ht="13.8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ht="13.8" x14ac:dyDescent="0.25">
      <c r="A18" s="77" t="str">
        <f>CONCATENATE( "Основание: чертежи № ", Source!J12)</f>
        <v xml:space="preserve">Основание: чертежи № </v>
      </c>
      <c r="B18" s="77"/>
      <c r="C18" s="77"/>
      <c r="D18" s="77"/>
      <c r="E18" s="77"/>
      <c r="F18" s="77"/>
      <c r="G18" s="77"/>
      <c r="H18" s="77"/>
      <c r="I18" s="77"/>
      <c r="J18" s="77"/>
      <c r="K18" s="77"/>
    </row>
    <row r="19" spans="1:11" ht="13.8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ht="13.8" x14ac:dyDescent="0.25">
      <c r="A20" s="10"/>
      <c r="B20" s="10"/>
      <c r="C20" s="10"/>
      <c r="D20" s="10"/>
      <c r="E20" s="10"/>
      <c r="F20" s="92" t="s">
        <v>246</v>
      </c>
      <c r="G20" s="92"/>
      <c r="H20" s="92"/>
      <c r="I20" s="78">
        <f>(Source!F205/1000)</f>
        <v>782</v>
      </c>
      <c r="J20" s="93"/>
      <c r="K20" s="10" t="s">
        <v>247</v>
      </c>
    </row>
    <row r="21" spans="1:11" ht="13.8" hidden="1" x14ac:dyDescent="0.25">
      <c r="A21" s="10"/>
      <c r="B21" s="10"/>
      <c r="C21" s="10"/>
      <c r="D21" s="10"/>
      <c r="E21" s="10"/>
      <c r="F21" s="92" t="s">
        <v>248</v>
      </c>
      <c r="G21" s="92"/>
      <c r="H21" s="92"/>
      <c r="I21" s="78">
        <f>(Source!F186)/1000</f>
        <v>128.84233</v>
      </c>
      <c r="J21" s="93"/>
      <c r="K21" s="10" t="s">
        <v>247</v>
      </c>
    </row>
    <row r="22" spans="1:11" ht="13.8" hidden="1" x14ac:dyDescent="0.25">
      <c r="A22" s="10"/>
      <c r="B22" s="10"/>
      <c r="C22" s="10"/>
      <c r="D22" s="10"/>
      <c r="E22" s="10"/>
      <c r="F22" s="92" t="s">
        <v>249</v>
      </c>
      <c r="G22" s="92"/>
      <c r="H22" s="92"/>
      <c r="I22" s="78">
        <f>(Source!F187)/1000</f>
        <v>0</v>
      </c>
      <c r="J22" s="93"/>
      <c r="K22" s="10" t="s">
        <v>247</v>
      </c>
    </row>
    <row r="23" spans="1:11" ht="13.8" hidden="1" x14ac:dyDescent="0.25">
      <c r="A23" s="10"/>
      <c r="B23" s="10"/>
      <c r="C23" s="10"/>
      <c r="D23" s="10"/>
      <c r="E23" s="10"/>
      <c r="F23" s="92" t="s">
        <v>250</v>
      </c>
      <c r="G23" s="92"/>
      <c r="H23" s="92"/>
      <c r="I23" s="78">
        <f>(Source!F178)/1000</f>
        <v>0</v>
      </c>
      <c r="J23" s="93"/>
      <c r="K23" s="10" t="s">
        <v>247</v>
      </c>
    </row>
    <row r="24" spans="1:11" ht="13.8" hidden="1" x14ac:dyDescent="0.25">
      <c r="A24" s="10"/>
      <c r="B24" s="10"/>
      <c r="C24" s="10"/>
      <c r="D24" s="10"/>
      <c r="E24" s="10"/>
      <c r="F24" s="92" t="s">
        <v>251</v>
      </c>
      <c r="G24" s="92"/>
      <c r="H24" s="92"/>
      <c r="I24" s="78">
        <f>(Source!F188+Source!F189)/1000</f>
        <v>583.86131999999998</v>
      </c>
      <c r="J24" s="93"/>
      <c r="K24" s="10" t="s">
        <v>247</v>
      </c>
    </row>
    <row r="25" spans="1:11" ht="13.8" x14ac:dyDescent="0.25">
      <c r="A25" s="10"/>
      <c r="B25" s="10"/>
      <c r="C25" s="10"/>
      <c r="D25" s="10"/>
      <c r="E25" s="10"/>
      <c r="F25" s="92" t="s">
        <v>252</v>
      </c>
      <c r="G25" s="92"/>
      <c r="H25" s="92"/>
      <c r="I25" s="78">
        <f>(Source!F184+ Source!F183)/1000</f>
        <v>191.44428000000002</v>
      </c>
      <c r="J25" s="93"/>
      <c r="K25" s="10" t="s">
        <v>247</v>
      </c>
    </row>
    <row r="26" spans="1:11" ht="13.8" x14ac:dyDescent="0.25">
      <c r="A26" s="10" t="s">
        <v>266</v>
      </c>
      <c r="B26" s="10"/>
      <c r="C26" s="10"/>
      <c r="D26" s="16"/>
      <c r="E26" s="17"/>
      <c r="F26" s="10"/>
      <c r="G26" s="10"/>
      <c r="H26" s="10"/>
      <c r="I26" s="10"/>
      <c r="J26" s="10"/>
      <c r="K26" s="10"/>
    </row>
    <row r="27" spans="1:11" ht="14.4" x14ac:dyDescent="0.25">
      <c r="A27" s="94" t="s">
        <v>253</v>
      </c>
      <c r="B27" s="94" t="s">
        <v>254</v>
      </c>
      <c r="C27" s="94" t="s">
        <v>255</v>
      </c>
      <c r="D27" s="94" t="s">
        <v>256</v>
      </c>
      <c r="E27" s="94" t="s">
        <v>257</v>
      </c>
      <c r="F27" s="94" t="s">
        <v>258</v>
      </c>
      <c r="G27" s="94" t="s">
        <v>259</v>
      </c>
      <c r="H27" s="94" t="s">
        <v>260</v>
      </c>
      <c r="I27" s="94" t="s">
        <v>261</v>
      </c>
      <c r="J27" s="94" t="s">
        <v>262</v>
      </c>
      <c r="K27" s="18" t="s">
        <v>263</v>
      </c>
    </row>
    <row r="28" spans="1:11" ht="27.6" x14ac:dyDescent="0.25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19" t="s">
        <v>264</v>
      </c>
    </row>
    <row r="29" spans="1:11" ht="27.6" x14ac:dyDescent="0.25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19" t="s">
        <v>265</v>
      </c>
    </row>
    <row r="30" spans="1:11" ht="13.8" x14ac:dyDescent="0.25">
      <c r="A30" s="19">
        <v>1</v>
      </c>
      <c r="B30" s="19">
        <v>2</v>
      </c>
      <c r="C30" s="19">
        <v>3</v>
      </c>
      <c r="D30" s="19">
        <v>4</v>
      </c>
      <c r="E30" s="19">
        <v>5</v>
      </c>
      <c r="F30" s="19">
        <v>6</v>
      </c>
      <c r="G30" s="19">
        <v>7</v>
      </c>
      <c r="H30" s="19">
        <v>8</v>
      </c>
      <c r="I30" s="19">
        <v>9</v>
      </c>
      <c r="J30" s="19">
        <v>10</v>
      </c>
      <c r="K30" s="19">
        <v>11</v>
      </c>
    </row>
    <row r="32" spans="1:11" ht="16.8" x14ac:dyDescent="0.3">
      <c r="A32" s="88" t="str">
        <f>CONCATENATE("Локальная смета: ",IF(Source!G20&lt;&gt;"Новая локальная смета", Source!G20, ""))</f>
        <v xml:space="preserve">Локальная смета: 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</row>
    <row r="34" spans="1:22" ht="27" x14ac:dyDescent="0.3">
      <c r="A34" s="91" t="str">
        <f>CONCATENATE("Раздел: ",IF(Source!G24&lt;&gt;"Новый раздел", Source!G24, ""))</f>
        <v>Раздел: Ремонт асфальтобетонного покрытия пешеходных дорожек</v>
      </c>
      <c r="B34" s="91"/>
      <c r="C34" s="91"/>
      <c r="D34" s="91"/>
      <c r="E34" s="91"/>
      <c r="F34" s="91"/>
      <c r="G34" s="91"/>
      <c r="H34" s="91"/>
      <c r="I34" s="91"/>
      <c r="J34" s="91"/>
      <c r="K34" s="91"/>
      <c r="M34" s="42" t="s">
        <v>334</v>
      </c>
      <c r="N34" s="30" t="s">
        <v>341</v>
      </c>
    </row>
    <row r="35" spans="1:22" ht="27.6" x14ac:dyDescent="0.3">
      <c r="A35" s="21" t="str">
        <f>Source!E28</f>
        <v>1</v>
      </c>
      <c r="B35" s="22" t="str">
        <f>Source!F28</f>
        <v/>
      </c>
      <c r="C35" s="22" t="str">
        <f>Source!G28</f>
        <v>Ремонт асфальтобетонного покрытия пешеходных дорожек</v>
      </c>
      <c r="D35" s="23" t="str">
        <f>Source!H28</f>
        <v>кв.м.</v>
      </c>
      <c r="E35" s="9">
        <f>Source!I28</f>
        <v>320</v>
      </c>
      <c r="F35" s="25"/>
      <c r="G35" s="24"/>
      <c r="H35" s="9"/>
      <c r="I35" s="9"/>
      <c r="J35" s="26"/>
      <c r="K35" s="26"/>
      <c r="M35" s="42" t="s">
        <v>335</v>
      </c>
      <c r="N35" s="30" t="s">
        <v>336</v>
      </c>
      <c r="Q35">
        <f>ROUND((Source!BZ28/100)*ROUND((Source!AF28*Source!AV28)*Source!I28, 2), 2)</f>
        <v>0</v>
      </c>
      <c r="R35">
        <f>Source!X28</f>
        <v>0</v>
      </c>
      <c r="S35">
        <f>ROUND((Source!CA28/100)*ROUND((Source!AF28*Source!AV28)*Source!I28, 2), 2)</f>
        <v>0</v>
      </c>
      <c r="T35">
        <f>Source!Y28</f>
        <v>0</v>
      </c>
      <c r="U35">
        <f>ROUND((175/100)*ROUND((Source!AE28*Source!AV28)*Source!I28, 2), 2)</f>
        <v>0</v>
      </c>
      <c r="V35">
        <f>ROUND((108/100)*ROUND(Source!CS28*Source!I28, 2), 2)</f>
        <v>0</v>
      </c>
    </row>
    <row r="36" spans="1:22" ht="13.8" x14ac:dyDescent="0.25">
      <c r="A36" s="28"/>
      <c r="B36" s="28"/>
      <c r="C36" s="28"/>
      <c r="D36" s="28"/>
      <c r="E36" s="28"/>
      <c r="F36" s="28"/>
      <c r="G36" s="28"/>
      <c r="H36" s="28"/>
      <c r="I36" s="85">
        <f>J35</f>
        <v>0</v>
      </c>
      <c r="J36" s="85"/>
      <c r="K36" s="29">
        <f>IF(Source!I28&lt;&gt;0, ROUND(I36/Source!I28, 2), 0)</f>
        <v>0</v>
      </c>
      <c r="P36" s="27">
        <f>I36</f>
        <v>0</v>
      </c>
    </row>
    <row r="37" spans="1:22" ht="14.4" x14ac:dyDescent="0.3">
      <c r="A37" s="21" t="str">
        <f>Source!E29</f>
        <v>2</v>
      </c>
      <c r="B37" s="22" t="str">
        <f>Source!F29</f>
        <v/>
      </c>
      <c r="C37" s="22" t="str">
        <f>Source!G29</f>
        <v>Бортовой камень</v>
      </c>
      <c r="D37" s="23" t="str">
        <f>Source!H29</f>
        <v>ПОГ.М.</v>
      </c>
      <c r="E37" s="9">
        <f>Source!I29</f>
        <v>324</v>
      </c>
      <c r="F37" s="25"/>
      <c r="G37" s="24"/>
      <c r="H37" s="9"/>
      <c r="I37" s="9"/>
      <c r="J37" s="26"/>
      <c r="K37" s="26"/>
      <c r="M37" s="42" t="s">
        <v>335</v>
      </c>
      <c r="N37" s="30" t="s">
        <v>336</v>
      </c>
      <c r="Q37">
        <f>ROUND((Source!BZ29/100)*ROUND((Source!AF29*Source!AV29)*Source!I29, 2), 2)</f>
        <v>0</v>
      </c>
      <c r="R37">
        <f>Source!X29</f>
        <v>0</v>
      </c>
      <c r="S37">
        <f>ROUND((Source!CA29/100)*ROUND((Source!AF29*Source!AV29)*Source!I29, 2), 2)</f>
        <v>0</v>
      </c>
      <c r="T37">
        <f>Source!Y29</f>
        <v>0</v>
      </c>
      <c r="U37">
        <f>ROUND((175/100)*ROUND((Source!AE29*Source!AV29)*Source!I29, 2), 2)</f>
        <v>0</v>
      </c>
      <c r="V37">
        <f>ROUND((108/100)*ROUND(Source!CS29*Source!I29, 2), 2)</f>
        <v>0</v>
      </c>
    </row>
    <row r="38" spans="1:22" ht="13.8" x14ac:dyDescent="0.25">
      <c r="A38" s="28"/>
      <c r="B38" s="28"/>
      <c r="C38" s="28"/>
      <c r="D38" s="28"/>
      <c r="E38" s="28"/>
      <c r="F38" s="28"/>
      <c r="G38" s="28"/>
      <c r="H38" s="28"/>
      <c r="I38" s="85">
        <f>J37</f>
        <v>0</v>
      </c>
      <c r="J38" s="85"/>
      <c r="K38" s="29">
        <f>IF(Source!I29&lt;&gt;0, ROUND(I38/Source!I29, 2), 0)</f>
        <v>0</v>
      </c>
      <c r="P38" s="27">
        <f>I38</f>
        <v>0</v>
      </c>
    </row>
    <row r="39" spans="1:22" ht="27.6" x14ac:dyDescent="0.3">
      <c r="A39" s="21" t="str">
        <f>Source!E30</f>
        <v>3</v>
      </c>
      <c r="B39" s="22" t="str">
        <f>Source!F30</f>
        <v>2.1-3104-1-4/1</v>
      </c>
      <c r="C39" s="43" t="str">
        <f>Source!G30</f>
        <v>Разборка покрытий и оснований асфальтобетонных</v>
      </c>
      <c r="D39" s="44" t="str">
        <f>Source!H30</f>
        <v>100 м3</v>
      </c>
      <c r="E39" s="45">
        <f>Source!I30</f>
        <v>0.128</v>
      </c>
      <c r="F39" s="25"/>
      <c r="G39" s="24"/>
      <c r="H39" s="9"/>
      <c r="I39" s="9"/>
      <c r="J39" s="26"/>
      <c r="K39" s="26"/>
      <c r="M39" s="42" t="s">
        <v>335</v>
      </c>
      <c r="N39" s="30" t="s">
        <v>338</v>
      </c>
      <c r="Q39">
        <f>ROUND((Source!BZ30/100)*ROUND((Source!AF30*Source!AV30)*Source!I30, 2), 2)</f>
        <v>2718.3</v>
      </c>
      <c r="R39">
        <f>Source!X30</f>
        <v>2718.3</v>
      </c>
      <c r="S39">
        <f>ROUND((Source!CA30/100)*ROUND((Source!AF30*Source!AV30)*Source!I30, 2), 2)</f>
        <v>388.33</v>
      </c>
      <c r="T39">
        <f>Source!Y30</f>
        <v>388.33</v>
      </c>
      <c r="U39">
        <f>ROUND((175/100)*ROUND((Source!AE30*Source!AV30)*Source!I30, 2), 2)</f>
        <v>3777.64</v>
      </c>
      <c r="V39">
        <f>ROUND((108/100)*ROUND(Source!CS30*Source!I30, 2), 2)</f>
        <v>2331.34</v>
      </c>
    </row>
    <row r="40" spans="1:22" x14ac:dyDescent="0.25">
      <c r="C40" s="30" t="str">
        <f>"Объем: "&amp;Source!I30&amp;"="&amp;Source!I28&amp;"*"&amp;"0,8*"&amp;"0,05/"&amp;"100"</f>
        <v>Объем: 0.128=320*0,8*0,05/100</v>
      </c>
    </row>
    <row r="41" spans="1:22" ht="14.4" x14ac:dyDescent="0.3">
      <c r="A41" s="21"/>
      <c r="B41" s="22"/>
      <c r="C41" s="22" t="s">
        <v>267</v>
      </c>
      <c r="D41" s="23"/>
      <c r="E41" s="9"/>
      <c r="F41" s="25">
        <f>Source!AO30</f>
        <v>30338.15</v>
      </c>
      <c r="G41" s="24" t="str">
        <f>Source!DG30</f>
        <v/>
      </c>
      <c r="H41" s="9">
        <f>Source!AV30</f>
        <v>1</v>
      </c>
      <c r="I41" s="9">
        <f>IF(Source!BA30&lt;&gt; 0, Source!BA30, 1)</f>
        <v>1</v>
      </c>
      <c r="J41" s="26">
        <f>Source!S30</f>
        <v>3883.28</v>
      </c>
      <c r="K41" s="26"/>
    </row>
    <row r="42" spans="1:22" ht="14.4" x14ac:dyDescent="0.3">
      <c r="A42" s="21"/>
      <c r="B42" s="22"/>
      <c r="C42" s="22" t="s">
        <v>268</v>
      </c>
      <c r="D42" s="23"/>
      <c r="E42" s="9"/>
      <c r="F42" s="25">
        <f>Source!AM30</f>
        <v>30548.7</v>
      </c>
      <c r="G42" s="24" t="str">
        <f>Source!DE30</f>
        <v/>
      </c>
      <c r="H42" s="9">
        <f>Source!AV30</f>
        <v>1</v>
      </c>
      <c r="I42" s="9">
        <f>IF(Source!BB30&lt;&gt; 0, Source!BB30, 1)</f>
        <v>1</v>
      </c>
      <c r="J42" s="26">
        <f>Source!Q30</f>
        <v>3910.23</v>
      </c>
      <c r="K42" s="26"/>
    </row>
    <row r="43" spans="1:22" ht="14.4" x14ac:dyDescent="0.3">
      <c r="A43" s="21"/>
      <c r="B43" s="22"/>
      <c r="C43" s="22" t="s">
        <v>269</v>
      </c>
      <c r="D43" s="23"/>
      <c r="E43" s="9"/>
      <c r="F43" s="25">
        <f>Source!AN30</f>
        <v>16864.419999999998</v>
      </c>
      <c r="G43" s="24" t="str">
        <f>Source!DF30</f>
        <v/>
      </c>
      <c r="H43" s="9">
        <f>Source!AV30</f>
        <v>1</v>
      </c>
      <c r="I43" s="9">
        <f>IF(Source!BS30&lt;&gt; 0, Source!BS30, 1)</f>
        <v>1</v>
      </c>
      <c r="J43" s="31">
        <f>Source!R30</f>
        <v>2158.65</v>
      </c>
      <c r="K43" s="26"/>
    </row>
    <row r="44" spans="1:22" ht="14.4" x14ac:dyDescent="0.3">
      <c r="A44" s="21"/>
      <c r="B44" s="22"/>
      <c r="C44" s="22" t="s">
        <v>270</v>
      </c>
      <c r="D44" s="23" t="s">
        <v>271</v>
      </c>
      <c r="E44" s="9">
        <f>Source!AT30</f>
        <v>70</v>
      </c>
      <c r="F44" s="25"/>
      <c r="G44" s="24"/>
      <c r="H44" s="9"/>
      <c r="I44" s="9"/>
      <c r="J44" s="26">
        <f>SUM(R39:R43)</f>
        <v>2718.3</v>
      </c>
      <c r="K44" s="26"/>
    </row>
    <row r="45" spans="1:22" ht="14.4" x14ac:dyDescent="0.3">
      <c r="A45" s="21"/>
      <c r="B45" s="22"/>
      <c r="C45" s="22" t="s">
        <v>147</v>
      </c>
      <c r="D45" s="23" t="s">
        <v>271</v>
      </c>
      <c r="E45" s="9">
        <f>Source!AU30</f>
        <v>10</v>
      </c>
      <c r="F45" s="25"/>
      <c r="G45" s="24"/>
      <c r="H45" s="9"/>
      <c r="I45" s="9"/>
      <c r="J45" s="26">
        <f>SUM(T39:T44)</f>
        <v>388.33</v>
      </c>
      <c r="K45" s="26"/>
    </row>
    <row r="46" spans="1:22" ht="14.4" x14ac:dyDescent="0.3">
      <c r="A46" s="21"/>
      <c r="B46" s="22"/>
      <c r="C46" s="22" t="s">
        <v>272</v>
      </c>
      <c r="D46" s="23" t="s">
        <v>271</v>
      </c>
      <c r="E46" s="9">
        <f>108</f>
        <v>108</v>
      </c>
      <c r="F46" s="25"/>
      <c r="G46" s="24"/>
      <c r="H46" s="9"/>
      <c r="I46" s="9"/>
      <c r="J46" s="26">
        <f>SUM(V39:V45)</f>
        <v>2331.34</v>
      </c>
      <c r="K46" s="26"/>
    </row>
    <row r="47" spans="1:22" ht="14.4" x14ac:dyDescent="0.3">
      <c r="A47" s="21"/>
      <c r="B47" s="22"/>
      <c r="C47" s="22" t="s">
        <v>273</v>
      </c>
      <c r="D47" s="23" t="s">
        <v>274</v>
      </c>
      <c r="E47" s="9">
        <f>Source!AQ30</f>
        <v>155</v>
      </c>
      <c r="F47" s="25"/>
      <c r="G47" s="24" t="str">
        <f>Source!DI30</f>
        <v/>
      </c>
      <c r="H47" s="9">
        <f>Source!AV30</f>
        <v>1</v>
      </c>
      <c r="I47" s="9"/>
      <c r="J47" s="26"/>
      <c r="K47" s="26">
        <f>Source!U30</f>
        <v>19.84</v>
      </c>
    </row>
    <row r="48" spans="1:22" ht="13.8" x14ac:dyDescent="0.25">
      <c r="A48" s="28"/>
      <c r="B48" s="28"/>
      <c r="C48" s="28"/>
      <c r="D48" s="28"/>
      <c r="E48" s="28"/>
      <c r="F48" s="28"/>
      <c r="G48" s="28"/>
      <c r="H48" s="28"/>
      <c r="I48" s="89">
        <f>J41+J42+J44+J45+J46</f>
        <v>13231.480000000001</v>
      </c>
      <c r="J48" s="89"/>
      <c r="K48" s="29">
        <f>IF(Source!I30&lt;&gt;0, ROUND(I48/Source!I30, 2), 0)</f>
        <v>103370.94</v>
      </c>
      <c r="P48" s="27">
        <f>I48</f>
        <v>13231.480000000001</v>
      </c>
    </row>
    <row r="49" spans="1:22" ht="27.6" x14ac:dyDescent="0.3">
      <c r="A49" s="21" t="str">
        <f>Source!E31</f>
        <v>4</v>
      </c>
      <c r="B49" s="22" t="str">
        <f>Source!F31</f>
        <v>2.1-3104-4-1/1</v>
      </c>
      <c r="C49" s="43" t="str">
        <f>Source!G31</f>
        <v>Разборка тротуаров и дорожек из плит с отноской и укладкой в штабель</v>
      </c>
      <c r="D49" s="44" t="str">
        <f>Source!H31</f>
        <v>100 м2</v>
      </c>
      <c r="E49" s="45">
        <f>Source!I31</f>
        <v>0.64</v>
      </c>
      <c r="F49" s="25"/>
      <c r="G49" s="24"/>
      <c r="H49" s="9"/>
      <c r="I49" s="9"/>
      <c r="J49" s="26"/>
      <c r="K49" s="26"/>
      <c r="M49" s="42" t="s">
        <v>335</v>
      </c>
      <c r="N49" s="30" t="s">
        <v>337</v>
      </c>
      <c r="Q49">
        <f>ROUND((Source!BZ31/100)*ROUND((Source!AF31*Source!AV31)*Source!I31, 2), 2)</f>
        <v>1366.6</v>
      </c>
      <c r="R49">
        <f>Source!X31</f>
        <v>1366.6</v>
      </c>
      <c r="S49">
        <f>ROUND((Source!CA31/100)*ROUND((Source!AF31*Source!AV31)*Source!I31, 2), 2)</f>
        <v>195.23</v>
      </c>
      <c r="T49">
        <f>Source!Y31</f>
        <v>195.23</v>
      </c>
      <c r="U49">
        <f>ROUND((175/100)*ROUND((Source!AE31*Source!AV31)*Source!I31, 2), 2)</f>
        <v>0</v>
      </c>
      <c r="V49">
        <f>ROUND((108/100)*ROUND(Source!CS31*Source!I31, 2), 2)</f>
        <v>0</v>
      </c>
    </row>
    <row r="50" spans="1:22" x14ac:dyDescent="0.25">
      <c r="C50" s="30" t="str">
        <f>"Объем: "&amp;Source!I31&amp;"="&amp;Source!I28&amp;"*"&amp;"0,2/"&amp;"100"</f>
        <v>Объем: 0.64=320*0,2/100</v>
      </c>
    </row>
    <row r="51" spans="1:22" ht="14.4" x14ac:dyDescent="0.3">
      <c r="A51" s="21"/>
      <c r="B51" s="22"/>
      <c r="C51" s="22" t="s">
        <v>267</v>
      </c>
      <c r="D51" s="23"/>
      <c r="E51" s="9"/>
      <c r="F51" s="25">
        <f>Source!AO31</f>
        <v>3050.44</v>
      </c>
      <c r="G51" s="24" t="str">
        <f>Source!DG31</f>
        <v/>
      </c>
      <c r="H51" s="9">
        <f>Source!AV31</f>
        <v>1</v>
      </c>
      <c r="I51" s="9">
        <f>IF(Source!BA31&lt;&gt; 0, Source!BA31, 1)</f>
        <v>1</v>
      </c>
      <c r="J51" s="26">
        <f>Source!S31</f>
        <v>1952.28</v>
      </c>
      <c r="K51" s="26"/>
    </row>
    <row r="52" spans="1:22" ht="14.4" x14ac:dyDescent="0.3">
      <c r="A52" s="21"/>
      <c r="B52" s="22"/>
      <c r="C52" s="22" t="s">
        <v>270</v>
      </c>
      <c r="D52" s="23" t="s">
        <v>271</v>
      </c>
      <c r="E52" s="9">
        <f>Source!AT31</f>
        <v>70</v>
      </c>
      <c r="F52" s="25"/>
      <c r="G52" s="24"/>
      <c r="H52" s="9"/>
      <c r="I52" s="9"/>
      <c r="J52" s="26">
        <f>SUM(R49:R51)</f>
        <v>1366.6</v>
      </c>
      <c r="K52" s="26"/>
    </row>
    <row r="53" spans="1:22" ht="14.4" x14ac:dyDescent="0.3">
      <c r="A53" s="21"/>
      <c r="B53" s="22"/>
      <c r="C53" s="22" t="s">
        <v>147</v>
      </c>
      <c r="D53" s="23" t="s">
        <v>271</v>
      </c>
      <c r="E53" s="9">
        <f>Source!AU31</f>
        <v>10</v>
      </c>
      <c r="F53" s="25"/>
      <c r="G53" s="24"/>
      <c r="H53" s="9"/>
      <c r="I53" s="9"/>
      <c r="J53" s="26">
        <f>SUM(T49:T52)</f>
        <v>195.23</v>
      </c>
      <c r="K53" s="26"/>
    </row>
    <row r="54" spans="1:22" ht="14.4" x14ac:dyDescent="0.3">
      <c r="A54" s="21"/>
      <c r="B54" s="22"/>
      <c r="C54" s="22" t="s">
        <v>273</v>
      </c>
      <c r="D54" s="23" t="s">
        <v>274</v>
      </c>
      <c r="E54" s="9">
        <f>Source!AQ31</f>
        <v>18.68</v>
      </c>
      <c r="F54" s="25"/>
      <c r="G54" s="24" t="str">
        <f>Source!DI31</f>
        <v/>
      </c>
      <c r="H54" s="9">
        <f>Source!AV31</f>
        <v>1</v>
      </c>
      <c r="I54" s="9"/>
      <c r="J54" s="26"/>
      <c r="K54" s="26">
        <f>Source!U31</f>
        <v>11.9552</v>
      </c>
    </row>
    <row r="55" spans="1:22" ht="13.8" x14ac:dyDescent="0.25">
      <c r="A55" s="28"/>
      <c r="B55" s="28"/>
      <c r="C55" s="28"/>
      <c r="D55" s="28"/>
      <c r="E55" s="28"/>
      <c r="F55" s="28"/>
      <c r="G55" s="28"/>
      <c r="H55" s="28"/>
      <c r="I55" s="89">
        <f>J51+J52+J53</f>
        <v>3514.11</v>
      </c>
      <c r="J55" s="89"/>
      <c r="K55" s="29">
        <f>IF(Source!I31&lt;&gt;0, ROUND(I55/Source!I31, 2), 0)</f>
        <v>5490.8</v>
      </c>
      <c r="P55" s="27">
        <f>I55</f>
        <v>3514.11</v>
      </c>
    </row>
    <row r="56" spans="1:22" ht="53.4" x14ac:dyDescent="0.3">
      <c r="A56" s="21" t="str">
        <f>Source!E32</f>
        <v>5</v>
      </c>
      <c r="B56" s="22" t="str">
        <f>Source!F32</f>
        <v>2.1-3204-6-1/1</v>
      </c>
      <c r="C56" s="22" t="str">
        <f>Source!G32</f>
        <v>Разборка бортовых камней на бетонном основании</v>
      </c>
      <c r="D56" s="23" t="str">
        <f>Source!H32</f>
        <v>100 м</v>
      </c>
      <c r="E56" s="9">
        <f>Source!I32</f>
        <v>3.24</v>
      </c>
      <c r="F56" s="25"/>
      <c r="G56" s="24"/>
      <c r="H56" s="9"/>
      <c r="I56" s="9"/>
      <c r="J56" s="26"/>
      <c r="K56" s="26"/>
      <c r="M56" s="42" t="s">
        <v>335</v>
      </c>
      <c r="N56" s="30" t="s">
        <v>343</v>
      </c>
      <c r="Q56">
        <f>ROUND((Source!BZ32/100)*ROUND((Source!AF32*Source!AV32)*Source!I32, 2), 2)</f>
        <v>35166.86</v>
      </c>
      <c r="R56">
        <f>Source!X32</f>
        <v>35166.86</v>
      </c>
      <c r="S56">
        <f>ROUND((Source!CA32/100)*ROUND((Source!AF32*Source!AV32)*Source!I32, 2), 2)</f>
        <v>5023.84</v>
      </c>
      <c r="T56">
        <f>Source!Y32</f>
        <v>5023.84</v>
      </c>
      <c r="U56">
        <f>ROUND((175/100)*ROUND((Source!AE32*Source!AV32)*Source!I32, 2), 2)</f>
        <v>0</v>
      </c>
      <c r="V56">
        <f>ROUND((108/100)*ROUND(Source!CS32*Source!I32, 2), 2)</f>
        <v>0</v>
      </c>
    </row>
    <row r="57" spans="1:22" x14ac:dyDescent="0.25">
      <c r="C57" s="30" t="str">
        <f>"Объем: "&amp;Source!I32&amp;"="&amp;Source!I29&amp;"/"&amp;"100"</f>
        <v>Объем: 3.24=324/100</v>
      </c>
    </row>
    <row r="58" spans="1:22" ht="14.4" x14ac:dyDescent="0.3">
      <c r="A58" s="21"/>
      <c r="B58" s="22"/>
      <c r="C58" s="22" t="s">
        <v>267</v>
      </c>
      <c r="D58" s="23"/>
      <c r="E58" s="9"/>
      <c r="F58" s="25">
        <f>Source!AO32</f>
        <v>15505.67</v>
      </c>
      <c r="G58" s="24" t="str">
        <f>Source!DG32</f>
        <v/>
      </c>
      <c r="H58" s="9">
        <f>Source!AV32</f>
        <v>1</v>
      </c>
      <c r="I58" s="9">
        <f>IF(Source!BA32&lt;&gt; 0, Source!BA32, 1)</f>
        <v>1</v>
      </c>
      <c r="J58" s="26">
        <f>Source!S32</f>
        <v>50238.37</v>
      </c>
      <c r="K58" s="26"/>
    </row>
    <row r="59" spans="1:22" ht="14.4" x14ac:dyDescent="0.3">
      <c r="A59" s="21"/>
      <c r="B59" s="22"/>
      <c r="C59" s="22" t="s">
        <v>270</v>
      </c>
      <c r="D59" s="23" t="s">
        <v>271</v>
      </c>
      <c r="E59" s="9">
        <f>Source!AT32</f>
        <v>70</v>
      </c>
      <c r="F59" s="25"/>
      <c r="G59" s="24"/>
      <c r="H59" s="9"/>
      <c r="I59" s="9"/>
      <c r="J59" s="26">
        <f>SUM(R56:R58)</f>
        <v>35166.86</v>
      </c>
      <c r="K59" s="26"/>
    </row>
    <row r="60" spans="1:22" ht="14.4" x14ac:dyDescent="0.3">
      <c r="A60" s="21"/>
      <c r="B60" s="22"/>
      <c r="C60" s="22" t="s">
        <v>147</v>
      </c>
      <c r="D60" s="23" t="s">
        <v>271</v>
      </c>
      <c r="E60" s="9">
        <f>Source!AU32</f>
        <v>10</v>
      </c>
      <c r="F60" s="25"/>
      <c r="G60" s="24"/>
      <c r="H60" s="9"/>
      <c r="I60" s="9"/>
      <c r="J60" s="26">
        <f>SUM(T56:T59)</f>
        <v>5023.84</v>
      </c>
      <c r="K60" s="26"/>
    </row>
    <row r="61" spans="1:22" ht="14.4" x14ac:dyDescent="0.3">
      <c r="A61" s="21"/>
      <c r="B61" s="22"/>
      <c r="C61" s="22" t="s">
        <v>273</v>
      </c>
      <c r="D61" s="23" t="s">
        <v>274</v>
      </c>
      <c r="E61" s="9">
        <f>Source!AQ32</f>
        <v>76.7</v>
      </c>
      <c r="F61" s="25"/>
      <c r="G61" s="24" t="str">
        <f>Source!DI32</f>
        <v/>
      </c>
      <c r="H61" s="9">
        <f>Source!AV32</f>
        <v>1</v>
      </c>
      <c r="I61" s="9"/>
      <c r="J61" s="26"/>
      <c r="K61" s="26">
        <f>Source!U32</f>
        <v>248.50800000000004</v>
      </c>
    </row>
    <row r="62" spans="1:22" ht="13.8" x14ac:dyDescent="0.25">
      <c r="A62" s="28"/>
      <c r="B62" s="28"/>
      <c r="C62" s="28"/>
      <c r="D62" s="28"/>
      <c r="E62" s="28"/>
      <c r="F62" s="28"/>
      <c r="G62" s="28"/>
      <c r="H62" s="28"/>
      <c r="I62" s="90">
        <f>J58+J59+J60</f>
        <v>90429.07</v>
      </c>
      <c r="J62" s="90"/>
      <c r="K62" s="29">
        <f>IF(Source!I32&lt;&gt;0, ROUND(I62/Source!I32, 2), 0)</f>
        <v>27910.21</v>
      </c>
      <c r="P62" s="27">
        <f>I62</f>
        <v>90429.07</v>
      </c>
    </row>
    <row r="63" spans="1:22" ht="41.4" x14ac:dyDescent="0.3">
      <c r="A63" s="21" t="str">
        <f>Source!E33</f>
        <v>6</v>
      </c>
      <c r="B63" s="22" t="str">
        <f>Source!F33</f>
        <v>1.49-9101-7-1/1</v>
      </c>
      <c r="C63" s="22" t="str">
        <f>Source!G33</f>
        <v>Механизированная погрузка строительного мусора в автомобили-самосвалы</v>
      </c>
      <c r="D63" s="23" t="str">
        <f>Source!H33</f>
        <v>т</v>
      </c>
      <c r="E63" s="9">
        <f>Source!I33</f>
        <v>53.913600000000002</v>
      </c>
      <c r="F63" s="25"/>
      <c r="G63" s="24"/>
      <c r="H63" s="9"/>
      <c r="I63" s="9"/>
      <c r="J63" s="26"/>
      <c r="K63" s="26"/>
      <c r="M63" s="42" t="s">
        <v>335</v>
      </c>
      <c r="N63" s="30" t="s">
        <v>342</v>
      </c>
      <c r="Q63">
        <f>ROUND((Source!BZ33/100)*ROUND((Source!AF33*Source!AV33)*Source!I33, 2), 2)</f>
        <v>0</v>
      </c>
      <c r="R63">
        <f>Source!X33</f>
        <v>0</v>
      </c>
      <c r="S63">
        <f>ROUND((Source!CA33/100)*ROUND((Source!AF33*Source!AV33)*Source!I33, 2), 2)</f>
        <v>0</v>
      </c>
      <c r="T63">
        <f>Source!Y33</f>
        <v>0</v>
      </c>
      <c r="U63">
        <f>ROUND((175/100)*ROUND((Source!AE33*Source!AV33)*Source!I33, 2), 2)</f>
        <v>2437.98</v>
      </c>
      <c r="V63">
        <f>ROUND((108/100)*ROUND(Source!CS33*Source!I33, 2), 2)</f>
        <v>1504.58</v>
      </c>
    </row>
    <row r="64" spans="1:22" ht="39.6" x14ac:dyDescent="0.25">
      <c r="C64" s="30" t="str">
        <f>"Объем: "&amp;Source!I33&amp;"="&amp;Source!I30&amp;"*"&amp;"100*"&amp;"2,4+"&amp;""&amp;Source!I29&amp;"*"&amp;"0,016*"&amp;"2,4+"&amp;""&amp;Source!I31&amp;"*"&amp;"100*"&amp;"0,07*"&amp;"2,4"</f>
        <v>Объем: 53.9136=0.128*100*2,4+324*0,016*2,4+0.64*100*0,07*2,4</v>
      </c>
    </row>
    <row r="65" spans="1:22" ht="14.4" x14ac:dyDescent="0.3">
      <c r="A65" s="21"/>
      <c r="B65" s="22"/>
      <c r="C65" s="22" t="s">
        <v>268</v>
      </c>
      <c r="D65" s="23"/>
      <c r="E65" s="9"/>
      <c r="F65" s="25">
        <f>Source!AM33</f>
        <v>80.25</v>
      </c>
      <c r="G65" s="24" t="str">
        <f>Source!DE33</f>
        <v/>
      </c>
      <c r="H65" s="9">
        <f>Source!AV33</f>
        <v>1</v>
      </c>
      <c r="I65" s="9">
        <f>IF(Source!BB33&lt;&gt; 0, Source!BB33, 1)</f>
        <v>1</v>
      </c>
      <c r="J65" s="26">
        <f>Source!Q33</f>
        <v>4326.57</v>
      </c>
      <c r="K65" s="26"/>
    </row>
    <row r="66" spans="1:22" ht="14.4" x14ac:dyDescent="0.3">
      <c r="A66" s="21"/>
      <c r="B66" s="22"/>
      <c r="C66" s="22" t="s">
        <v>269</v>
      </c>
      <c r="D66" s="23"/>
      <c r="E66" s="9"/>
      <c r="F66" s="25">
        <f>Source!AN33</f>
        <v>25.84</v>
      </c>
      <c r="G66" s="24" t="str">
        <f>Source!DF33</f>
        <v/>
      </c>
      <c r="H66" s="9">
        <f>Source!AV33</f>
        <v>1</v>
      </c>
      <c r="I66" s="9">
        <f>IF(Source!BS33&lt;&gt; 0, Source!BS33, 1)</f>
        <v>1</v>
      </c>
      <c r="J66" s="31">
        <f>Source!R33</f>
        <v>1393.13</v>
      </c>
      <c r="K66" s="26"/>
    </row>
    <row r="67" spans="1:22" ht="14.4" x14ac:dyDescent="0.3">
      <c r="A67" s="21"/>
      <c r="B67" s="22"/>
      <c r="C67" s="22" t="s">
        <v>272</v>
      </c>
      <c r="D67" s="23" t="s">
        <v>271</v>
      </c>
      <c r="E67" s="9">
        <f>108</f>
        <v>108</v>
      </c>
      <c r="F67" s="25"/>
      <c r="G67" s="24"/>
      <c r="H67" s="9"/>
      <c r="I67" s="9"/>
      <c r="J67" s="26">
        <f>SUM(V63:V66)</f>
        <v>1504.58</v>
      </c>
      <c r="K67" s="26"/>
    </row>
    <row r="68" spans="1:22" ht="13.8" x14ac:dyDescent="0.25">
      <c r="A68" s="28"/>
      <c r="B68" s="28"/>
      <c r="C68" s="28"/>
      <c r="D68" s="28"/>
      <c r="E68" s="28"/>
      <c r="F68" s="28"/>
      <c r="G68" s="28"/>
      <c r="H68" s="28"/>
      <c r="I68" s="89">
        <f>J65+J67</f>
        <v>5831.15</v>
      </c>
      <c r="J68" s="89"/>
      <c r="K68" s="29">
        <f>IF(Source!I33&lt;&gt;0, ROUND(I68/Source!I33, 2), 0)</f>
        <v>108.16</v>
      </c>
      <c r="P68" s="27">
        <f>I68</f>
        <v>5831.15</v>
      </c>
    </row>
    <row r="69" spans="1:22" ht="55.2" x14ac:dyDescent="0.3">
      <c r="A69" s="21" t="str">
        <f>Source!E34</f>
        <v>7</v>
      </c>
      <c r="B69" s="22" t="str">
        <f>Source!F34</f>
        <v>1.49-9201-1-2/1</v>
      </c>
      <c r="C69" s="22" t="str">
        <f>Source!G34</f>
        <v>Перевозка строительного мусора автосамосвалами грузоподъемностью до 10 т на расстояние 1 км - при механизированной погрузке</v>
      </c>
      <c r="D69" s="23" t="str">
        <f>Source!H34</f>
        <v>т</v>
      </c>
      <c r="E69" s="9">
        <f>Source!I34</f>
        <v>53.913600000000002</v>
      </c>
      <c r="F69" s="25"/>
      <c r="G69" s="24"/>
      <c r="H69" s="9"/>
      <c r="I69" s="9"/>
      <c r="J69" s="26"/>
      <c r="K69" s="26"/>
      <c r="M69" s="42" t="s">
        <v>335</v>
      </c>
      <c r="N69" s="30" t="s">
        <v>342</v>
      </c>
      <c r="Q69">
        <f>ROUND((Source!BZ34/100)*ROUND((Source!AF34*Source!AV34)*Source!I34, 2), 2)</f>
        <v>0</v>
      </c>
      <c r="R69">
        <f>Source!X34</f>
        <v>0</v>
      </c>
      <c r="S69">
        <f>ROUND((Source!CA34/100)*ROUND((Source!AF34*Source!AV34)*Source!I34, 2), 2)</f>
        <v>0</v>
      </c>
      <c r="T69">
        <f>Source!Y34</f>
        <v>0</v>
      </c>
      <c r="U69">
        <f>ROUND((175/100)*ROUND((Source!AE34*Source!AV34)*Source!I34, 2), 2)</f>
        <v>2966.32</v>
      </c>
      <c r="V69">
        <f>ROUND((108/100)*ROUND(Source!CS34*Source!I34, 2), 2)</f>
        <v>1830.64</v>
      </c>
    </row>
    <row r="70" spans="1:22" ht="14.4" x14ac:dyDescent="0.3">
      <c r="A70" s="21"/>
      <c r="B70" s="22"/>
      <c r="C70" s="22" t="s">
        <v>268</v>
      </c>
      <c r="D70" s="23"/>
      <c r="E70" s="9"/>
      <c r="F70" s="25">
        <f>Source!AM34</f>
        <v>57.83</v>
      </c>
      <c r="G70" s="24" t="str">
        <f>Source!DE34</f>
        <v/>
      </c>
      <c r="H70" s="9">
        <f>Source!AV34</f>
        <v>1</v>
      </c>
      <c r="I70" s="9">
        <f>IF(Source!BB34&lt;&gt; 0, Source!BB34, 1)</f>
        <v>1</v>
      </c>
      <c r="J70" s="26">
        <f>Source!Q34</f>
        <v>3117.82</v>
      </c>
      <c r="K70" s="26"/>
    </row>
    <row r="71" spans="1:22" ht="14.4" x14ac:dyDescent="0.3">
      <c r="A71" s="21"/>
      <c r="B71" s="22"/>
      <c r="C71" s="22" t="s">
        <v>269</v>
      </c>
      <c r="D71" s="23"/>
      <c r="E71" s="9"/>
      <c r="F71" s="25">
        <f>Source!AN34</f>
        <v>31.44</v>
      </c>
      <c r="G71" s="24" t="str">
        <f>Source!DF34</f>
        <v/>
      </c>
      <c r="H71" s="9">
        <f>Source!AV34</f>
        <v>1</v>
      </c>
      <c r="I71" s="9">
        <f>IF(Source!BS34&lt;&gt; 0, Source!BS34, 1)</f>
        <v>1</v>
      </c>
      <c r="J71" s="31">
        <f>Source!R34</f>
        <v>1695.04</v>
      </c>
      <c r="K71" s="26"/>
    </row>
    <row r="72" spans="1:22" ht="13.8" x14ac:dyDescent="0.25">
      <c r="A72" s="28"/>
      <c r="B72" s="28"/>
      <c r="C72" s="28"/>
      <c r="D72" s="28"/>
      <c r="E72" s="28"/>
      <c r="F72" s="28"/>
      <c r="G72" s="28"/>
      <c r="H72" s="28"/>
      <c r="I72" s="89">
        <f>J70</f>
        <v>3117.82</v>
      </c>
      <c r="J72" s="89"/>
      <c r="K72" s="29">
        <f>IF(Source!I34&lt;&gt;0, ROUND(I72/Source!I34, 2), 0)</f>
        <v>57.83</v>
      </c>
      <c r="P72" s="27">
        <f>I72</f>
        <v>3117.82</v>
      </c>
    </row>
    <row r="73" spans="1:22" ht="55.2" x14ac:dyDescent="0.3">
      <c r="A73" s="21" t="str">
        <f>Source!E35</f>
        <v>8</v>
      </c>
      <c r="B73" s="22" t="str">
        <f>Source!F35</f>
        <v>1.49-9201-1-3/1</v>
      </c>
      <c r="C73" s="22" t="str">
        <f>Source!G35</f>
        <v>Перевозка строительного мусора автосамосвалами грузоподъемностью до 10 т - добавляется на каждый последующий 1 км до 100 км</v>
      </c>
      <c r="D73" s="23" t="str">
        <f>Source!H35</f>
        <v>т</v>
      </c>
      <c r="E73" s="9">
        <f>Source!I35</f>
        <v>53.913600000000002</v>
      </c>
      <c r="F73" s="25"/>
      <c r="G73" s="24"/>
      <c r="H73" s="9"/>
      <c r="I73" s="9"/>
      <c r="J73" s="26"/>
      <c r="K73" s="26"/>
      <c r="M73" s="42" t="s">
        <v>335</v>
      </c>
      <c r="N73" s="30" t="s">
        <v>342</v>
      </c>
      <c r="Q73">
        <f>ROUND((Source!BZ35/100)*ROUND((Source!AF35*Source!AV35)*Source!I35, 2), 2)</f>
        <v>0</v>
      </c>
      <c r="R73">
        <f>Source!X35</f>
        <v>0</v>
      </c>
      <c r="S73">
        <f>ROUND((Source!CA35/100)*ROUND((Source!AF35*Source!AV35)*Source!I35, 2), 2)</f>
        <v>0</v>
      </c>
      <c r="T73">
        <f>Source!Y35</f>
        <v>0</v>
      </c>
      <c r="U73">
        <f>ROUND((175/100)*ROUND((Source!AE35*Source!AV35)*Source!I35, 2), 2)</f>
        <v>73052.39</v>
      </c>
      <c r="V73">
        <f>ROUND((108/100)*ROUND(Source!CS35*Source!I35, 2), 2)</f>
        <v>45083.76</v>
      </c>
    </row>
    <row r="74" spans="1:22" ht="14.4" x14ac:dyDescent="0.3">
      <c r="A74" s="21"/>
      <c r="B74" s="22"/>
      <c r="C74" s="22" t="s">
        <v>268</v>
      </c>
      <c r="D74" s="23"/>
      <c r="E74" s="9"/>
      <c r="F74" s="25">
        <f>Source!AM35</f>
        <v>27.39</v>
      </c>
      <c r="G74" s="24" t="str">
        <f>Source!DE35</f>
        <v>*52</v>
      </c>
      <c r="H74" s="9">
        <f>Source!AV35</f>
        <v>1</v>
      </c>
      <c r="I74" s="9">
        <f>IF(Source!BB35&lt;&gt; 0, Source!BB35, 1)</f>
        <v>1</v>
      </c>
      <c r="J74" s="26">
        <f>Source!Q35</f>
        <v>76788.06</v>
      </c>
      <c r="K74" s="26"/>
    </row>
    <row r="75" spans="1:22" ht="14.4" x14ac:dyDescent="0.3">
      <c r="A75" s="21"/>
      <c r="B75" s="22"/>
      <c r="C75" s="22" t="s">
        <v>269</v>
      </c>
      <c r="D75" s="23"/>
      <c r="E75" s="9"/>
      <c r="F75" s="25">
        <f>Source!AN35</f>
        <v>14.89</v>
      </c>
      <c r="G75" s="24" t="str">
        <f>Source!DF35</f>
        <v>*52</v>
      </c>
      <c r="H75" s="9">
        <f>Source!AV35</f>
        <v>1</v>
      </c>
      <c r="I75" s="9">
        <f>IF(Source!BS35&lt;&gt; 0, Source!BS35, 1)</f>
        <v>1</v>
      </c>
      <c r="J75" s="31">
        <f>Source!R35</f>
        <v>41744.22</v>
      </c>
      <c r="K75" s="26"/>
    </row>
    <row r="76" spans="1:22" ht="13.8" x14ac:dyDescent="0.25">
      <c r="A76" s="28"/>
      <c r="B76" s="28"/>
      <c r="C76" s="28"/>
      <c r="D76" s="28"/>
      <c r="E76" s="28"/>
      <c r="F76" s="28"/>
      <c r="G76" s="28"/>
      <c r="H76" s="28"/>
      <c r="I76" s="89">
        <f>J74</f>
        <v>76788.06</v>
      </c>
      <c r="J76" s="89"/>
      <c r="K76" s="29">
        <f>IF(Source!I35&lt;&gt;0, ROUND(I76/Source!I35, 2), 0)</f>
        <v>1424.28</v>
      </c>
      <c r="P76" s="27">
        <f>I76</f>
        <v>76788.06</v>
      </c>
    </row>
    <row r="77" spans="1:22" ht="69" x14ac:dyDescent="0.3">
      <c r="A77" s="21" t="str">
        <f>Source!E36</f>
        <v>9</v>
      </c>
      <c r="B77" s="22" t="str">
        <f>Source!F36</f>
        <v>Цена по экспертному заключению №0097-6-1-2-110221)</v>
      </c>
      <c r="C77" s="22" t="s">
        <v>275</v>
      </c>
      <c r="D77" s="23" t="str">
        <f>Source!H36</f>
        <v>т</v>
      </c>
      <c r="E77" s="9">
        <f>Source!I36</f>
        <v>53.913600000000002</v>
      </c>
      <c r="F77" s="25">
        <f>Source!AL36</f>
        <v>150.61000000000001</v>
      </c>
      <c r="G77" s="24" t="str">
        <f>Source!DD36</f>
        <v/>
      </c>
      <c r="H77" s="9">
        <f>Source!AW36</f>
        <v>1</v>
      </c>
      <c r="I77" s="9">
        <f>IF(Source!BC36&lt;&gt; 0, Source!BC36, 1)</f>
        <v>1</v>
      </c>
      <c r="J77" s="26">
        <f>Source!P36</f>
        <v>8119.93</v>
      </c>
      <c r="K77" s="26"/>
      <c r="M77" s="42" t="s">
        <v>335</v>
      </c>
      <c r="N77" s="30" t="s">
        <v>342</v>
      </c>
      <c r="Q77">
        <f>ROUND((Source!BZ36/100)*ROUND((Source!AF36*Source!AV36)*Source!I36, 2), 2)</f>
        <v>0</v>
      </c>
      <c r="R77">
        <f>Source!X36</f>
        <v>0</v>
      </c>
      <c r="S77">
        <f>ROUND((Source!CA36/100)*ROUND((Source!AF36*Source!AV36)*Source!I36, 2), 2)</f>
        <v>0</v>
      </c>
      <c r="T77">
        <f>Source!Y36</f>
        <v>0</v>
      </c>
      <c r="U77">
        <f>ROUND((175/100)*ROUND((Source!AE36*Source!AV36)*Source!I36, 2), 2)</f>
        <v>0</v>
      </c>
      <c r="V77">
        <f>ROUND((108/100)*ROUND(Source!CS36*Source!I36, 2), 2)</f>
        <v>0</v>
      </c>
    </row>
    <row r="78" spans="1:22" ht="13.8" x14ac:dyDescent="0.25">
      <c r="A78" s="28"/>
      <c r="B78" s="28"/>
      <c r="C78" s="28"/>
      <c r="D78" s="28"/>
      <c r="E78" s="28"/>
      <c r="F78" s="28"/>
      <c r="G78" s="28"/>
      <c r="H78" s="28"/>
      <c r="I78" s="89">
        <f>J77</f>
        <v>8119.93</v>
      </c>
      <c r="J78" s="89"/>
      <c r="K78" s="29">
        <f>IF(Source!I36&lt;&gt;0, ROUND(I78/Source!I36, 2), 0)</f>
        <v>150.61000000000001</v>
      </c>
      <c r="P78" s="27">
        <f>I78</f>
        <v>8119.93</v>
      </c>
    </row>
    <row r="79" spans="1:22" ht="41.4" x14ac:dyDescent="0.3">
      <c r="A79" s="21" t="str">
        <f>Source!E37</f>
        <v>10</v>
      </c>
      <c r="B79" s="22" t="str">
        <f>Source!F37</f>
        <v>2.1-3303-1-2/1</v>
      </c>
      <c r="C79" s="22" t="str">
        <f>Source!G37</f>
        <v>Устройство подстилающих и выравнивающих слоев оснований из щебня</v>
      </c>
      <c r="D79" s="23" t="str">
        <f>Source!H37</f>
        <v>100 м3</v>
      </c>
      <c r="E79" s="9">
        <f>Source!I37</f>
        <v>6.4000000000000001E-2</v>
      </c>
      <c r="F79" s="25"/>
      <c r="G79" s="24"/>
      <c r="H79" s="9"/>
      <c r="I79" s="9"/>
      <c r="J79" s="26"/>
      <c r="K79" s="26"/>
      <c r="M79" s="42" t="s">
        <v>335</v>
      </c>
      <c r="N79" s="30" t="s">
        <v>342</v>
      </c>
      <c r="Q79">
        <f>ROUND((Source!BZ37/100)*ROUND((Source!AF37*Source!AV37)*Source!I37, 2), 2)</f>
        <v>208.29</v>
      </c>
      <c r="R79">
        <f>Source!X37</f>
        <v>208.29</v>
      </c>
      <c r="S79">
        <f>ROUND((Source!CA37/100)*ROUND((Source!AF37*Source!AV37)*Source!I37, 2), 2)</f>
        <v>29.76</v>
      </c>
      <c r="T79">
        <f>Source!Y37</f>
        <v>29.76</v>
      </c>
      <c r="U79">
        <f>ROUND((175/100)*ROUND((Source!AE37*Source!AV37)*Source!I37, 2), 2)</f>
        <v>2376.1</v>
      </c>
      <c r="V79">
        <f>ROUND((108/100)*ROUND(Source!CS37*Source!I37, 2), 2)</f>
        <v>1466.39</v>
      </c>
    </row>
    <row r="80" spans="1:22" x14ac:dyDescent="0.25">
      <c r="C80" s="30" t="str">
        <f>"Объем: "&amp;Source!I37&amp;"="&amp;Source!I28&amp;"*"&amp;"0,02/"&amp;"100"</f>
        <v>Объем: 0.064=320*0,02/100</v>
      </c>
    </row>
    <row r="81" spans="1:41" ht="14.4" x14ac:dyDescent="0.3">
      <c r="A81" s="21"/>
      <c r="B81" s="22"/>
      <c r="C81" s="22" t="s">
        <v>267</v>
      </c>
      <c r="D81" s="23"/>
      <c r="E81" s="9"/>
      <c r="F81" s="25">
        <f>Source!AO37</f>
        <v>4649.3</v>
      </c>
      <c r="G81" s="24" t="str">
        <f>Source!DG37</f>
        <v/>
      </c>
      <c r="H81" s="9">
        <f>Source!AV37</f>
        <v>1</v>
      </c>
      <c r="I81" s="9">
        <f>IF(Source!BA37&lt;&gt; 0, Source!BA37, 1)</f>
        <v>1</v>
      </c>
      <c r="J81" s="26">
        <f>Source!S37</f>
        <v>297.56</v>
      </c>
      <c r="K81" s="26"/>
    </row>
    <row r="82" spans="1:41" ht="14.4" x14ac:dyDescent="0.3">
      <c r="A82" s="21"/>
      <c r="B82" s="22"/>
      <c r="C82" s="22" t="s">
        <v>268</v>
      </c>
      <c r="D82" s="23"/>
      <c r="E82" s="9"/>
      <c r="F82" s="25">
        <f>Source!AM37</f>
        <v>53736.02</v>
      </c>
      <c r="G82" s="24" t="str">
        <f>Source!DE37</f>
        <v/>
      </c>
      <c r="H82" s="9">
        <f>Source!AV37</f>
        <v>1</v>
      </c>
      <c r="I82" s="9">
        <f>IF(Source!BB37&lt;&gt; 0, Source!BB37, 1)</f>
        <v>1</v>
      </c>
      <c r="J82" s="26">
        <f>Source!Q37</f>
        <v>3439.11</v>
      </c>
      <c r="K82" s="26"/>
    </row>
    <row r="83" spans="1:41" ht="14.4" x14ac:dyDescent="0.3">
      <c r="A83" s="21"/>
      <c r="B83" s="22"/>
      <c r="C83" s="22" t="s">
        <v>269</v>
      </c>
      <c r="D83" s="23"/>
      <c r="E83" s="9"/>
      <c r="F83" s="25">
        <f>Source!AN37</f>
        <v>21215.13</v>
      </c>
      <c r="G83" s="24" t="str">
        <f>Source!DF37</f>
        <v/>
      </c>
      <c r="H83" s="9">
        <f>Source!AV37</f>
        <v>1</v>
      </c>
      <c r="I83" s="9">
        <f>IF(Source!BS37&lt;&gt; 0, Source!BS37, 1)</f>
        <v>1</v>
      </c>
      <c r="J83" s="31">
        <f>Source!R37</f>
        <v>1357.77</v>
      </c>
      <c r="K83" s="26"/>
    </row>
    <row r="84" spans="1:41" ht="14.4" x14ac:dyDescent="0.3">
      <c r="A84" s="21"/>
      <c r="B84" s="22"/>
      <c r="C84" s="22" t="s">
        <v>276</v>
      </c>
      <c r="D84" s="23"/>
      <c r="E84" s="9"/>
      <c r="F84" s="25">
        <f>Source!AL37</f>
        <v>222479.25</v>
      </c>
      <c r="G84" s="24" t="str">
        <f>Source!DD37</f>
        <v/>
      </c>
      <c r="H84" s="9">
        <f>Source!AW37</f>
        <v>1</v>
      </c>
      <c r="I84" s="9">
        <f>IF(Source!BC37&lt;&gt; 0, Source!BC37, 1)</f>
        <v>1</v>
      </c>
      <c r="J84" s="26">
        <f>Source!P37</f>
        <v>14238.67</v>
      </c>
      <c r="K84" s="26"/>
    </row>
    <row r="85" spans="1:41" ht="14.4" x14ac:dyDescent="0.3">
      <c r="A85" s="21"/>
      <c r="B85" s="22"/>
      <c r="C85" s="22" t="s">
        <v>270</v>
      </c>
      <c r="D85" s="23" t="s">
        <v>271</v>
      </c>
      <c r="E85" s="9">
        <f>Source!AT37</f>
        <v>70</v>
      </c>
      <c r="F85" s="25"/>
      <c r="G85" s="24"/>
      <c r="H85" s="9"/>
      <c r="I85" s="9"/>
      <c r="J85" s="26">
        <f>SUM(R79:R84)</f>
        <v>208.29</v>
      </c>
      <c r="K85" s="26"/>
    </row>
    <row r="86" spans="1:41" ht="14.4" x14ac:dyDescent="0.3">
      <c r="A86" s="21"/>
      <c r="B86" s="22"/>
      <c r="C86" s="22" t="s">
        <v>147</v>
      </c>
      <c r="D86" s="23" t="s">
        <v>271</v>
      </c>
      <c r="E86" s="9">
        <f>Source!AU37</f>
        <v>10</v>
      </c>
      <c r="F86" s="25"/>
      <c r="G86" s="24"/>
      <c r="H86" s="9"/>
      <c r="I86" s="9"/>
      <c r="J86" s="26">
        <f>SUM(T79:T85)</f>
        <v>29.76</v>
      </c>
      <c r="K86" s="26"/>
    </row>
    <row r="87" spans="1:41" ht="14.4" x14ac:dyDescent="0.3">
      <c r="A87" s="21"/>
      <c r="B87" s="22"/>
      <c r="C87" s="22" t="s">
        <v>272</v>
      </c>
      <c r="D87" s="23" t="s">
        <v>271</v>
      </c>
      <c r="E87" s="9">
        <f>108</f>
        <v>108</v>
      </c>
      <c r="F87" s="25"/>
      <c r="G87" s="24"/>
      <c r="H87" s="9"/>
      <c r="I87" s="9"/>
      <c r="J87" s="26">
        <f>SUM(V79:V86)</f>
        <v>1466.39</v>
      </c>
      <c r="K87" s="26"/>
    </row>
    <row r="88" spans="1:41" ht="14.4" x14ac:dyDescent="0.3">
      <c r="A88" s="21"/>
      <c r="B88" s="22"/>
      <c r="C88" s="22" t="s">
        <v>273</v>
      </c>
      <c r="D88" s="23" t="s">
        <v>274</v>
      </c>
      <c r="E88" s="9">
        <f>Source!AQ37</f>
        <v>24.84</v>
      </c>
      <c r="F88" s="25"/>
      <c r="G88" s="24" t="str">
        <f>Source!DI37</f>
        <v/>
      </c>
      <c r="H88" s="9">
        <f>Source!AV37</f>
        <v>1</v>
      </c>
      <c r="I88" s="9"/>
      <c r="J88" s="26"/>
      <c r="K88" s="26">
        <f>Source!U37</f>
        <v>1.5897600000000001</v>
      </c>
    </row>
    <row r="89" spans="1:41" ht="13.8" x14ac:dyDescent="0.25">
      <c r="A89" s="28"/>
      <c r="B89" s="28"/>
      <c r="C89" s="28"/>
      <c r="D89" s="28"/>
      <c r="E89" s="28"/>
      <c r="F89" s="28"/>
      <c r="G89" s="28"/>
      <c r="H89" s="28"/>
      <c r="I89" s="89">
        <f>J81+J82+J84+J85+J86+J87</f>
        <v>19679.78</v>
      </c>
      <c r="J89" s="89"/>
      <c r="K89" s="29">
        <f>IF(Source!I37&lt;&gt;0, ROUND(I89/Source!I37, 2), 0)</f>
        <v>307496.56</v>
      </c>
      <c r="N89" s="60" t="s">
        <v>320</v>
      </c>
      <c r="O89" s="61"/>
      <c r="P89" s="62">
        <f>I89</f>
        <v>19679.78</v>
      </c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 t="s">
        <v>346</v>
      </c>
      <c r="AL89" s="61" t="s">
        <v>347</v>
      </c>
      <c r="AM89" s="61" t="s">
        <v>348</v>
      </c>
      <c r="AN89" s="61" t="s">
        <v>349</v>
      </c>
      <c r="AO89" s="63" t="s">
        <v>350</v>
      </c>
    </row>
    <row r="90" spans="1:41" ht="69" x14ac:dyDescent="0.3">
      <c r="A90" s="46" t="str">
        <f>Source!E38</f>
        <v>11</v>
      </c>
      <c r="B90" s="47" t="str">
        <f>Source!F38</f>
        <v>2.1-3103-19-4/1</v>
      </c>
      <c r="C90" s="47" t="str">
        <f>Source!G38</f>
        <v>Устройство асфальтобетонных покрытий дорожек и тротуаров двухслойных, верхний слой из песчаной асфальтобетонной смеси толщиной 3 см (толщиной 5см)</v>
      </c>
      <c r="D90" s="48" t="s">
        <v>38</v>
      </c>
      <c r="E90" s="49">
        <f>Source!I38</f>
        <v>3.2</v>
      </c>
      <c r="F90" s="50"/>
      <c r="G90" s="51"/>
      <c r="H90" s="49"/>
      <c r="I90" s="49"/>
      <c r="J90" s="52"/>
      <c r="K90" s="52"/>
      <c r="L90" s="59" t="s">
        <v>331</v>
      </c>
      <c r="M90" s="58" t="s">
        <v>335</v>
      </c>
      <c r="N90" s="64" t="s">
        <v>344</v>
      </c>
      <c r="O90" s="56"/>
      <c r="P90" s="56"/>
      <c r="Q90" s="56">
        <f>ROUND((Source!BZ38/100)*ROUND((Source!AF38*Source!AV38)*Source!I38, 2), 2)</f>
        <v>5275.18</v>
      </c>
      <c r="R90" s="56">
        <f>Source!X38</f>
        <v>5275.18</v>
      </c>
      <c r="S90" s="56">
        <f>ROUND((Source!CA38/100)*ROUND((Source!AF38*Source!AV38)*Source!I38, 2), 2)</f>
        <v>753.6</v>
      </c>
      <c r="T90" s="56">
        <f>Source!Y38</f>
        <v>753.6</v>
      </c>
      <c r="U90" s="56">
        <f>ROUND((175/100)*ROUND((Source!AE38*Source!AV38)*Source!I38, 2), 2)</f>
        <v>2641.63</v>
      </c>
      <c r="V90" s="56">
        <f>ROUND((108/100)*ROUND(Source!CS38*Source!I38, 2), 2)</f>
        <v>1630.26</v>
      </c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65">
        <v>320</v>
      </c>
      <c r="AL90" s="65" t="s">
        <v>345</v>
      </c>
      <c r="AM90" s="66">
        <f>I102+I89+I78+I76+I72+I68+I55+I48</f>
        <v>253079.41999999998</v>
      </c>
      <c r="AN90" s="67" t="s">
        <v>333</v>
      </c>
      <c r="AO90" s="68" t="s">
        <v>351</v>
      </c>
    </row>
    <row r="91" spans="1:41" x14ac:dyDescent="0.25">
      <c r="C91" s="30" t="str">
        <f>"Объем: "&amp;Source!I38&amp;"="&amp;Source!I28&amp;"/"&amp;"100"</f>
        <v>Объем: 3.2=320/100</v>
      </c>
      <c r="AK91" s="42" t="s">
        <v>360</v>
      </c>
      <c r="AM91">
        <f>AM90*N169</f>
        <v>277686.39383283642</v>
      </c>
    </row>
    <row r="92" spans="1:41" ht="14.4" x14ac:dyDescent="0.3">
      <c r="A92" s="21"/>
      <c r="B92" s="22"/>
      <c r="C92" s="22" t="s">
        <v>267</v>
      </c>
      <c r="D92" s="23"/>
      <c r="E92" s="9"/>
      <c r="F92" s="25">
        <f>Source!AO38</f>
        <v>2354.9899999999998</v>
      </c>
      <c r="G92" s="24" t="str">
        <f>Source!DG38</f>
        <v/>
      </c>
      <c r="H92" s="9">
        <f>Source!AV38</f>
        <v>1</v>
      </c>
      <c r="I92" s="9">
        <f>IF(Source!BA38&lt;&gt; 0, Source!BA38, 1)</f>
        <v>1</v>
      </c>
      <c r="J92" s="26">
        <f>Source!S38</f>
        <v>7535.97</v>
      </c>
      <c r="K92" s="26"/>
    </row>
    <row r="93" spans="1:41" ht="14.4" x14ac:dyDescent="0.3">
      <c r="A93" s="21"/>
      <c r="B93" s="22"/>
      <c r="C93" s="22" t="s">
        <v>268</v>
      </c>
      <c r="D93" s="23"/>
      <c r="E93" s="9"/>
      <c r="F93" s="25">
        <f>Source!AM38</f>
        <v>1123.06</v>
      </c>
      <c r="G93" s="24" t="str">
        <f>Source!DE38</f>
        <v/>
      </c>
      <c r="H93" s="9">
        <f>Source!AV38</f>
        <v>1</v>
      </c>
      <c r="I93" s="9">
        <f>IF(Source!BB38&lt;&gt; 0, Source!BB38, 1)</f>
        <v>1</v>
      </c>
      <c r="J93" s="26">
        <f>Source!Q38</f>
        <v>3593.79</v>
      </c>
      <c r="K93" s="26"/>
    </row>
    <row r="94" spans="1:41" ht="14.4" x14ac:dyDescent="0.3">
      <c r="A94" s="21"/>
      <c r="B94" s="22"/>
      <c r="C94" s="22" t="s">
        <v>269</v>
      </c>
      <c r="D94" s="23"/>
      <c r="E94" s="9"/>
      <c r="F94" s="25">
        <f>Source!AN38</f>
        <v>471.72</v>
      </c>
      <c r="G94" s="24" t="str">
        <f>Source!DF38</f>
        <v/>
      </c>
      <c r="H94" s="9">
        <f>Source!AV38</f>
        <v>1</v>
      </c>
      <c r="I94" s="9">
        <f>IF(Source!BS38&lt;&gt; 0, Source!BS38, 1)</f>
        <v>1</v>
      </c>
      <c r="J94" s="31">
        <f>Source!R38</f>
        <v>1509.5</v>
      </c>
      <c r="K94" s="26"/>
    </row>
    <row r="95" spans="1:41" ht="14.4" x14ac:dyDescent="0.3">
      <c r="A95" s="21"/>
      <c r="B95" s="22"/>
      <c r="C95" s="22" t="s">
        <v>276</v>
      </c>
      <c r="D95" s="23"/>
      <c r="E95" s="9"/>
      <c r="F95" s="25">
        <f>Source!AL38</f>
        <v>20488.849999999999</v>
      </c>
      <c r="G95" s="24" t="str">
        <f>Source!DD38</f>
        <v/>
      </c>
      <c r="H95" s="9">
        <f>Source!AW38</f>
        <v>1</v>
      </c>
      <c r="I95" s="9">
        <f>IF(Source!BC38&lt;&gt; 0, Source!BC38, 1)</f>
        <v>1</v>
      </c>
      <c r="J95" s="26">
        <f>Source!P38</f>
        <v>65564.320000000007</v>
      </c>
      <c r="K95" s="26"/>
    </row>
    <row r="96" spans="1:41" ht="27.6" x14ac:dyDescent="0.3">
      <c r="A96" s="21" t="str">
        <f>Source!E39</f>
        <v>11,1</v>
      </c>
      <c r="B96" s="22" t="str">
        <f>Source!F39</f>
        <v>21.3-3-34</v>
      </c>
      <c r="C96" s="22" t="str">
        <f>Source!G39</f>
        <v>Смеси асфальтобетонные дорожные горячие песчаные, тип Д, марка III</v>
      </c>
      <c r="D96" s="23" t="str">
        <f>Source!H39</f>
        <v>т</v>
      </c>
      <c r="E96" s="9">
        <f>Source!I39</f>
        <v>-22.847999999999999</v>
      </c>
      <c r="F96" s="25">
        <f>Source!AK39</f>
        <v>2652.04</v>
      </c>
      <c r="G96" s="32" t="s">
        <v>3</v>
      </c>
      <c r="H96" s="9">
        <f>Source!AW39</f>
        <v>1</v>
      </c>
      <c r="I96" s="9">
        <f>IF(Source!BC39&lt;&gt; 0, Source!BC39, 1)</f>
        <v>1</v>
      </c>
      <c r="J96" s="26">
        <f>Source!O39</f>
        <v>-60593.81</v>
      </c>
      <c r="K96" s="26"/>
      <c r="Q96">
        <f>ROUND((Source!BZ39/100)*ROUND((Source!AF39*Source!AV39)*Source!I39, 2), 2)</f>
        <v>0</v>
      </c>
      <c r="R96">
        <f>Source!X39</f>
        <v>0</v>
      </c>
      <c r="S96">
        <f>ROUND((Source!CA39/100)*ROUND((Source!AF39*Source!AV39)*Source!I39, 2), 2)</f>
        <v>0</v>
      </c>
      <c r="T96">
        <f>Source!Y39</f>
        <v>0</v>
      </c>
      <c r="U96">
        <f>ROUND((175/100)*ROUND((Source!AE39*Source!AV39)*Source!I39, 2), 2)</f>
        <v>0</v>
      </c>
      <c r="V96">
        <f>ROUND((108/100)*ROUND(Source!CS39*Source!I39, 2), 2)</f>
        <v>0</v>
      </c>
    </row>
    <row r="97" spans="1:41" ht="27.6" x14ac:dyDescent="0.3">
      <c r="A97" s="21" t="str">
        <f>Source!E40</f>
        <v>11,2</v>
      </c>
      <c r="B97" s="22" t="str">
        <f>Source!F40</f>
        <v>21.3-3-34</v>
      </c>
      <c r="C97" s="22" t="str">
        <f>Source!G40</f>
        <v>Смеси асфальтобетонные дорожные горячие песчаные, тип Д, марка III</v>
      </c>
      <c r="D97" s="23" t="str">
        <f>Source!H40</f>
        <v>т</v>
      </c>
      <c r="E97" s="9">
        <f>Source!I40</f>
        <v>37.344000000000001</v>
      </c>
      <c r="F97" s="25">
        <f>Source!AK40</f>
        <v>2652.04</v>
      </c>
      <c r="G97" s="32" t="s">
        <v>3</v>
      </c>
      <c r="H97" s="9">
        <f>Source!AW40</f>
        <v>1</v>
      </c>
      <c r="I97" s="9">
        <f>IF(Source!BC40&lt;&gt; 0, Source!BC40, 1)</f>
        <v>1</v>
      </c>
      <c r="J97" s="26">
        <f>Source!O40</f>
        <v>99037.78</v>
      </c>
      <c r="K97" s="26"/>
      <c r="Q97">
        <f>ROUND((Source!BZ40/100)*ROUND((Source!AF40*Source!AV40)*Source!I40, 2), 2)</f>
        <v>0</v>
      </c>
      <c r="R97">
        <f>Source!X40</f>
        <v>0</v>
      </c>
      <c r="S97">
        <f>ROUND((Source!CA40/100)*ROUND((Source!AF40*Source!AV40)*Source!I40, 2), 2)</f>
        <v>0</v>
      </c>
      <c r="T97">
        <f>Source!Y40</f>
        <v>0</v>
      </c>
      <c r="U97">
        <f>ROUND((175/100)*ROUND((Source!AE40*Source!AV40)*Source!I40, 2), 2)</f>
        <v>0</v>
      </c>
      <c r="V97">
        <f>ROUND((108/100)*ROUND(Source!CS40*Source!I40, 2), 2)</f>
        <v>0</v>
      </c>
    </row>
    <row r="98" spans="1:41" ht="14.4" x14ac:dyDescent="0.3">
      <c r="A98" s="21"/>
      <c r="B98" s="22"/>
      <c r="C98" s="22" t="s">
        <v>270</v>
      </c>
      <c r="D98" s="23" t="s">
        <v>271</v>
      </c>
      <c r="E98" s="9">
        <f>Source!AT38</f>
        <v>70</v>
      </c>
      <c r="F98" s="25"/>
      <c r="G98" s="24"/>
      <c r="H98" s="9"/>
      <c r="I98" s="9"/>
      <c r="J98" s="26">
        <f>SUM(R90:R97)</f>
        <v>5275.18</v>
      </c>
      <c r="K98" s="26"/>
    </row>
    <row r="99" spans="1:41" ht="14.4" x14ac:dyDescent="0.3">
      <c r="A99" s="21"/>
      <c r="B99" s="22"/>
      <c r="C99" s="22" t="s">
        <v>147</v>
      </c>
      <c r="D99" s="23" t="s">
        <v>271</v>
      </c>
      <c r="E99" s="9">
        <f>Source!AU38</f>
        <v>10</v>
      </c>
      <c r="F99" s="25"/>
      <c r="G99" s="24"/>
      <c r="H99" s="9"/>
      <c r="I99" s="9"/>
      <c r="J99" s="26">
        <f>SUM(T90:T98)</f>
        <v>753.6</v>
      </c>
      <c r="K99" s="26"/>
    </row>
    <row r="100" spans="1:41" ht="14.4" x14ac:dyDescent="0.3">
      <c r="A100" s="21"/>
      <c r="B100" s="22"/>
      <c r="C100" s="22" t="s">
        <v>272</v>
      </c>
      <c r="D100" s="23" t="s">
        <v>271</v>
      </c>
      <c r="E100" s="9">
        <f>108</f>
        <v>108</v>
      </c>
      <c r="F100" s="25"/>
      <c r="G100" s="24"/>
      <c r="H100" s="9"/>
      <c r="I100" s="9"/>
      <c r="J100" s="26">
        <f>SUM(V90:V99)</f>
        <v>1630.26</v>
      </c>
      <c r="K100" s="26"/>
    </row>
    <row r="101" spans="1:41" ht="14.4" x14ac:dyDescent="0.3">
      <c r="A101" s="21"/>
      <c r="B101" s="22"/>
      <c r="C101" s="22" t="s">
        <v>273</v>
      </c>
      <c r="D101" s="23" t="s">
        <v>274</v>
      </c>
      <c r="E101" s="9">
        <f>Source!AQ38</f>
        <v>10.3</v>
      </c>
      <c r="F101" s="25"/>
      <c r="G101" s="24" t="str">
        <f>Source!DI38</f>
        <v/>
      </c>
      <c r="H101" s="9">
        <f>Source!AV38</f>
        <v>1</v>
      </c>
      <c r="I101" s="9"/>
      <c r="J101" s="26"/>
      <c r="K101" s="26">
        <f>Source!U38</f>
        <v>32.96</v>
      </c>
    </row>
    <row r="102" spans="1:41" ht="13.8" x14ac:dyDescent="0.25">
      <c r="A102" s="28"/>
      <c r="B102" s="28"/>
      <c r="C102" s="28"/>
      <c r="D102" s="28"/>
      <c r="E102" s="28"/>
      <c r="F102" s="28"/>
      <c r="G102" s="28"/>
      <c r="H102" s="28"/>
      <c r="I102" s="89">
        <f>J92+J93+J95+J98+J99+J100+SUM(J96:J97)</f>
        <v>122797.09000000001</v>
      </c>
      <c r="J102" s="89"/>
      <c r="K102" s="29">
        <f>IF(Source!I38&lt;&gt;0, ROUND(I102/Source!I38, 2), 0)</f>
        <v>38374.089999999997</v>
      </c>
      <c r="N102" s="60" t="s">
        <v>320</v>
      </c>
      <c r="O102" s="61"/>
      <c r="P102" s="62">
        <f>I102</f>
        <v>122797.09000000001</v>
      </c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 t="s">
        <v>346</v>
      </c>
      <c r="AL102" s="61" t="s">
        <v>347</v>
      </c>
      <c r="AM102" s="61" t="s">
        <v>348</v>
      </c>
      <c r="AN102" s="61" t="s">
        <v>349</v>
      </c>
      <c r="AO102" s="63" t="s">
        <v>350</v>
      </c>
    </row>
    <row r="103" spans="1:41" ht="66" x14ac:dyDescent="0.3">
      <c r="A103" s="46" t="str">
        <f>Source!E41</f>
        <v>12</v>
      </c>
      <c r="B103" s="47" t="str">
        <f>Source!F41</f>
        <v>2.1-3203-1-2/1</v>
      </c>
      <c r="C103" s="47" t="str">
        <f>Source!G41</f>
        <v>Установка бортовых камней бетонных марки БР 100.30.15 при других видах покрытий</v>
      </c>
      <c r="D103" s="48" t="str">
        <f>Source!H41</f>
        <v>100 м</v>
      </c>
      <c r="E103" s="49">
        <f>Source!I41</f>
        <v>3.24</v>
      </c>
      <c r="F103" s="50"/>
      <c r="G103" s="51"/>
      <c r="H103" s="49"/>
      <c r="I103" s="49"/>
      <c r="J103" s="52"/>
      <c r="K103" s="52"/>
      <c r="M103" s="58" t="s">
        <v>335</v>
      </c>
      <c r="N103" s="69" t="s">
        <v>358</v>
      </c>
      <c r="O103" s="70"/>
      <c r="P103" s="70"/>
      <c r="Q103" s="70">
        <f>ROUND((Source!BZ41/100)*ROUND((Source!AF41*Source!AV41)*Source!I41, 2), 2)</f>
        <v>36024.53</v>
      </c>
      <c r="R103" s="70">
        <f>Source!X41</f>
        <v>36024.53</v>
      </c>
      <c r="S103" s="70">
        <f>ROUND((Source!CA41/100)*ROUND((Source!AF41*Source!AV41)*Source!I41, 2), 2)</f>
        <v>5146.3599999999997</v>
      </c>
      <c r="T103" s="70">
        <f>Source!Y41</f>
        <v>5146.3599999999997</v>
      </c>
      <c r="U103" s="70">
        <f>ROUND((175/100)*ROUND((Source!AE41*Source!AV41)*Source!I41, 2), 2)</f>
        <v>0</v>
      </c>
      <c r="V103" s="70">
        <f>ROUND((108/100)*ROUND(Source!CS41*Source!I41, 2), 2)</f>
        <v>0</v>
      </c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1">
        <v>324</v>
      </c>
      <c r="AL103" s="65" t="s">
        <v>89</v>
      </c>
      <c r="AM103" s="73">
        <f>I112+I62</f>
        <v>375456.27999999997</v>
      </c>
      <c r="AN103" s="67" t="s">
        <v>333</v>
      </c>
      <c r="AO103" s="72" t="s">
        <v>352</v>
      </c>
    </row>
    <row r="104" spans="1:41" ht="13.8" x14ac:dyDescent="0.25">
      <c r="C104" s="30" t="str">
        <f>"Объем: "&amp;Source!I41&amp;"="&amp;Source!I29&amp;"/"&amp;"100"</f>
        <v>Объем: 3.24=324/100</v>
      </c>
      <c r="AK104" s="42" t="s">
        <v>360</v>
      </c>
      <c r="AM104" s="73">
        <f>AM103*N169</f>
        <v>411961.98582678789</v>
      </c>
    </row>
    <row r="105" spans="1:41" ht="14.4" x14ac:dyDescent="0.3">
      <c r="A105" s="21"/>
      <c r="B105" s="22"/>
      <c r="C105" s="22" t="s">
        <v>267</v>
      </c>
      <c r="D105" s="23"/>
      <c r="E105" s="9"/>
      <c r="F105" s="25">
        <f>Source!AO41</f>
        <v>15883.83</v>
      </c>
      <c r="G105" s="24" t="str">
        <f>Source!DG41</f>
        <v/>
      </c>
      <c r="H105" s="9">
        <f>Source!AV41</f>
        <v>1</v>
      </c>
      <c r="I105" s="9">
        <f>IF(Source!BA41&lt;&gt; 0, Source!BA41, 1)</f>
        <v>1</v>
      </c>
      <c r="J105" s="26">
        <f>Source!S41</f>
        <v>51463.61</v>
      </c>
      <c r="K105" s="26"/>
    </row>
    <row r="106" spans="1:41" ht="14.4" x14ac:dyDescent="0.3">
      <c r="A106" s="21"/>
      <c r="B106" s="22"/>
      <c r="C106" s="22" t="s">
        <v>276</v>
      </c>
      <c r="D106" s="23"/>
      <c r="E106" s="9"/>
      <c r="F106" s="25">
        <f>Source!AL41</f>
        <v>55802.41</v>
      </c>
      <c r="G106" s="24" t="str">
        <f>Source!DD41</f>
        <v/>
      </c>
      <c r="H106" s="9">
        <f>Source!AW41</f>
        <v>1</v>
      </c>
      <c r="I106" s="9">
        <f>IF(Source!BC41&lt;&gt; 0, Source!BC41, 1)</f>
        <v>1</v>
      </c>
      <c r="J106" s="26">
        <f>Source!P41</f>
        <v>180799.81</v>
      </c>
      <c r="K106" s="26"/>
    </row>
    <row r="107" spans="1:41" ht="27.6" x14ac:dyDescent="0.3">
      <c r="A107" s="21" t="str">
        <f>Source!E42</f>
        <v>12,1</v>
      </c>
      <c r="B107" s="22" t="str">
        <f>Source!F42</f>
        <v>21.5-3-13</v>
      </c>
      <c r="C107" s="22" t="str">
        <f>Source!G42</f>
        <v>Камни бетонные бортовые, марка БР 100.30.15</v>
      </c>
      <c r="D107" s="23" t="str">
        <f>Source!H42</f>
        <v>м3</v>
      </c>
      <c r="E107" s="9">
        <f>Source!I42</f>
        <v>-13.932</v>
      </c>
      <c r="F107" s="25">
        <f>Source!AK42</f>
        <v>7833.01</v>
      </c>
      <c r="G107" s="32" t="s">
        <v>3</v>
      </c>
      <c r="H107" s="9">
        <f>Source!AW42</f>
        <v>1</v>
      </c>
      <c r="I107" s="9">
        <f>IF(Source!BC42&lt;&gt; 0, Source!BC42, 1)</f>
        <v>1</v>
      </c>
      <c r="J107" s="26">
        <f>Source!O42</f>
        <v>-109129.5</v>
      </c>
      <c r="K107" s="26"/>
      <c r="Q107">
        <f>ROUND((Source!BZ42/100)*ROUND((Source!AF42*Source!AV42)*Source!I42, 2), 2)</f>
        <v>0</v>
      </c>
      <c r="R107">
        <f>Source!X42</f>
        <v>0</v>
      </c>
      <c r="S107">
        <f>ROUND((Source!CA42/100)*ROUND((Source!AF42*Source!AV42)*Source!I42, 2), 2)</f>
        <v>0</v>
      </c>
      <c r="T107">
        <f>Source!Y42</f>
        <v>0</v>
      </c>
      <c r="U107">
        <f>ROUND((175/100)*ROUND((Source!AE42*Source!AV42)*Source!I42, 2), 2)</f>
        <v>0</v>
      </c>
      <c r="V107">
        <f>ROUND((108/100)*ROUND(Source!CS42*Source!I42, 2), 2)</f>
        <v>0</v>
      </c>
    </row>
    <row r="108" spans="1:41" ht="147" customHeight="1" x14ac:dyDescent="0.3">
      <c r="A108" s="21" t="str">
        <f>Source!E43</f>
        <v>12,2</v>
      </c>
      <c r="B108" s="22" t="str">
        <f>Source!F43</f>
        <v>Цена за единицу в соответствии с экспертным заключением       № 0307-5-1-1-190220 от 19.02.2020</v>
      </c>
      <c r="C108" s="22" t="s">
        <v>277</v>
      </c>
      <c r="D108" s="23" t="str">
        <f>Source!H43</f>
        <v>м</v>
      </c>
      <c r="E108" s="9">
        <f>Source!I43</f>
        <v>324</v>
      </c>
      <c r="F108" s="25">
        <f>Source!AK43</f>
        <v>372.6</v>
      </c>
      <c r="G108" s="32" t="s">
        <v>3</v>
      </c>
      <c r="H108" s="9">
        <f>Source!AW43</f>
        <v>1</v>
      </c>
      <c r="I108" s="9">
        <f>IF(Source!BC43&lt;&gt; 0, Source!BC43, 1)</f>
        <v>1</v>
      </c>
      <c r="J108" s="26">
        <f>Source!O43</f>
        <v>120722.4</v>
      </c>
      <c r="K108" s="26"/>
      <c r="Q108">
        <f>ROUND((Source!BZ43/100)*ROUND((Source!AF43*Source!AV43)*Source!I43, 2), 2)</f>
        <v>0</v>
      </c>
      <c r="R108">
        <f>Source!X43</f>
        <v>0</v>
      </c>
      <c r="S108">
        <f>ROUND((Source!CA43/100)*ROUND((Source!AF43*Source!AV43)*Source!I43, 2), 2)</f>
        <v>0</v>
      </c>
      <c r="T108">
        <f>Source!Y43</f>
        <v>0</v>
      </c>
      <c r="U108">
        <f>ROUND((175/100)*ROUND((Source!AE43*Source!AV43)*Source!I43, 2), 2)</f>
        <v>0</v>
      </c>
      <c r="V108">
        <f>ROUND((108/100)*ROUND(Source!CS43*Source!I43, 2), 2)</f>
        <v>0</v>
      </c>
    </row>
    <row r="109" spans="1:41" ht="14.4" x14ac:dyDescent="0.3">
      <c r="A109" s="21"/>
      <c r="B109" s="22"/>
      <c r="C109" s="22" t="s">
        <v>270</v>
      </c>
      <c r="D109" s="23" t="s">
        <v>271</v>
      </c>
      <c r="E109" s="9">
        <f>Source!AT41</f>
        <v>70</v>
      </c>
      <c r="F109" s="25"/>
      <c r="G109" s="24"/>
      <c r="H109" s="9"/>
      <c r="I109" s="9"/>
      <c r="J109" s="26">
        <f>SUM(R103:R108)</f>
        <v>36024.53</v>
      </c>
      <c r="K109" s="26"/>
    </row>
    <row r="110" spans="1:41" ht="14.4" x14ac:dyDescent="0.3">
      <c r="A110" s="21"/>
      <c r="B110" s="22"/>
      <c r="C110" s="22" t="s">
        <v>147</v>
      </c>
      <c r="D110" s="23" t="s">
        <v>271</v>
      </c>
      <c r="E110" s="9">
        <f>Source!AU41</f>
        <v>10</v>
      </c>
      <c r="F110" s="25"/>
      <c r="G110" s="24"/>
      <c r="H110" s="9"/>
      <c r="I110" s="9"/>
      <c r="J110" s="26">
        <f>SUM(T103:T109)</f>
        <v>5146.3599999999997</v>
      </c>
      <c r="K110" s="26"/>
    </row>
    <row r="111" spans="1:41" ht="14.4" x14ac:dyDescent="0.3">
      <c r="A111" s="21"/>
      <c r="B111" s="22"/>
      <c r="C111" s="22" t="s">
        <v>273</v>
      </c>
      <c r="D111" s="23" t="s">
        <v>274</v>
      </c>
      <c r="E111" s="9">
        <f>Source!AQ41</f>
        <v>80.27</v>
      </c>
      <c r="F111" s="25"/>
      <c r="G111" s="24" t="str">
        <f>Source!DI41</f>
        <v/>
      </c>
      <c r="H111" s="9">
        <f>Source!AV41</f>
        <v>1</v>
      </c>
      <c r="I111" s="9"/>
      <c r="J111" s="26"/>
      <c r="K111" s="26">
        <f>Source!U41</f>
        <v>260.07479999999998</v>
      </c>
    </row>
    <row r="112" spans="1:41" ht="13.8" x14ac:dyDescent="0.25">
      <c r="A112" s="28"/>
      <c r="B112" s="28"/>
      <c r="C112" s="28"/>
      <c r="D112" s="28"/>
      <c r="E112" s="28"/>
      <c r="F112" s="28"/>
      <c r="G112" s="28"/>
      <c r="H112" s="28"/>
      <c r="I112" s="90">
        <f>J105+J106+J109+J110+SUM(J107:J108)</f>
        <v>285027.20999999996</v>
      </c>
      <c r="J112" s="90"/>
      <c r="K112" s="29">
        <f>IF(Source!I41&lt;&gt;0, ROUND(I112/Source!I41, 2), 0)</f>
        <v>87971.36</v>
      </c>
      <c r="P112" s="27">
        <f>I112</f>
        <v>285027.20999999996</v>
      </c>
    </row>
    <row r="114" spans="1:22" ht="13.8" x14ac:dyDescent="0.25">
      <c r="A114" s="84" t="str">
        <f>CONCATENATE("Итого по разделу: ",IF(Source!G45&lt;&gt;"Новый раздел", Source!G45, ""))</f>
        <v>Итого по разделу: Ремонт асфальтобетонного покрытия пешеходных дорожек</v>
      </c>
      <c r="B114" s="84"/>
      <c r="C114" s="84"/>
      <c r="D114" s="84"/>
      <c r="E114" s="84"/>
      <c r="F114" s="84"/>
      <c r="G114" s="84"/>
      <c r="H114" s="84"/>
      <c r="I114" s="82">
        <f>SUM(P34:P113)</f>
        <v>628535.69999999995</v>
      </c>
      <c r="J114" s="83"/>
      <c r="K114" s="33"/>
      <c r="M114" s="74" t="s">
        <v>355</v>
      </c>
    </row>
    <row r="116" spans="1:22" ht="13.8" x14ac:dyDescent="0.25">
      <c r="C116" s="77" t="str">
        <f>Source!H79</f>
        <v>НДС 20%</v>
      </c>
      <c r="D116" s="77"/>
      <c r="E116" s="77"/>
      <c r="F116" s="77"/>
      <c r="G116" s="77"/>
      <c r="H116" s="77"/>
      <c r="I116" s="78">
        <f>I114*20%</f>
        <v>125707.14</v>
      </c>
      <c r="J116" s="78"/>
    </row>
    <row r="117" spans="1:22" ht="13.8" x14ac:dyDescent="0.25">
      <c r="C117" s="77" t="str">
        <f>Source!H80</f>
        <v>Итого с НДС</v>
      </c>
      <c r="D117" s="77"/>
      <c r="E117" s="77"/>
      <c r="F117" s="77"/>
      <c r="G117" s="77"/>
      <c r="H117" s="77"/>
      <c r="I117" s="78">
        <f>I116+I114</f>
        <v>754242.84</v>
      </c>
      <c r="J117" s="78"/>
    </row>
    <row r="118" spans="1:22" ht="13.8" x14ac:dyDescent="0.25">
      <c r="C118" s="77"/>
      <c r="D118" s="77"/>
      <c r="E118" s="77"/>
      <c r="F118" s="77"/>
      <c r="G118" s="77"/>
      <c r="H118" s="77"/>
      <c r="I118" s="78"/>
      <c r="J118" s="78"/>
    </row>
    <row r="120" spans="1:22" ht="16.8" x14ac:dyDescent="0.3">
      <c r="A120" s="88" t="str">
        <f>CONCATENATE("Раздел: ",IF(Source!G83&lt;&gt;"Новый раздел", Source!G83, ""))</f>
        <v>Раздел: Ремонт газонов</v>
      </c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M120" s="42" t="s">
        <v>334</v>
      </c>
      <c r="N120" s="30" t="s">
        <v>353</v>
      </c>
    </row>
    <row r="121" spans="1:22" ht="14.4" x14ac:dyDescent="0.3">
      <c r="A121" s="21" t="str">
        <f>Source!E87</f>
        <v>13</v>
      </c>
      <c r="B121" s="22" t="str">
        <f>Source!F87</f>
        <v/>
      </c>
      <c r="C121" s="22" t="str">
        <f>Source!G87</f>
        <v>Ремонт газонов</v>
      </c>
      <c r="D121" s="23" t="str">
        <f>Source!H87</f>
        <v>кв.м.</v>
      </c>
      <c r="E121" s="9">
        <f>Source!I87</f>
        <v>404.82350000000002</v>
      </c>
      <c r="F121" s="25"/>
      <c r="G121" s="24"/>
      <c r="H121" s="9"/>
      <c r="I121" s="9"/>
      <c r="J121" s="26"/>
      <c r="K121" s="26"/>
      <c r="M121" s="42" t="s">
        <v>335</v>
      </c>
      <c r="N121" s="54" t="s">
        <v>359</v>
      </c>
      <c r="Q121">
        <f>ROUND((Source!BZ87/100)*ROUND((Source!AF87*Source!AV87)*Source!I87, 2), 2)</f>
        <v>0</v>
      </c>
      <c r="R121">
        <f>Source!X87</f>
        <v>0</v>
      </c>
      <c r="S121">
        <f>ROUND((Source!CA87/100)*ROUND((Source!AF87*Source!AV87)*Source!I87, 2), 2)</f>
        <v>0</v>
      </c>
      <c r="T121">
        <f>Source!Y87</f>
        <v>0</v>
      </c>
      <c r="U121">
        <f>ROUND((175/100)*ROUND((Source!AE87*Source!AV87)*Source!I87, 2), 2)</f>
        <v>0</v>
      </c>
      <c r="V121">
        <f>ROUND((108/100)*ROUND(Source!CS87*Source!I87, 2), 2)</f>
        <v>0</v>
      </c>
    </row>
    <row r="122" spans="1:22" ht="13.8" x14ac:dyDescent="0.25">
      <c r="A122" s="28"/>
      <c r="B122" s="28"/>
      <c r="C122" s="28"/>
      <c r="D122" s="28"/>
      <c r="E122" s="28"/>
      <c r="F122" s="28"/>
      <c r="G122" s="28"/>
      <c r="H122" s="28"/>
      <c r="I122" s="85">
        <f>J121</f>
        <v>0</v>
      </c>
      <c r="J122" s="85"/>
      <c r="K122" s="29">
        <f>IF(Source!I87&lt;&gt;0, ROUND(I122/Source!I87, 2), 0)</f>
        <v>0</v>
      </c>
      <c r="M122" s="42"/>
      <c r="P122" s="27">
        <f>I122</f>
        <v>0</v>
      </c>
    </row>
    <row r="123" spans="1:22" ht="55.2" x14ac:dyDescent="0.3">
      <c r="A123" s="21" t="str">
        <f>Source!E88</f>
        <v>14</v>
      </c>
      <c r="B123" s="22" t="str">
        <f>Source!F88</f>
        <v>5.4-3203-3-3/1</v>
      </c>
      <c r="C123" s="22" t="str">
        <f>Source!G88</f>
        <v>Подготовка почвы для устройства партерного и обыкновенного газонов с внесением растительной земли слоем 15 см механизированным способом</v>
      </c>
      <c r="D123" s="23" t="str">
        <f>Source!H88</f>
        <v>100 м2</v>
      </c>
      <c r="E123" s="9">
        <f>Source!I88</f>
        <v>3.03617625</v>
      </c>
      <c r="F123" s="25"/>
      <c r="G123" s="24"/>
      <c r="H123" s="9"/>
      <c r="I123" s="9"/>
      <c r="J123" s="26"/>
      <c r="K123" s="26"/>
      <c r="M123" s="42" t="s">
        <v>335</v>
      </c>
      <c r="N123" s="30" t="s">
        <v>342</v>
      </c>
      <c r="Q123">
        <f>ROUND((Source!BZ88/100)*ROUND((Source!AF88*Source!AV88)*Source!I88, 2), 2)</f>
        <v>12111.41</v>
      </c>
      <c r="R123">
        <f>Source!X88</f>
        <v>12111.41</v>
      </c>
      <c r="S123">
        <f>ROUND((Source!CA88/100)*ROUND((Source!AF88*Source!AV88)*Source!I88, 2), 2)</f>
        <v>1730.2</v>
      </c>
      <c r="T123">
        <f>Source!Y88</f>
        <v>1730.2</v>
      </c>
      <c r="U123">
        <f>ROUND((175/100)*ROUND((Source!AE88*Source!AV88)*Source!I88, 2), 2)</f>
        <v>118.11</v>
      </c>
      <c r="V123">
        <f>ROUND((108/100)*ROUND(Source!CS88*Source!I88, 2), 2)</f>
        <v>72.89</v>
      </c>
    </row>
    <row r="124" spans="1:22" x14ac:dyDescent="0.25">
      <c r="C124" s="30" t="str">
        <f>"Объем: "&amp;Source!I88&amp;"="&amp;Source!I87&amp;"*"&amp;"0,75/"&amp;"100"</f>
        <v>Объем: 3.03617625=404.8235*0,75/100</v>
      </c>
    </row>
    <row r="125" spans="1:22" ht="14.4" x14ac:dyDescent="0.3">
      <c r="A125" s="21"/>
      <c r="B125" s="22"/>
      <c r="C125" s="22" t="s">
        <v>267</v>
      </c>
      <c r="D125" s="23"/>
      <c r="E125" s="9"/>
      <c r="F125" s="25">
        <f>Source!AO88</f>
        <v>5698.62</v>
      </c>
      <c r="G125" s="24" t="str">
        <f>Source!DG88</f>
        <v/>
      </c>
      <c r="H125" s="9">
        <f>Source!AV88</f>
        <v>1</v>
      </c>
      <c r="I125" s="9">
        <f>IF(Source!BA88&lt;&gt; 0, Source!BA88, 1)</f>
        <v>1</v>
      </c>
      <c r="J125" s="26">
        <f>Source!S88</f>
        <v>17302.009999999998</v>
      </c>
      <c r="K125" s="26"/>
    </row>
    <row r="126" spans="1:22" ht="14.4" x14ac:dyDescent="0.3">
      <c r="A126" s="21"/>
      <c r="B126" s="22"/>
      <c r="C126" s="22" t="s">
        <v>268</v>
      </c>
      <c r="D126" s="23"/>
      <c r="E126" s="9"/>
      <c r="F126" s="25">
        <f>Source!AM88</f>
        <v>60.76</v>
      </c>
      <c r="G126" s="24" t="str">
        <f>Source!DE88</f>
        <v/>
      </c>
      <c r="H126" s="9">
        <f>Source!AV88</f>
        <v>1</v>
      </c>
      <c r="I126" s="9">
        <f>IF(Source!BB88&lt;&gt; 0, Source!BB88, 1)</f>
        <v>1</v>
      </c>
      <c r="J126" s="26">
        <f>Source!Q88</f>
        <v>184.48</v>
      </c>
      <c r="K126" s="26"/>
    </row>
    <row r="127" spans="1:22" ht="14.4" x14ac:dyDescent="0.3">
      <c r="A127" s="21"/>
      <c r="B127" s="22"/>
      <c r="C127" s="22" t="s">
        <v>269</v>
      </c>
      <c r="D127" s="23"/>
      <c r="E127" s="9"/>
      <c r="F127" s="25">
        <f>Source!AN88</f>
        <v>22.23</v>
      </c>
      <c r="G127" s="24" t="str">
        <f>Source!DF88</f>
        <v/>
      </c>
      <c r="H127" s="9">
        <f>Source!AV88</f>
        <v>1</v>
      </c>
      <c r="I127" s="9">
        <f>IF(Source!BS88&lt;&gt; 0, Source!BS88, 1)</f>
        <v>1</v>
      </c>
      <c r="J127" s="31">
        <f>Source!R88</f>
        <v>67.489999999999995</v>
      </c>
      <c r="K127" s="26"/>
    </row>
    <row r="128" spans="1:22" ht="14.4" x14ac:dyDescent="0.3">
      <c r="A128" s="21"/>
      <c r="B128" s="22"/>
      <c r="C128" s="22" t="s">
        <v>276</v>
      </c>
      <c r="D128" s="23"/>
      <c r="E128" s="9"/>
      <c r="F128" s="25">
        <f>Source!AL88</f>
        <v>11305.05</v>
      </c>
      <c r="G128" s="24" t="str">
        <f>Source!DD88</f>
        <v/>
      </c>
      <c r="H128" s="9">
        <f>Source!AW88</f>
        <v>1</v>
      </c>
      <c r="I128" s="9">
        <f>IF(Source!BC88&lt;&gt; 0, Source!BC88, 1)</f>
        <v>1</v>
      </c>
      <c r="J128" s="26">
        <f>Source!P88</f>
        <v>34324.120000000003</v>
      </c>
      <c r="K128" s="26"/>
    </row>
    <row r="129" spans="1:22" ht="14.4" x14ac:dyDescent="0.3">
      <c r="A129" s="21"/>
      <c r="B129" s="22"/>
      <c r="C129" s="22" t="s">
        <v>270</v>
      </c>
      <c r="D129" s="23" t="s">
        <v>271</v>
      </c>
      <c r="E129" s="9">
        <f>Source!AT88</f>
        <v>70</v>
      </c>
      <c r="F129" s="25"/>
      <c r="G129" s="24"/>
      <c r="H129" s="9"/>
      <c r="I129" s="9"/>
      <c r="J129" s="26">
        <f>SUM(R123:R128)</f>
        <v>12111.41</v>
      </c>
      <c r="K129" s="26"/>
    </row>
    <row r="130" spans="1:22" ht="14.4" x14ac:dyDescent="0.3">
      <c r="A130" s="21"/>
      <c r="B130" s="22"/>
      <c r="C130" s="22" t="s">
        <v>147</v>
      </c>
      <c r="D130" s="23" t="s">
        <v>271</v>
      </c>
      <c r="E130" s="9">
        <f>Source!AU88</f>
        <v>10</v>
      </c>
      <c r="F130" s="25"/>
      <c r="G130" s="24"/>
      <c r="H130" s="9"/>
      <c r="I130" s="9"/>
      <c r="J130" s="26">
        <f>SUM(T123:T129)</f>
        <v>1730.2</v>
      </c>
      <c r="K130" s="26"/>
    </row>
    <row r="131" spans="1:22" ht="14.4" x14ac:dyDescent="0.3">
      <c r="A131" s="21"/>
      <c r="B131" s="22"/>
      <c r="C131" s="22" t="s">
        <v>272</v>
      </c>
      <c r="D131" s="23" t="s">
        <v>271</v>
      </c>
      <c r="E131" s="9">
        <f>108</f>
        <v>108</v>
      </c>
      <c r="F131" s="25"/>
      <c r="G131" s="24"/>
      <c r="H131" s="9"/>
      <c r="I131" s="9"/>
      <c r="J131" s="26">
        <f>SUM(V123:V130)</f>
        <v>72.89</v>
      </c>
      <c r="K131" s="26"/>
    </row>
    <row r="132" spans="1:22" ht="14.4" x14ac:dyDescent="0.3">
      <c r="A132" s="21"/>
      <c r="B132" s="22"/>
      <c r="C132" s="22" t="s">
        <v>273</v>
      </c>
      <c r="D132" s="23" t="s">
        <v>274</v>
      </c>
      <c r="E132" s="9">
        <f>Source!AQ88</f>
        <v>30.8</v>
      </c>
      <c r="F132" s="25"/>
      <c r="G132" s="24" t="str">
        <f>Source!DI88</f>
        <v/>
      </c>
      <c r="H132" s="9">
        <f>Source!AV88</f>
        <v>1</v>
      </c>
      <c r="I132" s="9"/>
      <c r="J132" s="26"/>
      <c r="K132" s="26">
        <f>Source!U88</f>
        <v>93.514228500000002</v>
      </c>
    </row>
    <row r="133" spans="1:22" ht="13.8" x14ac:dyDescent="0.25">
      <c r="A133" s="28"/>
      <c r="B133" s="28"/>
      <c r="C133" s="28"/>
      <c r="D133" s="28"/>
      <c r="E133" s="28"/>
      <c r="F133" s="28"/>
      <c r="G133" s="28"/>
      <c r="H133" s="28"/>
      <c r="I133" s="85">
        <f>J125+J126+J128+J129+J130+J131</f>
        <v>65725.11</v>
      </c>
      <c r="J133" s="85"/>
      <c r="K133" s="29">
        <f>IF(Source!I88&lt;&gt;0, ROUND(I133/Source!I88, 2), 0)</f>
        <v>21647.33</v>
      </c>
      <c r="P133" s="27">
        <f>I133</f>
        <v>65725.11</v>
      </c>
    </row>
    <row r="134" spans="1:22" ht="55.2" x14ac:dyDescent="0.3">
      <c r="A134" s="21" t="str">
        <f>Source!E89</f>
        <v>15</v>
      </c>
      <c r="B134" s="22" t="str">
        <f>Source!F89</f>
        <v>5.4-3203-3-4/1</v>
      </c>
      <c r="C134" s="22" t="str">
        <f>Source!G89</f>
        <v>Подготовка почвы для устройства партерного и обыкновенного газонов с внесением растительной земли слоем 15 см вручную</v>
      </c>
      <c r="D134" s="23" t="str">
        <f>Source!H89</f>
        <v>100 м2</v>
      </c>
      <c r="E134" s="9">
        <f>Source!I89</f>
        <v>1.01205875</v>
      </c>
      <c r="F134" s="25"/>
      <c r="G134" s="24"/>
      <c r="H134" s="9"/>
      <c r="I134" s="9"/>
      <c r="J134" s="26"/>
      <c r="K134" s="26"/>
      <c r="M134" s="42" t="s">
        <v>335</v>
      </c>
      <c r="N134" s="30" t="s">
        <v>342</v>
      </c>
      <c r="Q134">
        <f>ROUND((Source!BZ89/100)*ROUND((Source!AF89*Source!AV89)*Source!I89, 2), 2)</f>
        <v>6029.49</v>
      </c>
      <c r="R134">
        <f>Source!X89</f>
        <v>6029.49</v>
      </c>
      <c r="S134">
        <f>ROUND((Source!CA89/100)*ROUND((Source!AF89*Source!AV89)*Source!I89, 2), 2)</f>
        <v>861.36</v>
      </c>
      <c r="T134">
        <f>Source!Y89</f>
        <v>861.36</v>
      </c>
      <c r="U134">
        <f>ROUND((175/100)*ROUND((Source!AE89*Source!AV89)*Source!I89, 2), 2)</f>
        <v>0</v>
      </c>
      <c r="V134">
        <f>ROUND((108/100)*ROUND(Source!CS89*Source!I89, 2), 2)</f>
        <v>0</v>
      </c>
    </row>
    <row r="135" spans="1:22" x14ac:dyDescent="0.25">
      <c r="C135" s="30" t="str">
        <f>"Объем: "&amp;Source!I89&amp;"="&amp;Source!I87&amp;"*"&amp;"0,25/"&amp;"100"</f>
        <v>Объем: 1.01205875=404.8235*0,25/100</v>
      </c>
    </row>
    <row r="136" spans="1:22" ht="14.4" x14ac:dyDescent="0.3">
      <c r="A136" s="21"/>
      <c r="B136" s="22"/>
      <c r="C136" s="22" t="s">
        <v>267</v>
      </c>
      <c r="D136" s="23"/>
      <c r="E136" s="9"/>
      <c r="F136" s="25">
        <f>Source!AO89</f>
        <v>8510.92</v>
      </c>
      <c r="G136" s="24" t="str">
        <f>Source!DG89</f>
        <v/>
      </c>
      <c r="H136" s="9">
        <f>Source!AV89</f>
        <v>1</v>
      </c>
      <c r="I136" s="9">
        <f>IF(Source!BA89&lt;&gt; 0, Source!BA89, 1)</f>
        <v>1</v>
      </c>
      <c r="J136" s="26">
        <f>Source!S89</f>
        <v>8613.5499999999993</v>
      </c>
      <c r="K136" s="26"/>
    </row>
    <row r="137" spans="1:22" ht="14.4" x14ac:dyDescent="0.3">
      <c r="A137" s="21"/>
      <c r="B137" s="22"/>
      <c r="C137" s="22" t="s">
        <v>276</v>
      </c>
      <c r="D137" s="23"/>
      <c r="E137" s="9"/>
      <c r="F137" s="25">
        <f>Source!AL89</f>
        <v>11305.05</v>
      </c>
      <c r="G137" s="24" t="str">
        <f>Source!DD89</f>
        <v/>
      </c>
      <c r="H137" s="9">
        <f>Source!AW89</f>
        <v>1</v>
      </c>
      <c r="I137" s="9">
        <f>IF(Source!BC89&lt;&gt; 0, Source!BC89, 1)</f>
        <v>1</v>
      </c>
      <c r="J137" s="26">
        <f>Source!P89</f>
        <v>11441.37</v>
      </c>
      <c r="K137" s="26"/>
    </row>
    <row r="138" spans="1:22" ht="14.4" x14ac:dyDescent="0.3">
      <c r="A138" s="21"/>
      <c r="B138" s="22"/>
      <c r="C138" s="22" t="s">
        <v>270</v>
      </c>
      <c r="D138" s="23" t="s">
        <v>271</v>
      </c>
      <c r="E138" s="9">
        <f>Source!AT89</f>
        <v>70</v>
      </c>
      <c r="F138" s="25"/>
      <c r="G138" s="24"/>
      <c r="H138" s="9"/>
      <c r="I138" s="9"/>
      <c r="J138" s="26">
        <f>SUM(R134:R137)</f>
        <v>6029.49</v>
      </c>
      <c r="K138" s="26"/>
    </row>
    <row r="139" spans="1:22" ht="14.4" x14ac:dyDescent="0.3">
      <c r="A139" s="21"/>
      <c r="B139" s="22"/>
      <c r="C139" s="22" t="s">
        <v>147</v>
      </c>
      <c r="D139" s="23" t="s">
        <v>271</v>
      </c>
      <c r="E139" s="9">
        <f>Source!AU89</f>
        <v>10</v>
      </c>
      <c r="F139" s="25"/>
      <c r="G139" s="24"/>
      <c r="H139" s="9"/>
      <c r="I139" s="9"/>
      <c r="J139" s="26">
        <f>SUM(T134:T138)</f>
        <v>861.36</v>
      </c>
      <c r="K139" s="26"/>
    </row>
    <row r="140" spans="1:22" ht="14.4" x14ac:dyDescent="0.3">
      <c r="A140" s="21"/>
      <c r="B140" s="22"/>
      <c r="C140" s="22" t="s">
        <v>273</v>
      </c>
      <c r="D140" s="23" t="s">
        <v>274</v>
      </c>
      <c r="E140" s="9">
        <f>Source!AQ89</f>
        <v>46</v>
      </c>
      <c r="F140" s="25"/>
      <c r="G140" s="24" t="str">
        <f>Source!DI89</f>
        <v/>
      </c>
      <c r="H140" s="9">
        <f>Source!AV89</f>
        <v>1</v>
      </c>
      <c r="I140" s="9"/>
      <c r="J140" s="26"/>
      <c r="K140" s="26">
        <f>Source!U89</f>
        <v>46.554702499999998</v>
      </c>
    </row>
    <row r="141" spans="1:22" ht="13.8" x14ac:dyDescent="0.25">
      <c r="A141" s="28"/>
      <c r="B141" s="28"/>
      <c r="C141" s="28"/>
      <c r="D141" s="28"/>
      <c r="E141" s="28"/>
      <c r="F141" s="28"/>
      <c r="G141" s="28"/>
      <c r="H141" s="28"/>
      <c r="I141" s="85">
        <f>J136+J137+J138+J139</f>
        <v>26945.769999999997</v>
      </c>
      <c r="J141" s="85"/>
      <c r="K141" s="29">
        <f>IF(Source!I89&lt;&gt;0, ROUND(I141/Source!I89, 2), 0)</f>
        <v>26624.71</v>
      </c>
      <c r="P141" s="27">
        <f>I141</f>
        <v>26945.769999999997</v>
      </c>
    </row>
    <row r="142" spans="1:22" ht="55.2" x14ac:dyDescent="0.3">
      <c r="A142" s="21" t="str">
        <f>Source!E90</f>
        <v>16</v>
      </c>
      <c r="B142" s="22" t="str">
        <f>Source!F90</f>
        <v>5.4-3203-3-5/1</v>
      </c>
      <c r="C142" s="22" t="str">
        <f>Source!G90</f>
        <v>Подготовка почвы для устройства партерного и обыкновенного газонов на каждые 5 см изменения толщины слоя добавлять или исключать</v>
      </c>
      <c r="D142" s="23" t="str">
        <f>Source!H90</f>
        <v>100 м2</v>
      </c>
      <c r="E142" s="9">
        <f>Source!I90</f>
        <v>-4.048235</v>
      </c>
      <c r="F142" s="25"/>
      <c r="G142" s="24"/>
      <c r="H142" s="9"/>
      <c r="I142" s="9"/>
      <c r="J142" s="26"/>
      <c r="K142" s="26"/>
      <c r="M142" s="42" t="s">
        <v>335</v>
      </c>
      <c r="N142" s="30" t="s">
        <v>342</v>
      </c>
      <c r="Q142">
        <f>ROUND((Source!BZ90/100)*ROUND((Source!AF90*Source!AV90)*Source!I90, 2), 2)</f>
        <v>-3297.88</v>
      </c>
      <c r="R142">
        <f>Source!X90</f>
        <v>-3297.88</v>
      </c>
      <c r="S142">
        <f>ROUND((Source!CA90/100)*ROUND((Source!AF90*Source!AV90)*Source!I90, 2), 2)</f>
        <v>-471.13</v>
      </c>
      <c r="T142">
        <f>Source!Y90</f>
        <v>-471.13</v>
      </c>
      <c r="U142">
        <f>ROUND((175/100)*ROUND((Source!AE90*Source!AV90)*Source!I90, 2), 2)</f>
        <v>0</v>
      </c>
      <c r="V142">
        <f>ROUND((108/100)*ROUND(Source!CS90*Source!I90, 2), 2)</f>
        <v>0</v>
      </c>
    </row>
    <row r="143" spans="1:22" x14ac:dyDescent="0.25">
      <c r="C143" s="30" t="str">
        <f>"Объем: "&amp;Source!I90&amp;"=-"&amp;""&amp;Source!I87&amp;"/"&amp;"100"</f>
        <v>Объем: -4.048235=-404.8235/100</v>
      </c>
    </row>
    <row r="144" spans="1:22" ht="14.4" x14ac:dyDescent="0.3">
      <c r="A144" s="21"/>
      <c r="B144" s="22"/>
      <c r="C144" s="22" t="s">
        <v>267</v>
      </c>
      <c r="D144" s="23"/>
      <c r="E144" s="9"/>
      <c r="F144" s="25">
        <f>Source!AO90</f>
        <v>1163.78</v>
      </c>
      <c r="G144" s="24" t="str">
        <f>Source!DG90</f>
        <v/>
      </c>
      <c r="H144" s="9">
        <f>Source!AV90</f>
        <v>1</v>
      </c>
      <c r="I144" s="9">
        <f>IF(Source!BA90&lt;&gt; 0, Source!BA90, 1)</f>
        <v>1</v>
      </c>
      <c r="J144" s="26">
        <f>Source!S90</f>
        <v>-4711.25</v>
      </c>
      <c r="K144" s="26"/>
    </row>
    <row r="145" spans="1:41" ht="14.4" x14ac:dyDescent="0.3">
      <c r="A145" s="21"/>
      <c r="B145" s="22"/>
      <c r="C145" s="22" t="s">
        <v>276</v>
      </c>
      <c r="D145" s="23"/>
      <c r="E145" s="9"/>
      <c r="F145" s="25">
        <f>Source!AL90</f>
        <v>3768.35</v>
      </c>
      <c r="G145" s="24" t="str">
        <f>Source!DD90</f>
        <v/>
      </c>
      <c r="H145" s="9">
        <f>Source!AW90</f>
        <v>1</v>
      </c>
      <c r="I145" s="9">
        <f>IF(Source!BC90&lt;&gt; 0, Source!BC90, 1)</f>
        <v>1</v>
      </c>
      <c r="J145" s="26">
        <f>Source!P90</f>
        <v>-15255.17</v>
      </c>
      <c r="K145" s="26"/>
    </row>
    <row r="146" spans="1:41" ht="14.4" x14ac:dyDescent="0.3">
      <c r="A146" s="21"/>
      <c r="B146" s="22"/>
      <c r="C146" s="22" t="s">
        <v>270</v>
      </c>
      <c r="D146" s="23" t="s">
        <v>271</v>
      </c>
      <c r="E146" s="9">
        <f>Source!AT90</f>
        <v>70</v>
      </c>
      <c r="F146" s="25"/>
      <c r="G146" s="24"/>
      <c r="H146" s="9"/>
      <c r="I146" s="9"/>
      <c r="J146" s="26">
        <f>SUM(R142:R145)</f>
        <v>-3297.88</v>
      </c>
      <c r="K146" s="26"/>
    </row>
    <row r="147" spans="1:41" ht="14.4" x14ac:dyDescent="0.3">
      <c r="A147" s="21"/>
      <c r="B147" s="22"/>
      <c r="C147" s="22" t="s">
        <v>147</v>
      </c>
      <c r="D147" s="23" t="s">
        <v>271</v>
      </c>
      <c r="E147" s="9">
        <f>Source!AU90</f>
        <v>10</v>
      </c>
      <c r="F147" s="25"/>
      <c r="G147" s="24"/>
      <c r="H147" s="9"/>
      <c r="I147" s="9"/>
      <c r="J147" s="26">
        <f>SUM(T142:T146)</f>
        <v>-471.13</v>
      </c>
      <c r="K147" s="26"/>
    </row>
    <row r="148" spans="1:41" ht="14.4" x14ac:dyDescent="0.3">
      <c r="A148" s="21"/>
      <c r="B148" s="22"/>
      <c r="C148" s="22" t="s">
        <v>273</v>
      </c>
      <c r="D148" s="23" t="s">
        <v>274</v>
      </c>
      <c r="E148" s="9">
        <f>Source!AQ90</f>
        <v>6.29</v>
      </c>
      <c r="F148" s="25"/>
      <c r="G148" s="24" t="str">
        <f>Source!DI90</f>
        <v/>
      </c>
      <c r="H148" s="9">
        <f>Source!AV90</f>
        <v>1</v>
      </c>
      <c r="I148" s="9"/>
      <c r="J148" s="26"/>
      <c r="K148" s="26">
        <f>Source!U90</f>
        <v>-25.46339815</v>
      </c>
    </row>
    <row r="149" spans="1:41" ht="13.8" x14ac:dyDescent="0.25">
      <c r="A149" s="28"/>
      <c r="B149" s="28"/>
      <c r="C149" s="28"/>
      <c r="D149" s="28"/>
      <c r="E149" s="28"/>
      <c r="F149" s="28"/>
      <c r="G149" s="28"/>
      <c r="H149" s="28"/>
      <c r="I149" s="85">
        <f>J144+J145+J146+J147</f>
        <v>-23735.43</v>
      </c>
      <c r="J149" s="85"/>
      <c r="K149" s="29">
        <f>IF(Source!I90&lt;&gt;0, ROUND(I149/Source!I90, 2), 0)</f>
        <v>5863.16</v>
      </c>
      <c r="N149" s="60" t="s">
        <v>320</v>
      </c>
      <c r="O149" s="61"/>
      <c r="P149" s="62">
        <f>I149</f>
        <v>-23735.43</v>
      </c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 t="s">
        <v>346</v>
      </c>
      <c r="AL149" s="61" t="s">
        <v>347</v>
      </c>
      <c r="AM149" s="61" t="s">
        <v>348</v>
      </c>
      <c r="AN149" s="61" t="s">
        <v>349</v>
      </c>
      <c r="AO149" s="63" t="s">
        <v>350</v>
      </c>
    </row>
    <row r="150" spans="1:41" ht="66" x14ac:dyDescent="0.3">
      <c r="A150" s="46" t="str">
        <f>Source!E91</f>
        <v>17</v>
      </c>
      <c r="B150" s="47" t="str">
        <f>Source!F91</f>
        <v>5.4-3203-3-6/1</v>
      </c>
      <c r="C150" s="47" t="str">
        <f>Source!G91</f>
        <v>Посев газонов партерных, мавританских, и обыкновенных вручную</v>
      </c>
      <c r="D150" s="48" t="str">
        <f>Source!H91</f>
        <v>100 м2</v>
      </c>
      <c r="E150" s="49">
        <f>Source!I91</f>
        <v>4.048235</v>
      </c>
      <c r="F150" s="50"/>
      <c r="G150" s="51"/>
      <c r="H150" s="49"/>
      <c r="I150" s="49"/>
      <c r="J150" s="52"/>
      <c r="K150" s="52"/>
      <c r="M150" s="57" t="s">
        <v>335</v>
      </c>
      <c r="N150" s="69" t="s">
        <v>354</v>
      </c>
      <c r="O150" s="70"/>
      <c r="P150" s="70"/>
      <c r="Q150" s="70">
        <f>ROUND((Source!BZ91/100)*ROUND((Source!AF91*Source!AV91)*Source!I91, 2), 2)</f>
        <v>3460.17</v>
      </c>
      <c r="R150" s="70">
        <f>Source!X91</f>
        <v>3460.17</v>
      </c>
      <c r="S150" s="70">
        <f>ROUND((Source!CA91/100)*ROUND((Source!AF91*Source!AV91)*Source!I91, 2), 2)</f>
        <v>494.31</v>
      </c>
      <c r="T150" s="70">
        <f>Source!Y91</f>
        <v>494.31</v>
      </c>
      <c r="U150" s="70">
        <f>ROUND((175/100)*ROUND((Source!AE91*Source!AV91)*Source!I91, 2), 2)</f>
        <v>0</v>
      </c>
      <c r="V150" s="70">
        <f>ROUND((108/100)*ROUND(Source!CS91*Source!I91, 2), 2)</f>
        <v>0</v>
      </c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>
        <v>404.82350000000002</v>
      </c>
      <c r="AL150" s="72" t="s">
        <v>345</v>
      </c>
      <c r="AM150" s="76">
        <f>I157+I149+I141+I133</f>
        <v>84167.95</v>
      </c>
      <c r="AN150" s="67" t="s">
        <v>333</v>
      </c>
      <c r="AO150" s="72" t="s">
        <v>352</v>
      </c>
    </row>
    <row r="151" spans="1:41" ht="13.8" x14ac:dyDescent="0.25">
      <c r="C151" s="30" t="str">
        <f>"Объем: "&amp;Source!I91&amp;"="&amp;Source!I87&amp;"/"&amp;"100"</f>
        <v>Объем: 4.048235=404.8235/100</v>
      </c>
      <c r="AK151" s="42" t="s">
        <v>360</v>
      </c>
      <c r="AM151" s="75">
        <f>N169*AM150</f>
        <v>92351.620340375695</v>
      </c>
    </row>
    <row r="152" spans="1:41" ht="14.4" x14ac:dyDescent="0.3">
      <c r="A152" s="21"/>
      <c r="B152" s="22"/>
      <c r="C152" s="22" t="s">
        <v>267</v>
      </c>
      <c r="D152" s="23"/>
      <c r="E152" s="9"/>
      <c r="F152" s="25">
        <f>Source!AO91</f>
        <v>1221.05</v>
      </c>
      <c r="G152" s="24" t="str">
        <f>Source!DG91</f>
        <v/>
      </c>
      <c r="H152" s="9">
        <f>Source!AV91</f>
        <v>1</v>
      </c>
      <c r="I152" s="9">
        <f>IF(Source!BA91&lt;&gt; 0, Source!BA91, 1)</f>
        <v>1</v>
      </c>
      <c r="J152" s="26">
        <f>Source!S91</f>
        <v>4943.1000000000004</v>
      </c>
      <c r="K152" s="26"/>
    </row>
    <row r="153" spans="1:41" ht="14.4" x14ac:dyDescent="0.3">
      <c r="A153" s="21"/>
      <c r="B153" s="22"/>
      <c r="C153" s="22" t="s">
        <v>276</v>
      </c>
      <c r="D153" s="23"/>
      <c r="E153" s="9"/>
      <c r="F153" s="25">
        <f>Source!AL91</f>
        <v>1564.86</v>
      </c>
      <c r="G153" s="24" t="str">
        <f>Source!DD91</f>
        <v/>
      </c>
      <c r="H153" s="9">
        <f>Source!AW91</f>
        <v>1</v>
      </c>
      <c r="I153" s="9">
        <f>IF(Source!BC91&lt;&gt; 0, Source!BC91, 1)</f>
        <v>1</v>
      </c>
      <c r="J153" s="26">
        <f>Source!P91</f>
        <v>6334.92</v>
      </c>
      <c r="K153" s="26"/>
    </row>
    <row r="154" spans="1:41" ht="14.4" x14ac:dyDescent="0.3">
      <c r="A154" s="21"/>
      <c r="B154" s="22"/>
      <c r="C154" s="22" t="s">
        <v>270</v>
      </c>
      <c r="D154" s="23" t="s">
        <v>271</v>
      </c>
      <c r="E154" s="9">
        <f>Source!AT91</f>
        <v>70</v>
      </c>
      <c r="F154" s="25"/>
      <c r="G154" s="24"/>
      <c r="H154" s="9"/>
      <c r="I154" s="9"/>
      <c r="J154" s="26">
        <f>SUM(R150:R153)</f>
        <v>3460.17</v>
      </c>
      <c r="K154" s="26"/>
    </row>
    <row r="155" spans="1:41" ht="14.4" x14ac:dyDescent="0.3">
      <c r="A155" s="21"/>
      <c r="B155" s="22"/>
      <c r="C155" s="22" t="s">
        <v>147</v>
      </c>
      <c r="D155" s="23" t="s">
        <v>271</v>
      </c>
      <c r="E155" s="9">
        <f>Source!AU91</f>
        <v>10</v>
      </c>
      <c r="F155" s="25"/>
      <c r="G155" s="24"/>
      <c r="H155" s="9"/>
      <c r="I155" s="9"/>
      <c r="J155" s="26">
        <f>SUM(T150:T154)</f>
        <v>494.31</v>
      </c>
      <c r="K155" s="26"/>
    </row>
    <row r="156" spans="1:41" ht="14.4" x14ac:dyDescent="0.3">
      <c r="A156" s="21"/>
      <c r="B156" s="22"/>
      <c r="C156" s="22" t="s">
        <v>273</v>
      </c>
      <c r="D156" s="23" t="s">
        <v>274</v>
      </c>
      <c r="E156" s="9">
        <f>Source!AQ91</f>
        <v>6.04</v>
      </c>
      <c r="F156" s="25"/>
      <c r="G156" s="24" t="str">
        <f>Source!DI91</f>
        <v/>
      </c>
      <c r="H156" s="9">
        <f>Source!AV91</f>
        <v>1</v>
      </c>
      <c r="I156" s="9"/>
      <c r="J156" s="26"/>
      <c r="K156" s="26">
        <f>Source!U91</f>
        <v>24.451339400000002</v>
      </c>
    </row>
    <row r="157" spans="1:41" ht="13.8" x14ac:dyDescent="0.25">
      <c r="A157" s="28"/>
      <c r="B157" s="28"/>
      <c r="C157" s="28"/>
      <c r="D157" s="28"/>
      <c r="E157" s="28"/>
      <c r="F157" s="28"/>
      <c r="G157" s="28"/>
      <c r="H157" s="28"/>
      <c r="I157" s="85">
        <f>J152+J153+J154+J155</f>
        <v>15232.5</v>
      </c>
      <c r="J157" s="85"/>
      <c r="K157" s="29">
        <f>IF(Source!I91&lt;&gt;0, ROUND(I157/Source!I91, 2), 0)</f>
        <v>3762.75</v>
      </c>
      <c r="P157" s="27">
        <f>I157</f>
        <v>15232.5</v>
      </c>
    </row>
    <row r="159" spans="1:41" ht="13.8" x14ac:dyDescent="0.25">
      <c r="A159" s="84" t="str">
        <f>CONCATENATE("Итого по разделу: ",IF(Source!G93&lt;&gt;"Новый раздел", Source!G93, ""))</f>
        <v>Итого по разделу: Ремонт газонов</v>
      </c>
      <c r="B159" s="84"/>
      <c r="C159" s="84"/>
      <c r="D159" s="84"/>
      <c r="E159" s="84"/>
      <c r="F159" s="84"/>
      <c r="G159" s="84"/>
      <c r="H159" s="84"/>
      <c r="I159" s="86">
        <f>SUM(P120:P158)</f>
        <v>84167.950000000012</v>
      </c>
      <c r="J159" s="87"/>
      <c r="K159" s="33"/>
      <c r="M159" s="74" t="s">
        <v>355</v>
      </c>
    </row>
    <row r="161" spans="1:32" ht="13.8" x14ac:dyDescent="0.25">
      <c r="C161" s="77" t="str">
        <f>Source!H127</f>
        <v>НДС 20%</v>
      </c>
      <c r="D161" s="77"/>
      <c r="E161" s="77"/>
      <c r="F161" s="77"/>
      <c r="G161" s="77"/>
      <c r="H161" s="77"/>
      <c r="I161" s="78">
        <f>I159*20%</f>
        <v>16833.590000000004</v>
      </c>
      <c r="J161" s="78"/>
    </row>
    <row r="162" spans="1:32" ht="13.8" x14ac:dyDescent="0.25">
      <c r="C162" s="77" t="str">
        <f>Source!H128</f>
        <v>Итого с НДС</v>
      </c>
      <c r="D162" s="77"/>
      <c r="E162" s="77"/>
      <c r="F162" s="77"/>
      <c r="G162" s="77"/>
      <c r="H162" s="77"/>
      <c r="I162" s="78">
        <f>I159+I161</f>
        <v>101001.54000000001</v>
      </c>
      <c r="J162" s="78"/>
    </row>
    <row r="163" spans="1:32" ht="13.8" x14ac:dyDescent="0.25">
      <c r="C163" s="77"/>
      <c r="D163" s="77"/>
      <c r="E163" s="77"/>
      <c r="F163" s="77"/>
      <c r="G163" s="77"/>
      <c r="H163" s="77"/>
      <c r="I163" s="78"/>
      <c r="J163" s="78"/>
    </row>
    <row r="166" spans="1:32" ht="27.6" x14ac:dyDescent="0.25">
      <c r="A166" s="84" t="str">
        <f>CONCATENATE("Итого по смете: ",IF(Source!G169&lt;&gt;"Новый объект", Source!G169, ""))</f>
        <v>Итого по смете: Ремонт асфальтобетонных покрытий дворовой территории района Кузьминки ЮВАО г. Москвы по адресу: Волгоградский проспект 94 к.1, 96 к.1</v>
      </c>
      <c r="B166" s="84"/>
      <c r="C166" s="84"/>
      <c r="D166" s="84"/>
      <c r="E166" s="84"/>
      <c r="F166" s="84"/>
      <c r="G166" s="84"/>
      <c r="H166" s="84"/>
      <c r="I166" s="82">
        <f>SUM(P1:P165)</f>
        <v>712703.64999999991</v>
      </c>
      <c r="J166" s="83"/>
      <c r="K166" s="33"/>
      <c r="M166" s="74" t="s">
        <v>356</v>
      </c>
      <c r="AF166" s="34" t="str">
        <f>CONCATENATE("Итого по смете: ",IF(Source!G169&lt;&gt;"Новый объект", Source!G169, ""))</f>
        <v>Итого по смете: Ремонт асфальтобетонных покрытий дворовой территории района Кузьминки ЮВАО г. Москвы по адресу: Волгоградский проспект 94 к.1, 96 к.1</v>
      </c>
    </row>
    <row r="167" spans="1:32" ht="13.8" x14ac:dyDescent="0.25">
      <c r="C167" s="77" t="str">
        <f>Source!H203</f>
        <v>НДС 20%</v>
      </c>
      <c r="D167" s="77"/>
      <c r="E167" s="77"/>
      <c r="F167" s="77"/>
      <c r="G167" s="77"/>
      <c r="H167" s="77"/>
      <c r="I167" s="78">
        <f>I166*20%</f>
        <v>142540.72999999998</v>
      </c>
      <c r="J167" s="78"/>
    </row>
    <row r="168" spans="1:32" ht="13.8" x14ac:dyDescent="0.25">
      <c r="C168" s="77" t="str">
        <f>Source!H204</f>
        <v>Итого с НДС</v>
      </c>
      <c r="D168" s="77"/>
      <c r="E168" s="77"/>
      <c r="F168" s="77"/>
      <c r="G168" s="77"/>
      <c r="H168" s="77"/>
      <c r="I168" s="78">
        <f>I166+I167</f>
        <v>855244.37999999989</v>
      </c>
      <c r="J168" s="78"/>
    </row>
    <row r="169" spans="1:32" ht="13.8" x14ac:dyDescent="0.25">
      <c r="C169" s="77" t="s">
        <v>329</v>
      </c>
      <c r="D169" s="77"/>
      <c r="E169" s="77"/>
      <c r="F169" s="77"/>
      <c r="G169" s="77"/>
      <c r="H169" s="77"/>
      <c r="I169" s="81">
        <f>IF(Source!F205=0, "", Source!F205)</f>
        <v>782000</v>
      </c>
      <c r="J169" s="81"/>
      <c r="M169" s="42" t="s">
        <v>357</v>
      </c>
      <c r="N169" s="54">
        <f>I169/I166</f>
        <v>1.0972302442957884</v>
      </c>
    </row>
    <row r="171" spans="1:32" x14ac:dyDescent="0.25">
      <c r="K171" s="41"/>
    </row>
    <row r="172" spans="1:32" ht="13.8" x14ac:dyDescent="0.25">
      <c r="A172" s="79" t="s">
        <v>278</v>
      </c>
      <c r="B172" s="79"/>
      <c r="C172" s="35" t="str">
        <f>IF(Source!AC12&lt;&gt;"", Source!AC12," ")</f>
        <v>Инженер-сметчик</v>
      </c>
      <c r="D172" s="35"/>
      <c r="E172" s="35"/>
      <c r="F172" s="35"/>
      <c r="G172" s="35"/>
      <c r="H172" s="10" t="str">
        <f>IF(Source!AB12&lt;&gt;"", Source!AB12," ")</f>
        <v>А.Р. Альбова</v>
      </c>
      <c r="I172" s="10"/>
      <c r="J172" s="10"/>
      <c r="K172" s="10"/>
    </row>
    <row r="173" spans="1:32" ht="13.8" x14ac:dyDescent="0.25">
      <c r="A173" s="10"/>
      <c r="B173" s="10"/>
      <c r="C173" s="80" t="s">
        <v>279</v>
      </c>
      <c r="D173" s="80"/>
      <c r="E173" s="80"/>
      <c r="F173" s="80"/>
      <c r="G173" s="80"/>
      <c r="H173" s="10"/>
      <c r="I173" s="10"/>
      <c r="J173" s="10"/>
      <c r="K173" s="10"/>
    </row>
    <row r="174" spans="1:32" ht="13.8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1:32" ht="13.8" x14ac:dyDescent="0.25">
      <c r="A175" s="79" t="s">
        <v>280</v>
      </c>
      <c r="B175" s="79"/>
      <c r="C175" s="35" t="str">
        <f>IF(Source!AE12&lt;&gt;"", Source!AE12," ")</f>
        <v xml:space="preserve"> </v>
      </c>
      <c r="D175" s="35"/>
      <c r="E175" s="35"/>
      <c r="F175" s="35"/>
      <c r="G175" s="35"/>
      <c r="H175" s="10" t="str">
        <f>IF(Source!AD12&lt;&gt;"", Source!AD12," ")</f>
        <v xml:space="preserve"> </v>
      </c>
      <c r="I175" s="10"/>
      <c r="J175" s="10"/>
      <c r="K175" s="10"/>
    </row>
    <row r="176" spans="1:32" ht="13.8" x14ac:dyDescent="0.25">
      <c r="A176" s="10"/>
      <c r="B176" s="10"/>
      <c r="C176" s="80" t="s">
        <v>279</v>
      </c>
      <c r="D176" s="80"/>
      <c r="E176" s="80"/>
      <c r="F176" s="80"/>
      <c r="G176" s="80"/>
      <c r="H176" s="10"/>
      <c r="I176" s="10"/>
      <c r="J176" s="10"/>
      <c r="K176" s="10"/>
    </row>
  </sheetData>
  <mergeCells count="85">
    <mergeCell ref="J2:K2"/>
    <mergeCell ref="A10:K10"/>
    <mergeCell ref="A11:K11"/>
    <mergeCell ref="A13:K13"/>
    <mergeCell ref="B3:E3"/>
    <mergeCell ref="G3:K3"/>
    <mergeCell ref="B4:E4"/>
    <mergeCell ref="G4:K4"/>
    <mergeCell ref="B6:E6"/>
    <mergeCell ref="G6:K6"/>
    <mergeCell ref="B7:E7"/>
    <mergeCell ref="G7:K7"/>
    <mergeCell ref="A15:K15"/>
    <mergeCell ref="A16:K16"/>
    <mergeCell ref="A18:K18"/>
    <mergeCell ref="F20:H20"/>
    <mergeCell ref="I20:J20"/>
    <mergeCell ref="F21:H21"/>
    <mergeCell ref="I21:J21"/>
    <mergeCell ref="I27:I29"/>
    <mergeCell ref="J27:J29"/>
    <mergeCell ref="A32:K32"/>
    <mergeCell ref="F22:H22"/>
    <mergeCell ref="I22:J22"/>
    <mergeCell ref="F23:H23"/>
    <mergeCell ref="I23:J23"/>
    <mergeCell ref="F24:H24"/>
    <mergeCell ref="I24:J24"/>
    <mergeCell ref="A34:K34"/>
    <mergeCell ref="I36:J36"/>
    <mergeCell ref="I38:J38"/>
    <mergeCell ref="F25:H25"/>
    <mergeCell ref="I25:J25"/>
    <mergeCell ref="A27:A29"/>
    <mergeCell ref="B27:B29"/>
    <mergeCell ref="C27:C29"/>
    <mergeCell ref="D27:D29"/>
    <mergeCell ref="E27:E29"/>
    <mergeCell ref="F27:F29"/>
    <mergeCell ref="G27:G29"/>
    <mergeCell ref="H27:H29"/>
    <mergeCell ref="A114:H114"/>
    <mergeCell ref="I48:J48"/>
    <mergeCell ref="I55:J55"/>
    <mergeCell ref="I62:J62"/>
    <mergeCell ref="I68:J68"/>
    <mergeCell ref="I72:J72"/>
    <mergeCell ref="I76:J76"/>
    <mergeCell ref="I78:J78"/>
    <mergeCell ref="I89:J89"/>
    <mergeCell ref="I102:J102"/>
    <mergeCell ref="I112:J112"/>
    <mergeCell ref="I114:J114"/>
    <mergeCell ref="C116:H116"/>
    <mergeCell ref="I116:J116"/>
    <mergeCell ref="I133:J133"/>
    <mergeCell ref="I141:J141"/>
    <mergeCell ref="I149:J149"/>
    <mergeCell ref="I157:J157"/>
    <mergeCell ref="I159:J159"/>
    <mergeCell ref="A159:H159"/>
    <mergeCell ref="C117:H117"/>
    <mergeCell ref="I117:J117"/>
    <mergeCell ref="C118:H118"/>
    <mergeCell ref="I118:J118"/>
    <mergeCell ref="A120:K120"/>
    <mergeCell ref="I122:J122"/>
    <mergeCell ref="C161:H161"/>
    <mergeCell ref="I161:J161"/>
    <mergeCell ref="I166:J166"/>
    <mergeCell ref="A166:H166"/>
    <mergeCell ref="C162:H162"/>
    <mergeCell ref="I162:J162"/>
    <mergeCell ref="C163:H163"/>
    <mergeCell ref="I163:J163"/>
    <mergeCell ref="C167:H167"/>
    <mergeCell ref="I167:J167"/>
    <mergeCell ref="A175:B175"/>
    <mergeCell ref="C176:G176"/>
    <mergeCell ref="C168:H168"/>
    <mergeCell ref="I168:J168"/>
    <mergeCell ref="C169:H169"/>
    <mergeCell ref="I169:J169"/>
    <mergeCell ref="A172:B172"/>
    <mergeCell ref="C173:G173"/>
  </mergeCells>
  <pageMargins left="0.4" right="0.2" top="0.2" bottom="0.4" header="0.2" footer="0.2"/>
  <pageSetup paperSize="9" scale="64" fitToHeight="0" orientation="portrait" r:id="rId1"/>
  <headerFooter>
    <oddHeader>&amp;L&amp;8</oddHead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9"/>
  <sheetViews>
    <sheetView workbookViewId="0"/>
  </sheetViews>
  <sheetFormatPr defaultRowHeight="13.2" x14ac:dyDescent="0.25"/>
  <sheetData>
    <row r="1" spans="1:24" x14ac:dyDescent="0.25">
      <c r="A1" t="s">
        <v>305</v>
      </c>
      <c r="B1" t="s">
        <v>306</v>
      </c>
      <c r="C1" t="s">
        <v>307</v>
      </c>
      <c r="D1" t="s">
        <v>308</v>
      </c>
      <c r="E1" t="s">
        <v>309</v>
      </c>
      <c r="F1" t="s">
        <v>310</v>
      </c>
      <c r="G1" t="s">
        <v>311</v>
      </c>
      <c r="H1" t="s">
        <v>312</v>
      </c>
      <c r="I1" t="s">
        <v>313</v>
      </c>
      <c r="J1" t="s">
        <v>314</v>
      </c>
      <c r="K1" t="s">
        <v>315</v>
      </c>
      <c r="L1" t="s">
        <v>316</v>
      </c>
    </row>
    <row r="2" spans="1:24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0</v>
      </c>
      <c r="K2">
        <v>1</v>
      </c>
      <c r="L2">
        <v>50844173</v>
      </c>
    </row>
    <row r="4" spans="1:24" x14ac:dyDescent="0.25">
      <c r="A4" t="s">
        <v>281</v>
      </c>
      <c r="B4" t="s">
        <v>282</v>
      </c>
      <c r="C4" t="s">
        <v>283</v>
      </c>
      <c r="D4" t="s">
        <v>284</v>
      </c>
      <c r="E4" t="s">
        <v>285</v>
      </c>
      <c r="F4" t="s">
        <v>286</v>
      </c>
      <c r="G4" t="s">
        <v>287</v>
      </c>
      <c r="H4" t="s">
        <v>288</v>
      </c>
      <c r="I4" t="s">
        <v>289</v>
      </c>
      <c r="J4" t="s">
        <v>290</v>
      </c>
      <c r="K4" t="s">
        <v>291</v>
      </c>
      <c r="L4" t="s">
        <v>292</v>
      </c>
      <c r="M4" t="s">
        <v>293</v>
      </c>
      <c r="N4" t="s">
        <v>294</v>
      </c>
      <c r="O4" t="s">
        <v>295</v>
      </c>
      <c r="P4" t="s">
        <v>296</v>
      </c>
      <c r="Q4" t="s">
        <v>297</v>
      </c>
      <c r="R4" t="s">
        <v>298</v>
      </c>
      <c r="S4" t="s">
        <v>299</v>
      </c>
      <c r="T4" t="s">
        <v>300</v>
      </c>
      <c r="U4" t="s">
        <v>301</v>
      </c>
      <c r="V4" t="s">
        <v>302</v>
      </c>
      <c r="W4" t="s">
        <v>303</v>
      </c>
      <c r="X4" t="s">
        <v>304</v>
      </c>
    </row>
    <row r="6" spans="1:24" x14ac:dyDescent="0.25">
      <c r="A6">
        <f>Source!A20</f>
        <v>3</v>
      </c>
      <c r="B6">
        <v>20</v>
      </c>
      <c r="G6" t="str">
        <f>Source!G20</f>
        <v>Новая локальная смета</v>
      </c>
    </row>
    <row r="7" spans="1:24" x14ac:dyDescent="0.25">
      <c r="A7">
        <f>Source!A24</f>
        <v>4</v>
      </c>
      <c r="B7">
        <v>24</v>
      </c>
      <c r="G7" t="str">
        <f>Source!G24</f>
        <v>Ремонт асфальтобетонного покрытия пешеходных дорожек</v>
      </c>
    </row>
    <row r="8" spans="1:24" x14ac:dyDescent="0.25">
      <c r="A8">
        <v>20</v>
      </c>
      <c r="B8">
        <v>4</v>
      </c>
      <c r="C8">
        <v>2</v>
      </c>
      <c r="D8">
        <v>0</v>
      </c>
      <c r="E8">
        <f>SmtRes!AV4</f>
        <v>0</v>
      </c>
      <c r="F8" t="str">
        <f>SmtRes!I4</f>
        <v>22.1-5-48</v>
      </c>
      <c r="G8" t="str">
        <f>SmtRes!K4</f>
        <v>Автогрейдеры, мощность 99-147 кВт (130-200 л.с.)</v>
      </c>
      <c r="H8" t="str">
        <f>SmtRes!O4</f>
        <v>маш.-ч</v>
      </c>
      <c r="I8">
        <f>SmtRes!Y4*Source!I30</f>
        <v>0.19840000000000002</v>
      </c>
      <c r="J8">
        <f>SmtRes!AO4</f>
        <v>1</v>
      </c>
      <c r="K8">
        <f>SmtRes!AF4</f>
        <v>1412.71</v>
      </c>
      <c r="L8">
        <f>SmtRes!DB4</f>
        <v>2189.6999999999998</v>
      </c>
      <c r="M8">
        <f>ROUND(ROUND(L8*Source!I30, 6)*1, 2)</f>
        <v>280.27999999999997</v>
      </c>
      <c r="N8">
        <f>SmtRes!AB4</f>
        <v>1412.71</v>
      </c>
      <c r="O8">
        <f>ROUND(ROUND(L8*Source!I30, 6)*SmtRes!DA4, 2)</f>
        <v>280.27999999999997</v>
      </c>
      <c r="P8">
        <f>SmtRes!AG4</f>
        <v>641.32000000000005</v>
      </c>
      <c r="Q8">
        <f>SmtRes!DC4</f>
        <v>994.05</v>
      </c>
      <c r="R8">
        <f>ROUND(ROUND(Q8*Source!I30, 6)*1, 2)</f>
        <v>127.24</v>
      </c>
      <c r="S8">
        <f>SmtRes!AC4</f>
        <v>641.32000000000005</v>
      </c>
      <c r="T8">
        <f>ROUND(ROUND(Q8*Source!I30, 6)*SmtRes!AK4, 2)</f>
        <v>127.24</v>
      </c>
      <c r="U8">
        <f>SmtRes!X4</f>
        <v>41279402</v>
      </c>
      <c r="V8">
        <v>1949607561</v>
      </c>
      <c r="W8">
        <v>1949607561</v>
      </c>
      <c r="X8">
        <v>2</v>
      </c>
    </row>
    <row r="9" spans="1:24" x14ac:dyDescent="0.25">
      <c r="A9">
        <v>20</v>
      </c>
      <c r="B9">
        <v>3</v>
      </c>
      <c r="C9">
        <v>2</v>
      </c>
      <c r="D9">
        <v>0</v>
      </c>
      <c r="E9">
        <f>SmtRes!AV3</f>
        <v>0</v>
      </c>
      <c r="F9" t="str">
        <f>SmtRes!I3</f>
        <v>22.1-30-54</v>
      </c>
      <c r="G9" t="str">
        <f>SmtRes!K3</f>
        <v>Молотки отбойные</v>
      </c>
      <c r="H9" t="str">
        <f>SmtRes!O3</f>
        <v>маш.-ч</v>
      </c>
      <c r="I9">
        <f>SmtRes!Y3*Source!I30</f>
        <v>9.6</v>
      </c>
      <c r="J9">
        <f>SmtRes!AO3</f>
        <v>1</v>
      </c>
      <c r="K9">
        <f>SmtRes!AF3</f>
        <v>6.02</v>
      </c>
      <c r="L9">
        <f>SmtRes!DB3</f>
        <v>451.5</v>
      </c>
      <c r="M9">
        <f>ROUND(ROUND(L9*Source!I30, 6)*1, 2)</f>
        <v>57.79</v>
      </c>
      <c r="N9">
        <f>SmtRes!AB3</f>
        <v>6.02</v>
      </c>
      <c r="O9">
        <f>ROUND(ROUND(L9*Source!I30, 6)*SmtRes!DA3, 2)</f>
        <v>57.79</v>
      </c>
      <c r="P9">
        <f>SmtRes!AG3</f>
        <v>0.02</v>
      </c>
      <c r="Q9">
        <f>SmtRes!DC3</f>
        <v>1.5</v>
      </c>
      <c r="R9">
        <f>ROUND(ROUND(Q9*Source!I30, 6)*1, 2)</f>
        <v>0.19</v>
      </c>
      <c r="S9">
        <f>SmtRes!AC3</f>
        <v>0.02</v>
      </c>
      <c r="T9">
        <f>ROUND(ROUND(Q9*Source!I30, 6)*SmtRes!AK3, 2)</f>
        <v>0.19</v>
      </c>
      <c r="U9">
        <f>SmtRes!X3</f>
        <v>1403155342</v>
      </c>
      <c r="V9">
        <v>975003665</v>
      </c>
      <c r="W9">
        <v>975003665</v>
      </c>
      <c r="X9">
        <v>2</v>
      </c>
    </row>
    <row r="10" spans="1:24" x14ac:dyDescent="0.25">
      <c r="A10">
        <v>20</v>
      </c>
      <c r="B10">
        <v>2</v>
      </c>
      <c r="C10">
        <v>2</v>
      </c>
      <c r="D10">
        <v>0</v>
      </c>
      <c r="E10">
        <f>SmtRes!AV2</f>
        <v>0</v>
      </c>
      <c r="F10" t="str">
        <f>SmtRes!I2</f>
        <v>22.1-10-5</v>
      </c>
      <c r="G10" t="str">
        <f>SmtRes!K2</f>
        <v>Компрессоры с дизельным двигателем прицепные до 5 м3/мин</v>
      </c>
      <c r="H10" t="str">
        <f>SmtRes!O2</f>
        <v>маш.-ч</v>
      </c>
      <c r="I10">
        <f>SmtRes!Y2*Source!I30</f>
        <v>4.8</v>
      </c>
      <c r="J10">
        <f>SmtRes!AO2</f>
        <v>1</v>
      </c>
      <c r="K10">
        <f>SmtRes!AF2</f>
        <v>744.2</v>
      </c>
      <c r="L10">
        <f>SmtRes!DB2</f>
        <v>27907.5</v>
      </c>
      <c r="M10">
        <f>ROUND(ROUND(L10*Source!I30, 6)*1, 2)</f>
        <v>3572.16</v>
      </c>
      <c r="N10">
        <f>SmtRes!AB2</f>
        <v>744.2</v>
      </c>
      <c r="O10">
        <f>ROUND(ROUND(L10*Source!I30, 6)*SmtRes!DA2, 2)</f>
        <v>3572.16</v>
      </c>
      <c r="P10">
        <f>SmtRes!AG2</f>
        <v>423.17</v>
      </c>
      <c r="Q10">
        <f>SmtRes!DC2</f>
        <v>15868.88</v>
      </c>
      <c r="R10">
        <f>ROUND(ROUND(Q10*Source!I30, 6)*1, 2)</f>
        <v>2031.22</v>
      </c>
      <c r="S10">
        <f>SmtRes!AC2</f>
        <v>423.17</v>
      </c>
      <c r="T10">
        <f>ROUND(ROUND(Q10*Source!I30, 6)*SmtRes!AK2, 2)</f>
        <v>2031.22</v>
      </c>
      <c r="U10">
        <f>SmtRes!X2</f>
        <v>734322642</v>
      </c>
      <c r="V10">
        <v>158304140</v>
      </c>
      <c r="W10">
        <v>158304140</v>
      </c>
      <c r="X10">
        <v>2</v>
      </c>
    </row>
    <row r="11" spans="1:24" x14ac:dyDescent="0.25">
      <c r="A11">
        <v>20</v>
      </c>
      <c r="B11">
        <v>7</v>
      </c>
      <c r="C11">
        <v>2</v>
      </c>
      <c r="D11">
        <v>0</v>
      </c>
      <c r="E11">
        <f>SmtRes!AV7</f>
        <v>0</v>
      </c>
      <c r="F11" t="str">
        <f>SmtRes!I7</f>
        <v>22.1-1-5</v>
      </c>
      <c r="G11" t="str">
        <f>SmtRes!K7</f>
        <v>Экскаваторы на гусеничном ходу гидравлические, объем ковша до 0,65 м3</v>
      </c>
      <c r="H11" t="str">
        <f>SmtRes!O7</f>
        <v>маш.-ч</v>
      </c>
      <c r="I11">
        <f>SmtRes!Y7*Source!I33</f>
        <v>2.89516032</v>
      </c>
      <c r="J11">
        <f>SmtRes!AO7</f>
        <v>1</v>
      </c>
      <c r="K11">
        <f>SmtRes!AF7</f>
        <v>1494.43</v>
      </c>
      <c r="L11">
        <f>SmtRes!DB7</f>
        <v>80.25</v>
      </c>
      <c r="M11">
        <f>ROUND(ROUND(L11*Source!I33, 6)*1, 2)</f>
        <v>4326.57</v>
      </c>
      <c r="N11">
        <f>SmtRes!AB7</f>
        <v>1494.43</v>
      </c>
      <c r="O11">
        <f>ROUND(ROUND(L11*Source!I33, 6)*SmtRes!DA7, 2)</f>
        <v>4326.57</v>
      </c>
      <c r="P11">
        <f>SmtRes!AG7</f>
        <v>481.21</v>
      </c>
      <c r="Q11">
        <f>SmtRes!DC7</f>
        <v>25.84</v>
      </c>
      <c r="R11">
        <f>ROUND(ROUND(Q11*Source!I33, 6)*1, 2)</f>
        <v>1393.13</v>
      </c>
      <c r="S11">
        <f>SmtRes!AC7</f>
        <v>481.21</v>
      </c>
      <c r="T11">
        <f>ROUND(ROUND(Q11*Source!I33, 6)*SmtRes!AK7, 2)</f>
        <v>1393.13</v>
      </c>
      <c r="U11">
        <f>SmtRes!X7</f>
        <v>770341722</v>
      </c>
      <c r="V11">
        <v>-2015274479</v>
      </c>
      <c r="W11">
        <v>-2015274479</v>
      </c>
      <c r="X11">
        <v>2</v>
      </c>
    </row>
    <row r="12" spans="1:24" x14ac:dyDescent="0.25">
      <c r="A12">
        <v>20</v>
      </c>
      <c r="B12">
        <v>9</v>
      </c>
      <c r="C12">
        <v>2</v>
      </c>
      <c r="D12">
        <v>0</v>
      </c>
      <c r="E12">
        <f>SmtRes!AV9</f>
        <v>0</v>
      </c>
      <c r="F12" t="str">
        <f>SmtRes!I9</f>
        <v>22.1-18-13</v>
      </c>
      <c r="G12" t="str">
        <f>SmtRes!K9</f>
        <v>Автомобили-самосвалы, грузоподъемность до 10 т</v>
      </c>
      <c r="H12" t="str">
        <f>SmtRes!O9</f>
        <v>маш.-ч</v>
      </c>
      <c r="I12">
        <f>SmtRes!Y9*Source!I34</f>
        <v>0.9704448</v>
      </c>
      <c r="J12">
        <f>SmtRes!AO9</f>
        <v>1</v>
      </c>
      <c r="K12">
        <f>SmtRes!AF9</f>
        <v>1014.12</v>
      </c>
      <c r="L12">
        <f>SmtRes!DB9</f>
        <v>18.25</v>
      </c>
      <c r="M12">
        <f>ROUND(ROUND(L12*Source!I34, 6)*1, 2)</f>
        <v>983.92</v>
      </c>
      <c r="N12">
        <f>SmtRes!AB9</f>
        <v>1014.12</v>
      </c>
      <c r="O12">
        <f>ROUND(ROUND(L12*Source!I34, 6)*SmtRes!DA9, 2)</f>
        <v>983.92</v>
      </c>
      <c r="P12">
        <f>SmtRes!AG9</f>
        <v>317.13</v>
      </c>
      <c r="Q12">
        <f>SmtRes!DC9</f>
        <v>5.71</v>
      </c>
      <c r="R12">
        <f>ROUND(ROUND(Q12*Source!I34, 6)*1, 2)</f>
        <v>307.85000000000002</v>
      </c>
      <c r="S12">
        <f>SmtRes!AC9</f>
        <v>317.13</v>
      </c>
      <c r="T12">
        <f>ROUND(ROUND(Q12*Source!I34, 6)*SmtRes!AK9, 2)</f>
        <v>307.85000000000002</v>
      </c>
      <c r="U12">
        <f>SmtRes!X9</f>
        <v>-1786200580</v>
      </c>
      <c r="V12">
        <v>-522295321</v>
      </c>
      <c r="W12">
        <v>-522295321</v>
      </c>
      <c r="X12">
        <v>2</v>
      </c>
    </row>
    <row r="13" spans="1:24" x14ac:dyDescent="0.25">
      <c r="A13">
        <v>20</v>
      </c>
      <c r="B13">
        <v>8</v>
      </c>
      <c r="C13">
        <v>2</v>
      </c>
      <c r="D13">
        <v>0</v>
      </c>
      <c r="E13">
        <f>SmtRes!AV8</f>
        <v>0</v>
      </c>
      <c r="F13" t="str">
        <f>SmtRes!I8</f>
        <v>22.1-18-12</v>
      </c>
      <c r="G13" t="str">
        <f>SmtRes!K8</f>
        <v>Автомобили-самосвалы, грузоподъемность до 7 т</v>
      </c>
      <c r="H13" t="str">
        <f>SmtRes!O8</f>
        <v>маш.-ч</v>
      </c>
      <c r="I13">
        <f>SmtRes!Y8*Source!I34</f>
        <v>1.0782720000000001</v>
      </c>
      <c r="J13">
        <f>SmtRes!AO8</f>
        <v>1</v>
      </c>
      <c r="K13">
        <f>SmtRes!AF8</f>
        <v>1009.4</v>
      </c>
      <c r="L13">
        <f>SmtRes!DB8</f>
        <v>20.190000000000001</v>
      </c>
      <c r="M13">
        <f>ROUND(ROUND(L13*Source!I34, 6)*1, 2)</f>
        <v>1088.52</v>
      </c>
      <c r="N13">
        <f>SmtRes!AB8</f>
        <v>1009.4</v>
      </c>
      <c r="O13">
        <f>ROUND(ROUND(L13*Source!I34, 6)*SmtRes!DA8, 2)</f>
        <v>1088.52</v>
      </c>
      <c r="P13">
        <f>SmtRes!AG8</f>
        <v>316.82</v>
      </c>
      <c r="Q13">
        <f>SmtRes!DC8</f>
        <v>6.34</v>
      </c>
      <c r="R13">
        <f>ROUND(ROUND(Q13*Source!I34, 6)*1, 2)</f>
        <v>341.81</v>
      </c>
      <c r="S13">
        <f>SmtRes!AC8</f>
        <v>316.82</v>
      </c>
      <c r="T13">
        <f>ROUND(ROUND(Q13*Source!I34, 6)*SmtRes!AK8, 2)</f>
        <v>341.81</v>
      </c>
      <c r="U13">
        <f>SmtRes!X8</f>
        <v>238809398</v>
      </c>
      <c r="V13">
        <v>723112940</v>
      </c>
      <c r="W13">
        <v>723112940</v>
      </c>
      <c r="X13">
        <v>2</v>
      </c>
    </row>
    <row r="14" spans="1:24" x14ac:dyDescent="0.25">
      <c r="A14">
        <v>20</v>
      </c>
      <c r="B14">
        <v>11</v>
      </c>
      <c r="C14">
        <v>2</v>
      </c>
      <c r="D14">
        <v>0</v>
      </c>
      <c r="E14">
        <f>SmtRes!AV11</f>
        <v>0</v>
      </c>
      <c r="F14" t="str">
        <f>SmtRes!I11</f>
        <v>22.1-18-13</v>
      </c>
      <c r="G14" t="str">
        <f>SmtRes!K11</f>
        <v>Автомобили-самосвалы, грузоподъемность до 10 т</v>
      </c>
      <c r="H14" t="str">
        <f>SmtRes!O11</f>
        <v>маш.-ч</v>
      </c>
      <c r="I14">
        <f>SmtRes!Y11*Source!I35</f>
        <v>22.428057600000002</v>
      </c>
      <c r="J14">
        <f>SmtRes!AO11</f>
        <v>1</v>
      </c>
      <c r="K14">
        <f>SmtRes!AF11</f>
        <v>1014.12</v>
      </c>
      <c r="L14">
        <f>SmtRes!DB11</f>
        <v>421.72</v>
      </c>
      <c r="M14">
        <f>ROUND(ROUND(L14*Source!I35, 6)*1, 2)</f>
        <v>22736.44</v>
      </c>
      <c r="N14">
        <f>SmtRes!AB11</f>
        <v>1014.12</v>
      </c>
      <c r="O14">
        <f>ROUND(ROUND(L14*Source!I35, 6)*SmtRes!DA11, 2)</f>
        <v>22736.44</v>
      </c>
      <c r="P14">
        <f>SmtRes!AG11</f>
        <v>317.13</v>
      </c>
      <c r="Q14">
        <f>SmtRes!DC11</f>
        <v>132.08000000000001</v>
      </c>
      <c r="R14">
        <f>ROUND(ROUND(Q14*Source!I35, 6)*1, 2)</f>
        <v>7120.91</v>
      </c>
      <c r="S14">
        <f>SmtRes!AC11</f>
        <v>317.13</v>
      </c>
      <c r="T14">
        <f>ROUND(ROUND(Q14*Source!I35, 6)*SmtRes!AK11, 2)</f>
        <v>7120.91</v>
      </c>
      <c r="U14">
        <f>SmtRes!X11</f>
        <v>-1786200580</v>
      </c>
      <c r="V14">
        <v>-522295321</v>
      </c>
      <c r="W14">
        <v>-522295321</v>
      </c>
      <c r="X14">
        <v>2</v>
      </c>
    </row>
    <row r="15" spans="1:24" x14ac:dyDescent="0.25">
      <c r="A15">
        <v>20</v>
      </c>
      <c r="B15">
        <v>10</v>
      </c>
      <c r="C15">
        <v>2</v>
      </c>
      <c r="D15">
        <v>0</v>
      </c>
      <c r="E15">
        <f>SmtRes!AV10</f>
        <v>0</v>
      </c>
      <c r="F15" t="str">
        <f>SmtRes!I10</f>
        <v>22.1-18-12</v>
      </c>
      <c r="G15" t="str">
        <f>SmtRes!K10</f>
        <v>Автомобили-самосвалы, грузоподъемность до 7 т</v>
      </c>
      <c r="H15" t="str">
        <f>SmtRes!O10</f>
        <v>маш.-ч</v>
      </c>
      <c r="I15">
        <f>SmtRes!Y10*Source!I35</f>
        <v>28.035072000000003</v>
      </c>
      <c r="J15">
        <f>SmtRes!AO10</f>
        <v>1</v>
      </c>
      <c r="K15">
        <f>SmtRes!AF10</f>
        <v>1009.4</v>
      </c>
      <c r="L15">
        <f>SmtRes!DB10</f>
        <v>524.67999999999995</v>
      </c>
      <c r="M15">
        <f>ROUND(ROUND(L15*Source!I35, 6)*1, 2)</f>
        <v>28287.39</v>
      </c>
      <c r="N15">
        <f>SmtRes!AB10</f>
        <v>1009.4</v>
      </c>
      <c r="O15">
        <f>ROUND(ROUND(L15*Source!I35, 6)*SmtRes!DA10, 2)</f>
        <v>28287.39</v>
      </c>
      <c r="P15">
        <f>SmtRes!AG10</f>
        <v>316.82</v>
      </c>
      <c r="Q15">
        <f>SmtRes!DC10</f>
        <v>164.84</v>
      </c>
      <c r="R15">
        <f>ROUND(ROUND(Q15*Source!I35, 6)*1, 2)</f>
        <v>8887.1200000000008</v>
      </c>
      <c r="S15">
        <f>SmtRes!AC10</f>
        <v>316.82</v>
      </c>
      <c r="T15">
        <f>ROUND(ROUND(Q15*Source!I35, 6)*SmtRes!AK10, 2)</f>
        <v>8887.1200000000008</v>
      </c>
      <c r="U15">
        <f>SmtRes!X10</f>
        <v>238809398</v>
      </c>
      <c r="V15">
        <v>723112940</v>
      </c>
      <c r="W15">
        <v>723112940</v>
      </c>
      <c r="X15">
        <v>2</v>
      </c>
    </row>
    <row r="16" spans="1:24" x14ac:dyDescent="0.25">
      <c r="A16">
        <f>Source!A36</f>
        <v>17</v>
      </c>
      <c r="B16">
        <v>36</v>
      </c>
      <c r="C16">
        <v>3</v>
      </c>
      <c r="D16">
        <f>Source!BI36</f>
        <v>1</v>
      </c>
      <c r="E16">
        <f>Source!FS36</f>
        <v>0</v>
      </c>
      <c r="F16" t="str">
        <f>Source!F36</f>
        <v>Цена по экспертному заключению №0097-6-1-2-110221)</v>
      </c>
      <c r="G16" t="str">
        <f>Source!G36</f>
        <v>Стоимость приемки отходов строительства и сноса</v>
      </c>
      <c r="H16" t="str">
        <f>Source!H36</f>
        <v>т</v>
      </c>
      <c r="I16">
        <f>Source!I36</f>
        <v>53.913600000000002</v>
      </c>
      <c r="J16">
        <v>1</v>
      </c>
      <c r="K16">
        <f>Source!AC36</f>
        <v>150.61000000000001</v>
      </c>
      <c r="M16">
        <f>ROUND(K16*I16, 2)</f>
        <v>8119.93</v>
      </c>
      <c r="N16">
        <f>Source!AC36*IF(Source!BC36&lt;&gt; 0, Source!BC36, 1)</f>
        <v>150.61000000000001</v>
      </c>
      <c r="O16">
        <f>ROUND(N16*I16, 2)</f>
        <v>8119.93</v>
      </c>
      <c r="P16">
        <f>Source!AE36</f>
        <v>0</v>
      </c>
      <c r="R16">
        <f>ROUND(P16*I16, 2)</f>
        <v>0</v>
      </c>
      <c r="S16">
        <f>Source!AE36*IF(Source!BS36&lt;&gt; 0, Source!BS36, 1)</f>
        <v>0</v>
      </c>
      <c r="T16">
        <f>ROUND(S16*I16, 2)</f>
        <v>0</v>
      </c>
      <c r="U16">
        <f>Source!GF36</f>
        <v>1020102639</v>
      </c>
      <c r="V16">
        <v>-1824590939</v>
      </c>
      <c r="W16">
        <v>-1824590939</v>
      </c>
      <c r="X16">
        <v>3</v>
      </c>
    </row>
    <row r="17" spans="1:24" x14ac:dyDescent="0.25">
      <c r="A17">
        <v>20</v>
      </c>
      <c r="B17">
        <v>20</v>
      </c>
      <c r="C17">
        <v>3</v>
      </c>
      <c r="D17">
        <v>0</v>
      </c>
      <c r="E17">
        <f>SmtRes!AV20</f>
        <v>0</v>
      </c>
      <c r="F17" t="str">
        <f>SmtRes!I20</f>
        <v>21.1-25-13</v>
      </c>
      <c r="G17" t="str">
        <f>SmtRes!K20</f>
        <v>Вода</v>
      </c>
      <c r="H17" t="str">
        <f>SmtRes!O20</f>
        <v>м3</v>
      </c>
      <c r="I17">
        <f>SmtRes!Y20*Source!I37</f>
        <v>0.44800000000000001</v>
      </c>
      <c r="J17">
        <f>SmtRes!AO20</f>
        <v>1</v>
      </c>
      <c r="K17">
        <f>SmtRes!AE20</f>
        <v>35.25</v>
      </c>
      <c r="L17">
        <f>SmtRes!DB20</f>
        <v>246.75</v>
      </c>
      <c r="M17">
        <f>ROUND(ROUND(L17*Source!I37, 6)*1, 2)</f>
        <v>15.79</v>
      </c>
      <c r="N17">
        <f>SmtRes!AA20</f>
        <v>35.25</v>
      </c>
      <c r="O17">
        <f>ROUND(ROUND(L17*Source!I37, 6)*SmtRes!DA20, 2)</f>
        <v>15.79</v>
      </c>
      <c r="P17">
        <f>SmtRes!AG20</f>
        <v>0</v>
      </c>
      <c r="Q17">
        <f>SmtRes!DC20</f>
        <v>0</v>
      </c>
      <c r="R17">
        <f>ROUND(ROUND(Q17*Source!I37, 6)*1, 2)</f>
        <v>0</v>
      </c>
      <c r="S17">
        <f>SmtRes!AC20</f>
        <v>0</v>
      </c>
      <c r="T17">
        <f>ROUND(ROUND(Q17*Source!I37, 6)*SmtRes!AK20, 2)</f>
        <v>0</v>
      </c>
      <c r="U17">
        <f>SmtRes!X20</f>
        <v>2028445372</v>
      </c>
      <c r="V17">
        <v>1411454429</v>
      </c>
      <c r="W17">
        <v>1411454429</v>
      </c>
      <c r="X17">
        <v>3</v>
      </c>
    </row>
    <row r="18" spans="1:24" x14ac:dyDescent="0.25">
      <c r="A18">
        <v>20</v>
      </c>
      <c r="B18">
        <v>19</v>
      </c>
      <c r="C18">
        <v>3</v>
      </c>
      <c r="D18">
        <v>0</v>
      </c>
      <c r="E18">
        <f>SmtRes!AV19</f>
        <v>0</v>
      </c>
      <c r="F18" t="str">
        <f>SmtRes!I19</f>
        <v>21.1-12-36</v>
      </c>
      <c r="G18" t="str">
        <f>SmtRes!K19</f>
        <v>Щебень из естественного камня для строительных работ, марка 1200-800, фракция 20-40 мм</v>
      </c>
      <c r="H18" t="str">
        <f>SmtRes!O19</f>
        <v>м3</v>
      </c>
      <c r="I18">
        <f>SmtRes!Y19*Source!I37</f>
        <v>8.0640000000000001</v>
      </c>
      <c r="J18">
        <f>SmtRes!AO19</f>
        <v>1</v>
      </c>
      <c r="K18">
        <f>SmtRes!AE19</f>
        <v>1763.75</v>
      </c>
      <c r="L18">
        <f>SmtRes!DB19</f>
        <v>222232.5</v>
      </c>
      <c r="M18">
        <f>ROUND(ROUND(L18*Source!I37, 6)*1, 2)</f>
        <v>14222.88</v>
      </c>
      <c r="N18">
        <f>SmtRes!AA19</f>
        <v>1763.75</v>
      </c>
      <c r="O18">
        <f>ROUND(ROUND(L18*Source!I37, 6)*SmtRes!DA19, 2)</f>
        <v>14222.88</v>
      </c>
      <c r="P18">
        <f>SmtRes!AG19</f>
        <v>0</v>
      </c>
      <c r="Q18">
        <f>SmtRes!DC19</f>
        <v>0</v>
      </c>
      <c r="R18">
        <f>ROUND(ROUND(Q18*Source!I37, 6)*1, 2)</f>
        <v>0</v>
      </c>
      <c r="S18">
        <f>SmtRes!AC19</f>
        <v>0</v>
      </c>
      <c r="T18">
        <f>ROUND(ROUND(Q18*Source!I37, 6)*SmtRes!AK19, 2)</f>
        <v>0</v>
      </c>
      <c r="U18">
        <f>SmtRes!X19</f>
        <v>811973350</v>
      </c>
      <c r="V18">
        <v>-100050385</v>
      </c>
      <c r="W18">
        <v>-100050385</v>
      </c>
      <c r="X18">
        <v>3</v>
      </c>
    </row>
    <row r="19" spans="1:24" x14ac:dyDescent="0.25">
      <c r="A19">
        <v>20</v>
      </c>
      <c r="B19">
        <v>18</v>
      </c>
      <c r="C19">
        <v>2</v>
      </c>
      <c r="D19">
        <v>0</v>
      </c>
      <c r="E19">
        <f>SmtRes!AV18</f>
        <v>0</v>
      </c>
      <c r="F19" t="str">
        <f>SmtRes!I18</f>
        <v>22.1-5-7</v>
      </c>
      <c r="G19" t="str">
        <f>SmtRes!K18</f>
        <v>Катки дорожные самоходные на пневмоколесном ходу, масса до 16 т</v>
      </c>
      <c r="H19" t="str">
        <f>SmtRes!O18</f>
        <v>маш.-ч</v>
      </c>
      <c r="I19">
        <f>SmtRes!Y18*Source!I37</f>
        <v>4.1600000000000005E-2</v>
      </c>
      <c r="J19">
        <f>SmtRes!AO18</f>
        <v>1</v>
      </c>
      <c r="K19">
        <f>SmtRes!AF18</f>
        <v>1213.3399999999999</v>
      </c>
      <c r="L19">
        <f>SmtRes!DB18</f>
        <v>788.67</v>
      </c>
      <c r="M19">
        <f>ROUND(ROUND(L19*Source!I37, 6)*1, 2)</f>
        <v>50.47</v>
      </c>
      <c r="N19">
        <f>SmtRes!AB18</f>
        <v>1213.3399999999999</v>
      </c>
      <c r="O19">
        <f>ROUND(ROUND(L19*Source!I37, 6)*SmtRes!DA18, 2)</f>
        <v>50.47</v>
      </c>
      <c r="P19">
        <f>SmtRes!AG18</f>
        <v>461.6</v>
      </c>
      <c r="Q19">
        <f>SmtRes!DC18</f>
        <v>300.04000000000002</v>
      </c>
      <c r="R19">
        <f>ROUND(ROUND(Q19*Source!I37, 6)*1, 2)</f>
        <v>19.2</v>
      </c>
      <c r="S19">
        <f>SmtRes!AC18</f>
        <v>461.6</v>
      </c>
      <c r="T19">
        <f>ROUND(ROUND(Q19*Source!I37, 6)*SmtRes!AK18, 2)</f>
        <v>19.2</v>
      </c>
      <c r="U19">
        <f>SmtRes!X18</f>
        <v>-1991511797</v>
      </c>
      <c r="V19">
        <v>-624233938</v>
      </c>
      <c r="W19">
        <v>-624233938</v>
      </c>
      <c r="X19">
        <v>2</v>
      </c>
    </row>
    <row r="20" spans="1:24" x14ac:dyDescent="0.25">
      <c r="A20">
        <v>20</v>
      </c>
      <c r="B20">
        <v>17</v>
      </c>
      <c r="C20">
        <v>2</v>
      </c>
      <c r="D20">
        <v>0</v>
      </c>
      <c r="E20">
        <f>SmtRes!AV17</f>
        <v>0</v>
      </c>
      <c r="F20" t="str">
        <f>SmtRes!I17</f>
        <v>22.1-5-48</v>
      </c>
      <c r="G20" t="str">
        <f>SmtRes!K17</f>
        <v>Автогрейдеры, мощность 99-147 кВт (130-200 л.с.)</v>
      </c>
      <c r="H20" t="str">
        <f>SmtRes!O17</f>
        <v>маш.-ч</v>
      </c>
      <c r="I20">
        <f>SmtRes!Y17*Source!I37</f>
        <v>0.14336000000000002</v>
      </c>
      <c r="J20">
        <f>SmtRes!AO17</f>
        <v>1</v>
      </c>
      <c r="K20">
        <f>SmtRes!AF17</f>
        <v>1412.71</v>
      </c>
      <c r="L20">
        <f>SmtRes!DB17</f>
        <v>3164.47</v>
      </c>
      <c r="M20">
        <f>ROUND(ROUND(L20*Source!I37, 6)*1, 2)</f>
        <v>202.53</v>
      </c>
      <c r="N20">
        <f>SmtRes!AB17</f>
        <v>1412.71</v>
      </c>
      <c r="O20">
        <f>ROUND(ROUND(L20*Source!I37, 6)*SmtRes!DA17, 2)</f>
        <v>202.53</v>
      </c>
      <c r="P20">
        <f>SmtRes!AG17</f>
        <v>641.32000000000005</v>
      </c>
      <c r="Q20">
        <f>SmtRes!DC17</f>
        <v>1436.56</v>
      </c>
      <c r="R20">
        <f>ROUND(ROUND(Q20*Source!I37, 6)*1, 2)</f>
        <v>91.94</v>
      </c>
      <c r="S20">
        <f>SmtRes!AC17</f>
        <v>641.32000000000005</v>
      </c>
      <c r="T20">
        <f>ROUND(ROUND(Q20*Source!I37, 6)*SmtRes!AK17, 2)</f>
        <v>91.94</v>
      </c>
      <c r="U20">
        <f>SmtRes!X17</f>
        <v>41279402</v>
      </c>
      <c r="V20">
        <v>1949607561</v>
      </c>
      <c r="W20">
        <v>1949607561</v>
      </c>
      <c r="X20">
        <v>2</v>
      </c>
    </row>
    <row r="21" spans="1:24" x14ac:dyDescent="0.25">
      <c r="A21">
        <v>20</v>
      </c>
      <c r="B21">
        <v>16</v>
      </c>
      <c r="C21">
        <v>2</v>
      </c>
      <c r="D21">
        <v>0</v>
      </c>
      <c r="E21">
        <f>SmtRes!AV16</f>
        <v>0</v>
      </c>
      <c r="F21" t="str">
        <f>SmtRes!I16</f>
        <v>22.1-5-3</v>
      </c>
      <c r="G21" t="str">
        <f>SmtRes!K16</f>
        <v>Катки самоходные вибрационные, масса более 8 т</v>
      </c>
      <c r="H21" t="str">
        <f>SmtRes!O16</f>
        <v>маш.-ч</v>
      </c>
      <c r="I21">
        <f>SmtRes!Y16*Source!I37</f>
        <v>1.1679999999999999</v>
      </c>
      <c r="J21">
        <f>SmtRes!AO16</f>
        <v>1</v>
      </c>
      <c r="K21">
        <f>SmtRes!AF16</f>
        <v>1827.95</v>
      </c>
      <c r="L21">
        <f>SmtRes!DB16</f>
        <v>33360.089999999997</v>
      </c>
      <c r="M21">
        <f>ROUND(ROUND(L21*Source!I37, 6)*1, 2)</f>
        <v>2135.0500000000002</v>
      </c>
      <c r="N21">
        <f>SmtRes!AB16</f>
        <v>1827.95</v>
      </c>
      <c r="O21">
        <f>ROUND(ROUND(L21*Source!I37, 6)*SmtRes!DA16, 2)</f>
        <v>2135.0500000000002</v>
      </c>
      <c r="P21">
        <f>SmtRes!AG16</f>
        <v>720.55</v>
      </c>
      <c r="Q21">
        <f>SmtRes!DC16</f>
        <v>13150.04</v>
      </c>
      <c r="R21">
        <f>ROUND(ROUND(Q21*Source!I37, 6)*1, 2)</f>
        <v>841.6</v>
      </c>
      <c r="S21">
        <f>SmtRes!AC16</f>
        <v>720.55</v>
      </c>
      <c r="T21">
        <f>ROUND(ROUND(Q21*Source!I37, 6)*SmtRes!AK16, 2)</f>
        <v>841.6</v>
      </c>
      <c r="U21">
        <f>SmtRes!X16</f>
        <v>1869206802</v>
      </c>
      <c r="V21">
        <v>-1332889247</v>
      </c>
      <c r="W21">
        <v>-1332889247</v>
      </c>
      <c r="X21">
        <v>2</v>
      </c>
    </row>
    <row r="22" spans="1:24" x14ac:dyDescent="0.25">
      <c r="A22">
        <v>20</v>
      </c>
      <c r="B22">
        <v>15</v>
      </c>
      <c r="C22">
        <v>2</v>
      </c>
      <c r="D22">
        <v>0</v>
      </c>
      <c r="E22">
        <f>SmtRes!AV15</f>
        <v>0</v>
      </c>
      <c r="F22" t="str">
        <f>SmtRes!I15</f>
        <v>22.1-5-2</v>
      </c>
      <c r="G22" t="str">
        <f>SmtRes!K15</f>
        <v>Катки самоходные вибрационные, масса до 8 т</v>
      </c>
      <c r="H22" t="str">
        <f>SmtRes!O15</f>
        <v>маш.-ч</v>
      </c>
      <c r="I22">
        <f>SmtRes!Y15*Source!I37</f>
        <v>0.57344000000000006</v>
      </c>
      <c r="J22">
        <f>SmtRes!AO15</f>
        <v>1</v>
      </c>
      <c r="K22">
        <f>SmtRes!AF15</f>
        <v>1261.8699999999999</v>
      </c>
      <c r="L22">
        <f>SmtRes!DB15</f>
        <v>11306.36</v>
      </c>
      <c r="M22">
        <f>ROUND(ROUND(L22*Source!I37, 6)*1, 2)</f>
        <v>723.61</v>
      </c>
      <c r="N22">
        <f>SmtRes!AB15</f>
        <v>1261.8699999999999</v>
      </c>
      <c r="O22">
        <f>ROUND(ROUND(L22*Source!I37, 6)*SmtRes!DA15, 2)</f>
        <v>723.61</v>
      </c>
      <c r="P22">
        <f>SmtRes!AG15</f>
        <v>530.02</v>
      </c>
      <c r="Q22">
        <f>SmtRes!DC15</f>
        <v>4748.9799999999996</v>
      </c>
      <c r="R22">
        <f>ROUND(ROUND(Q22*Source!I37, 6)*1, 2)</f>
        <v>303.93</v>
      </c>
      <c r="S22">
        <f>SmtRes!AC15</f>
        <v>530.02</v>
      </c>
      <c r="T22">
        <f>ROUND(ROUND(Q22*Source!I37, 6)*SmtRes!AK15, 2)</f>
        <v>303.93</v>
      </c>
      <c r="U22">
        <f>SmtRes!X15</f>
        <v>-1930120489</v>
      </c>
      <c r="V22">
        <v>1409836431</v>
      </c>
      <c r="W22">
        <v>1409836431</v>
      </c>
      <c r="X22">
        <v>2</v>
      </c>
    </row>
    <row r="23" spans="1:24" x14ac:dyDescent="0.25">
      <c r="A23">
        <v>20</v>
      </c>
      <c r="B23">
        <v>14</v>
      </c>
      <c r="C23">
        <v>2</v>
      </c>
      <c r="D23">
        <v>0</v>
      </c>
      <c r="E23">
        <f>SmtRes!AV14</f>
        <v>0</v>
      </c>
      <c r="F23" t="str">
        <f>SmtRes!I14</f>
        <v>22.1-5-18</v>
      </c>
      <c r="G23" t="str">
        <f>SmtRes!K14</f>
        <v>Поливомоечные машины, емкость цистерны более 5000 л</v>
      </c>
      <c r="H23" t="str">
        <f>SmtRes!O14</f>
        <v>маш.-ч</v>
      </c>
      <c r="I23">
        <f>SmtRes!Y14*Source!I37</f>
        <v>7.2959999999999997E-2</v>
      </c>
      <c r="J23">
        <f>SmtRes!AO14</f>
        <v>1</v>
      </c>
      <c r="K23">
        <f>SmtRes!AF14</f>
        <v>2020.59</v>
      </c>
      <c r="L23">
        <f>SmtRes!DB14</f>
        <v>2303.4699999999998</v>
      </c>
      <c r="M23">
        <f>ROUND(ROUND(L23*Source!I37, 6)*1, 2)</f>
        <v>147.41999999999999</v>
      </c>
      <c r="N23">
        <f>SmtRes!AB14</f>
        <v>2020.59</v>
      </c>
      <c r="O23">
        <f>ROUND(ROUND(L23*Source!I37, 6)*SmtRes!DA14, 2)</f>
        <v>147.41999999999999</v>
      </c>
      <c r="P23">
        <f>SmtRes!AG14</f>
        <v>458.56</v>
      </c>
      <c r="Q23">
        <f>SmtRes!DC14</f>
        <v>522.76</v>
      </c>
      <c r="R23">
        <f>ROUND(ROUND(Q23*Source!I37, 6)*1, 2)</f>
        <v>33.46</v>
      </c>
      <c r="S23">
        <f>SmtRes!AC14</f>
        <v>458.56</v>
      </c>
      <c r="T23">
        <f>ROUND(ROUND(Q23*Source!I37, 6)*SmtRes!AK14, 2)</f>
        <v>33.46</v>
      </c>
      <c r="U23">
        <f>SmtRes!X14</f>
        <v>351519474</v>
      </c>
      <c r="V23">
        <v>332433507</v>
      </c>
      <c r="W23">
        <v>332433507</v>
      </c>
      <c r="X23">
        <v>2</v>
      </c>
    </row>
    <row r="24" spans="1:24" x14ac:dyDescent="0.25">
      <c r="A24">
        <v>20</v>
      </c>
      <c r="B24">
        <v>13</v>
      </c>
      <c r="C24">
        <v>2</v>
      </c>
      <c r="D24">
        <v>0</v>
      </c>
      <c r="E24">
        <f>SmtRes!AV13</f>
        <v>0</v>
      </c>
      <c r="F24" t="str">
        <f>SmtRes!I13</f>
        <v>22.1-1-43</v>
      </c>
      <c r="G24" t="str">
        <f>SmtRes!K13</f>
        <v>Бульдозеры гусеничные, мощность до 59 кВт (80 л.с.)</v>
      </c>
      <c r="H24" t="str">
        <f>SmtRes!O13</f>
        <v>маш.-ч</v>
      </c>
      <c r="I24">
        <f>SmtRes!Y13*Source!I37</f>
        <v>0.18815999999999999</v>
      </c>
      <c r="J24">
        <f>SmtRes!AO13</f>
        <v>1</v>
      </c>
      <c r="K24">
        <f>SmtRes!AF13</f>
        <v>956.79</v>
      </c>
      <c r="L24">
        <f>SmtRes!DB13</f>
        <v>2812.96</v>
      </c>
      <c r="M24">
        <f>ROUND(ROUND(L24*Source!I37, 6)*1, 2)</f>
        <v>180.03</v>
      </c>
      <c r="N24">
        <f>SmtRes!AB13</f>
        <v>956.79</v>
      </c>
      <c r="O24">
        <f>ROUND(ROUND(L24*Source!I37, 6)*SmtRes!DA13, 2)</f>
        <v>180.03</v>
      </c>
      <c r="P24">
        <f>SmtRes!AG13</f>
        <v>359.44</v>
      </c>
      <c r="Q24">
        <f>SmtRes!DC13</f>
        <v>1056.75</v>
      </c>
      <c r="R24">
        <f>ROUND(ROUND(Q24*Source!I37, 6)*1, 2)</f>
        <v>67.63</v>
      </c>
      <c r="S24">
        <f>SmtRes!AC13</f>
        <v>359.44</v>
      </c>
      <c r="T24">
        <f>ROUND(ROUND(Q24*Source!I37, 6)*SmtRes!AK13, 2)</f>
        <v>67.63</v>
      </c>
      <c r="U24">
        <f>SmtRes!X13</f>
        <v>974897901</v>
      </c>
      <c r="V24">
        <v>490068282</v>
      </c>
      <c r="W24">
        <v>490068282</v>
      </c>
      <c r="X24">
        <v>2</v>
      </c>
    </row>
    <row r="25" spans="1:24" x14ac:dyDescent="0.25">
      <c r="A25">
        <v>20</v>
      </c>
      <c r="B25">
        <v>23</v>
      </c>
      <c r="C25">
        <v>3</v>
      </c>
      <c r="D25">
        <v>0</v>
      </c>
      <c r="E25">
        <f>SmtRes!AV23</f>
        <v>0</v>
      </c>
      <c r="F25" t="str">
        <f>SmtRes!I23</f>
        <v>21.1-1-3</v>
      </c>
      <c r="G25" t="str">
        <f>SmtRes!K23</f>
        <v>Битумы нефтяные, дорожные жидкие, марка МГ, СГ</v>
      </c>
      <c r="H25" t="str">
        <f>SmtRes!O23</f>
        <v>т</v>
      </c>
      <c r="I25">
        <f>SmtRes!Y23*Source!I38</f>
        <v>0.192</v>
      </c>
      <c r="J25">
        <f>SmtRes!AO23</f>
        <v>1</v>
      </c>
      <c r="K25">
        <f>SmtRes!AE23</f>
        <v>25888.1</v>
      </c>
      <c r="L25">
        <f>SmtRes!DB23</f>
        <v>1553.29</v>
      </c>
      <c r="M25">
        <f>ROUND(ROUND(L25*Source!I38, 6)*1, 2)</f>
        <v>4970.53</v>
      </c>
      <c r="N25">
        <f>SmtRes!AA23</f>
        <v>25888.1</v>
      </c>
      <c r="O25">
        <f>ROUND(ROUND(L25*Source!I38, 6)*SmtRes!DA23, 2)</f>
        <v>4970.53</v>
      </c>
      <c r="P25">
        <f>SmtRes!AG23</f>
        <v>0</v>
      </c>
      <c r="Q25">
        <f>SmtRes!DC23</f>
        <v>0</v>
      </c>
      <c r="R25">
        <f>ROUND(ROUND(Q25*Source!I38, 6)*1, 2)</f>
        <v>0</v>
      </c>
      <c r="S25">
        <f>SmtRes!AC23</f>
        <v>0</v>
      </c>
      <c r="T25">
        <f>ROUND(ROUND(Q25*Source!I38, 6)*SmtRes!AK23, 2)</f>
        <v>0</v>
      </c>
      <c r="U25">
        <f>SmtRes!X23</f>
        <v>-298244648</v>
      </c>
      <c r="V25">
        <v>1510401827</v>
      </c>
      <c r="W25">
        <v>1510401827</v>
      </c>
      <c r="X25">
        <v>3</v>
      </c>
    </row>
    <row r="26" spans="1:24" x14ac:dyDescent="0.25">
      <c r="A26">
        <v>20</v>
      </c>
      <c r="B26">
        <v>22</v>
      </c>
      <c r="C26">
        <v>2</v>
      </c>
      <c r="D26">
        <v>0</v>
      </c>
      <c r="E26">
        <f>SmtRes!AV22</f>
        <v>0</v>
      </c>
      <c r="F26" t="str">
        <f>SmtRes!I22</f>
        <v>22.1-5-2</v>
      </c>
      <c r="G26" t="str">
        <f>SmtRes!K22</f>
        <v>Катки самоходные вибрационные, масса до 8 т</v>
      </c>
      <c r="H26" t="str">
        <f>SmtRes!O22</f>
        <v>маш.-ч</v>
      </c>
      <c r="I26">
        <f>SmtRes!Y22*Source!I38</f>
        <v>2.8480000000000003</v>
      </c>
      <c r="J26">
        <f>SmtRes!AO22</f>
        <v>1</v>
      </c>
      <c r="K26">
        <f>SmtRes!AF22</f>
        <v>1261.8699999999999</v>
      </c>
      <c r="L26">
        <f>SmtRes!DB22</f>
        <v>1123.06</v>
      </c>
      <c r="M26">
        <f>ROUND(ROUND(L26*Source!I38, 6)*1, 2)</f>
        <v>3593.79</v>
      </c>
      <c r="N26">
        <f>SmtRes!AB22</f>
        <v>1261.8699999999999</v>
      </c>
      <c r="O26">
        <f>ROUND(ROUND(L26*Source!I38, 6)*SmtRes!DA22, 2)</f>
        <v>3593.79</v>
      </c>
      <c r="P26">
        <f>SmtRes!AG22</f>
        <v>530.02</v>
      </c>
      <c r="Q26">
        <f>SmtRes!DC22</f>
        <v>471.72</v>
      </c>
      <c r="R26">
        <f>ROUND(ROUND(Q26*Source!I38, 6)*1, 2)</f>
        <v>1509.5</v>
      </c>
      <c r="S26">
        <f>SmtRes!AC22</f>
        <v>530.02</v>
      </c>
      <c r="T26">
        <f>ROUND(ROUND(Q26*Source!I38, 6)*SmtRes!AK22, 2)</f>
        <v>1509.5</v>
      </c>
      <c r="U26">
        <f>SmtRes!X22</f>
        <v>-1930120489</v>
      </c>
      <c r="V26">
        <v>1409836431</v>
      </c>
      <c r="W26">
        <v>1409836431</v>
      </c>
      <c r="X26">
        <v>2</v>
      </c>
    </row>
    <row r="27" spans="1:24" x14ac:dyDescent="0.25">
      <c r="A27">
        <f>Source!A40</f>
        <v>18</v>
      </c>
      <c r="B27">
        <v>40</v>
      </c>
      <c r="C27">
        <v>3</v>
      </c>
      <c r="D27">
        <f>Source!BI40</f>
        <v>4</v>
      </c>
      <c r="E27">
        <f>Source!FS40</f>
        <v>0</v>
      </c>
      <c r="F27" t="str">
        <f>Source!F40</f>
        <v>21.3-3-34</v>
      </c>
      <c r="G27" t="str">
        <f>Source!G40</f>
        <v>Смеси асфальтобетонные дорожные горячие песчаные, тип Д, марка III</v>
      </c>
      <c r="H27" t="str">
        <f>Source!H40</f>
        <v>т</v>
      </c>
      <c r="I27">
        <f>Source!I40</f>
        <v>37.344000000000001</v>
      </c>
      <c r="J27">
        <v>1</v>
      </c>
      <c r="K27">
        <f>Source!AC40</f>
        <v>2652.04</v>
      </c>
      <c r="M27">
        <f>ROUND(K27*I27, 2)</f>
        <v>99037.78</v>
      </c>
      <c r="N27">
        <f>Source!AC40*IF(Source!BC40&lt;&gt; 0, Source!BC40, 1)</f>
        <v>2652.04</v>
      </c>
      <c r="O27">
        <f>ROUND(N27*I27, 2)</f>
        <v>99037.78</v>
      </c>
      <c r="P27">
        <f>Source!AE40</f>
        <v>0</v>
      </c>
      <c r="R27">
        <f>ROUND(P27*I27, 2)</f>
        <v>0</v>
      </c>
      <c r="S27">
        <f>Source!AE40*IF(Source!BS40&lt;&gt; 0, Source!BS40, 1)</f>
        <v>0</v>
      </c>
      <c r="T27">
        <f>ROUND(S27*I27, 2)</f>
        <v>0</v>
      </c>
      <c r="U27">
        <f>Source!GF40</f>
        <v>-740831190</v>
      </c>
      <c r="V27">
        <v>-1897797422</v>
      </c>
      <c r="W27">
        <v>-1897797422</v>
      </c>
      <c r="X27">
        <v>3</v>
      </c>
    </row>
    <row r="28" spans="1:24" x14ac:dyDescent="0.25">
      <c r="A28">
        <v>20</v>
      </c>
      <c r="B28">
        <v>28</v>
      </c>
      <c r="C28">
        <v>3</v>
      </c>
      <c r="D28">
        <v>0</v>
      </c>
      <c r="E28">
        <f>SmtRes!AV28</f>
        <v>0</v>
      </c>
      <c r="F28" t="str">
        <f>SmtRes!I28</f>
        <v>21.3-2-15</v>
      </c>
      <c r="G28" t="str">
        <f>SmtRes!K28</f>
        <v>Растворы цементные, марка 100</v>
      </c>
      <c r="H28" t="str">
        <f>SmtRes!O28</f>
        <v>м3</v>
      </c>
      <c r="I28">
        <f>SmtRes!Y28*Source!I41</f>
        <v>0.19440000000000002</v>
      </c>
      <c r="J28">
        <f>SmtRes!AO28</f>
        <v>1</v>
      </c>
      <c r="K28">
        <f>SmtRes!AE28</f>
        <v>3392.59</v>
      </c>
      <c r="L28">
        <f>SmtRes!DB28</f>
        <v>203.56</v>
      </c>
      <c r="M28">
        <f>ROUND(ROUND(L28*Source!I41, 6)*1, 2)</f>
        <v>659.53</v>
      </c>
      <c r="N28">
        <f>SmtRes!AA28</f>
        <v>3392.59</v>
      </c>
      <c r="O28">
        <f>ROUND(ROUND(L28*Source!I41, 6)*SmtRes!DA28, 2)</f>
        <v>659.53</v>
      </c>
      <c r="P28">
        <f>SmtRes!AG28</f>
        <v>0</v>
      </c>
      <c r="Q28">
        <f>SmtRes!DC28</f>
        <v>0</v>
      </c>
      <c r="R28">
        <f>ROUND(ROUND(Q28*Source!I41, 6)*1, 2)</f>
        <v>0</v>
      </c>
      <c r="S28">
        <f>SmtRes!AC28</f>
        <v>0</v>
      </c>
      <c r="T28">
        <f>ROUND(ROUND(Q28*Source!I41, 6)*SmtRes!AK28, 2)</f>
        <v>0</v>
      </c>
      <c r="U28">
        <f>SmtRes!X28</f>
        <v>1443142194</v>
      </c>
      <c r="V28">
        <v>482447814</v>
      </c>
      <c r="W28">
        <v>482447814</v>
      </c>
      <c r="X28">
        <v>3</v>
      </c>
    </row>
    <row r="29" spans="1:24" x14ac:dyDescent="0.25">
      <c r="A29">
        <v>20</v>
      </c>
      <c r="B29">
        <v>27</v>
      </c>
      <c r="C29">
        <v>3</v>
      </c>
      <c r="D29">
        <v>0</v>
      </c>
      <c r="E29">
        <f>SmtRes!AV27</f>
        <v>0</v>
      </c>
      <c r="F29" t="str">
        <f>SmtRes!I27</f>
        <v>21.3-1-69</v>
      </c>
      <c r="G29" t="str">
        <f>SmtRes!K27</f>
        <v>Смеси бетонные, БСГ, тяжелого бетона на гранитном щебне, класс прочности: В15 (М200); П3, фракция 5-20, F50-100, W0-2</v>
      </c>
      <c r="H29" t="str">
        <f>SmtRes!O27</f>
        <v>м3</v>
      </c>
      <c r="I29">
        <f>SmtRes!Y27*Source!I41</f>
        <v>19.116000000000003</v>
      </c>
      <c r="J29">
        <f>SmtRes!AO27</f>
        <v>1</v>
      </c>
      <c r="K29">
        <f>SmtRes!AE27</f>
        <v>3714.73</v>
      </c>
      <c r="L29">
        <f>SmtRes!DB27</f>
        <v>21916.91</v>
      </c>
      <c r="M29">
        <f>ROUND(ROUND(L29*Source!I41, 6)*1, 2)</f>
        <v>71010.789999999994</v>
      </c>
      <c r="N29">
        <f>SmtRes!AA27</f>
        <v>3714.73</v>
      </c>
      <c r="O29">
        <f>ROUND(ROUND(L29*Source!I41, 6)*SmtRes!DA27, 2)</f>
        <v>71010.789999999994</v>
      </c>
      <c r="P29">
        <f>SmtRes!AG27</f>
        <v>0</v>
      </c>
      <c r="Q29">
        <f>SmtRes!DC27</f>
        <v>0</v>
      </c>
      <c r="R29">
        <f>ROUND(ROUND(Q29*Source!I41, 6)*1, 2)</f>
        <v>0</v>
      </c>
      <c r="S29">
        <f>SmtRes!AC27</f>
        <v>0</v>
      </c>
      <c r="T29">
        <f>ROUND(ROUND(Q29*Source!I41, 6)*SmtRes!AK27, 2)</f>
        <v>0</v>
      </c>
      <c r="U29">
        <f>SmtRes!X27</f>
        <v>1124626699</v>
      </c>
      <c r="V29">
        <v>1407172357</v>
      </c>
      <c r="W29">
        <v>1407172357</v>
      </c>
      <c r="X29">
        <v>3</v>
      </c>
    </row>
    <row r="30" spans="1:24" x14ac:dyDescent="0.25">
      <c r="A30">
        <f>Source!A43</f>
        <v>18</v>
      </c>
      <c r="B30">
        <v>43</v>
      </c>
      <c r="C30">
        <v>3</v>
      </c>
      <c r="D30">
        <f>Source!BI43</f>
        <v>1</v>
      </c>
      <c r="E30">
        <f>Source!FS43</f>
        <v>0</v>
      </c>
      <c r="F30" t="str">
        <f>Source!F43</f>
        <v>Цена за единицу в соответствии с экспертным заключением       № 0307-5-1-1-190220 от 19.02.2020</v>
      </c>
      <c r="G30" t="str">
        <f>Source!G43</f>
        <v>Бортовой камень марки БР 100.30.15</v>
      </c>
      <c r="H30" t="str">
        <f>Source!H43</f>
        <v>м</v>
      </c>
      <c r="I30">
        <f>Source!I43</f>
        <v>324</v>
      </c>
      <c r="J30">
        <v>1</v>
      </c>
      <c r="K30">
        <f>Source!AC43</f>
        <v>372.6</v>
      </c>
      <c r="M30">
        <f>ROUND(K30*I30, 2)</f>
        <v>120722.4</v>
      </c>
      <c r="N30">
        <f>Source!AC43*IF(Source!BC43&lt;&gt; 0, Source!BC43, 1)</f>
        <v>372.6</v>
      </c>
      <c r="O30">
        <f>ROUND(N30*I30, 2)</f>
        <v>120722.4</v>
      </c>
      <c r="P30">
        <f>Source!AE43</f>
        <v>0</v>
      </c>
      <c r="R30">
        <f>ROUND(P30*I30, 2)</f>
        <v>0</v>
      </c>
      <c r="S30">
        <f>Source!AE43*IF(Source!BS43&lt;&gt; 0, Source!BS43, 1)</f>
        <v>0</v>
      </c>
      <c r="T30">
        <f>ROUND(S30*I30, 2)</f>
        <v>0</v>
      </c>
      <c r="U30">
        <f>Source!GF43</f>
        <v>432596619</v>
      </c>
      <c r="V30">
        <v>1563336474</v>
      </c>
      <c r="W30">
        <v>1563336474</v>
      </c>
      <c r="X30">
        <v>3</v>
      </c>
    </row>
    <row r="31" spans="1:24" x14ac:dyDescent="0.25">
      <c r="A31">
        <f>Source!A83</f>
        <v>4</v>
      </c>
      <c r="B31">
        <v>83</v>
      </c>
      <c r="G31" t="str">
        <f>Source!G83</f>
        <v>Ремонт газонов</v>
      </c>
    </row>
    <row r="32" spans="1:24" x14ac:dyDescent="0.25">
      <c r="A32">
        <v>20</v>
      </c>
      <c r="B32">
        <v>34</v>
      </c>
      <c r="C32">
        <v>3</v>
      </c>
      <c r="D32">
        <v>0</v>
      </c>
      <c r="E32">
        <f>SmtRes!AV34</f>
        <v>0</v>
      </c>
      <c r="F32" t="str">
        <f>SmtRes!I34</f>
        <v>21.4-6-5</v>
      </c>
      <c r="G32" t="str">
        <f>SmtRes!K34</f>
        <v>Земля растительная</v>
      </c>
      <c r="H32" t="str">
        <f>SmtRes!O34</f>
        <v>м3</v>
      </c>
      <c r="I32">
        <f>SmtRes!Y34*Source!I88</f>
        <v>45.542643750000003</v>
      </c>
      <c r="J32">
        <f>SmtRes!AO34</f>
        <v>1</v>
      </c>
      <c r="K32">
        <f>SmtRes!AE34</f>
        <v>753.67</v>
      </c>
      <c r="L32">
        <f>SmtRes!DB34</f>
        <v>11305.05</v>
      </c>
      <c r="M32">
        <f>ROUND(ROUND(L32*Source!I88, 6)*1, 2)</f>
        <v>34324.120000000003</v>
      </c>
      <c r="N32">
        <f>SmtRes!AA34</f>
        <v>753.67</v>
      </c>
      <c r="O32">
        <f>ROUND(ROUND(L32*Source!I88, 6)*SmtRes!DA34, 2)</f>
        <v>34324.120000000003</v>
      </c>
      <c r="P32">
        <f>SmtRes!AG34</f>
        <v>0</v>
      </c>
      <c r="Q32">
        <f>SmtRes!DC34</f>
        <v>0</v>
      </c>
      <c r="R32">
        <f>ROUND(ROUND(Q32*Source!I88, 6)*1, 2)</f>
        <v>0</v>
      </c>
      <c r="S32">
        <f>SmtRes!AC34</f>
        <v>0</v>
      </c>
      <c r="T32">
        <f>ROUND(ROUND(Q32*Source!I88, 6)*SmtRes!AK34, 2)</f>
        <v>0</v>
      </c>
      <c r="U32">
        <f>SmtRes!X34</f>
        <v>-1277312656</v>
      </c>
      <c r="V32">
        <v>1365262818</v>
      </c>
      <c r="W32">
        <v>1365262818</v>
      </c>
      <c r="X32">
        <v>3</v>
      </c>
    </row>
    <row r="33" spans="1:24" x14ac:dyDescent="0.25">
      <c r="A33">
        <v>20</v>
      </c>
      <c r="B33">
        <v>33</v>
      </c>
      <c r="C33">
        <v>2</v>
      </c>
      <c r="D33">
        <v>0</v>
      </c>
      <c r="E33">
        <f>SmtRes!AV33</f>
        <v>0</v>
      </c>
      <c r="F33" t="str">
        <f>SmtRes!I33</f>
        <v>22.1-2-7</v>
      </c>
      <c r="G33" t="str">
        <f>SmtRes!K33</f>
        <v>Тракторы на пневмоколесном ходу, мощность до 60 (81) кВт (л.с.)</v>
      </c>
      <c r="H33" t="str">
        <f>SmtRes!O33</f>
        <v>маш.-ч</v>
      </c>
      <c r="I33">
        <f>SmtRes!Y33*Source!I88</f>
        <v>0.182170575</v>
      </c>
      <c r="J33">
        <f>SmtRes!AO33</f>
        <v>1</v>
      </c>
      <c r="K33">
        <f>SmtRes!AF33</f>
        <v>991.89</v>
      </c>
      <c r="L33">
        <f>SmtRes!DB33</f>
        <v>59.51</v>
      </c>
      <c r="M33">
        <f>ROUND(ROUND(L33*Source!I88, 6)*1, 2)</f>
        <v>180.68</v>
      </c>
      <c r="N33">
        <f>SmtRes!AB33</f>
        <v>991.89</v>
      </c>
      <c r="O33">
        <f>ROUND(ROUND(L33*Source!I88, 6)*SmtRes!DA33, 2)</f>
        <v>180.68</v>
      </c>
      <c r="P33">
        <f>SmtRes!AG33</f>
        <v>360.79</v>
      </c>
      <c r="Q33">
        <f>SmtRes!DC33</f>
        <v>21.65</v>
      </c>
      <c r="R33">
        <f>ROUND(ROUND(Q33*Source!I88, 6)*1, 2)</f>
        <v>65.73</v>
      </c>
      <c r="S33">
        <f>SmtRes!AC33</f>
        <v>360.79</v>
      </c>
      <c r="T33">
        <f>ROUND(ROUND(Q33*Source!I88, 6)*SmtRes!AK33, 2)</f>
        <v>65.73</v>
      </c>
      <c r="U33">
        <f>SmtRes!X33</f>
        <v>277467460</v>
      </c>
      <c r="V33">
        <v>-1852844644</v>
      </c>
      <c r="W33">
        <v>-1852844644</v>
      </c>
      <c r="X33">
        <v>2</v>
      </c>
    </row>
    <row r="34" spans="1:24" x14ac:dyDescent="0.25">
      <c r="A34">
        <v>20</v>
      </c>
      <c r="B34">
        <v>32</v>
      </c>
      <c r="C34">
        <v>2</v>
      </c>
      <c r="D34">
        <v>0</v>
      </c>
      <c r="E34">
        <f>SmtRes!AV32</f>
        <v>0</v>
      </c>
      <c r="F34" t="str">
        <f>SmtRes!I32</f>
        <v>22.1-17-39</v>
      </c>
      <c r="G34" t="str">
        <f>SmtRes!K32</f>
        <v>Плуги выкопочные (без трактора)</v>
      </c>
      <c r="H34" t="str">
        <f>SmtRes!O32</f>
        <v>маш.-ч</v>
      </c>
      <c r="I34">
        <f>SmtRes!Y32*Source!I88</f>
        <v>0.182170575</v>
      </c>
      <c r="J34">
        <f>SmtRes!AO32</f>
        <v>1</v>
      </c>
      <c r="K34">
        <f>SmtRes!AF32</f>
        <v>20.7</v>
      </c>
      <c r="L34">
        <f>SmtRes!DB32</f>
        <v>1.24</v>
      </c>
      <c r="M34">
        <f>ROUND(ROUND(L34*Source!I88, 6)*1, 2)</f>
        <v>3.76</v>
      </c>
      <c r="N34">
        <f>SmtRes!AB32</f>
        <v>20.7</v>
      </c>
      <c r="O34">
        <f>ROUND(ROUND(L34*Source!I88, 6)*SmtRes!DA32, 2)</f>
        <v>3.76</v>
      </c>
      <c r="P34">
        <f>SmtRes!AG32</f>
        <v>9.74</v>
      </c>
      <c r="Q34">
        <f>SmtRes!DC32</f>
        <v>0.57999999999999996</v>
      </c>
      <c r="R34">
        <f>ROUND(ROUND(Q34*Source!I88, 6)*1, 2)</f>
        <v>1.76</v>
      </c>
      <c r="S34">
        <f>SmtRes!AC32</f>
        <v>9.74</v>
      </c>
      <c r="T34">
        <f>ROUND(ROUND(Q34*Source!I88, 6)*SmtRes!AK32, 2)</f>
        <v>1.76</v>
      </c>
      <c r="U34">
        <f>SmtRes!X32</f>
        <v>526885268</v>
      </c>
      <c r="V34">
        <v>-57964362</v>
      </c>
      <c r="W34">
        <v>-57964362</v>
      </c>
      <c r="X34">
        <v>2</v>
      </c>
    </row>
    <row r="35" spans="1:24" x14ac:dyDescent="0.25">
      <c r="A35">
        <v>20</v>
      </c>
      <c r="B35">
        <v>36</v>
      </c>
      <c r="C35">
        <v>3</v>
      </c>
      <c r="D35">
        <v>0</v>
      </c>
      <c r="E35">
        <f>SmtRes!AV36</f>
        <v>0</v>
      </c>
      <c r="F35" t="str">
        <f>SmtRes!I36</f>
        <v>21.4-6-5</v>
      </c>
      <c r="G35" t="str">
        <f>SmtRes!K36</f>
        <v>Земля растительная</v>
      </c>
      <c r="H35" t="str">
        <f>SmtRes!O36</f>
        <v>м3</v>
      </c>
      <c r="I35">
        <f>SmtRes!Y36*Source!I89</f>
        <v>15.180881250000001</v>
      </c>
      <c r="J35">
        <f>SmtRes!AO36</f>
        <v>1</v>
      </c>
      <c r="K35">
        <f>SmtRes!AE36</f>
        <v>753.67</v>
      </c>
      <c r="L35">
        <f>SmtRes!DB36</f>
        <v>11305.05</v>
      </c>
      <c r="M35">
        <f>ROUND(ROUND(L35*Source!I89, 6)*1, 2)</f>
        <v>11441.37</v>
      </c>
      <c r="N35">
        <f>SmtRes!AA36</f>
        <v>753.67</v>
      </c>
      <c r="O35">
        <f>ROUND(ROUND(L35*Source!I89, 6)*SmtRes!DA36, 2)</f>
        <v>11441.37</v>
      </c>
      <c r="P35">
        <f>SmtRes!AG36</f>
        <v>0</v>
      </c>
      <c r="Q35">
        <f>SmtRes!DC36</f>
        <v>0</v>
      </c>
      <c r="R35">
        <f>ROUND(ROUND(Q35*Source!I89, 6)*1, 2)</f>
        <v>0</v>
      </c>
      <c r="S35">
        <f>SmtRes!AC36</f>
        <v>0</v>
      </c>
      <c r="T35">
        <f>ROUND(ROUND(Q35*Source!I89, 6)*SmtRes!AK36, 2)</f>
        <v>0</v>
      </c>
      <c r="U35">
        <f>SmtRes!X36</f>
        <v>-1277312656</v>
      </c>
      <c r="V35">
        <v>1365262818</v>
      </c>
      <c r="W35">
        <v>1365262818</v>
      </c>
      <c r="X35">
        <v>3</v>
      </c>
    </row>
    <row r="36" spans="1:24" x14ac:dyDescent="0.25">
      <c r="A36">
        <v>20</v>
      </c>
      <c r="B36">
        <v>38</v>
      </c>
      <c r="C36">
        <v>3</v>
      </c>
      <c r="D36">
        <v>0</v>
      </c>
      <c r="E36">
        <f>SmtRes!AV38</f>
        <v>0</v>
      </c>
      <c r="F36" t="str">
        <f>SmtRes!I38</f>
        <v>21.4-6-5</v>
      </c>
      <c r="G36" t="str">
        <f>SmtRes!K38</f>
        <v>Земля растительная</v>
      </c>
      <c r="H36" t="str">
        <f>SmtRes!O38</f>
        <v>м3</v>
      </c>
      <c r="I36">
        <f>SmtRes!Y38*Source!I90</f>
        <v>-20.241174999999998</v>
      </c>
      <c r="J36">
        <f>SmtRes!AO38</f>
        <v>1</v>
      </c>
      <c r="K36">
        <f>SmtRes!AE38</f>
        <v>753.67</v>
      </c>
      <c r="L36">
        <f>SmtRes!DB38</f>
        <v>3768.35</v>
      </c>
      <c r="M36">
        <f>ROUND(ROUND(L36*Source!I90, 6)*1, 2)</f>
        <v>-15255.17</v>
      </c>
      <c r="N36">
        <f>SmtRes!AA38</f>
        <v>753.67</v>
      </c>
      <c r="O36">
        <f>ROUND(ROUND(L36*Source!I90, 6)*SmtRes!DA38, 2)</f>
        <v>-15255.17</v>
      </c>
      <c r="P36">
        <f>SmtRes!AG38</f>
        <v>0</v>
      </c>
      <c r="Q36">
        <f>SmtRes!DC38</f>
        <v>0</v>
      </c>
      <c r="R36">
        <f>ROUND(ROUND(Q36*Source!I90, 6)*1, 2)</f>
        <v>0</v>
      </c>
      <c r="S36">
        <f>SmtRes!AC38</f>
        <v>0</v>
      </c>
      <c r="T36">
        <f>ROUND(ROUND(Q36*Source!I90, 6)*SmtRes!AK38, 2)</f>
        <v>0</v>
      </c>
      <c r="U36">
        <f>SmtRes!X38</f>
        <v>-1277312656</v>
      </c>
      <c r="V36">
        <v>1365262818</v>
      </c>
      <c r="W36">
        <v>1365262818</v>
      </c>
      <c r="X36">
        <v>3</v>
      </c>
    </row>
    <row r="37" spans="1:24" x14ac:dyDescent="0.25">
      <c r="A37">
        <v>20</v>
      </c>
      <c r="B37">
        <v>41</v>
      </c>
      <c r="C37">
        <v>3</v>
      </c>
      <c r="D37">
        <v>0</v>
      </c>
      <c r="E37">
        <f>SmtRes!AV41</f>
        <v>0</v>
      </c>
      <c r="F37" t="str">
        <f>SmtRes!I41</f>
        <v>21.4-6-11</v>
      </c>
      <c r="G37" t="str">
        <f>SmtRes!K41</f>
        <v>Семена (смесь универсальная) газонных трав</v>
      </c>
      <c r="H37" t="str">
        <f>SmtRes!O41</f>
        <v>кг</v>
      </c>
      <c r="I37">
        <f>SmtRes!Y41*Source!I91</f>
        <v>16.19294</v>
      </c>
      <c r="J37">
        <f>SmtRes!AO41</f>
        <v>1</v>
      </c>
      <c r="K37">
        <f>SmtRes!AE41</f>
        <v>303.08999999999997</v>
      </c>
      <c r="L37">
        <f>SmtRes!DB41</f>
        <v>1212.3599999999999</v>
      </c>
      <c r="M37">
        <f>ROUND(ROUND(L37*Source!I91, 6)*1, 2)</f>
        <v>4907.92</v>
      </c>
      <c r="N37">
        <f>SmtRes!AA41</f>
        <v>303.08999999999997</v>
      </c>
      <c r="O37">
        <f>ROUND(ROUND(L37*Source!I91, 6)*SmtRes!DA41, 2)</f>
        <v>4907.92</v>
      </c>
      <c r="P37">
        <f>SmtRes!AG41</f>
        <v>0</v>
      </c>
      <c r="Q37">
        <f>SmtRes!DC41</f>
        <v>0</v>
      </c>
      <c r="R37">
        <f>ROUND(ROUND(Q37*Source!I91, 6)*1, 2)</f>
        <v>0</v>
      </c>
      <c r="S37">
        <f>SmtRes!AC41</f>
        <v>0</v>
      </c>
      <c r="T37">
        <f>ROUND(ROUND(Q37*Source!I91, 6)*SmtRes!AK41, 2)</f>
        <v>0</v>
      </c>
      <c r="U37">
        <f>SmtRes!X41</f>
        <v>1601918108</v>
      </c>
      <c r="V37">
        <v>-1954691867</v>
      </c>
      <c r="W37">
        <v>-1954691867</v>
      </c>
      <c r="X37">
        <v>3</v>
      </c>
    </row>
    <row r="38" spans="1:24" x14ac:dyDescent="0.25">
      <c r="A38">
        <v>20</v>
      </c>
      <c r="B38">
        <v>40</v>
      </c>
      <c r="C38">
        <v>3</v>
      </c>
      <c r="D38">
        <v>0</v>
      </c>
      <c r="E38">
        <f>SmtRes!AV40</f>
        <v>0</v>
      </c>
      <c r="F38" t="str">
        <f>SmtRes!I40</f>
        <v>21.1-25-13</v>
      </c>
      <c r="G38" t="str">
        <f>SmtRes!K40</f>
        <v>Вода</v>
      </c>
      <c r="H38" t="str">
        <f>SmtRes!O40</f>
        <v>м3</v>
      </c>
      <c r="I38">
        <f>SmtRes!Y40*Source!I91</f>
        <v>40.482349999999997</v>
      </c>
      <c r="J38">
        <f>SmtRes!AO40</f>
        <v>1</v>
      </c>
      <c r="K38">
        <f>SmtRes!AE40</f>
        <v>35.25</v>
      </c>
      <c r="L38">
        <f>SmtRes!DB40</f>
        <v>352.5</v>
      </c>
      <c r="M38">
        <f>ROUND(ROUND(L38*Source!I91, 6)*1, 2)</f>
        <v>1427</v>
      </c>
      <c r="N38">
        <f>SmtRes!AA40</f>
        <v>35.25</v>
      </c>
      <c r="O38">
        <f>ROUND(ROUND(L38*Source!I91, 6)*SmtRes!DA40, 2)</f>
        <v>1427</v>
      </c>
      <c r="P38">
        <f>SmtRes!AG40</f>
        <v>0</v>
      </c>
      <c r="Q38">
        <f>SmtRes!DC40</f>
        <v>0</v>
      </c>
      <c r="R38">
        <f>ROUND(ROUND(Q38*Source!I91, 6)*1, 2)</f>
        <v>0</v>
      </c>
      <c r="S38">
        <f>SmtRes!AC40</f>
        <v>0</v>
      </c>
      <c r="T38">
        <f>ROUND(ROUND(Q38*Source!I91, 6)*SmtRes!AK40, 2)</f>
        <v>0</v>
      </c>
      <c r="U38">
        <f>SmtRes!X40</f>
        <v>2028445372</v>
      </c>
      <c r="V38">
        <v>1411454429</v>
      </c>
      <c r="W38">
        <v>1411454429</v>
      </c>
      <c r="X38">
        <v>3</v>
      </c>
    </row>
    <row r="39" spans="1:24" x14ac:dyDescent="0.25">
      <c r="A39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AK34"/>
  <sheetViews>
    <sheetView workbookViewId="0"/>
  </sheetViews>
  <sheetFormatPr defaultRowHeight="13.2" x14ac:dyDescent="0.25"/>
  <cols>
    <col min="1" max="1" width="12.6640625" customWidth="1"/>
    <col min="2" max="2" width="40.6640625" customWidth="1"/>
    <col min="3" max="6" width="12.6640625" customWidth="1"/>
    <col min="35" max="35" width="103.6640625" hidden="1" customWidth="1"/>
    <col min="36" max="38" width="0" hidden="1" customWidth="1"/>
  </cols>
  <sheetData>
    <row r="2" spans="1:37" ht="16.8" x14ac:dyDescent="0.25">
      <c r="A2" s="108" t="s">
        <v>317</v>
      </c>
      <c r="B2" s="109"/>
      <c r="C2" s="109"/>
      <c r="D2" s="109"/>
      <c r="E2" s="109"/>
      <c r="F2" s="109"/>
    </row>
    <row r="3" spans="1:37" ht="33.6" x14ac:dyDescent="0.25">
      <c r="A3" s="108" t="str">
        <f>CONCATENATE("Объект: ",IF(Source!G169&lt;&gt;"Новый объект", Source!G169, ""))</f>
        <v>Объект: Ремонт асфальтобетонных покрытий дворовой территории района Кузьминки ЮВАО г. Москвы по адресу: Волгоградский проспект 94 к.1, 96 к.1</v>
      </c>
      <c r="B3" s="109"/>
      <c r="C3" s="109"/>
      <c r="D3" s="109"/>
      <c r="E3" s="109"/>
      <c r="F3" s="109"/>
      <c r="AI3" s="36" t="s">
        <v>318</v>
      </c>
    </row>
    <row r="4" spans="1:37" x14ac:dyDescent="0.25">
      <c r="A4" s="94" t="s">
        <v>319</v>
      </c>
      <c r="B4" s="94" t="s">
        <v>320</v>
      </c>
      <c r="C4" s="94" t="s">
        <v>256</v>
      </c>
      <c r="D4" s="94" t="s">
        <v>321</v>
      </c>
      <c r="E4" s="111" t="s">
        <v>322</v>
      </c>
      <c r="F4" s="112"/>
    </row>
    <row r="5" spans="1:37" x14ac:dyDescent="0.25">
      <c r="A5" s="95"/>
      <c r="B5" s="95"/>
      <c r="C5" s="95"/>
      <c r="D5" s="95"/>
      <c r="E5" s="113"/>
      <c r="F5" s="114"/>
    </row>
    <row r="6" spans="1:37" ht="13.8" x14ac:dyDescent="0.25">
      <c r="A6" s="110"/>
      <c r="B6" s="110"/>
      <c r="C6" s="110"/>
      <c r="D6" s="110"/>
      <c r="E6" s="19" t="s">
        <v>323</v>
      </c>
      <c r="F6" s="19" t="s">
        <v>324</v>
      </c>
    </row>
    <row r="7" spans="1:37" ht="13.8" x14ac:dyDescent="0.25">
      <c r="A7" s="19">
        <v>1</v>
      </c>
      <c r="B7" s="19">
        <v>2</v>
      </c>
      <c r="C7" s="19">
        <v>3</v>
      </c>
      <c r="D7" s="19">
        <v>4</v>
      </c>
      <c r="E7" s="19">
        <v>5</v>
      </c>
      <c r="F7" s="19">
        <v>6</v>
      </c>
    </row>
    <row r="8" spans="1:37" ht="13.8" x14ac:dyDescent="0.25">
      <c r="A8" s="104" t="s">
        <v>325</v>
      </c>
      <c r="B8" s="105"/>
      <c r="C8" s="105"/>
      <c r="D8" s="105"/>
      <c r="E8" s="105"/>
      <c r="F8" s="105"/>
    </row>
    <row r="9" spans="1:37" ht="27.6" x14ac:dyDescent="0.25">
      <c r="A9" s="37" t="s">
        <v>176</v>
      </c>
      <c r="B9" s="38" t="s">
        <v>178</v>
      </c>
      <c r="C9" s="38" t="s">
        <v>179</v>
      </c>
      <c r="D9" s="39">
        <f>ROUND(SUMIF(RV_DATA!V6:'RV_DATA'!V38, 158304140, RV_DATA!I6:'RV_DATA'!I38), 6)</f>
        <v>4.8</v>
      </c>
      <c r="E9" s="40">
        <f>ROUND(RV_DATA!K10, 6)</f>
        <v>744.2</v>
      </c>
      <c r="F9" s="40">
        <f>ROUND(SUMIF(RV_DATA!V6:'RV_DATA'!V38, 158304140, RV_DATA!M6:'RV_DATA'!M38), 6)</f>
        <v>3572.16</v>
      </c>
      <c r="AK9">
        <v>2</v>
      </c>
    </row>
    <row r="10" spans="1:37" ht="27.6" x14ac:dyDescent="0.25">
      <c r="A10" s="37" t="s">
        <v>195</v>
      </c>
      <c r="B10" s="38" t="s">
        <v>197</v>
      </c>
      <c r="C10" s="38" t="s">
        <v>179</v>
      </c>
      <c r="D10" s="39">
        <f>ROUND(SUMIF(RV_DATA!V6:'RV_DATA'!V38, 490068282, RV_DATA!I6:'RV_DATA'!I38), 6)</f>
        <v>0.18815999999999999</v>
      </c>
      <c r="E10" s="40">
        <f>ROUND(RV_DATA!K24, 6)</f>
        <v>956.79</v>
      </c>
      <c r="F10" s="40">
        <f>ROUND(SUMIF(RV_DATA!V6:'RV_DATA'!V38, 490068282, RV_DATA!M6:'RV_DATA'!M38), 6)</f>
        <v>180.03</v>
      </c>
      <c r="AK10">
        <v>2</v>
      </c>
    </row>
    <row r="11" spans="1:37" ht="41.4" x14ac:dyDescent="0.25">
      <c r="A11" s="37" t="s">
        <v>186</v>
      </c>
      <c r="B11" s="38" t="s">
        <v>188</v>
      </c>
      <c r="C11" s="38" t="s">
        <v>179</v>
      </c>
      <c r="D11" s="39">
        <f>ROUND(SUMIF(RV_DATA!V6:'RV_DATA'!V38, -2015274479, RV_DATA!I6:'RV_DATA'!I38), 6)</f>
        <v>2.8951600000000002</v>
      </c>
      <c r="E11" s="40">
        <f>ROUND(RV_DATA!K11, 6)</f>
        <v>1494.43</v>
      </c>
      <c r="F11" s="40">
        <f>ROUND(SUMIF(RV_DATA!V6:'RV_DATA'!V38, -2015274479, RV_DATA!M6:'RV_DATA'!M38), 6)</f>
        <v>4326.57</v>
      </c>
      <c r="AK11">
        <v>2</v>
      </c>
    </row>
    <row r="12" spans="1:37" ht="13.8" x14ac:dyDescent="0.25">
      <c r="A12" s="37" t="s">
        <v>225</v>
      </c>
      <c r="B12" s="38" t="s">
        <v>227</v>
      </c>
      <c r="C12" s="38" t="s">
        <v>179</v>
      </c>
      <c r="D12" s="39">
        <f>ROUND(SUMIF(RV_DATA!V6:'RV_DATA'!V38, -57964362, RV_DATA!I6:'RV_DATA'!I38), 6)</f>
        <v>0.182171</v>
      </c>
      <c r="E12" s="40">
        <f>ROUND(RV_DATA!K34, 6)</f>
        <v>20.7</v>
      </c>
      <c r="F12" s="40">
        <f>ROUND(SUMIF(RV_DATA!V6:'RV_DATA'!V38, -57964362, RV_DATA!M6:'RV_DATA'!M38), 6)</f>
        <v>3.76</v>
      </c>
      <c r="AK12">
        <v>2</v>
      </c>
    </row>
    <row r="13" spans="1:37" ht="27.6" x14ac:dyDescent="0.25">
      <c r="A13" s="37" t="s">
        <v>189</v>
      </c>
      <c r="B13" s="38" t="s">
        <v>191</v>
      </c>
      <c r="C13" s="38" t="s">
        <v>179</v>
      </c>
      <c r="D13" s="39">
        <f>ROUND(SUMIF(RV_DATA!V6:'RV_DATA'!V38, 723112940, RV_DATA!I6:'RV_DATA'!I38), 6)</f>
        <v>29.113344000000001</v>
      </c>
      <c r="E13" s="40">
        <f>ROUND(RV_DATA!K13, 6)</f>
        <v>1009.4</v>
      </c>
      <c r="F13" s="40">
        <f>ROUND(SUMIF(RV_DATA!V6:'RV_DATA'!V38, 723112940, RV_DATA!M6:'RV_DATA'!M38), 6)</f>
        <v>29375.91</v>
      </c>
      <c r="AK13">
        <v>2</v>
      </c>
    </row>
    <row r="14" spans="1:37" ht="27.6" x14ac:dyDescent="0.25">
      <c r="A14" s="37" t="s">
        <v>192</v>
      </c>
      <c r="B14" s="38" t="s">
        <v>194</v>
      </c>
      <c r="C14" s="38" t="s">
        <v>179</v>
      </c>
      <c r="D14" s="39">
        <f>ROUND(SUMIF(RV_DATA!V6:'RV_DATA'!V38, -522295321, RV_DATA!I6:'RV_DATA'!I38), 6)</f>
        <v>23.398502000000001</v>
      </c>
      <c r="E14" s="40">
        <f>ROUND(RV_DATA!K12, 6)</f>
        <v>1014.12</v>
      </c>
      <c r="F14" s="40">
        <f>ROUND(SUMIF(RV_DATA!V6:'RV_DATA'!V38, -522295321, RV_DATA!M6:'RV_DATA'!M38), 6)</f>
        <v>23720.36</v>
      </c>
      <c r="AK14">
        <v>2</v>
      </c>
    </row>
    <row r="15" spans="1:37" ht="27.6" x14ac:dyDescent="0.25">
      <c r="A15" s="37" t="s">
        <v>228</v>
      </c>
      <c r="B15" s="38" t="s">
        <v>230</v>
      </c>
      <c r="C15" s="38" t="s">
        <v>179</v>
      </c>
      <c r="D15" s="39">
        <f>ROUND(SUMIF(RV_DATA!V6:'RV_DATA'!V38, -1852844644, RV_DATA!I6:'RV_DATA'!I38), 6)</f>
        <v>0.182171</v>
      </c>
      <c r="E15" s="40">
        <f>ROUND(RV_DATA!K33, 6)</f>
        <v>991.89</v>
      </c>
      <c r="F15" s="40">
        <f>ROUND(SUMIF(RV_DATA!V6:'RV_DATA'!V38, -1852844644, RV_DATA!M6:'RV_DATA'!M38), 6)</f>
        <v>180.68</v>
      </c>
      <c r="AK15">
        <v>2</v>
      </c>
    </row>
    <row r="16" spans="1:37" ht="13.8" x14ac:dyDescent="0.25">
      <c r="A16" s="37" t="s">
        <v>180</v>
      </c>
      <c r="B16" s="38" t="s">
        <v>182</v>
      </c>
      <c r="C16" s="38" t="s">
        <v>179</v>
      </c>
      <c r="D16" s="39">
        <f>ROUND(SUMIF(RV_DATA!V6:'RV_DATA'!V38, 975003665, RV_DATA!I6:'RV_DATA'!I38), 6)</f>
        <v>9.6</v>
      </c>
      <c r="E16" s="40">
        <f>ROUND(RV_DATA!K9, 6)</f>
        <v>6.02</v>
      </c>
      <c r="F16" s="40">
        <f>ROUND(SUMIF(RV_DATA!V6:'RV_DATA'!V38, 975003665, RV_DATA!M6:'RV_DATA'!M38), 6)</f>
        <v>57.79</v>
      </c>
      <c r="AK16">
        <v>2</v>
      </c>
    </row>
    <row r="17" spans="1:37" ht="27.6" x14ac:dyDescent="0.25">
      <c r="A17" s="37" t="s">
        <v>198</v>
      </c>
      <c r="B17" s="38" t="s">
        <v>200</v>
      </c>
      <c r="C17" s="38" t="s">
        <v>179</v>
      </c>
      <c r="D17" s="39">
        <f>ROUND(SUMIF(RV_DATA!V6:'RV_DATA'!V38, 332433507, RV_DATA!I6:'RV_DATA'!I38), 6)</f>
        <v>7.2959999999999997E-2</v>
      </c>
      <c r="E17" s="40">
        <f>ROUND(RV_DATA!K23, 6)</f>
        <v>2020.59</v>
      </c>
      <c r="F17" s="40">
        <f>ROUND(SUMIF(RV_DATA!V6:'RV_DATA'!V38, 332433507, RV_DATA!M6:'RV_DATA'!M38), 6)</f>
        <v>147.41999999999999</v>
      </c>
      <c r="AK17">
        <v>2</v>
      </c>
    </row>
    <row r="18" spans="1:37" ht="27.6" x14ac:dyDescent="0.25">
      <c r="A18" s="37" t="s">
        <v>201</v>
      </c>
      <c r="B18" s="38" t="s">
        <v>203</v>
      </c>
      <c r="C18" s="38" t="s">
        <v>179</v>
      </c>
      <c r="D18" s="39">
        <f>ROUND(SUMIF(RV_DATA!V6:'RV_DATA'!V38, 1409836431, RV_DATA!I6:'RV_DATA'!I38), 6)</f>
        <v>3.42144</v>
      </c>
      <c r="E18" s="40">
        <f>ROUND(RV_DATA!K22, 6)</f>
        <v>1261.8699999999999</v>
      </c>
      <c r="F18" s="40">
        <f>ROUND(SUMIF(RV_DATA!V6:'RV_DATA'!V38, 1409836431, RV_DATA!M6:'RV_DATA'!M38), 6)</f>
        <v>4317.3999999999996</v>
      </c>
      <c r="AK18">
        <v>2</v>
      </c>
    </row>
    <row r="19" spans="1:37" ht="27.6" x14ac:dyDescent="0.25">
      <c r="A19" s="37" t="s">
        <v>204</v>
      </c>
      <c r="B19" s="38" t="s">
        <v>206</v>
      </c>
      <c r="C19" s="38" t="s">
        <v>179</v>
      </c>
      <c r="D19" s="39">
        <f>ROUND(SUMIF(RV_DATA!V6:'RV_DATA'!V38, -1332889247, RV_DATA!I6:'RV_DATA'!I38), 6)</f>
        <v>1.1679999999999999</v>
      </c>
      <c r="E19" s="40">
        <f>ROUND(RV_DATA!K21, 6)</f>
        <v>1827.95</v>
      </c>
      <c r="F19" s="40">
        <f>ROUND(SUMIF(RV_DATA!V6:'RV_DATA'!V38, -1332889247, RV_DATA!M6:'RV_DATA'!M38), 6)</f>
        <v>2135.0500000000002</v>
      </c>
      <c r="AK19">
        <v>2</v>
      </c>
    </row>
    <row r="20" spans="1:37" ht="27.6" x14ac:dyDescent="0.25">
      <c r="A20" s="37" t="s">
        <v>183</v>
      </c>
      <c r="B20" s="38" t="s">
        <v>185</v>
      </c>
      <c r="C20" s="38" t="s">
        <v>179</v>
      </c>
      <c r="D20" s="39">
        <f>ROUND(SUMIF(RV_DATA!V6:'RV_DATA'!V38, 1949607561, RV_DATA!I6:'RV_DATA'!I38), 6)</f>
        <v>0.34176000000000001</v>
      </c>
      <c r="E20" s="40">
        <f>ROUND(RV_DATA!K8, 6)</f>
        <v>1412.71</v>
      </c>
      <c r="F20" s="40">
        <f>ROUND(SUMIF(RV_DATA!V6:'RV_DATA'!V38, 1949607561, RV_DATA!M6:'RV_DATA'!M38), 6)</f>
        <v>482.81</v>
      </c>
      <c r="AK20">
        <v>2</v>
      </c>
    </row>
    <row r="21" spans="1:37" ht="27.6" x14ac:dyDescent="0.25">
      <c r="A21" s="37" t="s">
        <v>207</v>
      </c>
      <c r="B21" s="38" t="s">
        <v>209</v>
      </c>
      <c r="C21" s="38" t="s">
        <v>179</v>
      </c>
      <c r="D21" s="39">
        <f>ROUND(SUMIF(RV_DATA!V6:'RV_DATA'!V38, -624233938, RV_DATA!I6:'RV_DATA'!I38), 6)</f>
        <v>4.1599999999999998E-2</v>
      </c>
      <c r="E21" s="40">
        <f>ROUND(RV_DATA!K19, 6)</f>
        <v>1213.3399999999999</v>
      </c>
      <c r="F21" s="40">
        <f>ROUND(SUMIF(RV_DATA!V6:'RV_DATA'!V38, -624233938, RV_DATA!M6:'RV_DATA'!M38), 6)</f>
        <v>50.47</v>
      </c>
      <c r="AK21">
        <v>2</v>
      </c>
    </row>
    <row r="22" spans="1:37" ht="13.8" x14ac:dyDescent="0.25">
      <c r="A22" s="106" t="s">
        <v>326</v>
      </c>
      <c r="B22" s="106"/>
      <c r="C22" s="106"/>
      <c r="D22" s="106"/>
      <c r="E22" s="107">
        <f>SUMIF(AK9:AK21, 2, F9:F21)</f>
        <v>68550.41</v>
      </c>
      <c r="F22" s="107"/>
    </row>
    <row r="23" spans="1:37" ht="13.8" x14ac:dyDescent="0.25">
      <c r="A23" s="104" t="s">
        <v>327</v>
      </c>
      <c r="B23" s="105"/>
      <c r="C23" s="105"/>
      <c r="D23" s="105"/>
      <c r="E23" s="105"/>
      <c r="F23" s="105"/>
    </row>
    <row r="24" spans="1:37" ht="41.4" x14ac:dyDescent="0.25">
      <c r="A24" s="37" t="s">
        <v>210</v>
      </c>
      <c r="B24" s="38" t="s">
        <v>212</v>
      </c>
      <c r="C24" s="38" t="s">
        <v>84</v>
      </c>
      <c r="D24" s="39">
        <f>ROUND(SUMIF(RV_DATA!V6:'RV_DATA'!V38, -100050385, RV_DATA!I6:'RV_DATA'!I38), 6)</f>
        <v>8.0640000000000001</v>
      </c>
      <c r="E24" s="40">
        <f>ROUND(RV_DATA!K18, 6)</f>
        <v>1763.75</v>
      </c>
      <c r="F24" s="40">
        <f>ROUND(SUMIF(RV_DATA!V6:'RV_DATA'!V38, -100050385, RV_DATA!M6:'RV_DATA'!M38), 6)</f>
        <v>14222.88</v>
      </c>
      <c r="AK24">
        <v>3</v>
      </c>
    </row>
    <row r="25" spans="1:37" ht="27.6" x14ac:dyDescent="0.25">
      <c r="A25" s="37" t="s">
        <v>216</v>
      </c>
      <c r="B25" s="38" t="s">
        <v>218</v>
      </c>
      <c r="C25" s="38" t="s">
        <v>48</v>
      </c>
      <c r="D25" s="39">
        <f>ROUND(SUMIF(RV_DATA!V6:'RV_DATA'!V38, 1510401827, RV_DATA!I6:'RV_DATA'!I38), 6)</f>
        <v>0.192</v>
      </c>
      <c r="E25" s="40">
        <f>ROUND(RV_DATA!K25, 6)</f>
        <v>25888.1</v>
      </c>
      <c r="F25" s="40">
        <f>ROUND(SUMIF(RV_DATA!V6:'RV_DATA'!V38, 1510401827, RV_DATA!M6:'RV_DATA'!M38), 6)</f>
        <v>4970.53</v>
      </c>
      <c r="AK25">
        <v>3</v>
      </c>
    </row>
    <row r="26" spans="1:37" ht="13.8" x14ac:dyDescent="0.25">
      <c r="A26" s="37" t="s">
        <v>213</v>
      </c>
      <c r="B26" s="38" t="s">
        <v>215</v>
      </c>
      <c r="C26" s="38" t="s">
        <v>84</v>
      </c>
      <c r="D26" s="39">
        <f>ROUND(SUMIF(RV_DATA!V6:'RV_DATA'!V38, 1411454429, RV_DATA!I6:'RV_DATA'!I38), 6)</f>
        <v>40.930349999999997</v>
      </c>
      <c r="E26" s="40">
        <f>ROUND(RV_DATA!K17, 6)</f>
        <v>35.25</v>
      </c>
      <c r="F26" s="40">
        <f>ROUND(SUMIF(RV_DATA!V6:'RV_DATA'!V38, 1411454429, RV_DATA!M6:'RV_DATA'!M38), 6)</f>
        <v>1442.79</v>
      </c>
      <c r="AK26">
        <v>3</v>
      </c>
    </row>
    <row r="27" spans="1:37" ht="55.2" x14ac:dyDescent="0.25">
      <c r="A27" s="37" t="s">
        <v>219</v>
      </c>
      <c r="B27" s="38" t="s">
        <v>221</v>
      </c>
      <c r="C27" s="38" t="s">
        <v>84</v>
      </c>
      <c r="D27" s="39">
        <f>ROUND(SUMIF(RV_DATA!V6:'RV_DATA'!V38, 1407172357, RV_DATA!I6:'RV_DATA'!I38), 6)</f>
        <v>19.116</v>
      </c>
      <c r="E27" s="40">
        <f>ROUND(RV_DATA!K29, 6)</f>
        <v>3714.73</v>
      </c>
      <c r="F27" s="40">
        <f>ROUND(SUMIF(RV_DATA!V6:'RV_DATA'!V38, 1407172357, RV_DATA!M6:'RV_DATA'!M38), 6)</f>
        <v>71010.789999999994</v>
      </c>
      <c r="AK27">
        <v>3</v>
      </c>
    </row>
    <row r="28" spans="1:37" ht="13.8" x14ac:dyDescent="0.25">
      <c r="A28" s="37" t="s">
        <v>222</v>
      </c>
      <c r="B28" s="38" t="s">
        <v>224</v>
      </c>
      <c r="C28" s="38" t="s">
        <v>84</v>
      </c>
      <c r="D28" s="39">
        <f>ROUND(SUMIF(RV_DATA!V6:'RV_DATA'!V38, 482447814, RV_DATA!I6:'RV_DATA'!I38), 6)</f>
        <v>0.19439999999999999</v>
      </c>
      <c r="E28" s="40">
        <f>ROUND(RV_DATA!K28, 6)</f>
        <v>3392.59</v>
      </c>
      <c r="F28" s="40">
        <f>ROUND(SUMIF(RV_DATA!V6:'RV_DATA'!V38, 482447814, RV_DATA!M6:'RV_DATA'!M38), 6)</f>
        <v>659.53</v>
      </c>
      <c r="AK28">
        <v>3</v>
      </c>
    </row>
    <row r="29" spans="1:37" ht="27.6" x14ac:dyDescent="0.25">
      <c r="A29" s="37" t="s">
        <v>73</v>
      </c>
      <c r="B29" s="38" t="s">
        <v>74</v>
      </c>
      <c r="C29" s="38" t="s">
        <v>48</v>
      </c>
      <c r="D29" s="39">
        <f>ROUND(SUMIF(RV_DATA!V6:'RV_DATA'!V38, -1897797422, RV_DATA!I6:'RV_DATA'!I38), 6)</f>
        <v>37.344000000000001</v>
      </c>
      <c r="E29" s="40">
        <f>ROUND(RV_DATA!K27, 6)</f>
        <v>2652.04</v>
      </c>
      <c r="F29" s="40">
        <f>ROUND(SUMIF(RV_DATA!V6:'RV_DATA'!V38, -1897797422, RV_DATA!M6:'RV_DATA'!M38), 6)</f>
        <v>99037.78</v>
      </c>
      <c r="AK29">
        <v>3</v>
      </c>
    </row>
    <row r="30" spans="1:37" ht="27.6" x14ac:dyDescent="0.25">
      <c r="A30" s="37" t="s">
        <v>234</v>
      </c>
      <c r="B30" s="38" t="s">
        <v>236</v>
      </c>
      <c r="C30" s="38" t="s">
        <v>237</v>
      </c>
      <c r="D30" s="39">
        <f>ROUND(SUMIF(RV_DATA!V6:'RV_DATA'!V38, -1954691867, RV_DATA!I6:'RV_DATA'!I38), 6)</f>
        <v>16.19294</v>
      </c>
      <c r="E30" s="40">
        <f>ROUND(RV_DATA!K37, 6)</f>
        <v>303.08999999999997</v>
      </c>
      <c r="F30" s="40">
        <f>ROUND(SUMIF(RV_DATA!V6:'RV_DATA'!V38, -1954691867, RV_DATA!M6:'RV_DATA'!M38), 6)</f>
        <v>4907.92</v>
      </c>
      <c r="AK30">
        <v>3</v>
      </c>
    </row>
    <row r="31" spans="1:37" ht="13.8" x14ac:dyDescent="0.25">
      <c r="A31" s="37" t="s">
        <v>231</v>
      </c>
      <c r="B31" s="38" t="s">
        <v>233</v>
      </c>
      <c r="C31" s="38" t="s">
        <v>84</v>
      </c>
      <c r="D31" s="39">
        <f>ROUND(SUMIF(RV_DATA!V6:'RV_DATA'!V38, 1365262818, RV_DATA!I6:'RV_DATA'!I38), 6)</f>
        <v>40.482349999999997</v>
      </c>
      <c r="E31" s="40">
        <f>ROUND(RV_DATA!K32, 6)</f>
        <v>753.67</v>
      </c>
      <c r="F31" s="40">
        <f>ROUND(SUMIF(RV_DATA!V6:'RV_DATA'!V38, 1365262818, RV_DATA!M6:'RV_DATA'!M38), 6)</f>
        <v>30510.32</v>
      </c>
      <c r="AK31">
        <v>3</v>
      </c>
    </row>
    <row r="32" spans="1:37" ht="138" x14ac:dyDescent="0.25">
      <c r="A32" s="37" t="s">
        <v>87</v>
      </c>
      <c r="B32" s="38" t="s">
        <v>88</v>
      </c>
      <c r="C32" s="38" t="s">
        <v>89</v>
      </c>
      <c r="D32" s="39">
        <f>ROUND(SUMIF(RV_DATA!V6:'RV_DATA'!V38, 1563336474, RV_DATA!I6:'RV_DATA'!I38), 6)</f>
        <v>324</v>
      </c>
      <c r="E32" s="40">
        <f>ROUND(RV_DATA!K30, 6)</f>
        <v>372.6</v>
      </c>
      <c r="F32" s="40">
        <f>ROUND(SUMIF(RV_DATA!V6:'RV_DATA'!V38, 1563336474, RV_DATA!M6:'RV_DATA'!M38), 6)</f>
        <v>120722.4</v>
      </c>
      <c r="AK32">
        <v>3</v>
      </c>
    </row>
    <row r="33" spans="1:37" ht="82.8" x14ac:dyDescent="0.25">
      <c r="A33" s="37" t="s">
        <v>61</v>
      </c>
      <c r="B33" s="38" t="s">
        <v>62</v>
      </c>
      <c r="C33" s="38" t="s">
        <v>48</v>
      </c>
      <c r="D33" s="39">
        <f>ROUND(SUMIF(RV_DATA!V6:'RV_DATA'!V38, -1824590939, RV_DATA!I6:'RV_DATA'!I38), 6)</f>
        <v>53.913600000000002</v>
      </c>
      <c r="E33" s="40">
        <f>ROUND(RV_DATA!K16, 6)</f>
        <v>150.61000000000001</v>
      </c>
      <c r="F33" s="40">
        <f>ROUND(SUMIF(RV_DATA!V6:'RV_DATA'!V38, -1824590939, RV_DATA!M6:'RV_DATA'!M38), 6)</f>
        <v>8119.93</v>
      </c>
      <c r="AK33">
        <v>3</v>
      </c>
    </row>
    <row r="34" spans="1:37" ht="13.8" x14ac:dyDescent="0.25">
      <c r="A34" s="106" t="s">
        <v>328</v>
      </c>
      <c r="B34" s="106"/>
      <c r="C34" s="106"/>
      <c r="D34" s="106"/>
      <c r="E34" s="107">
        <f>SUMIF(AK24:AK33, 3, F24:F33)</f>
        <v>355604.87</v>
      </c>
      <c r="F34" s="107"/>
    </row>
  </sheetData>
  <sortState ref="A24:AK33">
    <sortCondition ref="A24"/>
  </sortState>
  <mergeCells count="13">
    <mergeCell ref="A2:F2"/>
    <mergeCell ref="A3:F3"/>
    <mergeCell ref="A4:A6"/>
    <mergeCell ref="B4:B6"/>
    <mergeCell ref="C4:C6"/>
    <mergeCell ref="D4:D6"/>
    <mergeCell ref="E4:F5"/>
    <mergeCell ref="A8:F8"/>
    <mergeCell ref="A22:D22"/>
    <mergeCell ref="E22:F22"/>
    <mergeCell ref="A23:F23"/>
    <mergeCell ref="A34:D34"/>
    <mergeCell ref="E34:F34"/>
  </mergeCells>
  <pageMargins left="0.6" right="0.4" top="0.65" bottom="0.4" header="0.4" footer="0.4"/>
  <pageSetup paperSize="9" scale="90" fitToHeight="0" orientation="portrait" r:id="rId1"/>
  <headerFooter>
    <oddHeader>&amp;C&amp;P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K214"/>
  <sheetViews>
    <sheetView workbookViewId="0">
      <selection activeCell="H1" sqref="H1"/>
    </sheetView>
  </sheetViews>
  <sheetFormatPr defaultColWidth="9.109375" defaultRowHeight="13.2" x14ac:dyDescent="0.25"/>
  <cols>
    <col min="1" max="6" width="9.109375" customWidth="1"/>
    <col min="7" max="7" width="19.88671875" customWidth="1"/>
    <col min="8" max="256" width="9.109375" customWidth="1"/>
  </cols>
  <sheetData>
    <row r="1" spans="1:133" x14ac:dyDescent="0.25">
      <c r="A1">
        <v>0</v>
      </c>
      <c r="B1" t="s">
        <v>0</v>
      </c>
      <c r="D1" t="s">
        <v>1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1</v>
      </c>
      <c r="L1">
        <v>65486</v>
      </c>
      <c r="M1">
        <v>10</v>
      </c>
      <c r="N1">
        <v>11</v>
      </c>
      <c r="O1">
        <v>0</v>
      </c>
      <c r="P1">
        <v>2</v>
      </c>
      <c r="Q1">
        <v>6</v>
      </c>
    </row>
    <row r="12" spans="1:133" x14ac:dyDescent="0.25">
      <c r="A12" s="1">
        <v>1</v>
      </c>
      <c r="B12" s="1">
        <v>210</v>
      </c>
      <c r="C12" s="1">
        <v>0</v>
      </c>
      <c r="D12" s="1">
        <f>ROW(A169)</f>
        <v>169</v>
      </c>
      <c r="E12" s="1">
        <v>0</v>
      </c>
      <c r="F12" s="1" t="s">
        <v>3</v>
      </c>
      <c r="G12" s="1" t="s">
        <v>4</v>
      </c>
      <c r="H12" s="1" t="s">
        <v>3</v>
      </c>
      <c r="I12" s="1">
        <v>0</v>
      </c>
      <c r="J12" s="1" t="s">
        <v>3</v>
      </c>
      <c r="K12" s="1">
        <v>0</v>
      </c>
      <c r="L12" s="1"/>
      <c r="M12" s="1"/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/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5</v>
      </c>
      <c r="AC12" s="1" t="s">
        <v>6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7</v>
      </c>
      <c r="AI12" s="1" t="s">
        <v>8</v>
      </c>
      <c r="AJ12" s="1" t="s">
        <v>9</v>
      </c>
      <c r="AK12" s="1"/>
      <c r="AL12" s="1" t="s">
        <v>10</v>
      </c>
      <c r="AM12" s="1" t="s">
        <v>11</v>
      </c>
      <c r="AN12" s="1" t="s">
        <v>12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/>
      <c r="BC12" s="1"/>
      <c r="BD12" s="1"/>
      <c r="BE12" s="1"/>
      <c r="BF12" s="1"/>
      <c r="BG12" s="1"/>
      <c r="BH12" s="1" t="s">
        <v>13</v>
      </c>
      <c r="BI12" s="1" t="s">
        <v>14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15</v>
      </c>
      <c r="BZ12" s="1" t="s">
        <v>16</v>
      </c>
      <c r="CA12" s="1" t="s">
        <v>17</v>
      </c>
      <c r="CB12" s="1" t="s">
        <v>17</v>
      </c>
      <c r="CC12" s="1" t="s">
        <v>17</v>
      </c>
      <c r="CD12" s="1" t="s">
        <v>17</v>
      </c>
      <c r="CE12" s="1" t="s">
        <v>18</v>
      </c>
      <c r="CF12" s="1">
        <v>0</v>
      </c>
      <c r="CG12" s="1">
        <v>0</v>
      </c>
      <c r="CH12" s="1">
        <v>8</v>
      </c>
      <c r="CI12" s="1" t="s">
        <v>3</v>
      </c>
      <c r="CJ12" s="1" t="s">
        <v>3</v>
      </c>
      <c r="CK12" s="1">
        <v>3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5" spans="1:133" x14ac:dyDescent="0.25">
      <c r="A15" s="1">
        <v>15</v>
      </c>
      <c r="B15" s="1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8" spans="1:245" x14ac:dyDescent="0.25">
      <c r="A18" s="2">
        <v>52</v>
      </c>
      <c r="B18" s="2">
        <f t="shared" ref="B18:G18" si="0">B169</f>
        <v>210</v>
      </c>
      <c r="C18" s="2">
        <f t="shared" si="0"/>
        <v>1</v>
      </c>
      <c r="D18" s="2">
        <f t="shared" si="0"/>
        <v>12</v>
      </c>
      <c r="E18" s="2">
        <f t="shared" si="0"/>
        <v>0</v>
      </c>
      <c r="F18" s="2" t="str">
        <f t="shared" si="0"/>
        <v/>
      </c>
      <c r="G18" s="2" t="str">
        <f t="shared" si="0"/>
        <v>Ремонт асфальтобетонных покрытий дворовой территории района Кузьминки ЮВАО г. Москвы по адресу: Волгоградский проспект 94 к.1, 96 к.1</v>
      </c>
      <c r="H18" s="2"/>
      <c r="I18" s="2"/>
      <c r="J18" s="2"/>
      <c r="K18" s="2"/>
      <c r="L18" s="2"/>
      <c r="M18" s="2"/>
      <c r="N18" s="2"/>
      <c r="O18" s="2">
        <f t="shared" ref="O18:AT18" si="1">O169</f>
        <v>592483.38</v>
      </c>
      <c r="P18" s="2">
        <f t="shared" si="1"/>
        <v>355604.84</v>
      </c>
      <c r="Q18" s="2">
        <f t="shared" si="1"/>
        <v>95360.06</v>
      </c>
      <c r="R18" s="2">
        <f t="shared" si="1"/>
        <v>49925.8</v>
      </c>
      <c r="S18" s="2">
        <f t="shared" si="1"/>
        <v>141518.48000000001</v>
      </c>
      <c r="T18" s="2">
        <f t="shared" si="1"/>
        <v>0</v>
      </c>
      <c r="U18" s="2">
        <f t="shared" si="1"/>
        <v>713.98463225</v>
      </c>
      <c r="V18" s="2">
        <f t="shared" si="1"/>
        <v>0</v>
      </c>
      <c r="W18" s="2">
        <f t="shared" si="1"/>
        <v>0</v>
      </c>
      <c r="X18" s="2">
        <f t="shared" si="1"/>
        <v>99062.95</v>
      </c>
      <c r="Y18" s="2">
        <f t="shared" si="1"/>
        <v>14151.86</v>
      </c>
      <c r="Z18" s="2">
        <f t="shared" si="1"/>
        <v>0</v>
      </c>
      <c r="AA18" s="2">
        <f t="shared" si="1"/>
        <v>0</v>
      </c>
      <c r="AB18" s="2">
        <f t="shared" si="1"/>
        <v>0</v>
      </c>
      <c r="AC18" s="2">
        <f t="shared" si="1"/>
        <v>0</v>
      </c>
      <c r="AD18" s="2">
        <f t="shared" si="1"/>
        <v>0</v>
      </c>
      <c r="AE18" s="2">
        <f t="shared" si="1"/>
        <v>0</v>
      </c>
      <c r="AF18" s="2">
        <f t="shared" si="1"/>
        <v>0</v>
      </c>
      <c r="AG18" s="2">
        <f t="shared" si="1"/>
        <v>0</v>
      </c>
      <c r="AH18" s="2">
        <f t="shared" si="1"/>
        <v>0</v>
      </c>
      <c r="AI18" s="2">
        <f t="shared" si="1"/>
        <v>0</v>
      </c>
      <c r="AJ18" s="2">
        <f t="shared" si="1"/>
        <v>0</v>
      </c>
      <c r="AK18" s="2">
        <f t="shared" si="1"/>
        <v>0</v>
      </c>
      <c r="AL18" s="2">
        <f t="shared" si="1"/>
        <v>0</v>
      </c>
      <c r="AM18" s="2">
        <f t="shared" si="1"/>
        <v>0</v>
      </c>
      <c r="AN18" s="2">
        <f t="shared" si="1"/>
        <v>0</v>
      </c>
      <c r="AO18" s="2">
        <f t="shared" si="1"/>
        <v>0</v>
      </c>
      <c r="AP18" s="2">
        <f t="shared" si="1"/>
        <v>0</v>
      </c>
      <c r="AQ18" s="2">
        <f t="shared" si="1"/>
        <v>0</v>
      </c>
      <c r="AR18" s="2">
        <f t="shared" si="1"/>
        <v>712703.65</v>
      </c>
      <c r="AS18" s="2">
        <f t="shared" si="1"/>
        <v>128842.33</v>
      </c>
      <c r="AT18" s="2">
        <f t="shared" si="1"/>
        <v>0</v>
      </c>
      <c r="AU18" s="2">
        <f t="shared" ref="AU18:BZ18" si="2">AU169</f>
        <v>583861.31999999995</v>
      </c>
      <c r="AV18" s="2">
        <f t="shared" si="2"/>
        <v>355604.84</v>
      </c>
      <c r="AW18" s="2">
        <f t="shared" si="2"/>
        <v>355604.84</v>
      </c>
      <c r="AX18" s="2">
        <f t="shared" si="2"/>
        <v>0</v>
      </c>
      <c r="AY18" s="2">
        <f t="shared" si="2"/>
        <v>355604.84</v>
      </c>
      <c r="AZ18" s="2">
        <f t="shared" si="2"/>
        <v>0</v>
      </c>
      <c r="BA18" s="2">
        <f t="shared" si="2"/>
        <v>0</v>
      </c>
      <c r="BB18" s="2">
        <f t="shared" si="2"/>
        <v>0</v>
      </c>
      <c r="BC18" s="2">
        <f t="shared" si="2"/>
        <v>0</v>
      </c>
      <c r="BD18" s="2">
        <f t="shared" si="2"/>
        <v>0</v>
      </c>
      <c r="BE18" s="2">
        <f t="shared" si="2"/>
        <v>0</v>
      </c>
      <c r="BF18" s="2">
        <f t="shared" si="2"/>
        <v>0</v>
      </c>
      <c r="BG18" s="2">
        <f t="shared" si="2"/>
        <v>0</v>
      </c>
      <c r="BH18" s="2">
        <f t="shared" si="2"/>
        <v>0</v>
      </c>
      <c r="BI18" s="2">
        <f t="shared" si="2"/>
        <v>0</v>
      </c>
      <c r="BJ18" s="2">
        <f t="shared" si="2"/>
        <v>0</v>
      </c>
      <c r="BK18" s="2">
        <f t="shared" si="2"/>
        <v>0</v>
      </c>
      <c r="BL18" s="2">
        <f t="shared" si="2"/>
        <v>0</v>
      </c>
      <c r="BM18" s="2">
        <f t="shared" si="2"/>
        <v>0</v>
      </c>
      <c r="BN18" s="2">
        <f t="shared" si="2"/>
        <v>0</v>
      </c>
      <c r="BO18" s="2">
        <f t="shared" si="2"/>
        <v>0</v>
      </c>
      <c r="BP18" s="2">
        <f t="shared" si="2"/>
        <v>0</v>
      </c>
      <c r="BQ18" s="2">
        <f t="shared" si="2"/>
        <v>0</v>
      </c>
      <c r="BR18" s="2">
        <f t="shared" si="2"/>
        <v>0</v>
      </c>
      <c r="BS18" s="2">
        <f t="shared" si="2"/>
        <v>0</v>
      </c>
      <c r="BT18" s="2">
        <f t="shared" si="2"/>
        <v>0</v>
      </c>
      <c r="BU18" s="2">
        <f t="shared" si="2"/>
        <v>0</v>
      </c>
      <c r="BV18" s="2">
        <f t="shared" si="2"/>
        <v>0</v>
      </c>
      <c r="BW18" s="2">
        <f t="shared" si="2"/>
        <v>0</v>
      </c>
      <c r="BX18" s="2">
        <f t="shared" si="2"/>
        <v>0</v>
      </c>
      <c r="BY18" s="2">
        <f t="shared" si="2"/>
        <v>0</v>
      </c>
      <c r="BZ18" s="2">
        <f t="shared" si="2"/>
        <v>0</v>
      </c>
      <c r="CA18" s="2">
        <f t="shared" ref="CA18:DF18" si="3">CA169</f>
        <v>0</v>
      </c>
      <c r="CB18" s="2">
        <f t="shared" si="3"/>
        <v>0</v>
      </c>
      <c r="CC18" s="2">
        <f t="shared" si="3"/>
        <v>0</v>
      </c>
      <c r="CD18" s="2">
        <f t="shared" si="3"/>
        <v>0</v>
      </c>
      <c r="CE18" s="2">
        <f t="shared" si="3"/>
        <v>0</v>
      </c>
      <c r="CF18" s="2">
        <f t="shared" si="3"/>
        <v>0</v>
      </c>
      <c r="CG18" s="2">
        <f t="shared" si="3"/>
        <v>0</v>
      </c>
      <c r="CH18" s="2">
        <f t="shared" si="3"/>
        <v>0</v>
      </c>
      <c r="CI18" s="2">
        <f t="shared" si="3"/>
        <v>0</v>
      </c>
      <c r="CJ18" s="2">
        <f t="shared" si="3"/>
        <v>0</v>
      </c>
      <c r="CK18" s="2">
        <f t="shared" si="3"/>
        <v>0</v>
      </c>
      <c r="CL18" s="2">
        <f t="shared" si="3"/>
        <v>0</v>
      </c>
      <c r="CM18" s="2">
        <f t="shared" si="3"/>
        <v>0</v>
      </c>
      <c r="CN18" s="2">
        <f t="shared" si="3"/>
        <v>0</v>
      </c>
      <c r="CO18" s="2">
        <f t="shared" si="3"/>
        <v>0</v>
      </c>
      <c r="CP18" s="2">
        <f t="shared" si="3"/>
        <v>0</v>
      </c>
      <c r="CQ18" s="2">
        <f t="shared" si="3"/>
        <v>0</v>
      </c>
      <c r="CR18" s="2">
        <f t="shared" si="3"/>
        <v>0</v>
      </c>
      <c r="CS18" s="2">
        <f t="shared" si="3"/>
        <v>0</v>
      </c>
      <c r="CT18" s="2">
        <f t="shared" si="3"/>
        <v>0</v>
      </c>
      <c r="CU18" s="2">
        <f t="shared" si="3"/>
        <v>0</v>
      </c>
      <c r="CV18" s="2">
        <f t="shared" si="3"/>
        <v>0</v>
      </c>
      <c r="CW18" s="2">
        <f t="shared" si="3"/>
        <v>0</v>
      </c>
      <c r="CX18" s="2">
        <f t="shared" si="3"/>
        <v>0</v>
      </c>
      <c r="CY18" s="2">
        <f t="shared" si="3"/>
        <v>0</v>
      </c>
      <c r="CZ18" s="2">
        <f t="shared" si="3"/>
        <v>0</v>
      </c>
      <c r="DA18" s="2">
        <f t="shared" si="3"/>
        <v>0</v>
      </c>
      <c r="DB18" s="2">
        <f t="shared" si="3"/>
        <v>0</v>
      </c>
      <c r="DC18" s="2">
        <f t="shared" si="3"/>
        <v>0</v>
      </c>
      <c r="DD18" s="2">
        <f t="shared" si="3"/>
        <v>0</v>
      </c>
      <c r="DE18" s="2">
        <f t="shared" si="3"/>
        <v>0</v>
      </c>
      <c r="DF18" s="2">
        <f t="shared" si="3"/>
        <v>0</v>
      </c>
      <c r="DG18" s="3">
        <f t="shared" ref="DG18:EL18" si="4">DG169</f>
        <v>0</v>
      </c>
      <c r="DH18" s="3">
        <f t="shared" si="4"/>
        <v>0</v>
      </c>
      <c r="DI18" s="3">
        <f t="shared" si="4"/>
        <v>0</v>
      </c>
      <c r="DJ18" s="3">
        <f t="shared" si="4"/>
        <v>0</v>
      </c>
      <c r="DK18" s="3">
        <f t="shared" si="4"/>
        <v>0</v>
      </c>
      <c r="DL18" s="3">
        <f t="shared" si="4"/>
        <v>0</v>
      </c>
      <c r="DM18" s="3">
        <f t="shared" si="4"/>
        <v>0</v>
      </c>
      <c r="DN18" s="3">
        <f t="shared" si="4"/>
        <v>0</v>
      </c>
      <c r="DO18" s="3">
        <f t="shared" si="4"/>
        <v>0</v>
      </c>
      <c r="DP18" s="3">
        <f t="shared" si="4"/>
        <v>0</v>
      </c>
      <c r="DQ18" s="3">
        <f t="shared" si="4"/>
        <v>0</v>
      </c>
      <c r="DR18" s="3">
        <f t="shared" si="4"/>
        <v>0</v>
      </c>
      <c r="DS18" s="3">
        <f t="shared" si="4"/>
        <v>0</v>
      </c>
      <c r="DT18" s="3">
        <f t="shared" si="4"/>
        <v>0</v>
      </c>
      <c r="DU18" s="3">
        <f t="shared" si="4"/>
        <v>0</v>
      </c>
      <c r="DV18" s="3">
        <f t="shared" si="4"/>
        <v>0</v>
      </c>
      <c r="DW18" s="3">
        <f t="shared" si="4"/>
        <v>0</v>
      </c>
      <c r="DX18" s="3">
        <f t="shared" si="4"/>
        <v>0</v>
      </c>
      <c r="DY18" s="3">
        <f t="shared" si="4"/>
        <v>0</v>
      </c>
      <c r="DZ18" s="3">
        <f t="shared" si="4"/>
        <v>0</v>
      </c>
      <c r="EA18" s="3">
        <f t="shared" si="4"/>
        <v>0</v>
      </c>
      <c r="EB18" s="3">
        <f t="shared" si="4"/>
        <v>0</v>
      </c>
      <c r="EC18" s="3">
        <f t="shared" si="4"/>
        <v>0</v>
      </c>
      <c r="ED18" s="3">
        <f t="shared" si="4"/>
        <v>0</v>
      </c>
      <c r="EE18" s="3">
        <f t="shared" si="4"/>
        <v>0</v>
      </c>
      <c r="EF18" s="3">
        <f t="shared" si="4"/>
        <v>0</v>
      </c>
      <c r="EG18" s="3">
        <f t="shared" si="4"/>
        <v>0</v>
      </c>
      <c r="EH18" s="3">
        <f t="shared" si="4"/>
        <v>0</v>
      </c>
      <c r="EI18" s="3">
        <f t="shared" si="4"/>
        <v>0</v>
      </c>
      <c r="EJ18" s="3">
        <f t="shared" si="4"/>
        <v>0</v>
      </c>
      <c r="EK18" s="3">
        <f t="shared" si="4"/>
        <v>0</v>
      </c>
      <c r="EL18" s="3">
        <f t="shared" si="4"/>
        <v>0</v>
      </c>
      <c r="EM18" s="3">
        <f t="shared" ref="EM18:FR18" si="5">EM169</f>
        <v>0</v>
      </c>
      <c r="EN18" s="3">
        <f t="shared" si="5"/>
        <v>0</v>
      </c>
      <c r="EO18" s="3">
        <f t="shared" si="5"/>
        <v>0</v>
      </c>
      <c r="EP18" s="3">
        <f t="shared" si="5"/>
        <v>0</v>
      </c>
      <c r="EQ18" s="3">
        <f t="shared" si="5"/>
        <v>0</v>
      </c>
      <c r="ER18" s="3">
        <f t="shared" si="5"/>
        <v>0</v>
      </c>
      <c r="ES18" s="3">
        <f t="shared" si="5"/>
        <v>0</v>
      </c>
      <c r="ET18" s="3">
        <f t="shared" si="5"/>
        <v>0</v>
      </c>
      <c r="EU18" s="3">
        <f t="shared" si="5"/>
        <v>0</v>
      </c>
      <c r="EV18" s="3">
        <f t="shared" si="5"/>
        <v>0</v>
      </c>
      <c r="EW18" s="3">
        <f t="shared" si="5"/>
        <v>0</v>
      </c>
      <c r="EX18" s="3">
        <f t="shared" si="5"/>
        <v>0</v>
      </c>
      <c r="EY18" s="3">
        <f t="shared" si="5"/>
        <v>0</v>
      </c>
      <c r="EZ18" s="3">
        <f t="shared" si="5"/>
        <v>0</v>
      </c>
      <c r="FA18" s="3">
        <f t="shared" si="5"/>
        <v>0</v>
      </c>
      <c r="FB18" s="3">
        <f t="shared" si="5"/>
        <v>0</v>
      </c>
      <c r="FC18" s="3">
        <f t="shared" si="5"/>
        <v>0</v>
      </c>
      <c r="FD18" s="3">
        <f t="shared" si="5"/>
        <v>0</v>
      </c>
      <c r="FE18" s="3">
        <f t="shared" si="5"/>
        <v>0</v>
      </c>
      <c r="FF18" s="3">
        <f t="shared" si="5"/>
        <v>0</v>
      </c>
      <c r="FG18" s="3">
        <f t="shared" si="5"/>
        <v>0</v>
      </c>
      <c r="FH18" s="3">
        <f t="shared" si="5"/>
        <v>0</v>
      </c>
      <c r="FI18" s="3">
        <f t="shared" si="5"/>
        <v>0</v>
      </c>
      <c r="FJ18" s="3">
        <f t="shared" si="5"/>
        <v>0</v>
      </c>
      <c r="FK18" s="3">
        <f t="shared" si="5"/>
        <v>0</v>
      </c>
      <c r="FL18" s="3">
        <f t="shared" si="5"/>
        <v>0</v>
      </c>
      <c r="FM18" s="3">
        <f t="shared" si="5"/>
        <v>0</v>
      </c>
      <c r="FN18" s="3">
        <f t="shared" si="5"/>
        <v>0</v>
      </c>
      <c r="FO18" s="3">
        <f t="shared" si="5"/>
        <v>0</v>
      </c>
      <c r="FP18" s="3">
        <f t="shared" si="5"/>
        <v>0</v>
      </c>
      <c r="FQ18" s="3">
        <f t="shared" si="5"/>
        <v>0</v>
      </c>
      <c r="FR18" s="3">
        <f t="shared" si="5"/>
        <v>0</v>
      </c>
      <c r="FS18" s="3">
        <f t="shared" ref="FS18:GX18" si="6">FS169</f>
        <v>0</v>
      </c>
      <c r="FT18" s="3">
        <f t="shared" si="6"/>
        <v>0</v>
      </c>
      <c r="FU18" s="3">
        <f t="shared" si="6"/>
        <v>0</v>
      </c>
      <c r="FV18" s="3">
        <f t="shared" si="6"/>
        <v>0</v>
      </c>
      <c r="FW18" s="3">
        <f t="shared" si="6"/>
        <v>0</v>
      </c>
      <c r="FX18" s="3">
        <f t="shared" si="6"/>
        <v>0</v>
      </c>
      <c r="FY18" s="3">
        <f t="shared" si="6"/>
        <v>0</v>
      </c>
      <c r="FZ18" s="3">
        <f t="shared" si="6"/>
        <v>0</v>
      </c>
      <c r="GA18" s="3">
        <f t="shared" si="6"/>
        <v>0</v>
      </c>
      <c r="GB18" s="3">
        <f t="shared" si="6"/>
        <v>0</v>
      </c>
      <c r="GC18" s="3">
        <f t="shared" si="6"/>
        <v>0</v>
      </c>
      <c r="GD18" s="3">
        <f t="shared" si="6"/>
        <v>0</v>
      </c>
      <c r="GE18" s="3">
        <f t="shared" si="6"/>
        <v>0</v>
      </c>
      <c r="GF18" s="3">
        <f t="shared" si="6"/>
        <v>0</v>
      </c>
      <c r="GG18" s="3">
        <f t="shared" si="6"/>
        <v>0</v>
      </c>
      <c r="GH18" s="3">
        <f t="shared" si="6"/>
        <v>0</v>
      </c>
      <c r="GI18" s="3">
        <f t="shared" si="6"/>
        <v>0</v>
      </c>
      <c r="GJ18" s="3">
        <f t="shared" si="6"/>
        <v>0</v>
      </c>
      <c r="GK18" s="3">
        <f t="shared" si="6"/>
        <v>0</v>
      </c>
      <c r="GL18" s="3">
        <f t="shared" si="6"/>
        <v>0</v>
      </c>
      <c r="GM18" s="3">
        <f t="shared" si="6"/>
        <v>0</v>
      </c>
      <c r="GN18" s="3">
        <f t="shared" si="6"/>
        <v>0</v>
      </c>
      <c r="GO18" s="3">
        <f t="shared" si="6"/>
        <v>0</v>
      </c>
      <c r="GP18" s="3">
        <f t="shared" si="6"/>
        <v>0</v>
      </c>
      <c r="GQ18" s="3">
        <f t="shared" si="6"/>
        <v>0</v>
      </c>
      <c r="GR18" s="3">
        <f t="shared" si="6"/>
        <v>0</v>
      </c>
      <c r="GS18" s="3">
        <f t="shared" si="6"/>
        <v>0</v>
      </c>
      <c r="GT18" s="3">
        <f t="shared" si="6"/>
        <v>0</v>
      </c>
      <c r="GU18" s="3">
        <f t="shared" si="6"/>
        <v>0</v>
      </c>
      <c r="GV18" s="3">
        <f t="shared" si="6"/>
        <v>0</v>
      </c>
      <c r="GW18" s="3">
        <f t="shared" si="6"/>
        <v>0</v>
      </c>
      <c r="GX18" s="3">
        <f t="shared" si="6"/>
        <v>0</v>
      </c>
    </row>
    <row r="20" spans="1:245" x14ac:dyDescent="0.25">
      <c r="A20" s="1">
        <v>3</v>
      </c>
      <c r="B20" s="1">
        <v>1</v>
      </c>
      <c r="C20" s="1"/>
      <c r="D20" s="1">
        <f>ROW(A131)</f>
        <v>131</v>
      </c>
      <c r="E20" s="1"/>
      <c r="F20" s="1" t="s">
        <v>19</v>
      </c>
      <c r="G20" s="1" t="s">
        <v>19</v>
      </c>
      <c r="H20" s="1" t="s">
        <v>3</v>
      </c>
      <c r="I20" s="1">
        <v>0</v>
      </c>
      <c r="J20" s="1" t="s">
        <v>3</v>
      </c>
      <c r="K20" s="1">
        <v>0</v>
      </c>
      <c r="L20" s="1" t="s">
        <v>3</v>
      </c>
      <c r="M20" s="1"/>
      <c r="N20" s="1"/>
      <c r="O20" s="1"/>
      <c r="P20" s="1"/>
      <c r="Q20" s="1"/>
      <c r="R20" s="1"/>
      <c r="S20" s="1"/>
      <c r="T20" s="1"/>
      <c r="U20" s="1" t="s">
        <v>3</v>
      </c>
      <c r="V20" s="1">
        <v>0</v>
      </c>
      <c r="W20" s="1"/>
      <c r="X20" s="1"/>
      <c r="Y20" s="1"/>
      <c r="Z20" s="1"/>
      <c r="AA20" s="1"/>
      <c r="AB20" s="1" t="s">
        <v>3</v>
      </c>
      <c r="AC20" s="1" t="s">
        <v>3</v>
      </c>
      <c r="AD20" s="1" t="s">
        <v>3</v>
      </c>
      <c r="AE20" s="1" t="s">
        <v>3</v>
      </c>
      <c r="AF20" s="1" t="s">
        <v>3</v>
      </c>
      <c r="AG20" s="1" t="s">
        <v>3</v>
      </c>
      <c r="AH20" s="1"/>
      <c r="AI20" s="1"/>
      <c r="AJ20" s="1"/>
      <c r="AK20" s="1"/>
      <c r="AL20" s="1"/>
      <c r="AM20" s="1"/>
      <c r="AN20" s="1"/>
      <c r="AO20" s="1"/>
      <c r="AP20" s="1" t="s">
        <v>3</v>
      </c>
      <c r="AQ20" s="1" t="s">
        <v>3</v>
      </c>
      <c r="AR20" s="1" t="s">
        <v>3</v>
      </c>
      <c r="AS20" s="1"/>
      <c r="AT20" s="1"/>
      <c r="AU20" s="1"/>
      <c r="AV20" s="1"/>
      <c r="AW20" s="1"/>
      <c r="AX20" s="1"/>
      <c r="AY20" s="1"/>
      <c r="AZ20" s="1" t="s">
        <v>3</v>
      </c>
      <c r="BA20" s="1"/>
      <c r="BB20" s="1" t="s">
        <v>3</v>
      </c>
      <c r="BC20" s="1" t="s">
        <v>3</v>
      </c>
      <c r="BD20" s="1" t="s">
        <v>3</v>
      </c>
      <c r="BE20" s="1" t="s">
        <v>3</v>
      </c>
      <c r="BF20" s="1" t="s">
        <v>3</v>
      </c>
      <c r="BG20" s="1" t="s">
        <v>3</v>
      </c>
      <c r="BH20" s="1" t="s">
        <v>3</v>
      </c>
      <c r="BI20" s="1" t="s">
        <v>3</v>
      </c>
      <c r="BJ20" s="1" t="s">
        <v>3</v>
      </c>
      <c r="BK20" s="1" t="s">
        <v>3</v>
      </c>
      <c r="BL20" s="1" t="s">
        <v>3</v>
      </c>
      <c r="BM20" s="1" t="s">
        <v>3</v>
      </c>
      <c r="BN20" s="1" t="s">
        <v>3</v>
      </c>
      <c r="BO20" s="1" t="s">
        <v>3</v>
      </c>
      <c r="BP20" s="1" t="s">
        <v>3</v>
      </c>
      <c r="BQ20" s="1"/>
      <c r="BR20" s="1"/>
      <c r="BS20" s="1"/>
      <c r="BT20" s="1"/>
      <c r="BU20" s="1"/>
      <c r="BV20" s="1"/>
      <c r="BW20" s="1"/>
      <c r="BX20" s="1">
        <v>0</v>
      </c>
      <c r="BY20" s="1"/>
      <c r="BZ20" s="1"/>
      <c r="CA20" s="1"/>
      <c r="CB20" s="1"/>
      <c r="CC20" s="1"/>
      <c r="CD20" s="1"/>
      <c r="CE20" s="1"/>
      <c r="CF20" s="1">
        <v>0</v>
      </c>
      <c r="CG20" s="1">
        <v>0</v>
      </c>
      <c r="CH20" s="1"/>
      <c r="CI20" s="1" t="s">
        <v>3</v>
      </c>
      <c r="CJ20" s="1" t="s">
        <v>3</v>
      </c>
      <c r="CK20" t="s">
        <v>3</v>
      </c>
      <c r="CL20" t="s">
        <v>3</v>
      </c>
      <c r="CM20" t="s">
        <v>3</v>
      </c>
      <c r="CN20" t="s">
        <v>3</v>
      </c>
      <c r="CO20" t="s">
        <v>3</v>
      </c>
      <c r="CP20" t="s">
        <v>3</v>
      </c>
    </row>
    <row r="22" spans="1:245" x14ac:dyDescent="0.25">
      <c r="A22" s="2">
        <v>52</v>
      </c>
      <c r="B22" s="2">
        <f t="shared" ref="B22:G22" si="7">B131</f>
        <v>1</v>
      </c>
      <c r="C22" s="2">
        <f t="shared" si="7"/>
        <v>3</v>
      </c>
      <c r="D22" s="2">
        <f t="shared" si="7"/>
        <v>20</v>
      </c>
      <c r="E22" s="2">
        <f t="shared" si="7"/>
        <v>0</v>
      </c>
      <c r="F22" s="2" t="str">
        <f t="shared" si="7"/>
        <v>Новая локальная смета</v>
      </c>
      <c r="G22" s="2" t="str">
        <f t="shared" si="7"/>
        <v>Новая локальная смета</v>
      </c>
      <c r="H22" s="2"/>
      <c r="I22" s="2"/>
      <c r="J22" s="2"/>
      <c r="K22" s="2"/>
      <c r="L22" s="2"/>
      <c r="M22" s="2"/>
      <c r="N22" s="2"/>
      <c r="O22" s="2">
        <f t="shared" ref="O22:AT22" si="8">O131</f>
        <v>592483.38</v>
      </c>
      <c r="P22" s="2">
        <f t="shared" si="8"/>
        <v>355604.84</v>
      </c>
      <c r="Q22" s="2">
        <f t="shared" si="8"/>
        <v>95360.06</v>
      </c>
      <c r="R22" s="2">
        <f t="shared" si="8"/>
        <v>49925.8</v>
      </c>
      <c r="S22" s="2">
        <f t="shared" si="8"/>
        <v>141518.48000000001</v>
      </c>
      <c r="T22" s="2">
        <f t="shared" si="8"/>
        <v>0</v>
      </c>
      <c r="U22" s="2">
        <f t="shared" si="8"/>
        <v>713.98463225</v>
      </c>
      <c r="V22" s="2">
        <f t="shared" si="8"/>
        <v>0</v>
      </c>
      <c r="W22" s="2">
        <f t="shared" si="8"/>
        <v>0</v>
      </c>
      <c r="X22" s="2">
        <f t="shared" si="8"/>
        <v>99062.95</v>
      </c>
      <c r="Y22" s="2">
        <f t="shared" si="8"/>
        <v>14151.86</v>
      </c>
      <c r="Z22" s="2">
        <f t="shared" si="8"/>
        <v>0</v>
      </c>
      <c r="AA22" s="2">
        <f t="shared" si="8"/>
        <v>0</v>
      </c>
      <c r="AB22" s="2">
        <f t="shared" si="8"/>
        <v>0</v>
      </c>
      <c r="AC22" s="2">
        <f t="shared" si="8"/>
        <v>0</v>
      </c>
      <c r="AD22" s="2">
        <f t="shared" si="8"/>
        <v>0</v>
      </c>
      <c r="AE22" s="2">
        <f t="shared" si="8"/>
        <v>0</v>
      </c>
      <c r="AF22" s="2">
        <f t="shared" si="8"/>
        <v>0</v>
      </c>
      <c r="AG22" s="2">
        <f t="shared" si="8"/>
        <v>0</v>
      </c>
      <c r="AH22" s="2">
        <f t="shared" si="8"/>
        <v>0</v>
      </c>
      <c r="AI22" s="2">
        <f t="shared" si="8"/>
        <v>0</v>
      </c>
      <c r="AJ22" s="2">
        <f t="shared" si="8"/>
        <v>0</v>
      </c>
      <c r="AK22" s="2">
        <f t="shared" si="8"/>
        <v>0</v>
      </c>
      <c r="AL22" s="2">
        <f t="shared" si="8"/>
        <v>0</v>
      </c>
      <c r="AM22" s="2">
        <f t="shared" si="8"/>
        <v>0</v>
      </c>
      <c r="AN22" s="2">
        <f t="shared" si="8"/>
        <v>0</v>
      </c>
      <c r="AO22" s="2">
        <f t="shared" si="8"/>
        <v>0</v>
      </c>
      <c r="AP22" s="2">
        <f t="shared" si="8"/>
        <v>0</v>
      </c>
      <c r="AQ22" s="2">
        <f t="shared" si="8"/>
        <v>0</v>
      </c>
      <c r="AR22" s="2">
        <f t="shared" si="8"/>
        <v>712703.65</v>
      </c>
      <c r="AS22" s="2">
        <f t="shared" si="8"/>
        <v>128842.33</v>
      </c>
      <c r="AT22" s="2">
        <f t="shared" si="8"/>
        <v>0</v>
      </c>
      <c r="AU22" s="2">
        <f t="shared" ref="AU22:BZ22" si="9">AU131</f>
        <v>583861.31999999995</v>
      </c>
      <c r="AV22" s="2">
        <f t="shared" si="9"/>
        <v>355604.84</v>
      </c>
      <c r="AW22" s="2">
        <f t="shared" si="9"/>
        <v>355604.84</v>
      </c>
      <c r="AX22" s="2">
        <f t="shared" si="9"/>
        <v>0</v>
      </c>
      <c r="AY22" s="2">
        <f t="shared" si="9"/>
        <v>355604.84</v>
      </c>
      <c r="AZ22" s="2">
        <f t="shared" si="9"/>
        <v>0</v>
      </c>
      <c r="BA22" s="2">
        <f t="shared" si="9"/>
        <v>0</v>
      </c>
      <c r="BB22" s="2">
        <f t="shared" si="9"/>
        <v>0</v>
      </c>
      <c r="BC22" s="2">
        <f t="shared" si="9"/>
        <v>0</v>
      </c>
      <c r="BD22" s="2">
        <f t="shared" si="9"/>
        <v>0</v>
      </c>
      <c r="BE22" s="2">
        <f t="shared" si="9"/>
        <v>0</v>
      </c>
      <c r="BF22" s="2">
        <f t="shared" si="9"/>
        <v>0</v>
      </c>
      <c r="BG22" s="2">
        <f t="shared" si="9"/>
        <v>0</v>
      </c>
      <c r="BH22" s="2">
        <f t="shared" si="9"/>
        <v>0</v>
      </c>
      <c r="BI22" s="2">
        <f t="shared" si="9"/>
        <v>0</v>
      </c>
      <c r="BJ22" s="2">
        <f t="shared" si="9"/>
        <v>0</v>
      </c>
      <c r="BK22" s="2">
        <f t="shared" si="9"/>
        <v>0</v>
      </c>
      <c r="BL22" s="2">
        <f t="shared" si="9"/>
        <v>0</v>
      </c>
      <c r="BM22" s="2">
        <f t="shared" si="9"/>
        <v>0</v>
      </c>
      <c r="BN22" s="2">
        <f t="shared" si="9"/>
        <v>0</v>
      </c>
      <c r="BO22" s="2">
        <f t="shared" si="9"/>
        <v>0</v>
      </c>
      <c r="BP22" s="2">
        <f t="shared" si="9"/>
        <v>0</v>
      </c>
      <c r="BQ22" s="2">
        <f t="shared" si="9"/>
        <v>0</v>
      </c>
      <c r="BR22" s="2">
        <f t="shared" si="9"/>
        <v>0</v>
      </c>
      <c r="BS22" s="2">
        <f t="shared" si="9"/>
        <v>0</v>
      </c>
      <c r="BT22" s="2">
        <f t="shared" si="9"/>
        <v>0</v>
      </c>
      <c r="BU22" s="2">
        <f t="shared" si="9"/>
        <v>0</v>
      </c>
      <c r="BV22" s="2">
        <f t="shared" si="9"/>
        <v>0</v>
      </c>
      <c r="BW22" s="2">
        <f t="shared" si="9"/>
        <v>0</v>
      </c>
      <c r="BX22" s="2">
        <f t="shared" si="9"/>
        <v>0</v>
      </c>
      <c r="BY22" s="2">
        <f t="shared" si="9"/>
        <v>0</v>
      </c>
      <c r="BZ22" s="2">
        <f t="shared" si="9"/>
        <v>0</v>
      </c>
      <c r="CA22" s="2">
        <f t="shared" ref="CA22:DF22" si="10">CA131</f>
        <v>0</v>
      </c>
      <c r="CB22" s="2">
        <f t="shared" si="10"/>
        <v>0</v>
      </c>
      <c r="CC22" s="2">
        <f t="shared" si="10"/>
        <v>0</v>
      </c>
      <c r="CD22" s="2">
        <f t="shared" si="10"/>
        <v>0</v>
      </c>
      <c r="CE22" s="2">
        <f t="shared" si="10"/>
        <v>0</v>
      </c>
      <c r="CF22" s="2">
        <f t="shared" si="10"/>
        <v>0</v>
      </c>
      <c r="CG22" s="2">
        <f t="shared" si="10"/>
        <v>0</v>
      </c>
      <c r="CH22" s="2">
        <f t="shared" si="10"/>
        <v>0</v>
      </c>
      <c r="CI22" s="2">
        <f t="shared" si="10"/>
        <v>0</v>
      </c>
      <c r="CJ22" s="2">
        <f t="shared" si="10"/>
        <v>0</v>
      </c>
      <c r="CK22" s="2">
        <f t="shared" si="10"/>
        <v>0</v>
      </c>
      <c r="CL22" s="2">
        <f t="shared" si="10"/>
        <v>0</v>
      </c>
      <c r="CM22" s="2">
        <f t="shared" si="10"/>
        <v>0</v>
      </c>
      <c r="CN22" s="2">
        <f t="shared" si="10"/>
        <v>0</v>
      </c>
      <c r="CO22" s="2">
        <f t="shared" si="10"/>
        <v>0</v>
      </c>
      <c r="CP22" s="2">
        <f t="shared" si="10"/>
        <v>0</v>
      </c>
      <c r="CQ22" s="2">
        <f t="shared" si="10"/>
        <v>0</v>
      </c>
      <c r="CR22" s="2">
        <f t="shared" si="10"/>
        <v>0</v>
      </c>
      <c r="CS22" s="2">
        <f t="shared" si="10"/>
        <v>0</v>
      </c>
      <c r="CT22" s="2">
        <f t="shared" si="10"/>
        <v>0</v>
      </c>
      <c r="CU22" s="2">
        <f t="shared" si="10"/>
        <v>0</v>
      </c>
      <c r="CV22" s="2">
        <f t="shared" si="10"/>
        <v>0</v>
      </c>
      <c r="CW22" s="2">
        <f t="shared" si="10"/>
        <v>0</v>
      </c>
      <c r="CX22" s="2">
        <f t="shared" si="10"/>
        <v>0</v>
      </c>
      <c r="CY22" s="2">
        <f t="shared" si="10"/>
        <v>0</v>
      </c>
      <c r="CZ22" s="2">
        <f t="shared" si="10"/>
        <v>0</v>
      </c>
      <c r="DA22" s="2">
        <f t="shared" si="10"/>
        <v>0</v>
      </c>
      <c r="DB22" s="2">
        <f t="shared" si="10"/>
        <v>0</v>
      </c>
      <c r="DC22" s="2">
        <f t="shared" si="10"/>
        <v>0</v>
      </c>
      <c r="DD22" s="2">
        <f t="shared" si="10"/>
        <v>0</v>
      </c>
      <c r="DE22" s="2">
        <f t="shared" si="10"/>
        <v>0</v>
      </c>
      <c r="DF22" s="2">
        <f t="shared" si="10"/>
        <v>0</v>
      </c>
      <c r="DG22" s="3">
        <f t="shared" ref="DG22:EL22" si="11">DG131</f>
        <v>0</v>
      </c>
      <c r="DH22" s="3">
        <f t="shared" si="11"/>
        <v>0</v>
      </c>
      <c r="DI22" s="3">
        <f t="shared" si="11"/>
        <v>0</v>
      </c>
      <c r="DJ22" s="3">
        <f t="shared" si="11"/>
        <v>0</v>
      </c>
      <c r="DK22" s="3">
        <f t="shared" si="11"/>
        <v>0</v>
      </c>
      <c r="DL22" s="3">
        <f t="shared" si="11"/>
        <v>0</v>
      </c>
      <c r="DM22" s="3">
        <f t="shared" si="11"/>
        <v>0</v>
      </c>
      <c r="DN22" s="3">
        <f t="shared" si="11"/>
        <v>0</v>
      </c>
      <c r="DO22" s="3">
        <f t="shared" si="11"/>
        <v>0</v>
      </c>
      <c r="DP22" s="3">
        <f t="shared" si="11"/>
        <v>0</v>
      </c>
      <c r="DQ22" s="3">
        <f t="shared" si="11"/>
        <v>0</v>
      </c>
      <c r="DR22" s="3">
        <f t="shared" si="11"/>
        <v>0</v>
      </c>
      <c r="DS22" s="3">
        <f t="shared" si="11"/>
        <v>0</v>
      </c>
      <c r="DT22" s="3">
        <f t="shared" si="11"/>
        <v>0</v>
      </c>
      <c r="DU22" s="3">
        <f t="shared" si="11"/>
        <v>0</v>
      </c>
      <c r="DV22" s="3">
        <f t="shared" si="11"/>
        <v>0</v>
      </c>
      <c r="DW22" s="3">
        <f t="shared" si="11"/>
        <v>0</v>
      </c>
      <c r="DX22" s="3">
        <f t="shared" si="11"/>
        <v>0</v>
      </c>
      <c r="DY22" s="3">
        <f t="shared" si="11"/>
        <v>0</v>
      </c>
      <c r="DZ22" s="3">
        <f t="shared" si="11"/>
        <v>0</v>
      </c>
      <c r="EA22" s="3">
        <f t="shared" si="11"/>
        <v>0</v>
      </c>
      <c r="EB22" s="3">
        <f t="shared" si="11"/>
        <v>0</v>
      </c>
      <c r="EC22" s="3">
        <f t="shared" si="11"/>
        <v>0</v>
      </c>
      <c r="ED22" s="3">
        <f t="shared" si="11"/>
        <v>0</v>
      </c>
      <c r="EE22" s="3">
        <f t="shared" si="11"/>
        <v>0</v>
      </c>
      <c r="EF22" s="3">
        <f t="shared" si="11"/>
        <v>0</v>
      </c>
      <c r="EG22" s="3">
        <f t="shared" si="11"/>
        <v>0</v>
      </c>
      <c r="EH22" s="3">
        <f t="shared" si="11"/>
        <v>0</v>
      </c>
      <c r="EI22" s="3">
        <f t="shared" si="11"/>
        <v>0</v>
      </c>
      <c r="EJ22" s="3">
        <f t="shared" si="11"/>
        <v>0</v>
      </c>
      <c r="EK22" s="3">
        <f t="shared" si="11"/>
        <v>0</v>
      </c>
      <c r="EL22" s="3">
        <f t="shared" si="11"/>
        <v>0</v>
      </c>
      <c r="EM22" s="3">
        <f t="shared" ref="EM22:FR22" si="12">EM131</f>
        <v>0</v>
      </c>
      <c r="EN22" s="3">
        <f t="shared" si="12"/>
        <v>0</v>
      </c>
      <c r="EO22" s="3">
        <f t="shared" si="12"/>
        <v>0</v>
      </c>
      <c r="EP22" s="3">
        <f t="shared" si="12"/>
        <v>0</v>
      </c>
      <c r="EQ22" s="3">
        <f t="shared" si="12"/>
        <v>0</v>
      </c>
      <c r="ER22" s="3">
        <f t="shared" si="12"/>
        <v>0</v>
      </c>
      <c r="ES22" s="3">
        <f t="shared" si="12"/>
        <v>0</v>
      </c>
      <c r="ET22" s="3">
        <f t="shared" si="12"/>
        <v>0</v>
      </c>
      <c r="EU22" s="3">
        <f t="shared" si="12"/>
        <v>0</v>
      </c>
      <c r="EV22" s="3">
        <f t="shared" si="12"/>
        <v>0</v>
      </c>
      <c r="EW22" s="3">
        <f t="shared" si="12"/>
        <v>0</v>
      </c>
      <c r="EX22" s="3">
        <f t="shared" si="12"/>
        <v>0</v>
      </c>
      <c r="EY22" s="3">
        <f t="shared" si="12"/>
        <v>0</v>
      </c>
      <c r="EZ22" s="3">
        <f t="shared" si="12"/>
        <v>0</v>
      </c>
      <c r="FA22" s="3">
        <f t="shared" si="12"/>
        <v>0</v>
      </c>
      <c r="FB22" s="3">
        <f t="shared" si="12"/>
        <v>0</v>
      </c>
      <c r="FC22" s="3">
        <f t="shared" si="12"/>
        <v>0</v>
      </c>
      <c r="FD22" s="3">
        <f t="shared" si="12"/>
        <v>0</v>
      </c>
      <c r="FE22" s="3">
        <f t="shared" si="12"/>
        <v>0</v>
      </c>
      <c r="FF22" s="3">
        <f t="shared" si="12"/>
        <v>0</v>
      </c>
      <c r="FG22" s="3">
        <f t="shared" si="12"/>
        <v>0</v>
      </c>
      <c r="FH22" s="3">
        <f t="shared" si="12"/>
        <v>0</v>
      </c>
      <c r="FI22" s="3">
        <f t="shared" si="12"/>
        <v>0</v>
      </c>
      <c r="FJ22" s="3">
        <f t="shared" si="12"/>
        <v>0</v>
      </c>
      <c r="FK22" s="3">
        <f t="shared" si="12"/>
        <v>0</v>
      </c>
      <c r="FL22" s="3">
        <f t="shared" si="12"/>
        <v>0</v>
      </c>
      <c r="FM22" s="3">
        <f t="shared" si="12"/>
        <v>0</v>
      </c>
      <c r="FN22" s="3">
        <f t="shared" si="12"/>
        <v>0</v>
      </c>
      <c r="FO22" s="3">
        <f t="shared" si="12"/>
        <v>0</v>
      </c>
      <c r="FP22" s="3">
        <f t="shared" si="12"/>
        <v>0</v>
      </c>
      <c r="FQ22" s="3">
        <f t="shared" si="12"/>
        <v>0</v>
      </c>
      <c r="FR22" s="3">
        <f t="shared" si="12"/>
        <v>0</v>
      </c>
      <c r="FS22" s="3">
        <f t="shared" ref="FS22:GX22" si="13">FS131</f>
        <v>0</v>
      </c>
      <c r="FT22" s="3">
        <f t="shared" si="13"/>
        <v>0</v>
      </c>
      <c r="FU22" s="3">
        <f t="shared" si="13"/>
        <v>0</v>
      </c>
      <c r="FV22" s="3">
        <f t="shared" si="13"/>
        <v>0</v>
      </c>
      <c r="FW22" s="3">
        <f t="shared" si="13"/>
        <v>0</v>
      </c>
      <c r="FX22" s="3">
        <f t="shared" si="13"/>
        <v>0</v>
      </c>
      <c r="FY22" s="3">
        <f t="shared" si="13"/>
        <v>0</v>
      </c>
      <c r="FZ22" s="3">
        <f t="shared" si="13"/>
        <v>0</v>
      </c>
      <c r="GA22" s="3">
        <f t="shared" si="13"/>
        <v>0</v>
      </c>
      <c r="GB22" s="3">
        <f t="shared" si="13"/>
        <v>0</v>
      </c>
      <c r="GC22" s="3">
        <f t="shared" si="13"/>
        <v>0</v>
      </c>
      <c r="GD22" s="3">
        <f t="shared" si="13"/>
        <v>0</v>
      </c>
      <c r="GE22" s="3">
        <f t="shared" si="13"/>
        <v>0</v>
      </c>
      <c r="GF22" s="3">
        <f t="shared" si="13"/>
        <v>0</v>
      </c>
      <c r="GG22" s="3">
        <f t="shared" si="13"/>
        <v>0</v>
      </c>
      <c r="GH22" s="3">
        <f t="shared" si="13"/>
        <v>0</v>
      </c>
      <c r="GI22" s="3">
        <f t="shared" si="13"/>
        <v>0</v>
      </c>
      <c r="GJ22" s="3">
        <f t="shared" si="13"/>
        <v>0</v>
      </c>
      <c r="GK22" s="3">
        <f t="shared" si="13"/>
        <v>0</v>
      </c>
      <c r="GL22" s="3">
        <f t="shared" si="13"/>
        <v>0</v>
      </c>
      <c r="GM22" s="3">
        <f t="shared" si="13"/>
        <v>0</v>
      </c>
      <c r="GN22" s="3">
        <f t="shared" si="13"/>
        <v>0</v>
      </c>
      <c r="GO22" s="3">
        <f t="shared" si="13"/>
        <v>0</v>
      </c>
      <c r="GP22" s="3">
        <f t="shared" si="13"/>
        <v>0</v>
      </c>
      <c r="GQ22" s="3">
        <f t="shared" si="13"/>
        <v>0</v>
      </c>
      <c r="GR22" s="3">
        <f t="shared" si="13"/>
        <v>0</v>
      </c>
      <c r="GS22" s="3">
        <f t="shared" si="13"/>
        <v>0</v>
      </c>
      <c r="GT22" s="3">
        <f t="shared" si="13"/>
        <v>0</v>
      </c>
      <c r="GU22" s="3">
        <f t="shared" si="13"/>
        <v>0</v>
      </c>
      <c r="GV22" s="3">
        <f t="shared" si="13"/>
        <v>0</v>
      </c>
      <c r="GW22" s="3">
        <f t="shared" si="13"/>
        <v>0</v>
      </c>
      <c r="GX22" s="3">
        <f t="shared" si="13"/>
        <v>0</v>
      </c>
    </row>
    <row r="24" spans="1:245" x14ac:dyDescent="0.25">
      <c r="A24" s="1">
        <v>4</v>
      </c>
      <c r="B24" s="1">
        <v>1</v>
      </c>
      <c r="C24" s="1"/>
      <c r="D24" s="1">
        <f>ROW(A45)</f>
        <v>45</v>
      </c>
      <c r="E24" s="1"/>
      <c r="F24" s="1" t="s">
        <v>20</v>
      </c>
      <c r="G24" s="1" t="s">
        <v>21</v>
      </c>
      <c r="H24" s="1" t="s">
        <v>3</v>
      </c>
      <c r="I24" s="1">
        <v>0</v>
      </c>
      <c r="J24" s="1"/>
      <c r="K24" s="1">
        <v>-1</v>
      </c>
      <c r="L24" s="1"/>
      <c r="M24" s="1"/>
      <c r="N24" s="1"/>
      <c r="O24" s="1"/>
      <c r="P24" s="1"/>
      <c r="Q24" s="1"/>
      <c r="R24" s="1"/>
      <c r="S24" s="1"/>
      <c r="T24" s="1"/>
      <c r="U24" s="1" t="s">
        <v>3</v>
      </c>
      <c r="V24" s="1">
        <v>0</v>
      </c>
      <c r="W24" s="1"/>
      <c r="X24" s="1"/>
      <c r="Y24" s="1"/>
      <c r="Z24" s="1"/>
      <c r="AA24" s="1"/>
      <c r="AB24" s="1" t="s">
        <v>3</v>
      </c>
      <c r="AC24" s="1" t="s">
        <v>3</v>
      </c>
      <c r="AD24" s="1" t="s">
        <v>3</v>
      </c>
      <c r="AE24" s="1" t="s">
        <v>3</v>
      </c>
      <c r="AF24" s="1" t="s">
        <v>3</v>
      </c>
      <c r="AG24" s="1" t="s">
        <v>3</v>
      </c>
      <c r="AH24" s="1"/>
      <c r="AI24" s="1"/>
      <c r="AJ24" s="1"/>
      <c r="AK24" s="1"/>
      <c r="AL24" s="1"/>
      <c r="AM24" s="1"/>
      <c r="AN24" s="1"/>
      <c r="AO24" s="1"/>
      <c r="AP24" s="1" t="s">
        <v>3</v>
      </c>
      <c r="AQ24" s="1" t="s">
        <v>3</v>
      </c>
      <c r="AR24" s="1" t="s">
        <v>3</v>
      </c>
      <c r="AS24" s="1"/>
      <c r="AT24" s="1"/>
      <c r="AU24" s="1"/>
      <c r="AV24" s="1"/>
      <c r="AW24" s="1"/>
      <c r="AX24" s="1"/>
      <c r="AY24" s="1"/>
      <c r="AZ24" s="1" t="s">
        <v>3</v>
      </c>
      <c r="BA24" s="1"/>
      <c r="BB24" s="1" t="s">
        <v>3</v>
      </c>
      <c r="BC24" s="1" t="s">
        <v>3</v>
      </c>
      <c r="BD24" s="1" t="s">
        <v>3</v>
      </c>
      <c r="BE24" s="1" t="s">
        <v>3</v>
      </c>
      <c r="BF24" s="1" t="s">
        <v>3</v>
      </c>
      <c r="BG24" s="1" t="s">
        <v>3</v>
      </c>
      <c r="BH24" s="1" t="s">
        <v>3</v>
      </c>
      <c r="BI24" s="1" t="s">
        <v>3</v>
      </c>
      <c r="BJ24" s="1" t="s">
        <v>3</v>
      </c>
      <c r="BK24" s="1" t="s">
        <v>3</v>
      </c>
      <c r="BL24" s="1" t="s">
        <v>3</v>
      </c>
      <c r="BM24" s="1" t="s">
        <v>3</v>
      </c>
      <c r="BN24" s="1" t="s">
        <v>3</v>
      </c>
      <c r="BO24" s="1" t="s">
        <v>3</v>
      </c>
      <c r="BP24" s="1" t="s">
        <v>3</v>
      </c>
      <c r="BQ24" s="1"/>
      <c r="BR24" s="1"/>
      <c r="BS24" s="1"/>
      <c r="BT24" s="1"/>
      <c r="BU24" s="1"/>
      <c r="BV24" s="1"/>
      <c r="BW24" s="1"/>
      <c r="BX24" s="1">
        <v>0</v>
      </c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>
        <v>0</v>
      </c>
    </row>
    <row r="26" spans="1:245" x14ac:dyDescent="0.25">
      <c r="A26" s="2">
        <v>52</v>
      </c>
      <c r="B26" s="2">
        <f t="shared" ref="B26:G26" si="14">B45</f>
        <v>1</v>
      </c>
      <c r="C26" s="2">
        <f t="shared" si="14"/>
        <v>4</v>
      </c>
      <c r="D26" s="2">
        <f t="shared" si="14"/>
        <v>24</v>
      </c>
      <c r="E26" s="2">
        <f t="shared" si="14"/>
        <v>0</v>
      </c>
      <c r="F26" s="2" t="str">
        <f t="shared" si="14"/>
        <v>Новый раздел</v>
      </c>
      <c r="G26" s="2" t="str">
        <f t="shared" si="14"/>
        <v>Ремонт асфальтобетонного покрытия пешеходных дорожек</v>
      </c>
      <c r="H26" s="2"/>
      <c r="I26" s="2"/>
      <c r="J26" s="2"/>
      <c r="K26" s="2"/>
      <c r="L26" s="2"/>
      <c r="M26" s="2"/>
      <c r="N26" s="2"/>
      <c r="O26" s="2">
        <f t="shared" ref="O26:AT26" si="15">O45</f>
        <v>529306.25</v>
      </c>
      <c r="P26" s="2">
        <f t="shared" si="15"/>
        <v>318759.59999999998</v>
      </c>
      <c r="Q26" s="2">
        <f t="shared" si="15"/>
        <v>95175.58</v>
      </c>
      <c r="R26" s="2">
        <f t="shared" si="15"/>
        <v>49858.31</v>
      </c>
      <c r="S26" s="2">
        <f t="shared" si="15"/>
        <v>115371.07</v>
      </c>
      <c r="T26" s="2">
        <f t="shared" si="15"/>
        <v>0</v>
      </c>
      <c r="U26" s="2">
        <f t="shared" si="15"/>
        <v>574.92776000000003</v>
      </c>
      <c r="V26" s="2">
        <f t="shared" si="15"/>
        <v>0</v>
      </c>
      <c r="W26" s="2">
        <f t="shared" si="15"/>
        <v>0</v>
      </c>
      <c r="X26" s="2">
        <f t="shared" si="15"/>
        <v>80759.759999999995</v>
      </c>
      <c r="Y26" s="2">
        <f t="shared" si="15"/>
        <v>11537.12</v>
      </c>
      <c r="Z26" s="2">
        <f t="shared" si="15"/>
        <v>0</v>
      </c>
      <c r="AA26" s="2">
        <f t="shared" si="15"/>
        <v>0</v>
      </c>
      <c r="AB26" s="2">
        <f t="shared" si="15"/>
        <v>529306.25</v>
      </c>
      <c r="AC26" s="2">
        <f t="shared" si="15"/>
        <v>318759.59999999998</v>
      </c>
      <c r="AD26" s="2">
        <f t="shared" si="15"/>
        <v>95175.58</v>
      </c>
      <c r="AE26" s="2">
        <f t="shared" si="15"/>
        <v>49858.31</v>
      </c>
      <c r="AF26" s="2">
        <f t="shared" si="15"/>
        <v>115371.07</v>
      </c>
      <c r="AG26" s="2">
        <f t="shared" si="15"/>
        <v>0</v>
      </c>
      <c r="AH26" s="2">
        <f t="shared" si="15"/>
        <v>574.92776000000003</v>
      </c>
      <c r="AI26" s="2">
        <f t="shared" si="15"/>
        <v>0</v>
      </c>
      <c r="AJ26" s="2">
        <f t="shared" si="15"/>
        <v>0</v>
      </c>
      <c r="AK26" s="2">
        <f t="shared" si="15"/>
        <v>80759.759999999995</v>
      </c>
      <c r="AL26" s="2">
        <f t="shared" si="15"/>
        <v>11537.12</v>
      </c>
      <c r="AM26" s="2">
        <f t="shared" si="15"/>
        <v>0</v>
      </c>
      <c r="AN26" s="2">
        <f t="shared" si="15"/>
        <v>0</v>
      </c>
      <c r="AO26" s="2">
        <f t="shared" si="15"/>
        <v>0</v>
      </c>
      <c r="AP26" s="2">
        <f t="shared" si="15"/>
        <v>0</v>
      </c>
      <c r="AQ26" s="2">
        <f t="shared" si="15"/>
        <v>0</v>
      </c>
      <c r="AR26" s="2">
        <f t="shared" si="15"/>
        <v>628535.69999999995</v>
      </c>
      <c r="AS26" s="2">
        <f t="shared" si="15"/>
        <v>128842.33</v>
      </c>
      <c r="AT26" s="2">
        <f t="shared" si="15"/>
        <v>0</v>
      </c>
      <c r="AU26" s="2">
        <f t="shared" ref="AU26:BZ26" si="16">AU45</f>
        <v>499693.37</v>
      </c>
      <c r="AV26" s="2">
        <f t="shared" si="16"/>
        <v>318759.59999999998</v>
      </c>
      <c r="AW26" s="2">
        <f t="shared" si="16"/>
        <v>318759.59999999998</v>
      </c>
      <c r="AX26" s="2">
        <f t="shared" si="16"/>
        <v>0</v>
      </c>
      <c r="AY26" s="2">
        <f t="shared" si="16"/>
        <v>318759.59999999998</v>
      </c>
      <c r="AZ26" s="2">
        <f t="shared" si="16"/>
        <v>0</v>
      </c>
      <c r="BA26" s="2">
        <f t="shared" si="16"/>
        <v>0</v>
      </c>
      <c r="BB26" s="2">
        <f t="shared" si="16"/>
        <v>0</v>
      </c>
      <c r="BC26" s="2">
        <f t="shared" si="16"/>
        <v>0</v>
      </c>
      <c r="BD26" s="2">
        <f t="shared" si="16"/>
        <v>0</v>
      </c>
      <c r="BE26" s="2">
        <f t="shared" si="16"/>
        <v>0</v>
      </c>
      <c r="BF26" s="2">
        <f t="shared" si="16"/>
        <v>0</v>
      </c>
      <c r="BG26" s="2">
        <f t="shared" si="16"/>
        <v>0</v>
      </c>
      <c r="BH26" s="2">
        <f t="shared" si="16"/>
        <v>0</v>
      </c>
      <c r="BI26" s="2">
        <f t="shared" si="16"/>
        <v>0</v>
      </c>
      <c r="BJ26" s="2">
        <f t="shared" si="16"/>
        <v>0</v>
      </c>
      <c r="BK26" s="2">
        <f t="shared" si="16"/>
        <v>0</v>
      </c>
      <c r="BL26" s="2">
        <f t="shared" si="16"/>
        <v>0</v>
      </c>
      <c r="BM26" s="2">
        <f t="shared" si="16"/>
        <v>0</v>
      </c>
      <c r="BN26" s="2">
        <f t="shared" si="16"/>
        <v>0</v>
      </c>
      <c r="BO26" s="2">
        <f t="shared" si="16"/>
        <v>0</v>
      </c>
      <c r="BP26" s="2">
        <f t="shared" si="16"/>
        <v>0</v>
      </c>
      <c r="BQ26" s="2">
        <f t="shared" si="16"/>
        <v>0</v>
      </c>
      <c r="BR26" s="2">
        <f t="shared" si="16"/>
        <v>0</v>
      </c>
      <c r="BS26" s="2">
        <f t="shared" si="16"/>
        <v>0</v>
      </c>
      <c r="BT26" s="2">
        <f t="shared" si="16"/>
        <v>0</v>
      </c>
      <c r="BU26" s="2">
        <f t="shared" si="16"/>
        <v>0</v>
      </c>
      <c r="BV26" s="2">
        <f t="shared" si="16"/>
        <v>0</v>
      </c>
      <c r="BW26" s="2">
        <f t="shared" si="16"/>
        <v>0</v>
      </c>
      <c r="BX26" s="2">
        <f t="shared" si="16"/>
        <v>0</v>
      </c>
      <c r="BY26" s="2">
        <f t="shared" si="16"/>
        <v>0</v>
      </c>
      <c r="BZ26" s="2">
        <f t="shared" si="16"/>
        <v>0</v>
      </c>
      <c r="CA26" s="2">
        <f t="shared" ref="CA26:DF26" si="17">CA45</f>
        <v>628535.69999999995</v>
      </c>
      <c r="CB26" s="2">
        <f t="shared" si="17"/>
        <v>128842.33</v>
      </c>
      <c r="CC26" s="2">
        <f t="shared" si="17"/>
        <v>0</v>
      </c>
      <c r="CD26" s="2">
        <f t="shared" si="17"/>
        <v>499693.37</v>
      </c>
      <c r="CE26" s="2">
        <f t="shared" si="17"/>
        <v>318759.59999999998</v>
      </c>
      <c r="CF26" s="2">
        <f t="shared" si="17"/>
        <v>318759.59999999998</v>
      </c>
      <c r="CG26" s="2">
        <f t="shared" si="17"/>
        <v>0</v>
      </c>
      <c r="CH26" s="2">
        <f t="shared" si="17"/>
        <v>318759.59999999998</v>
      </c>
      <c r="CI26" s="2">
        <f t="shared" si="17"/>
        <v>0</v>
      </c>
      <c r="CJ26" s="2">
        <f t="shared" si="17"/>
        <v>0</v>
      </c>
      <c r="CK26" s="2">
        <f t="shared" si="17"/>
        <v>0</v>
      </c>
      <c r="CL26" s="2">
        <f t="shared" si="17"/>
        <v>0</v>
      </c>
      <c r="CM26" s="2">
        <f t="shared" si="17"/>
        <v>0</v>
      </c>
      <c r="CN26" s="2">
        <f t="shared" si="17"/>
        <v>0</v>
      </c>
      <c r="CO26" s="2">
        <f t="shared" si="17"/>
        <v>0</v>
      </c>
      <c r="CP26" s="2">
        <f t="shared" si="17"/>
        <v>0</v>
      </c>
      <c r="CQ26" s="2">
        <f t="shared" si="17"/>
        <v>0</v>
      </c>
      <c r="CR26" s="2">
        <f t="shared" si="17"/>
        <v>0</v>
      </c>
      <c r="CS26" s="2">
        <f t="shared" si="17"/>
        <v>0</v>
      </c>
      <c r="CT26" s="2">
        <f t="shared" si="17"/>
        <v>0</v>
      </c>
      <c r="CU26" s="2">
        <f t="shared" si="17"/>
        <v>0</v>
      </c>
      <c r="CV26" s="2">
        <f t="shared" si="17"/>
        <v>0</v>
      </c>
      <c r="CW26" s="2">
        <f t="shared" si="17"/>
        <v>0</v>
      </c>
      <c r="CX26" s="2">
        <f t="shared" si="17"/>
        <v>0</v>
      </c>
      <c r="CY26" s="2">
        <f t="shared" si="17"/>
        <v>0</v>
      </c>
      <c r="CZ26" s="2">
        <f t="shared" si="17"/>
        <v>0</v>
      </c>
      <c r="DA26" s="2">
        <f t="shared" si="17"/>
        <v>0</v>
      </c>
      <c r="DB26" s="2">
        <f t="shared" si="17"/>
        <v>0</v>
      </c>
      <c r="DC26" s="2">
        <f t="shared" si="17"/>
        <v>0</v>
      </c>
      <c r="DD26" s="2">
        <f t="shared" si="17"/>
        <v>0</v>
      </c>
      <c r="DE26" s="2">
        <f t="shared" si="17"/>
        <v>0</v>
      </c>
      <c r="DF26" s="2">
        <f t="shared" si="17"/>
        <v>0</v>
      </c>
      <c r="DG26" s="3">
        <f t="shared" ref="DG26:EL26" si="18">DG45</f>
        <v>0</v>
      </c>
      <c r="DH26" s="3">
        <f t="shared" si="18"/>
        <v>0</v>
      </c>
      <c r="DI26" s="3">
        <f t="shared" si="18"/>
        <v>0</v>
      </c>
      <c r="DJ26" s="3">
        <f t="shared" si="18"/>
        <v>0</v>
      </c>
      <c r="DK26" s="3">
        <f t="shared" si="18"/>
        <v>0</v>
      </c>
      <c r="DL26" s="3">
        <f t="shared" si="18"/>
        <v>0</v>
      </c>
      <c r="DM26" s="3">
        <f t="shared" si="18"/>
        <v>0</v>
      </c>
      <c r="DN26" s="3">
        <f t="shared" si="18"/>
        <v>0</v>
      </c>
      <c r="DO26" s="3">
        <f t="shared" si="18"/>
        <v>0</v>
      </c>
      <c r="DP26" s="3">
        <f t="shared" si="18"/>
        <v>0</v>
      </c>
      <c r="DQ26" s="3">
        <f t="shared" si="18"/>
        <v>0</v>
      </c>
      <c r="DR26" s="3">
        <f t="shared" si="18"/>
        <v>0</v>
      </c>
      <c r="DS26" s="3">
        <f t="shared" si="18"/>
        <v>0</v>
      </c>
      <c r="DT26" s="3">
        <f t="shared" si="18"/>
        <v>0</v>
      </c>
      <c r="DU26" s="3">
        <f t="shared" si="18"/>
        <v>0</v>
      </c>
      <c r="DV26" s="3">
        <f t="shared" si="18"/>
        <v>0</v>
      </c>
      <c r="DW26" s="3">
        <f t="shared" si="18"/>
        <v>0</v>
      </c>
      <c r="DX26" s="3">
        <f t="shared" si="18"/>
        <v>0</v>
      </c>
      <c r="DY26" s="3">
        <f t="shared" si="18"/>
        <v>0</v>
      </c>
      <c r="DZ26" s="3">
        <f t="shared" si="18"/>
        <v>0</v>
      </c>
      <c r="EA26" s="3">
        <f t="shared" si="18"/>
        <v>0</v>
      </c>
      <c r="EB26" s="3">
        <f t="shared" si="18"/>
        <v>0</v>
      </c>
      <c r="EC26" s="3">
        <f t="shared" si="18"/>
        <v>0</v>
      </c>
      <c r="ED26" s="3">
        <f t="shared" si="18"/>
        <v>0</v>
      </c>
      <c r="EE26" s="3">
        <f t="shared" si="18"/>
        <v>0</v>
      </c>
      <c r="EF26" s="3">
        <f t="shared" si="18"/>
        <v>0</v>
      </c>
      <c r="EG26" s="3">
        <f t="shared" si="18"/>
        <v>0</v>
      </c>
      <c r="EH26" s="3">
        <f t="shared" si="18"/>
        <v>0</v>
      </c>
      <c r="EI26" s="3">
        <f t="shared" si="18"/>
        <v>0</v>
      </c>
      <c r="EJ26" s="3">
        <f t="shared" si="18"/>
        <v>0</v>
      </c>
      <c r="EK26" s="3">
        <f t="shared" si="18"/>
        <v>0</v>
      </c>
      <c r="EL26" s="3">
        <f t="shared" si="18"/>
        <v>0</v>
      </c>
      <c r="EM26" s="3">
        <f t="shared" ref="EM26:FR26" si="19">EM45</f>
        <v>0</v>
      </c>
      <c r="EN26" s="3">
        <f t="shared" si="19"/>
        <v>0</v>
      </c>
      <c r="EO26" s="3">
        <f t="shared" si="19"/>
        <v>0</v>
      </c>
      <c r="EP26" s="3">
        <f t="shared" si="19"/>
        <v>0</v>
      </c>
      <c r="EQ26" s="3">
        <f t="shared" si="19"/>
        <v>0</v>
      </c>
      <c r="ER26" s="3">
        <f t="shared" si="19"/>
        <v>0</v>
      </c>
      <c r="ES26" s="3">
        <f t="shared" si="19"/>
        <v>0</v>
      </c>
      <c r="ET26" s="3">
        <f t="shared" si="19"/>
        <v>0</v>
      </c>
      <c r="EU26" s="3">
        <f t="shared" si="19"/>
        <v>0</v>
      </c>
      <c r="EV26" s="3">
        <f t="shared" si="19"/>
        <v>0</v>
      </c>
      <c r="EW26" s="3">
        <f t="shared" si="19"/>
        <v>0</v>
      </c>
      <c r="EX26" s="3">
        <f t="shared" si="19"/>
        <v>0</v>
      </c>
      <c r="EY26" s="3">
        <f t="shared" si="19"/>
        <v>0</v>
      </c>
      <c r="EZ26" s="3">
        <f t="shared" si="19"/>
        <v>0</v>
      </c>
      <c r="FA26" s="3">
        <f t="shared" si="19"/>
        <v>0</v>
      </c>
      <c r="FB26" s="3">
        <f t="shared" si="19"/>
        <v>0</v>
      </c>
      <c r="FC26" s="3">
        <f t="shared" si="19"/>
        <v>0</v>
      </c>
      <c r="FD26" s="3">
        <f t="shared" si="19"/>
        <v>0</v>
      </c>
      <c r="FE26" s="3">
        <f t="shared" si="19"/>
        <v>0</v>
      </c>
      <c r="FF26" s="3">
        <f t="shared" si="19"/>
        <v>0</v>
      </c>
      <c r="FG26" s="3">
        <f t="shared" si="19"/>
        <v>0</v>
      </c>
      <c r="FH26" s="3">
        <f t="shared" si="19"/>
        <v>0</v>
      </c>
      <c r="FI26" s="3">
        <f t="shared" si="19"/>
        <v>0</v>
      </c>
      <c r="FJ26" s="3">
        <f t="shared" si="19"/>
        <v>0</v>
      </c>
      <c r="FK26" s="3">
        <f t="shared" si="19"/>
        <v>0</v>
      </c>
      <c r="FL26" s="3">
        <f t="shared" si="19"/>
        <v>0</v>
      </c>
      <c r="FM26" s="3">
        <f t="shared" si="19"/>
        <v>0</v>
      </c>
      <c r="FN26" s="3">
        <f t="shared" si="19"/>
        <v>0</v>
      </c>
      <c r="FO26" s="3">
        <f t="shared" si="19"/>
        <v>0</v>
      </c>
      <c r="FP26" s="3">
        <f t="shared" si="19"/>
        <v>0</v>
      </c>
      <c r="FQ26" s="3">
        <f t="shared" si="19"/>
        <v>0</v>
      </c>
      <c r="FR26" s="3">
        <f t="shared" si="19"/>
        <v>0</v>
      </c>
      <c r="FS26" s="3">
        <f t="shared" ref="FS26:GX26" si="20">FS45</f>
        <v>0</v>
      </c>
      <c r="FT26" s="3">
        <f t="shared" si="20"/>
        <v>0</v>
      </c>
      <c r="FU26" s="3">
        <f t="shared" si="20"/>
        <v>0</v>
      </c>
      <c r="FV26" s="3">
        <f t="shared" si="20"/>
        <v>0</v>
      </c>
      <c r="FW26" s="3">
        <f t="shared" si="20"/>
        <v>0</v>
      </c>
      <c r="FX26" s="3">
        <f t="shared" si="20"/>
        <v>0</v>
      </c>
      <c r="FY26" s="3">
        <f t="shared" si="20"/>
        <v>0</v>
      </c>
      <c r="FZ26" s="3">
        <f t="shared" si="20"/>
        <v>0</v>
      </c>
      <c r="GA26" s="3">
        <f t="shared" si="20"/>
        <v>0</v>
      </c>
      <c r="GB26" s="3">
        <f t="shared" si="20"/>
        <v>0</v>
      </c>
      <c r="GC26" s="3">
        <f t="shared" si="20"/>
        <v>0</v>
      </c>
      <c r="GD26" s="3">
        <f t="shared" si="20"/>
        <v>0</v>
      </c>
      <c r="GE26" s="3">
        <f t="shared" si="20"/>
        <v>0</v>
      </c>
      <c r="GF26" s="3">
        <f t="shared" si="20"/>
        <v>0</v>
      </c>
      <c r="GG26" s="3">
        <f t="shared" si="20"/>
        <v>0</v>
      </c>
      <c r="GH26" s="3">
        <f t="shared" si="20"/>
        <v>0</v>
      </c>
      <c r="GI26" s="3">
        <f t="shared" si="20"/>
        <v>0</v>
      </c>
      <c r="GJ26" s="3">
        <f t="shared" si="20"/>
        <v>0</v>
      </c>
      <c r="GK26" s="3">
        <f t="shared" si="20"/>
        <v>0</v>
      </c>
      <c r="GL26" s="3">
        <f t="shared" si="20"/>
        <v>0</v>
      </c>
      <c r="GM26" s="3">
        <f t="shared" si="20"/>
        <v>0</v>
      </c>
      <c r="GN26" s="3">
        <f t="shared" si="20"/>
        <v>0</v>
      </c>
      <c r="GO26" s="3">
        <f t="shared" si="20"/>
        <v>0</v>
      </c>
      <c r="GP26" s="3">
        <f t="shared" si="20"/>
        <v>0</v>
      </c>
      <c r="GQ26" s="3">
        <f t="shared" si="20"/>
        <v>0</v>
      </c>
      <c r="GR26" s="3">
        <f t="shared" si="20"/>
        <v>0</v>
      </c>
      <c r="GS26" s="3">
        <f t="shared" si="20"/>
        <v>0</v>
      </c>
      <c r="GT26" s="3">
        <f t="shared" si="20"/>
        <v>0</v>
      </c>
      <c r="GU26" s="3">
        <f t="shared" si="20"/>
        <v>0</v>
      </c>
      <c r="GV26" s="3">
        <f t="shared" si="20"/>
        <v>0</v>
      </c>
      <c r="GW26" s="3">
        <f t="shared" si="20"/>
        <v>0</v>
      </c>
      <c r="GX26" s="3">
        <f t="shared" si="20"/>
        <v>0</v>
      </c>
    </row>
    <row r="28" spans="1:245" x14ac:dyDescent="0.25">
      <c r="A28">
        <v>17</v>
      </c>
      <c r="B28">
        <v>1</v>
      </c>
      <c r="E28" t="s">
        <v>22</v>
      </c>
      <c r="F28" t="s">
        <v>3</v>
      </c>
      <c r="G28" t="s">
        <v>21</v>
      </c>
      <c r="H28" t="s">
        <v>23</v>
      </c>
      <c r="I28">
        <v>320</v>
      </c>
      <c r="J28">
        <v>0</v>
      </c>
      <c r="O28">
        <f t="shared" ref="O28:O43" si="21">ROUND(CP28,2)</f>
        <v>0</v>
      </c>
      <c r="P28">
        <f t="shared" ref="P28:P43" si="22">ROUND(CQ28*I28,2)</f>
        <v>0</v>
      </c>
      <c r="Q28">
        <f t="shared" ref="Q28:Q43" si="23">ROUND(CR28*I28,2)</f>
        <v>0</v>
      </c>
      <c r="R28">
        <f t="shared" ref="R28:R43" si="24">ROUND(CS28*I28,2)</f>
        <v>0</v>
      </c>
      <c r="S28">
        <f t="shared" ref="S28:S43" si="25">ROUND(CT28*I28,2)</f>
        <v>0</v>
      </c>
      <c r="T28">
        <f t="shared" ref="T28:T43" si="26">ROUND(CU28*I28,2)</f>
        <v>0</v>
      </c>
      <c r="U28">
        <f t="shared" ref="U28:U43" si="27">CV28*I28</f>
        <v>0</v>
      </c>
      <c r="V28">
        <f t="shared" ref="V28:V43" si="28">CW28*I28</f>
        <v>0</v>
      </c>
      <c r="W28">
        <f t="shared" ref="W28:W43" si="29">ROUND(CX28*I28,2)</f>
        <v>0</v>
      </c>
      <c r="X28">
        <f t="shared" ref="X28:X43" si="30">ROUND(CY28,2)</f>
        <v>0</v>
      </c>
      <c r="Y28">
        <f t="shared" ref="Y28:Y43" si="31">ROUND(CZ28,2)</f>
        <v>0</v>
      </c>
      <c r="AA28">
        <v>50844173</v>
      </c>
      <c r="AB28">
        <f t="shared" ref="AB28:AB43" si="32">ROUND((AC28+AD28+AF28),6)</f>
        <v>0</v>
      </c>
      <c r="AC28">
        <f t="shared" ref="AC28:AC43" si="33">ROUND((ES28),6)</f>
        <v>0</v>
      </c>
      <c r="AD28">
        <f t="shared" ref="AD28:AD34" si="34">ROUND((((ET28)-(EU28))+AE28),6)</f>
        <v>0</v>
      </c>
      <c r="AE28">
        <f t="shared" ref="AE28:AF34" si="35">ROUND((EU28),6)</f>
        <v>0</v>
      </c>
      <c r="AF28">
        <f t="shared" si="35"/>
        <v>0</v>
      </c>
      <c r="AG28">
        <f t="shared" ref="AG28:AG43" si="36">ROUND((AP28),6)</f>
        <v>0</v>
      </c>
      <c r="AH28">
        <f t="shared" ref="AH28:AI34" si="37">(EW28)</f>
        <v>0</v>
      </c>
      <c r="AI28">
        <f t="shared" si="37"/>
        <v>0</v>
      </c>
      <c r="AJ28">
        <f t="shared" ref="AJ28:AJ43" si="38">(AS28)</f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70</v>
      </c>
      <c r="AU28">
        <v>10</v>
      </c>
      <c r="AV28">
        <v>1</v>
      </c>
      <c r="AW28">
        <v>1</v>
      </c>
      <c r="AZ28">
        <v>1</v>
      </c>
      <c r="BA28">
        <v>1</v>
      </c>
      <c r="BB28">
        <v>1</v>
      </c>
      <c r="BC28">
        <v>1</v>
      </c>
      <c r="BD28" t="s">
        <v>3</v>
      </c>
      <c r="BE28" t="s">
        <v>3</v>
      </c>
      <c r="BF28" t="s">
        <v>3</v>
      </c>
      <c r="BG28" t="s">
        <v>3</v>
      </c>
      <c r="BH28">
        <v>0</v>
      </c>
      <c r="BI28">
        <v>4</v>
      </c>
      <c r="BJ28" t="s">
        <v>3</v>
      </c>
      <c r="BM28">
        <v>0</v>
      </c>
      <c r="BN28">
        <v>0</v>
      </c>
      <c r="BO28" t="s">
        <v>3</v>
      </c>
      <c r="BP28">
        <v>0</v>
      </c>
      <c r="BQ28">
        <v>1</v>
      </c>
      <c r="BR28">
        <v>0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 t="s">
        <v>3</v>
      </c>
      <c r="BZ28">
        <v>70</v>
      </c>
      <c r="CA28">
        <v>10</v>
      </c>
      <c r="CE28">
        <v>0</v>
      </c>
      <c r="CF28">
        <v>0</v>
      </c>
      <c r="CG28">
        <v>0</v>
      </c>
      <c r="CM28">
        <v>0</v>
      </c>
      <c r="CN28" t="s">
        <v>3</v>
      </c>
      <c r="CO28">
        <v>0</v>
      </c>
      <c r="CP28">
        <f t="shared" ref="CP28:CP43" si="39">(P28+Q28+S28)</f>
        <v>0</v>
      </c>
      <c r="CQ28">
        <f t="shared" ref="CQ28:CQ43" si="40">(AC28*BC28*AW28)</f>
        <v>0</v>
      </c>
      <c r="CR28">
        <f t="shared" ref="CR28:CR34" si="41">((((ET28)*BB28-(EU28)*BS28)+AE28*BS28)*AV28)</f>
        <v>0</v>
      </c>
      <c r="CS28">
        <f t="shared" ref="CS28:CS43" si="42">(AE28*BS28*AV28)</f>
        <v>0</v>
      </c>
      <c r="CT28">
        <f t="shared" ref="CT28:CT43" si="43">(AF28*BA28*AV28)</f>
        <v>0</v>
      </c>
      <c r="CU28">
        <f t="shared" ref="CU28:CU43" si="44">AG28</f>
        <v>0</v>
      </c>
      <c r="CV28">
        <f t="shared" ref="CV28:CV43" si="45">(AH28*AV28)</f>
        <v>0</v>
      </c>
      <c r="CW28">
        <f t="shared" ref="CW28:CW43" si="46">AI28</f>
        <v>0</v>
      </c>
      <c r="CX28">
        <f t="shared" ref="CX28:CX43" si="47">AJ28</f>
        <v>0</v>
      </c>
      <c r="CY28">
        <f t="shared" ref="CY28:CY43" si="48">((S28*BZ28)/100)</f>
        <v>0</v>
      </c>
      <c r="CZ28">
        <f t="shared" ref="CZ28:CZ43" si="49">((S28*CA28)/100)</f>
        <v>0</v>
      </c>
      <c r="DC28" t="s">
        <v>3</v>
      </c>
      <c r="DD28" t="s">
        <v>3</v>
      </c>
      <c r="DE28" t="s">
        <v>3</v>
      </c>
      <c r="DF28" t="s">
        <v>3</v>
      </c>
      <c r="DG28" t="s">
        <v>3</v>
      </c>
      <c r="DH28" t="s">
        <v>3</v>
      </c>
      <c r="DI28" t="s">
        <v>3</v>
      </c>
      <c r="DJ28" t="s">
        <v>3</v>
      </c>
      <c r="DK28" t="s">
        <v>3</v>
      </c>
      <c r="DL28" t="s">
        <v>3</v>
      </c>
      <c r="DM28" t="s">
        <v>3</v>
      </c>
      <c r="DN28">
        <v>0</v>
      </c>
      <c r="DO28">
        <v>0</v>
      </c>
      <c r="DP28">
        <v>1</v>
      </c>
      <c r="DQ28">
        <v>1</v>
      </c>
      <c r="DU28">
        <v>1013</v>
      </c>
      <c r="DV28" t="s">
        <v>23</v>
      </c>
      <c r="DW28" t="s">
        <v>23</v>
      </c>
      <c r="DX28">
        <v>1</v>
      </c>
      <c r="EE28">
        <v>51051537</v>
      </c>
      <c r="EF28">
        <v>1</v>
      </c>
      <c r="EG28" t="s">
        <v>24</v>
      </c>
      <c r="EH28">
        <v>0</v>
      </c>
      <c r="EI28" t="s">
        <v>3</v>
      </c>
      <c r="EJ28">
        <v>4</v>
      </c>
      <c r="EK28">
        <v>0</v>
      </c>
      <c r="EL28" t="s">
        <v>25</v>
      </c>
      <c r="EM28" t="s">
        <v>26</v>
      </c>
      <c r="EO28" t="s">
        <v>3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FQ28">
        <v>0</v>
      </c>
      <c r="FR28">
        <f t="shared" ref="FR28:FR43" si="50">ROUND(IF(AND(BH28=3,BI28=3),P28,0),2)</f>
        <v>0</v>
      </c>
      <c r="FS28">
        <v>0</v>
      </c>
      <c r="FX28">
        <v>70</v>
      </c>
      <c r="FY28">
        <v>10</v>
      </c>
      <c r="GA28" t="s">
        <v>3</v>
      </c>
      <c r="GD28">
        <v>0</v>
      </c>
      <c r="GF28">
        <v>-585363428</v>
      </c>
      <c r="GG28">
        <v>2</v>
      </c>
      <c r="GH28">
        <v>0</v>
      </c>
      <c r="GI28">
        <v>-2</v>
      </c>
      <c r="GJ28">
        <v>0</v>
      </c>
      <c r="GK28">
        <f>ROUND(R28*(R12)/100,2)</f>
        <v>0</v>
      </c>
      <c r="GL28">
        <f t="shared" ref="GL28:GL43" si="51">ROUND(IF(AND(BH28=3,BI28=3,FS28&lt;&gt;0),P28,0),2)</f>
        <v>0</v>
      </c>
      <c r="GM28">
        <f t="shared" ref="GM28:GM33" si="52">ROUND(O28+X28+Y28+GK28,2)+GX28</f>
        <v>0</v>
      </c>
      <c r="GN28">
        <f t="shared" ref="GN28:GN33" si="53">IF(OR(BI28=0,BI28=1),ROUND(O28+X28+Y28+GK28,2),0)</f>
        <v>0</v>
      </c>
      <c r="GO28">
        <f t="shared" ref="GO28:GO33" si="54">IF(BI28=2,ROUND(O28+X28+Y28+GK28,2),0)</f>
        <v>0</v>
      </c>
      <c r="GP28">
        <f t="shared" ref="GP28:GP33" si="55">IF(BI28=4,ROUND(O28+X28+Y28+GK28,2)+GX28,0)</f>
        <v>0</v>
      </c>
      <c r="GR28">
        <v>0</v>
      </c>
      <c r="GS28">
        <v>3</v>
      </c>
      <c r="GT28">
        <v>0</v>
      </c>
      <c r="GU28" t="s">
        <v>3</v>
      </c>
      <c r="GV28">
        <f t="shared" ref="GV28:GV43" si="56">ROUND((GT28),6)</f>
        <v>0</v>
      </c>
      <c r="GW28">
        <v>1</v>
      </c>
      <c r="GX28">
        <f t="shared" ref="GX28:GX43" si="57">ROUND(HC28*I28,2)</f>
        <v>0</v>
      </c>
      <c r="HA28">
        <v>0</v>
      </c>
      <c r="HB28">
        <v>0</v>
      </c>
      <c r="HC28">
        <f t="shared" ref="HC28:HC43" si="58">GV28*GW28</f>
        <v>0</v>
      </c>
      <c r="IK28">
        <v>0</v>
      </c>
    </row>
    <row r="29" spans="1:245" x14ac:dyDescent="0.25">
      <c r="A29">
        <v>17</v>
      </c>
      <c r="B29">
        <v>1</v>
      </c>
      <c r="E29" t="s">
        <v>27</v>
      </c>
      <c r="F29" t="s">
        <v>3</v>
      </c>
      <c r="G29" t="s">
        <v>28</v>
      </c>
      <c r="H29" t="s">
        <v>29</v>
      </c>
      <c r="I29">
        <v>324</v>
      </c>
      <c r="J29">
        <v>0</v>
      </c>
      <c r="O29">
        <f t="shared" si="21"/>
        <v>0</v>
      </c>
      <c r="P29">
        <f t="shared" si="22"/>
        <v>0</v>
      </c>
      <c r="Q29">
        <f t="shared" si="23"/>
        <v>0</v>
      </c>
      <c r="R29">
        <f t="shared" si="24"/>
        <v>0</v>
      </c>
      <c r="S29">
        <f t="shared" si="25"/>
        <v>0</v>
      </c>
      <c r="T29">
        <f t="shared" si="26"/>
        <v>0</v>
      </c>
      <c r="U29">
        <f t="shared" si="27"/>
        <v>0</v>
      </c>
      <c r="V29">
        <f t="shared" si="28"/>
        <v>0</v>
      </c>
      <c r="W29">
        <f t="shared" si="29"/>
        <v>0</v>
      </c>
      <c r="X29">
        <f t="shared" si="30"/>
        <v>0</v>
      </c>
      <c r="Y29">
        <f t="shared" si="31"/>
        <v>0</v>
      </c>
      <c r="AA29">
        <v>50844173</v>
      </c>
      <c r="AB29">
        <f t="shared" si="32"/>
        <v>0</v>
      </c>
      <c r="AC29">
        <f t="shared" si="33"/>
        <v>0</v>
      </c>
      <c r="AD29">
        <f t="shared" si="34"/>
        <v>0</v>
      </c>
      <c r="AE29">
        <f t="shared" si="35"/>
        <v>0</v>
      </c>
      <c r="AF29">
        <f t="shared" si="35"/>
        <v>0</v>
      </c>
      <c r="AG29">
        <f t="shared" si="36"/>
        <v>0</v>
      </c>
      <c r="AH29">
        <f t="shared" si="37"/>
        <v>0</v>
      </c>
      <c r="AI29">
        <f t="shared" si="37"/>
        <v>0</v>
      </c>
      <c r="AJ29">
        <f t="shared" si="38"/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70</v>
      </c>
      <c r="AU29">
        <v>10</v>
      </c>
      <c r="AV29">
        <v>1</v>
      </c>
      <c r="AW29">
        <v>1</v>
      </c>
      <c r="AZ29">
        <v>1</v>
      </c>
      <c r="BA29">
        <v>1</v>
      </c>
      <c r="BB29">
        <v>1</v>
      </c>
      <c r="BC29">
        <v>1</v>
      </c>
      <c r="BD29" t="s">
        <v>3</v>
      </c>
      <c r="BE29" t="s">
        <v>3</v>
      </c>
      <c r="BF29" t="s">
        <v>3</v>
      </c>
      <c r="BG29" t="s">
        <v>3</v>
      </c>
      <c r="BH29">
        <v>0</v>
      </c>
      <c r="BI29">
        <v>4</v>
      </c>
      <c r="BJ29" t="s">
        <v>3</v>
      </c>
      <c r="BM29">
        <v>0</v>
      </c>
      <c r="BN29">
        <v>0</v>
      </c>
      <c r="BO29" t="s">
        <v>3</v>
      </c>
      <c r="BP29">
        <v>0</v>
      </c>
      <c r="BQ29">
        <v>1</v>
      </c>
      <c r="BR29">
        <v>0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 t="s">
        <v>3</v>
      </c>
      <c r="BZ29">
        <v>70</v>
      </c>
      <c r="CA29">
        <v>10</v>
      </c>
      <c r="CE29">
        <v>0</v>
      </c>
      <c r="CF29">
        <v>0</v>
      </c>
      <c r="CG29">
        <v>0</v>
      </c>
      <c r="CM29">
        <v>0</v>
      </c>
      <c r="CN29" t="s">
        <v>3</v>
      </c>
      <c r="CO29">
        <v>0</v>
      </c>
      <c r="CP29">
        <f t="shared" si="39"/>
        <v>0</v>
      </c>
      <c r="CQ29">
        <f t="shared" si="40"/>
        <v>0</v>
      </c>
      <c r="CR29">
        <f t="shared" si="41"/>
        <v>0</v>
      </c>
      <c r="CS29">
        <f t="shared" si="42"/>
        <v>0</v>
      </c>
      <c r="CT29">
        <f t="shared" si="43"/>
        <v>0</v>
      </c>
      <c r="CU29">
        <f t="shared" si="44"/>
        <v>0</v>
      </c>
      <c r="CV29">
        <f t="shared" si="45"/>
        <v>0</v>
      </c>
      <c r="CW29">
        <f t="shared" si="46"/>
        <v>0</v>
      </c>
      <c r="CX29">
        <f t="shared" si="47"/>
        <v>0</v>
      </c>
      <c r="CY29">
        <f t="shared" si="48"/>
        <v>0</v>
      </c>
      <c r="CZ29">
        <f t="shared" si="49"/>
        <v>0</v>
      </c>
      <c r="DC29" t="s">
        <v>3</v>
      </c>
      <c r="DD29" t="s">
        <v>3</v>
      </c>
      <c r="DE29" t="s">
        <v>3</v>
      </c>
      <c r="DF29" t="s">
        <v>3</v>
      </c>
      <c r="DG29" t="s">
        <v>3</v>
      </c>
      <c r="DH29" t="s">
        <v>3</v>
      </c>
      <c r="DI29" t="s">
        <v>3</v>
      </c>
      <c r="DJ29" t="s">
        <v>3</v>
      </c>
      <c r="DK29" t="s">
        <v>3</v>
      </c>
      <c r="DL29" t="s">
        <v>3</v>
      </c>
      <c r="DM29" t="s">
        <v>3</v>
      </c>
      <c r="DN29">
        <v>0</v>
      </c>
      <c r="DO29">
        <v>0</v>
      </c>
      <c r="DP29">
        <v>1</v>
      </c>
      <c r="DQ29">
        <v>1</v>
      </c>
      <c r="DU29">
        <v>1013</v>
      </c>
      <c r="DV29" t="s">
        <v>29</v>
      </c>
      <c r="DW29" t="s">
        <v>29</v>
      </c>
      <c r="DX29">
        <v>1</v>
      </c>
      <c r="EE29">
        <v>51051537</v>
      </c>
      <c r="EF29">
        <v>1</v>
      </c>
      <c r="EG29" t="s">
        <v>24</v>
      </c>
      <c r="EH29">
        <v>0</v>
      </c>
      <c r="EI29" t="s">
        <v>3</v>
      </c>
      <c r="EJ29">
        <v>4</v>
      </c>
      <c r="EK29">
        <v>0</v>
      </c>
      <c r="EL29" t="s">
        <v>25</v>
      </c>
      <c r="EM29" t="s">
        <v>26</v>
      </c>
      <c r="EO29" t="s">
        <v>3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FQ29">
        <v>0</v>
      </c>
      <c r="FR29">
        <f t="shared" si="50"/>
        <v>0</v>
      </c>
      <c r="FS29">
        <v>0</v>
      </c>
      <c r="FX29">
        <v>70</v>
      </c>
      <c r="FY29">
        <v>10</v>
      </c>
      <c r="GA29" t="s">
        <v>3</v>
      </c>
      <c r="GD29">
        <v>0</v>
      </c>
      <c r="GF29">
        <v>454207629</v>
      </c>
      <c r="GG29">
        <v>2</v>
      </c>
      <c r="GH29">
        <v>0</v>
      </c>
      <c r="GI29">
        <v>-2</v>
      </c>
      <c r="GJ29">
        <v>0</v>
      </c>
      <c r="GK29">
        <f>ROUND(R29*(R12)/100,2)</f>
        <v>0</v>
      </c>
      <c r="GL29">
        <f t="shared" si="51"/>
        <v>0</v>
      </c>
      <c r="GM29">
        <f t="shared" si="52"/>
        <v>0</v>
      </c>
      <c r="GN29">
        <f t="shared" si="53"/>
        <v>0</v>
      </c>
      <c r="GO29">
        <f t="shared" si="54"/>
        <v>0</v>
      </c>
      <c r="GP29">
        <f t="shared" si="55"/>
        <v>0</v>
      </c>
      <c r="GR29">
        <v>0</v>
      </c>
      <c r="GS29">
        <v>3</v>
      </c>
      <c r="GT29">
        <v>0</v>
      </c>
      <c r="GU29" t="s">
        <v>3</v>
      </c>
      <c r="GV29">
        <f t="shared" si="56"/>
        <v>0</v>
      </c>
      <c r="GW29">
        <v>1</v>
      </c>
      <c r="GX29">
        <f t="shared" si="57"/>
        <v>0</v>
      </c>
      <c r="HA29">
        <v>0</v>
      </c>
      <c r="HB29">
        <v>0</v>
      </c>
      <c r="HC29">
        <f t="shared" si="58"/>
        <v>0</v>
      </c>
      <c r="IK29">
        <v>0</v>
      </c>
    </row>
    <row r="30" spans="1:245" x14ac:dyDescent="0.25">
      <c r="A30">
        <v>17</v>
      </c>
      <c r="B30">
        <v>1</v>
      </c>
      <c r="C30">
        <f>ROW(SmtRes!A4)</f>
        <v>4</v>
      </c>
      <c r="D30">
        <f>ROW(EtalonRes!A4)</f>
        <v>4</v>
      </c>
      <c r="E30" t="s">
        <v>30</v>
      </c>
      <c r="F30" t="s">
        <v>31</v>
      </c>
      <c r="G30" t="s">
        <v>32</v>
      </c>
      <c r="H30" t="s">
        <v>33</v>
      </c>
      <c r="I30">
        <f>ROUND(I28*0.8*0.05/100,9)</f>
        <v>0.128</v>
      </c>
      <c r="J30">
        <v>0</v>
      </c>
      <c r="O30">
        <f t="shared" si="21"/>
        <v>7793.51</v>
      </c>
      <c r="P30">
        <f t="shared" si="22"/>
        <v>0</v>
      </c>
      <c r="Q30">
        <f t="shared" si="23"/>
        <v>3910.23</v>
      </c>
      <c r="R30">
        <f t="shared" si="24"/>
        <v>2158.65</v>
      </c>
      <c r="S30">
        <f t="shared" si="25"/>
        <v>3883.28</v>
      </c>
      <c r="T30">
        <f t="shared" si="26"/>
        <v>0</v>
      </c>
      <c r="U30">
        <f t="shared" si="27"/>
        <v>19.84</v>
      </c>
      <c r="V30">
        <f t="shared" si="28"/>
        <v>0</v>
      </c>
      <c r="W30">
        <f t="shared" si="29"/>
        <v>0</v>
      </c>
      <c r="X30">
        <f t="shared" si="30"/>
        <v>2718.3</v>
      </c>
      <c r="Y30">
        <f t="shared" si="31"/>
        <v>388.33</v>
      </c>
      <c r="AA30">
        <v>50844173</v>
      </c>
      <c r="AB30">
        <f t="shared" si="32"/>
        <v>60886.85</v>
      </c>
      <c r="AC30">
        <f t="shared" si="33"/>
        <v>0</v>
      </c>
      <c r="AD30">
        <f t="shared" si="34"/>
        <v>30548.7</v>
      </c>
      <c r="AE30">
        <f t="shared" si="35"/>
        <v>16864.419999999998</v>
      </c>
      <c r="AF30">
        <f t="shared" si="35"/>
        <v>30338.15</v>
      </c>
      <c r="AG30">
        <f t="shared" si="36"/>
        <v>0</v>
      </c>
      <c r="AH30">
        <f t="shared" si="37"/>
        <v>155</v>
      </c>
      <c r="AI30">
        <f t="shared" si="37"/>
        <v>0</v>
      </c>
      <c r="AJ30">
        <f t="shared" si="38"/>
        <v>0</v>
      </c>
      <c r="AK30">
        <v>60886.85</v>
      </c>
      <c r="AL30">
        <v>0</v>
      </c>
      <c r="AM30">
        <v>30548.7</v>
      </c>
      <c r="AN30">
        <v>16864.419999999998</v>
      </c>
      <c r="AO30">
        <v>30338.15</v>
      </c>
      <c r="AP30">
        <v>0</v>
      </c>
      <c r="AQ30">
        <v>155</v>
      </c>
      <c r="AR30">
        <v>0</v>
      </c>
      <c r="AS30">
        <v>0</v>
      </c>
      <c r="AT30">
        <v>70</v>
      </c>
      <c r="AU30">
        <v>10</v>
      </c>
      <c r="AV30">
        <v>1</v>
      </c>
      <c r="AW30">
        <v>1</v>
      </c>
      <c r="AZ30">
        <v>1</v>
      </c>
      <c r="BA30">
        <v>1</v>
      </c>
      <c r="BB30">
        <v>1</v>
      </c>
      <c r="BC30">
        <v>1</v>
      </c>
      <c r="BD30" t="s">
        <v>3</v>
      </c>
      <c r="BE30" t="s">
        <v>3</v>
      </c>
      <c r="BF30" t="s">
        <v>3</v>
      </c>
      <c r="BG30" t="s">
        <v>3</v>
      </c>
      <c r="BH30">
        <v>0</v>
      </c>
      <c r="BI30">
        <v>4</v>
      </c>
      <c r="BJ30" t="s">
        <v>34</v>
      </c>
      <c r="BM30">
        <v>0</v>
      </c>
      <c r="BN30">
        <v>0</v>
      </c>
      <c r="BO30" t="s">
        <v>3</v>
      </c>
      <c r="BP30">
        <v>0</v>
      </c>
      <c r="BQ30">
        <v>1</v>
      </c>
      <c r="BR30">
        <v>0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 t="s">
        <v>3</v>
      </c>
      <c r="BZ30">
        <v>70</v>
      </c>
      <c r="CA30">
        <v>10</v>
      </c>
      <c r="CE30">
        <v>0</v>
      </c>
      <c r="CF30">
        <v>0</v>
      </c>
      <c r="CG30">
        <v>0</v>
      </c>
      <c r="CM30">
        <v>0</v>
      </c>
      <c r="CN30" t="s">
        <v>3</v>
      </c>
      <c r="CO30">
        <v>0</v>
      </c>
      <c r="CP30">
        <f t="shared" si="39"/>
        <v>7793.51</v>
      </c>
      <c r="CQ30">
        <f t="shared" si="40"/>
        <v>0</v>
      </c>
      <c r="CR30">
        <f t="shared" si="41"/>
        <v>30548.7</v>
      </c>
      <c r="CS30">
        <f t="shared" si="42"/>
        <v>16864.419999999998</v>
      </c>
      <c r="CT30">
        <f t="shared" si="43"/>
        <v>30338.15</v>
      </c>
      <c r="CU30">
        <f t="shared" si="44"/>
        <v>0</v>
      </c>
      <c r="CV30">
        <f t="shared" si="45"/>
        <v>155</v>
      </c>
      <c r="CW30">
        <f t="shared" si="46"/>
        <v>0</v>
      </c>
      <c r="CX30">
        <f t="shared" si="47"/>
        <v>0</v>
      </c>
      <c r="CY30">
        <f t="shared" si="48"/>
        <v>2718.2960000000003</v>
      </c>
      <c r="CZ30">
        <f t="shared" si="49"/>
        <v>388.32800000000003</v>
      </c>
      <c r="DC30" t="s">
        <v>3</v>
      </c>
      <c r="DD30" t="s">
        <v>3</v>
      </c>
      <c r="DE30" t="s">
        <v>3</v>
      </c>
      <c r="DF30" t="s">
        <v>3</v>
      </c>
      <c r="DG30" t="s">
        <v>3</v>
      </c>
      <c r="DH30" t="s">
        <v>3</v>
      </c>
      <c r="DI30" t="s">
        <v>3</v>
      </c>
      <c r="DJ30" t="s">
        <v>3</v>
      </c>
      <c r="DK30" t="s">
        <v>3</v>
      </c>
      <c r="DL30" t="s">
        <v>3</v>
      </c>
      <c r="DM30" t="s">
        <v>3</v>
      </c>
      <c r="DN30">
        <v>0</v>
      </c>
      <c r="DO30">
        <v>0</v>
      </c>
      <c r="DP30">
        <v>1</v>
      </c>
      <c r="DQ30">
        <v>1</v>
      </c>
      <c r="DU30">
        <v>1007</v>
      </c>
      <c r="DV30" t="s">
        <v>33</v>
      </c>
      <c r="DW30" t="s">
        <v>33</v>
      </c>
      <c r="DX30">
        <v>100</v>
      </c>
      <c r="EE30">
        <v>51051537</v>
      </c>
      <c r="EF30">
        <v>1</v>
      </c>
      <c r="EG30" t="s">
        <v>24</v>
      </c>
      <c r="EH30">
        <v>0</v>
      </c>
      <c r="EI30" t="s">
        <v>3</v>
      </c>
      <c r="EJ30">
        <v>4</v>
      </c>
      <c r="EK30">
        <v>0</v>
      </c>
      <c r="EL30" t="s">
        <v>25</v>
      </c>
      <c r="EM30" t="s">
        <v>26</v>
      </c>
      <c r="EO30" t="s">
        <v>3</v>
      </c>
      <c r="EQ30">
        <v>0</v>
      </c>
      <c r="ER30">
        <v>60886.85</v>
      </c>
      <c r="ES30">
        <v>0</v>
      </c>
      <c r="ET30">
        <v>30548.7</v>
      </c>
      <c r="EU30">
        <v>16864.419999999998</v>
      </c>
      <c r="EV30">
        <v>30338.15</v>
      </c>
      <c r="EW30">
        <v>155</v>
      </c>
      <c r="EX30">
        <v>0</v>
      </c>
      <c r="EY30">
        <v>0</v>
      </c>
      <c r="FQ30">
        <v>0</v>
      </c>
      <c r="FR30">
        <f t="shared" si="50"/>
        <v>0</v>
      </c>
      <c r="FS30">
        <v>0</v>
      </c>
      <c r="FX30">
        <v>70</v>
      </c>
      <c r="FY30">
        <v>10</v>
      </c>
      <c r="GA30" t="s">
        <v>3</v>
      </c>
      <c r="GD30">
        <v>0</v>
      </c>
      <c r="GF30">
        <v>1777309349</v>
      </c>
      <c r="GG30">
        <v>2</v>
      </c>
      <c r="GH30">
        <v>1</v>
      </c>
      <c r="GI30">
        <v>-2</v>
      </c>
      <c r="GJ30">
        <v>0</v>
      </c>
      <c r="GK30">
        <f>ROUND(R30*(R12)/100,2)</f>
        <v>2331.34</v>
      </c>
      <c r="GL30">
        <f t="shared" si="51"/>
        <v>0</v>
      </c>
      <c r="GM30">
        <f t="shared" si="52"/>
        <v>13231.48</v>
      </c>
      <c r="GN30">
        <f t="shared" si="53"/>
        <v>0</v>
      </c>
      <c r="GO30">
        <f t="shared" si="54"/>
        <v>0</v>
      </c>
      <c r="GP30">
        <f t="shared" si="55"/>
        <v>13231.48</v>
      </c>
      <c r="GR30">
        <v>0</v>
      </c>
      <c r="GS30">
        <v>0</v>
      </c>
      <c r="GT30">
        <v>0</v>
      </c>
      <c r="GU30" t="s">
        <v>3</v>
      </c>
      <c r="GV30">
        <f t="shared" si="56"/>
        <v>0</v>
      </c>
      <c r="GW30">
        <v>1</v>
      </c>
      <c r="GX30">
        <f t="shared" si="57"/>
        <v>0</v>
      </c>
      <c r="HA30">
        <v>0</v>
      </c>
      <c r="HB30">
        <v>0</v>
      </c>
      <c r="HC30">
        <f t="shared" si="58"/>
        <v>0</v>
      </c>
      <c r="IK30">
        <v>0</v>
      </c>
    </row>
    <row r="31" spans="1:245" x14ac:dyDescent="0.25">
      <c r="A31">
        <v>17</v>
      </c>
      <c r="B31">
        <v>1</v>
      </c>
      <c r="C31">
        <f>ROW(SmtRes!A5)</f>
        <v>5</v>
      </c>
      <c r="D31">
        <f>ROW(EtalonRes!A5)</f>
        <v>5</v>
      </c>
      <c r="E31" t="s">
        <v>35</v>
      </c>
      <c r="F31" t="s">
        <v>36</v>
      </c>
      <c r="G31" t="s">
        <v>37</v>
      </c>
      <c r="H31" t="s">
        <v>38</v>
      </c>
      <c r="I31">
        <f>ROUND(I28*0.2/100,9)</f>
        <v>0.64</v>
      </c>
      <c r="J31">
        <v>0</v>
      </c>
      <c r="O31">
        <f t="shared" si="21"/>
        <v>1952.28</v>
      </c>
      <c r="P31">
        <f t="shared" si="22"/>
        <v>0</v>
      </c>
      <c r="Q31">
        <f t="shared" si="23"/>
        <v>0</v>
      </c>
      <c r="R31">
        <f t="shared" si="24"/>
        <v>0</v>
      </c>
      <c r="S31">
        <f t="shared" si="25"/>
        <v>1952.28</v>
      </c>
      <c r="T31">
        <f t="shared" si="26"/>
        <v>0</v>
      </c>
      <c r="U31">
        <f t="shared" si="27"/>
        <v>11.9552</v>
      </c>
      <c r="V31">
        <f t="shared" si="28"/>
        <v>0</v>
      </c>
      <c r="W31">
        <f t="shared" si="29"/>
        <v>0</v>
      </c>
      <c r="X31">
        <f t="shared" si="30"/>
        <v>1366.6</v>
      </c>
      <c r="Y31">
        <f t="shared" si="31"/>
        <v>195.23</v>
      </c>
      <c r="AA31">
        <v>50844173</v>
      </c>
      <c r="AB31">
        <f t="shared" si="32"/>
        <v>3050.44</v>
      </c>
      <c r="AC31">
        <f t="shared" si="33"/>
        <v>0</v>
      </c>
      <c r="AD31">
        <f t="shared" si="34"/>
        <v>0</v>
      </c>
      <c r="AE31">
        <f t="shared" si="35"/>
        <v>0</v>
      </c>
      <c r="AF31">
        <f t="shared" si="35"/>
        <v>3050.44</v>
      </c>
      <c r="AG31">
        <f t="shared" si="36"/>
        <v>0</v>
      </c>
      <c r="AH31">
        <f t="shared" si="37"/>
        <v>18.68</v>
      </c>
      <c r="AI31">
        <f t="shared" si="37"/>
        <v>0</v>
      </c>
      <c r="AJ31">
        <f t="shared" si="38"/>
        <v>0</v>
      </c>
      <c r="AK31">
        <v>3050.44</v>
      </c>
      <c r="AL31">
        <v>0</v>
      </c>
      <c r="AM31">
        <v>0</v>
      </c>
      <c r="AN31">
        <v>0</v>
      </c>
      <c r="AO31">
        <v>3050.44</v>
      </c>
      <c r="AP31">
        <v>0</v>
      </c>
      <c r="AQ31">
        <v>18.68</v>
      </c>
      <c r="AR31">
        <v>0</v>
      </c>
      <c r="AS31">
        <v>0</v>
      </c>
      <c r="AT31">
        <v>70</v>
      </c>
      <c r="AU31">
        <v>10</v>
      </c>
      <c r="AV31">
        <v>1</v>
      </c>
      <c r="AW31">
        <v>1</v>
      </c>
      <c r="AZ31">
        <v>1</v>
      </c>
      <c r="BA31">
        <v>1</v>
      </c>
      <c r="BB31">
        <v>1</v>
      </c>
      <c r="BC31">
        <v>1</v>
      </c>
      <c r="BD31" t="s">
        <v>3</v>
      </c>
      <c r="BE31" t="s">
        <v>3</v>
      </c>
      <c r="BF31" t="s">
        <v>3</v>
      </c>
      <c r="BG31" t="s">
        <v>3</v>
      </c>
      <c r="BH31">
        <v>0</v>
      </c>
      <c r="BI31">
        <v>4</v>
      </c>
      <c r="BJ31" t="s">
        <v>39</v>
      </c>
      <c r="BM31">
        <v>0</v>
      </c>
      <c r="BN31">
        <v>0</v>
      </c>
      <c r="BO31" t="s">
        <v>3</v>
      </c>
      <c r="BP31">
        <v>0</v>
      </c>
      <c r="BQ31">
        <v>1</v>
      </c>
      <c r="BR31">
        <v>0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 t="s">
        <v>3</v>
      </c>
      <c r="BZ31">
        <v>70</v>
      </c>
      <c r="CA31">
        <v>10</v>
      </c>
      <c r="CE31">
        <v>0</v>
      </c>
      <c r="CF31">
        <v>0</v>
      </c>
      <c r="CG31">
        <v>0</v>
      </c>
      <c r="CM31">
        <v>0</v>
      </c>
      <c r="CN31" t="s">
        <v>3</v>
      </c>
      <c r="CO31">
        <v>0</v>
      </c>
      <c r="CP31">
        <f t="shared" si="39"/>
        <v>1952.28</v>
      </c>
      <c r="CQ31">
        <f t="shared" si="40"/>
        <v>0</v>
      </c>
      <c r="CR31">
        <f t="shared" si="41"/>
        <v>0</v>
      </c>
      <c r="CS31">
        <f t="shared" si="42"/>
        <v>0</v>
      </c>
      <c r="CT31">
        <f t="shared" si="43"/>
        <v>3050.44</v>
      </c>
      <c r="CU31">
        <f t="shared" si="44"/>
        <v>0</v>
      </c>
      <c r="CV31">
        <f t="shared" si="45"/>
        <v>18.68</v>
      </c>
      <c r="CW31">
        <f t="shared" si="46"/>
        <v>0</v>
      </c>
      <c r="CX31">
        <f t="shared" si="47"/>
        <v>0</v>
      </c>
      <c r="CY31">
        <f t="shared" si="48"/>
        <v>1366.596</v>
      </c>
      <c r="CZ31">
        <f t="shared" si="49"/>
        <v>195.22799999999998</v>
      </c>
      <c r="DC31" t="s">
        <v>3</v>
      </c>
      <c r="DD31" t="s">
        <v>3</v>
      </c>
      <c r="DE31" t="s">
        <v>3</v>
      </c>
      <c r="DF31" t="s">
        <v>3</v>
      </c>
      <c r="DG31" t="s">
        <v>3</v>
      </c>
      <c r="DH31" t="s">
        <v>3</v>
      </c>
      <c r="DI31" t="s">
        <v>3</v>
      </c>
      <c r="DJ31" t="s">
        <v>3</v>
      </c>
      <c r="DK31" t="s">
        <v>3</v>
      </c>
      <c r="DL31" t="s">
        <v>3</v>
      </c>
      <c r="DM31" t="s">
        <v>3</v>
      </c>
      <c r="DN31">
        <v>0</v>
      </c>
      <c r="DO31">
        <v>0</v>
      </c>
      <c r="DP31">
        <v>1</v>
      </c>
      <c r="DQ31">
        <v>1</v>
      </c>
      <c r="DU31">
        <v>1005</v>
      </c>
      <c r="DV31" t="s">
        <v>38</v>
      </c>
      <c r="DW31" t="s">
        <v>38</v>
      </c>
      <c r="DX31">
        <v>100</v>
      </c>
      <c r="EE31">
        <v>51051537</v>
      </c>
      <c r="EF31">
        <v>1</v>
      </c>
      <c r="EG31" t="s">
        <v>24</v>
      </c>
      <c r="EH31">
        <v>0</v>
      </c>
      <c r="EI31" t="s">
        <v>3</v>
      </c>
      <c r="EJ31">
        <v>4</v>
      </c>
      <c r="EK31">
        <v>0</v>
      </c>
      <c r="EL31" t="s">
        <v>25</v>
      </c>
      <c r="EM31" t="s">
        <v>26</v>
      </c>
      <c r="EO31" t="s">
        <v>3</v>
      </c>
      <c r="EQ31">
        <v>0</v>
      </c>
      <c r="ER31">
        <v>3050.44</v>
      </c>
      <c r="ES31">
        <v>0</v>
      </c>
      <c r="ET31">
        <v>0</v>
      </c>
      <c r="EU31">
        <v>0</v>
      </c>
      <c r="EV31">
        <v>3050.44</v>
      </c>
      <c r="EW31">
        <v>18.68</v>
      </c>
      <c r="EX31">
        <v>0</v>
      </c>
      <c r="EY31">
        <v>0</v>
      </c>
      <c r="FQ31">
        <v>0</v>
      </c>
      <c r="FR31">
        <f t="shared" si="50"/>
        <v>0</v>
      </c>
      <c r="FS31">
        <v>0</v>
      </c>
      <c r="FX31">
        <v>70</v>
      </c>
      <c r="FY31">
        <v>10</v>
      </c>
      <c r="GA31" t="s">
        <v>3</v>
      </c>
      <c r="GD31">
        <v>0</v>
      </c>
      <c r="GF31">
        <v>-898163925</v>
      </c>
      <c r="GG31">
        <v>2</v>
      </c>
      <c r="GH31">
        <v>1</v>
      </c>
      <c r="GI31">
        <v>-2</v>
      </c>
      <c r="GJ31">
        <v>0</v>
      </c>
      <c r="GK31">
        <f>ROUND(R31*(R12)/100,2)</f>
        <v>0</v>
      </c>
      <c r="GL31">
        <f t="shared" si="51"/>
        <v>0</v>
      </c>
      <c r="GM31">
        <f t="shared" si="52"/>
        <v>3514.11</v>
      </c>
      <c r="GN31">
        <f t="shared" si="53"/>
        <v>0</v>
      </c>
      <c r="GO31">
        <f t="shared" si="54"/>
        <v>0</v>
      </c>
      <c r="GP31">
        <f t="shared" si="55"/>
        <v>3514.11</v>
      </c>
      <c r="GR31">
        <v>0</v>
      </c>
      <c r="GS31">
        <v>0</v>
      </c>
      <c r="GT31">
        <v>0</v>
      </c>
      <c r="GU31" t="s">
        <v>3</v>
      </c>
      <c r="GV31">
        <f t="shared" si="56"/>
        <v>0</v>
      </c>
      <c r="GW31">
        <v>1</v>
      </c>
      <c r="GX31">
        <f t="shared" si="57"/>
        <v>0</v>
      </c>
      <c r="HA31">
        <v>0</v>
      </c>
      <c r="HB31">
        <v>0</v>
      </c>
      <c r="HC31">
        <f t="shared" si="58"/>
        <v>0</v>
      </c>
      <c r="IK31">
        <v>0</v>
      </c>
    </row>
    <row r="32" spans="1:245" x14ac:dyDescent="0.25">
      <c r="A32">
        <v>17</v>
      </c>
      <c r="B32">
        <v>1</v>
      </c>
      <c r="C32">
        <f>ROW(SmtRes!A6)</f>
        <v>6</v>
      </c>
      <c r="D32">
        <f>ROW(EtalonRes!A6)</f>
        <v>6</v>
      </c>
      <c r="E32" t="s">
        <v>40</v>
      </c>
      <c r="F32" t="s">
        <v>41</v>
      </c>
      <c r="G32" t="s">
        <v>42</v>
      </c>
      <c r="H32" t="s">
        <v>43</v>
      </c>
      <c r="I32">
        <f>ROUND(I29/100,9)</f>
        <v>3.24</v>
      </c>
      <c r="J32">
        <v>0</v>
      </c>
      <c r="O32">
        <f t="shared" si="21"/>
        <v>50238.37</v>
      </c>
      <c r="P32">
        <f t="shared" si="22"/>
        <v>0</v>
      </c>
      <c r="Q32">
        <f t="shared" si="23"/>
        <v>0</v>
      </c>
      <c r="R32">
        <f t="shared" si="24"/>
        <v>0</v>
      </c>
      <c r="S32">
        <f t="shared" si="25"/>
        <v>50238.37</v>
      </c>
      <c r="T32">
        <f t="shared" si="26"/>
        <v>0</v>
      </c>
      <c r="U32">
        <f t="shared" si="27"/>
        <v>248.50800000000004</v>
      </c>
      <c r="V32">
        <f t="shared" si="28"/>
        <v>0</v>
      </c>
      <c r="W32">
        <f t="shared" si="29"/>
        <v>0</v>
      </c>
      <c r="X32">
        <f t="shared" si="30"/>
        <v>35166.86</v>
      </c>
      <c r="Y32">
        <f t="shared" si="31"/>
        <v>5023.84</v>
      </c>
      <c r="AA32">
        <v>50844173</v>
      </c>
      <c r="AB32">
        <f t="shared" si="32"/>
        <v>15505.67</v>
      </c>
      <c r="AC32">
        <f t="shared" si="33"/>
        <v>0</v>
      </c>
      <c r="AD32">
        <f t="shared" si="34"/>
        <v>0</v>
      </c>
      <c r="AE32">
        <f t="shared" si="35"/>
        <v>0</v>
      </c>
      <c r="AF32">
        <f t="shared" si="35"/>
        <v>15505.67</v>
      </c>
      <c r="AG32">
        <f t="shared" si="36"/>
        <v>0</v>
      </c>
      <c r="AH32">
        <f t="shared" si="37"/>
        <v>76.7</v>
      </c>
      <c r="AI32">
        <f t="shared" si="37"/>
        <v>0</v>
      </c>
      <c r="AJ32">
        <f t="shared" si="38"/>
        <v>0</v>
      </c>
      <c r="AK32">
        <v>15505.67</v>
      </c>
      <c r="AL32">
        <v>0</v>
      </c>
      <c r="AM32">
        <v>0</v>
      </c>
      <c r="AN32">
        <v>0</v>
      </c>
      <c r="AO32">
        <v>15505.67</v>
      </c>
      <c r="AP32">
        <v>0</v>
      </c>
      <c r="AQ32">
        <v>76.7</v>
      </c>
      <c r="AR32">
        <v>0</v>
      </c>
      <c r="AS32">
        <v>0</v>
      </c>
      <c r="AT32">
        <v>70</v>
      </c>
      <c r="AU32">
        <v>10</v>
      </c>
      <c r="AV32">
        <v>1</v>
      </c>
      <c r="AW32">
        <v>1</v>
      </c>
      <c r="AZ32">
        <v>1</v>
      </c>
      <c r="BA32">
        <v>1</v>
      </c>
      <c r="BB32">
        <v>1</v>
      </c>
      <c r="BC32">
        <v>1</v>
      </c>
      <c r="BD32" t="s">
        <v>3</v>
      </c>
      <c r="BE32" t="s">
        <v>3</v>
      </c>
      <c r="BF32" t="s">
        <v>3</v>
      </c>
      <c r="BG32" t="s">
        <v>3</v>
      </c>
      <c r="BH32">
        <v>0</v>
      </c>
      <c r="BI32">
        <v>4</v>
      </c>
      <c r="BJ32" t="s">
        <v>44</v>
      </c>
      <c r="BM32">
        <v>0</v>
      </c>
      <c r="BN32">
        <v>0</v>
      </c>
      <c r="BO32" t="s">
        <v>3</v>
      </c>
      <c r="BP32">
        <v>0</v>
      </c>
      <c r="BQ32">
        <v>1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 t="s">
        <v>3</v>
      </c>
      <c r="BZ32">
        <v>70</v>
      </c>
      <c r="CA32">
        <v>10</v>
      </c>
      <c r="CE32">
        <v>0</v>
      </c>
      <c r="CF32">
        <v>0</v>
      </c>
      <c r="CG32">
        <v>0</v>
      </c>
      <c r="CM32">
        <v>0</v>
      </c>
      <c r="CN32" t="s">
        <v>3</v>
      </c>
      <c r="CO32">
        <v>0</v>
      </c>
      <c r="CP32">
        <f t="shared" si="39"/>
        <v>50238.37</v>
      </c>
      <c r="CQ32">
        <f t="shared" si="40"/>
        <v>0</v>
      </c>
      <c r="CR32">
        <f t="shared" si="41"/>
        <v>0</v>
      </c>
      <c r="CS32">
        <f t="shared" si="42"/>
        <v>0</v>
      </c>
      <c r="CT32">
        <f t="shared" si="43"/>
        <v>15505.67</v>
      </c>
      <c r="CU32">
        <f t="shared" si="44"/>
        <v>0</v>
      </c>
      <c r="CV32">
        <f t="shared" si="45"/>
        <v>76.7</v>
      </c>
      <c r="CW32">
        <f t="shared" si="46"/>
        <v>0</v>
      </c>
      <c r="CX32">
        <f t="shared" si="47"/>
        <v>0</v>
      </c>
      <c r="CY32">
        <f t="shared" si="48"/>
        <v>35166.859000000004</v>
      </c>
      <c r="CZ32">
        <f t="shared" si="49"/>
        <v>5023.8370000000004</v>
      </c>
      <c r="DC32" t="s">
        <v>3</v>
      </c>
      <c r="DD32" t="s">
        <v>3</v>
      </c>
      <c r="DE32" t="s">
        <v>3</v>
      </c>
      <c r="DF32" t="s">
        <v>3</v>
      </c>
      <c r="DG32" t="s">
        <v>3</v>
      </c>
      <c r="DH32" t="s">
        <v>3</v>
      </c>
      <c r="DI32" t="s">
        <v>3</v>
      </c>
      <c r="DJ32" t="s">
        <v>3</v>
      </c>
      <c r="DK32" t="s">
        <v>3</v>
      </c>
      <c r="DL32" t="s">
        <v>3</v>
      </c>
      <c r="DM32" t="s">
        <v>3</v>
      </c>
      <c r="DN32">
        <v>0</v>
      </c>
      <c r="DO32">
        <v>0</v>
      </c>
      <c r="DP32">
        <v>1</v>
      </c>
      <c r="DQ32">
        <v>1</v>
      </c>
      <c r="DU32">
        <v>1003</v>
      </c>
      <c r="DV32" t="s">
        <v>43</v>
      </c>
      <c r="DW32" t="s">
        <v>43</v>
      </c>
      <c r="DX32">
        <v>100</v>
      </c>
      <c r="EE32">
        <v>51051537</v>
      </c>
      <c r="EF32">
        <v>1</v>
      </c>
      <c r="EG32" t="s">
        <v>24</v>
      </c>
      <c r="EH32">
        <v>0</v>
      </c>
      <c r="EI32" t="s">
        <v>3</v>
      </c>
      <c r="EJ32">
        <v>4</v>
      </c>
      <c r="EK32">
        <v>0</v>
      </c>
      <c r="EL32" t="s">
        <v>25</v>
      </c>
      <c r="EM32" t="s">
        <v>26</v>
      </c>
      <c r="EO32" t="s">
        <v>3</v>
      </c>
      <c r="EQ32">
        <v>0</v>
      </c>
      <c r="ER32">
        <v>15505.67</v>
      </c>
      <c r="ES32">
        <v>0</v>
      </c>
      <c r="ET32">
        <v>0</v>
      </c>
      <c r="EU32">
        <v>0</v>
      </c>
      <c r="EV32">
        <v>15505.67</v>
      </c>
      <c r="EW32">
        <v>76.7</v>
      </c>
      <c r="EX32">
        <v>0</v>
      </c>
      <c r="EY32">
        <v>0</v>
      </c>
      <c r="FQ32">
        <v>0</v>
      </c>
      <c r="FR32">
        <f t="shared" si="50"/>
        <v>0</v>
      </c>
      <c r="FS32">
        <v>0</v>
      </c>
      <c r="FX32">
        <v>70</v>
      </c>
      <c r="FY32">
        <v>10</v>
      </c>
      <c r="GA32" t="s">
        <v>3</v>
      </c>
      <c r="GD32">
        <v>0</v>
      </c>
      <c r="GF32">
        <v>1467608921</v>
      </c>
      <c r="GG32">
        <v>2</v>
      </c>
      <c r="GH32">
        <v>1</v>
      </c>
      <c r="GI32">
        <v>-2</v>
      </c>
      <c r="GJ32">
        <v>0</v>
      </c>
      <c r="GK32">
        <f>ROUND(R32*(R12)/100,2)</f>
        <v>0</v>
      </c>
      <c r="GL32">
        <f t="shared" si="51"/>
        <v>0</v>
      </c>
      <c r="GM32">
        <f t="shared" si="52"/>
        <v>90429.07</v>
      </c>
      <c r="GN32">
        <f t="shared" si="53"/>
        <v>0</v>
      </c>
      <c r="GO32">
        <f t="shared" si="54"/>
        <v>0</v>
      </c>
      <c r="GP32">
        <f t="shared" si="55"/>
        <v>90429.07</v>
      </c>
      <c r="GR32">
        <v>0</v>
      </c>
      <c r="GS32">
        <v>0</v>
      </c>
      <c r="GT32">
        <v>0</v>
      </c>
      <c r="GU32" t="s">
        <v>3</v>
      </c>
      <c r="GV32">
        <f t="shared" si="56"/>
        <v>0</v>
      </c>
      <c r="GW32">
        <v>1</v>
      </c>
      <c r="GX32">
        <f t="shared" si="57"/>
        <v>0</v>
      </c>
      <c r="HA32">
        <v>0</v>
      </c>
      <c r="HB32">
        <v>0</v>
      </c>
      <c r="HC32">
        <f t="shared" si="58"/>
        <v>0</v>
      </c>
      <c r="IK32">
        <v>0</v>
      </c>
    </row>
    <row r="33" spans="1:245" x14ac:dyDescent="0.25">
      <c r="A33">
        <v>17</v>
      </c>
      <c r="B33">
        <v>1</v>
      </c>
      <c r="C33">
        <f>ROW(SmtRes!A7)</f>
        <v>7</v>
      </c>
      <c r="D33">
        <f>ROW(EtalonRes!A7)</f>
        <v>7</v>
      </c>
      <c r="E33" t="s">
        <v>45</v>
      </c>
      <c r="F33" t="s">
        <v>46</v>
      </c>
      <c r="G33" t="s">
        <v>47</v>
      </c>
      <c r="H33" t="s">
        <v>48</v>
      </c>
      <c r="I33">
        <f>ROUND(I30*100*2.4+I29*0.016*2.4+I31*100*0.07*2.4,9)</f>
        <v>53.913600000000002</v>
      </c>
      <c r="J33">
        <v>0</v>
      </c>
      <c r="O33">
        <f t="shared" si="21"/>
        <v>4326.57</v>
      </c>
      <c r="P33">
        <f t="shared" si="22"/>
        <v>0</v>
      </c>
      <c r="Q33">
        <f t="shared" si="23"/>
        <v>4326.57</v>
      </c>
      <c r="R33">
        <f t="shared" si="24"/>
        <v>1393.13</v>
      </c>
      <c r="S33">
        <f t="shared" si="25"/>
        <v>0</v>
      </c>
      <c r="T33">
        <f t="shared" si="26"/>
        <v>0</v>
      </c>
      <c r="U33">
        <f t="shared" si="27"/>
        <v>0</v>
      </c>
      <c r="V33">
        <f t="shared" si="28"/>
        <v>0</v>
      </c>
      <c r="W33">
        <f t="shared" si="29"/>
        <v>0</v>
      </c>
      <c r="X33">
        <f t="shared" si="30"/>
        <v>0</v>
      </c>
      <c r="Y33">
        <f t="shared" si="31"/>
        <v>0</v>
      </c>
      <c r="AA33">
        <v>50844173</v>
      </c>
      <c r="AB33">
        <f t="shared" si="32"/>
        <v>80.25</v>
      </c>
      <c r="AC33">
        <f t="shared" si="33"/>
        <v>0</v>
      </c>
      <c r="AD33">
        <f t="shared" si="34"/>
        <v>80.25</v>
      </c>
      <c r="AE33">
        <f t="shared" si="35"/>
        <v>25.84</v>
      </c>
      <c r="AF33">
        <f t="shared" si="35"/>
        <v>0</v>
      </c>
      <c r="AG33">
        <f t="shared" si="36"/>
        <v>0</v>
      </c>
      <c r="AH33">
        <f t="shared" si="37"/>
        <v>0</v>
      </c>
      <c r="AI33">
        <f t="shared" si="37"/>
        <v>0</v>
      </c>
      <c r="AJ33">
        <f t="shared" si="38"/>
        <v>0</v>
      </c>
      <c r="AK33">
        <v>80.25</v>
      </c>
      <c r="AL33">
        <v>0</v>
      </c>
      <c r="AM33">
        <v>80.25</v>
      </c>
      <c r="AN33">
        <v>25.84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70</v>
      </c>
      <c r="AU33">
        <v>10</v>
      </c>
      <c r="AV33">
        <v>1</v>
      </c>
      <c r="AW33">
        <v>1</v>
      </c>
      <c r="AZ33">
        <v>1</v>
      </c>
      <c r="BA33">
        <v>1</v>
      </c>
      <c r="BB33">
        <v>1</v>
      </c>
      <c r="BC33">
        <v>1</v>
      </c>
      <c r="BD33" t="s">
        <v>3</v>
      </c>
      <c r="BE33" t="s">
        <v>3</v>
      </c>
      <c r="BF33" t="s">
        <v>3</v>
      </c>
      <c r="BG33" t="s">
        <v>3</v>
      </c>
      <c r="BH33">
        <v>0</v>
      </c>
      <c r="BI33">
        <v>4</v>
      </c>
      <c r="BJ33" t="s">
        <v>49</v>
      </c>
      <c r="BM33">
        <v>0</v>
      </c>
      <c r="BN33">
        <v>0</v>
      </c>
      <c r="BO33" t="s">
        <v>3</v>
      </c>
      <c r="BP33">
        <v>0</v>
      </c>
      <c r="BQ33">
        <v>1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 t="s">
        <v>3</v>
      </c>
      <c r="BZ33">
        <v>70</v>
      </c>
      <c r="CA33">
        <v>10</v>
      </c>
      <c r="CE33">
        <v>0</v>
      </c>
      <c r="CF33">
        <v>0</v>
      </c>
      <c r="CG33">
        <v>0</v>
      </c>
      <c r="CM33">
        <v>0</v>
      </c>
      <c r="CN33" t="s">
        <v>3</v>
      </c>
      <c r="CO33">
        <v>0</v>
      </c>
      <c r="CP33">
        <f t="shared" si="39"/>
        <v>4326.57</v>
      </c>
      <c r="CQ33">
        <f t="shared" si="40"/>
        <v>0</v>
      </c>
      <c r="CR33">
        <f t="shared" si="41"/>
        <v>80.25</v>
      </c>
      <c r="CS33">
        <f t="shared" si="42"/>
        <v>25.84</v>
      </c>
      <c r="CT33">
        <f t="shared" si="43"/>
        <v>0</v>
      </c>
      <c r="CU33">
        <f t="shared" si="44"/>
        <v>0</v>
      </c>
      <c r="CV33">
        <f t="shared" si="45"/>
        <v>0</v>
      </c>
      <c r="CW33">
        <f t="shared" si="46"/>
        <v>0</v>
      </c>
      <c r="CX33">
        <f t="shared" si="47"/>
        <v>0</v>
      </c>
      <c r="CY33">
        <f t="shared" si="48"/>
        <v>0</v>
      </c>
      <c r="CZ33">
        <f t="shared" si="49"/>
        <v>0</v>
      </c>
      <c r="DC33" t="s">
        <v>3</v>
      </c>
      <c r="DD33" t="s">
        <v>3</v>
      </c>
      <c r="DE33" t="s">
        <v>3</v>
      </c>
      <c r="DF33" t="s">
        <v>3</v>
      </c>
      <c r="DG33" t="s">
        <v>3</v>
      </c>
      <c r="DH33" t="s">
        <v>3</v>
      </c>
      <c r="DI33" t="s">
        <v>3</v>
      </c>
      <c r="DJ33" t="s">
        <v>3</v>
      </c>
      <c r="DK33" t="s">
        <v>3</v>
      </c>
      <c r="DL33" t="s">
        <v>3</v>
      </c>
      <c r="DM33" t="s">
        <v>3</v>
      </c>
      <c r="DN33">
        <v>0</v>
      </c>
      <c r="DO33">
        <v>0</v>
      </c>
      <c r="DP33">
        <v>1</v>
      </c>
      <c r="DQ33">
        <v>1</v>
      </c>
      <c r="DU33">
        <v>1009</v>
      </c>
      <c r="DV33" t="s">
        <v>48</v>
      </c>
      <c r="DW33" t="s">
        <v>48</v>
      </c>
      <c r="DX33">
        <v>1000</v>
      </c>
      <c r="EE33">
        <v>51051537</v>
      </c>
      <c r="EF33">
        <v>1</v>
      </c>
      <c r="EG33" t="s">
        <v>24</v>
      </c>
      <c r="EH33">
        <v>0</v>
      </c>
      <c r="EI33" t="s">
        <v>3</v>
      </c>
      <c r="EJ33">
        <v>4</v>
      </c>
      <c r="EK33">
        <v>0</v>
      </c>
      <c r="EL33" t="s">
        <v>25</v>
      </c>
      <c r="EM33" t="s">
        <v>26</v>
      </c>
      <c r="EO33" t="s">
        <v>3</v>
      </c>
      <c r="EQ33">
        <v>0</v>
      </c>
      <c r="ER33">
        <v>80.25</v>
      </c>
      <c r="ES33">
        <v>0</v>
      </c>
      <c r="ET33">
        <v>80.25</v>
      </c>
      <c r="EU33">
        <v>25.84</v>
      </c>
      <c r="EV33">
        <v>0</v>
      </c>
      <c r="EW33">
        <v>0</v>
      </c>
      <c r="EX33">
        <v>0</v>
      </c>
      <c r="EY33">
        <v>0</v>
      </c>
      <c r="FQ33">
        <v>0</v>
      </c>
      <c r="FR33">
        <f t="shared" si="50"/>
        <v>0</v>
      </c>
      <c r="FS33">
        <v>0</v>
      </c>
      <c r="FX33">
        <v>70</v>
      </c>
      <c r="FY33">
        <v>10</v>
      </c>
      <c r="GA33" t="s">
        <v>3</v>
      </c>
      <c r="GD33">
        <v>0</v>
      </c>
      <c r="GF33">
        <v>-706956719</v>
      </c>
      <c r="GG33">
        <v>2</v>
      </c>
      <c r="GH33">
        <v>1</v>
      </c>
      <c r="GI33">
        <v>-2</v>
      </c>
      <c r="GJ33">
        <v>0</v>
      </c>
      <c r="GK33">
        <f>ROUND(R33*(R12)/100,2)</f>
        <v>1504.58</v>
      </c>
      <c r="GL33">
        <f t="shared" si="51"/>
        <v>0</v>
      </c>
      <c r="GM33">
        <f t="shared" si="52"/>
        <v>5831.15</v>
      </c>
      <c r="GN33">
        <f t="shared" si="53"/>
        <v>0</v>
      </c>
      <c r="GO33">
        <f t="shared" si="54"/>
        <v>0</v>
      </c>
      <c r="GP33">
        <f t="shared" si="55"/>
        <v>5831.15</v>
      </c>
      <c r="GR33">
        <v>0</v>
      </c>
      <c r="GS33">
        <v>0</v>
      </c>
      <c r="GT33">
        <v>0</v>
      </c>
      <c r="GU33" t="s">
        <v>3</v>
      </c>
      <c r="GV33">
        <f t="shared" si="56"/>
        <v>0</v>
      </c>
      <c r="GW33">
        <v>1</v>
      </c>
      <c r="GX33">
        <f t="shared" si="57"/>
        <v>0</v>
      </c>
      <c r="HA33">
        <v>0</v>
      </c>
      <c r="HB33">
        <v>0</v>
      </c>
      <c r="HC33">
        <f t="shared" si="58"/>
        <v>0</v>
      </c>
      <c r="IK33">
        <v>0</v>
      </c>
    </row>
    <row r="34" spans="1:245" x14ac:dyDescent="0.25">
      <c r="A34">
        <v>17</v>
      </c>
      <c r="B34">
        <v>1</v>
      </c>
      <c r="C34">
        <f>ROW(SmtRes!A9)</f>
        <v>9</v>
      </c>
      <c r="D34">
        <f>ROW(EtalonRes!A9)</f>
        <v>9</v>
      </c>
      <c r="E34" t="s">
        <v>50</v>
      </c>
      <c r="F34" t="s">
        <v>51</v>
      </c>
      <c r="G34" t="s">
        <v>52</v>
      </c>
      <c r="H34" t="s">
        <v>48</v>
      </c>
      <c r="I34">
        <f>ROUND(I33,9)</f>
        <v>53.913600000000002</v>
      </c>
      <c r="J34">
        <v>0</v>
      </c>
      <c r="O34">
        <f t="shared" si="21"/>
        <v>3117.82</v>
      </c>
      <c r="P34">
        <f t="shared" si="22"/>
        <v>0</v>
      </c>
      <c r="Q34">
        <f t="shared" si="23"/>
        <v>3117.82</v>
      </c>
      <c r="R34">
        <f t="shared" si="24"/>
        <v>1695.04</v>
      </c>
      <c r="S34">
        <f t="shared" si="25"/>
        <v>0</v>
      </c>
      <c r="T34">
        <f t="shared" si="26"/>
        <v>0</v>
      </c>
      <c r="U34">
        <f t="shared" si="27"/>
        <v>0</v>
      </c>
      <c r="V34">
        <f t="shared" si="28"/>
        <v>0</v>
      </c>
      <c r="W34">
        <f t="shared" si="29"/>
        <v>0</v>
      </c>
      <c r="X34">
        <f t="shared" si="30"/>
        <v>0</v>
      </c>
      <c r="Y34">
        <f t="shared" si="31"/>
        <v>0</v>
      </c>
      <c r="AA34">
        <v>50844173</v>
      </c>
      <c r="AB34">
        <f t="shared" si="32"/>
        <v>57.83</v>
      </c>
      <c r="AC34">
        <f t="shared" si="33"/>
        <v>0</v>
      </c>
      <c r="AD34">
        <f t="shared" si="34"/>
        <v>57.83</v>
      </c>
      <c r="AE34">
        <f t="shared" si="35"/>
        <v>31.44</v>
      </c>
      <c r="AF34">
        <f t="shared" si="35"/>
        <v>0</v>
      </c>
      <c r="AG34">
        <f t="shared" si="36"/>
        <v>0</v>
      </c>
      <c r="AH34">
        <f t="shared" si="37"/>
        <v>0</v>
      </c>
      <c r="AI34">
        <f t="shared" si="37"/>
        <v>0</v>
      </c>
      <c r="AJ34">
        <f t="shared" si="38"/>
        <v>0</v>
      </c>
      <c r="AK34">
        <v>57.83</v>
      </c>
      <c r="AL34">
        <v>0</v>
      </c>
      <c r="AM34">
        <v>57.83</v>
      </c>
      <c r="AN34">
        <v>31.44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1</v>
      </c>
      <c r="AZ34">
        <v>1</v>
      </c>
      <c r="BA34">
        <v>1</v>
      </c>
      <c r="BB34">
        <v>1</v>
      </c>
      <c r="BC34">
        <v>1</v>
      </c>
      <c r="BD34" t="s">
        <v>3</v>
      </c>
      <c r="BE34" t="s">
        <v>3</v>
      </c>
      <c r="BF34" t="s">
        <v>3</v>
      </c>
      <c r="BG34" t="s">
        <v>3</v>
      </c>
      <c r="BH34">
        <v>0</v>
      </c>
      <c r="BI34">
        <v>4</v>
      </c>
      <c r="BJ34" t="s">
        <v>53</v>
      </c>
      <c r="BM34">
        <v>1</v>
      </c>
      <c r="BN34">
        <v>0</v>
      </c>
      <c r="BO34" t="s">
        <v>3</v>
      </c>
      <c r="BP34">
        <v>0</v>
      </c>
      <c r="BQ34">
        <v>1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 t="s">
        <v>3</v>
      </c>
      <c r="BZ34">
        <v>0</v>
      </c>
      <c r="CA34">
        <v>0</v>
      </c>
      <c r="CE34">
        <v>0</v>
      </c>
      <c r="CF34">
        <v>0</v>
      </c>
      <c r="CG34">
        <v>0</v>
      </c>
      <c r="CM34">
        <v>0</v>
      </c>
      <c r="CN34" t="s">
        <v>3</v>
      </c>
      <c r="CO34">
        <v>0</v>
      </c>
      <c r="CP34">
        <f t="shared" si="39"/>
        <v>3117.82</v>
      </c>
      <c r="CQ34">
        <f t="shared" si="40"/>
        <v>0</v>
      </c>
      <c r="CR34">
        <f t="shared" si="41"/>
        <v>57.83</v>
      </c>
      <c r="CS34">
        <f t="shared" si="42"/>
        <v>31.44</v>
      </c>
      <c r="CT34">
        <f t="shared" si="43"/>
        <v>0</v>
      </c>
      <c r="CU34">
        <f t="shared" si="44"/>
        <v>0</v>
      </c>
      <c r="CV34">
        <f t="shared" si="45"/>
        <v>0</v>
      </c>
      <c r="CW34">
        <f t="shared" si="46"/>
        <v>0</v>
      </c>
      <c r="CX34">
        <f t="shared" si="47"/>
        <v>0</v>
      </c>
      <c r="CY34">
        <f t="shared" si="48"/>
        <v>0</v>
      </c>
      <c r="CZ34">
        <f t="shared" si="49"/>
        <v>0</v>
      </c>
      <c r="DC34" t="s">
        <v>3</v>
      </c>
      <c r="DD34" t="s">
        <v>3</v>
      </c>
      <c r="DE34" t="s">
        <v>3</v>
      </c>
      <c r="DF34" t="s">
        <v>3</v>
      </c>
      <c r="DG34" t="s">
        <v>3</v>
      </c>
      <c r="DH34" t="s">
        <v>3</v>
      </c>
      <c r="DI34" t="s">
        <v>3</v>
      </c>
      <c r="DJ34" t="s">
        <v>3</v>
      </c>
      <c r="DK34" t="s">
        <v>3</v>
      </c>
      <c r="DL34" t="s">
        <v>3</v>
      </c>
      <c r="DM34" t="s">
        <v>3</v>
      </c>
      <c r="DN34">
        <v>0</v>
      </c>
      <c r="DO34">
        <v>0</v>
      </c>
      <c r="DP34">
        <v>1</v>
      </c>
      <c r="DQ34">
        <v>1</v>
      </c>
      <c r="DU34">
        <v>1009</v>
      </c>
      <c r="DV34" t="s">
        <v>48</v>
      </c>
      <c r="DW34" t="s">
        <v>48</v>
      </c>
      <c r="DX34">
        <v>1000</v>
      </c>
      <c r="EE34">
        <v>51051539</v>
      </c>
      <c r="EF34">
        <v>1</v>
      </c>
      <c r="EG34" t="s">
        <v>24</v>
      </c>
      <c r="EH34">
        <v>0</v>
      </c>
      <c r="EI34" t="s">
        <v>3</v>
      </c>
      <c r="EJ34">
        <v>4</v>
      </c>
      <c r="EK34">
        <v>1</v>
      </c>
      <c r="EL34" t="s">
        <v>54</v>
      </c>
      <c r="EM34" t="s">
        <v>26</v>
      </c>
      <c r="EO34" t="s">
        <v>3</v>
      </c>
      <c r="EQ34">
        <v>0</v>
      </c>
      <c r="ER34">
        <v>57.83</v>
      </c>
      <c r="ES34">
        <v>0</v>
      </c>
      <c r="ET34">
        <v>57.83</v>
      </c>
      <c r="EU34">
        <v>31.44</v>
      </c>
      <c r="EV34">
        <v>0</v>
      </c>
      <c r="EW34">
        <v>0</v>
      </c>
      <c r="EX34">
        <v>0</v>
      </c>
      <c r="EY34">
        <v>0</v>
      </c>
      <c r="FQ34">
        <v>0</v>
      </c>
      <c r="FR34">
        <f t="shared" si="50"/>
        <v>0</v>
      </c>
      <c r="FS34">
        <v>0</v>
      </c>
      <c r="FX34">
        <v>0</v>
      </c>
      <c r="FY34">
        <v>0</v>
      </c>
      <c r="GA34" t="s">
        <v>3</v>
      </c>
      <c r="GD34">
        <v>1</v>
      </c>
      <c r="GF34">
        <v>-1870736679</v>
      </c>
      <c r="GG34">
        <v>2</v>
      </c>
      <c r="GH34">
        <v>1</v>
      </c>
      <c r="GI34">
        <v>-2</v>
      </c>
      <c r="GJ34">
        <v>0</v>
      </c>
      <c r="GK34">
        <v>0</v>
      </c>
      <c r="GL34">
        <f t="shared" si="51"/>
        <v>0</v>
      </c>
      <c r="GM34">
        <f>ROUND(O34+X34+Y34,2)+GX34</f>
        <v>3117.82</v>
      </c>
      <c r="GN34">
        <f>IF(OR(BI34=0,BI34=1),ROUND(O34+X34+Y34,2),0)</f>
        <v>0</v>
      </c>
      <c r="GO34">
        <f>IF(BI34=2,ROUND(O34+X34+Y34,2),0)</f>
        <v>0</v>
      </c>
      <c r="GP34">
        <f>IF(BI34=4,ROUND(O34+X34+Y34,2)+GX34,0)</f>
        <v>3117.82</v>
      </c>
      <c r="GR34">
        <v>0</v>
      </c>
      <c r="GS34">
        <v>0</v>
      </c>
      <c r="GT34">
        <v>0</v>
      </c>
      <c r="GU34" t="s">
        <v>3</v>
      </c>
      <c r="GV34">
        <f t="shared" si="56"/>
        <v>0</v>
      </c>
      <c r="GW34">
        <v>1</v>
      </c>
      <c r="GX34">
        <f t="shared" si="57"/>
        <v>0</v>
      </c>
      <c r="HA34">
        <v>0</v>
      </c>
      <c r="HB34">
        <v>0</v>
      </c>
      <c r="HC34">
        <f t="shared" si="58"/>
        <v>0</v>
      </c>
      <c r="IK34">
        <v>0</v>
      </c>
    </row>
    <row r="35" spans="1:245" x14ac:dyDescent="0.25">
      <c r="A35">
        <v>17</v>
      </c>
      <c r="B35">
        <v>1</v>
      </c>
      <c r="C35">
        <f>ROW(SmtRes!A11)</f>
        <v>11</v>
      </c>
      <c r="D35">
        <f>ROW(EtalonRes!A11)</f>
        <v>11</v>
      </c>
      <c r="E35" t="s">
        <v>55</v>
      </c>
      <c r="F35" t="s">
        <v>56</v>
      </c>
      <c r="G35" t="s">
        <v>57</v>
      </c>
      <c r="H35" t="s">
        <v>48</v>
      </c>
      <c r="I35">
        <f>ROUND(I34,9)</f>
        <v>53.913600000000002</v>
      </c>
      <c r="J35">
        <v>0</v>
      </c>
      <c r="O35">
        <f t="shared" si="21"/>
        <v>76788.06</v>
      </c>
      <c r="P35">
        <f t="shared" si="22"/>
        <v>0</v>
      </c>
      <c r="Q35">
        <f t="shared" si="23"/>
        <v>76788.06</v>
      </c>
      <c r="R35">
        <f t="shared" si="24"/>
        <v>41744.22</v>
      </c>
      <c r="S35">
        <f t="shared" si="25"/>
        <v>0</v>
      </c>
      <c r="T35">
        <f t="shared" si="26"/>
        <v>0</v>
      </c>
      <c r="U35">
        <f t="shared" si="27"/>
        <v>0</v>
      </c>
      <c r="V35">
        <f t="shared" si="28"/>
        <v>0</v>
      </c>
      <c r="W35">
        <f t="shared" si="29"/>
        <v>0</v>
      </c>
      <c r="X35">
        <f t="shared" si="30"/>
        <v>0</v>
      </c>
      <c r="Y35">
        <f t="shared" si="31"/>
        <v>0</v>
      </c>
      <c r="AA35">
        <v>50844173</v>
      </c>
      <c r="AB35">
        <f t="shared" si="32"/>
        <v>1424.28</v>
      </c>
      <c r="AC35">
        <f t="shared" si="33"/>
        <v>0</v>
      </c>
      <c r="AD35">
        <f>ROUND(((((ET35*52))-((EU35*52)))+AE35),6)</f>
        <v>1424.28</v>
      </c>
      <c r="AE35">
        <f>ROUND(((EU35*52)),6)</f>
        <v>774.28</v>
      </c>
      <c r="AF35">
        <f>ROUND(((EV35*52)),6)</f>
        <v>0</v>
      </c>
      <c r="AG35">
        <f t="shared" si="36"/>
        <v>0</v>
      </c>
      <c r="AH35">
        <f>((EW35*52))</f>
        <v>0</v>
      </c>
      <c r="AI35">
        <f>((EX35*52))</f>
        <v>0</v>
      </c>
      <c r="AJ35">
        <f t="shared" si="38"/>
        <v>0</v>
      </c>
      <c r="AK35">
        <v>27.39</v>
      </c>
      <c r="AL35">
        <v>0</v>
      </c>
      <c r="AM35">
        <v>27.39</v>
      </c>
      <c r="AN35">
        <v>14.89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1</v>
      </c>
      <c r="AZ35">
        <v>1</v>
      </c>
      <c r="BA35">
        <v>1</v>
      </c>
      <c r="BB35">
        <v>1</v>
      </c>
      <c r="BC35">
        <v>1</v>
      </c>
      <c r="BD35" t="s">
        <v>3</v>
      </c>
      <c r="BE35" t="s">
        <v>3</v>
      </c>
      <c r="BF35" t="s">
        <v>3</v>
      </c>
      <c r="BG35" t="s">
        <v>3</v>
      </c>
      <c r="BH35">
        <v>0</v>
      </c>
      <c r="BI35">
        <v>4</v>
      </c>
      <c r="BJ35" t="s">
        <v>58</v>
      </c>
      <c r="BM35">
        <v>1</v>
      </c>
      <c r="BN35">
        <v>0</v>
      </c>
      <c r="BO35" t="s">
        <v>3</v>
      </c>
      <c r="BP35">
        <v>0</v>
      </c>
      <c r="BQ35">
        <v>1</v>
      </c>
      <c r="BR35">
        <v>0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 t="s">
        <v>3</v>
      </c>
      <c r="BZ35">
        <v>0</v>
      </c>
      <c r="CA35">
        <v>0</v>
      </c>
      <c r="CE35">
        <v>0</v>
      </c>
      <c r="CF35">
        <v>0</v>
      </c>
      <c r="CG35">
        <v>0</v>
      </c>
      <c r="CM35">
        <v>0</v>
      </c>
      <c r="CN35" t="s">
        <v>3</v>
      </c>
      <c r="CO35">
        <v>0</v>
      </c>
      <c r="CP35">
        <f t="shared" si="39"/>
        <v>76788.06</v>
      </c>
      <c r="CQ35">
        <f t="shared" si="40"/>
        <v>0</v>
      </c>
      <c r="CR35">
        <f>(((((ET35*52))*BB35-((EU35*52))*BS35)+AE35*BS35)*AV35)</f>
        <v>1424.28</v>
      </c>
      <c r="CS35">
        <f t="shared" si="42"/>
        <v>774.28</v>
      </c>
      <c r="CT35">
        <f t="shared" si="43"/>
        <v>0</v>
      </c>
      <c r="CU35">
        <f t="shared" si="44"/>
        <v>0</v>
      </c>
      <c r="CV35">
        <f t="shared" si="45"/>
        <v>0</v>
      </c>
      <c r="CW35">
        <f t="shared" si="46"/>
        <v>0</v>
      </c>
      <c r="CX35">
        <f t="shared" si="47"/>
        <v>0</v>
      </c>
      <c r="CY35">
        <f t="shared" si="48"/>
        <v>0</v>
      </c>
      <c r="CZ35">
        <f t="shared" si="49"/>
        <v>0</v>
      </c>
      <c r="DC35" t="s">
        <v>3</v>
      </c>
      <c r="DD35" t="s">
        <v>3</v>
      </c>
      <c r="DE35" t="s">
        <v>59</v>
      </c>
      <c r="DF35" t="s">
        <v>59</v>
      </c>
      <c r="DG35" t="s">
        <v>59</v>
      </c>
      <c r="DH35" t="s">
        <v>3</v>
      </c>
      <c r="DI35" t="s">
        <v>59</v>
      </c>
      <c r="DJ35" t="s">
        <v>59</v>
      </c>
      <c r="DK35" t="s">
        <v>3</v>
      </c>
      <c r="DL35" t="s">
        <v>3</v>
      </c>
      <c r="DM35" t="s">
        <v>3</v>
      </c>
      <c r="DN35">
        <v>0</v>
      </c>
      <c r="DO35">
        <v>0</v>
      </c>
      <c r="DP35">
        <v>1</v>
      </c>
      <c r="DQ35">
        <v>1</v>
      </c>
      <c r="DU35">
        <v>1009</v>
      </c>
      <c r="DV35" t="s">
        <v>48</v>
      </c>
      <c r="DW35" t="s">
        <v>48</v>
      </c>
      <c r="DX35">
        <v>1000</v>
      </c>
      <c r="EE35">
        <v>51051539</v>
      </c>
      <c r="EF35">
        <v>1</v>
      </c>
      <c r="EG35" t="s">
        <v>24</v>
      </c>
      <c r="EH35">
        <v>0</v>
      </c>
      <c r="EI35" t="s">
        <v>3</v>
      </c>
      <c r="EJ35">
        <v>4</v>
      </c>
      <c r="EK35">
        <v>1</v>
      </c>
      <c r="EL35" t="s">
        <v>54</v>
      </c>
      <c r="EM35" t="s">
        <v>26</v>
      </c>
      <c r="EO35" t="s">
        <v>3</v>
      </c>
      <c r="EQ35">
        <v>0</v>
      </c>
      <c r="ER35">
        <v>27.39</v>
      </c>
      <c r="ES35">
        <v>0</v>
      </c>
      <c r="ET35">
        <v>27.39</v>
      </c>
      <c r="EU35">
        <v>14.89</v>
      </c>
      <c r="EV35">
        <v>0</v>
      </c>
      <c r="EW35">
        <v>0</v>
      </c>
      <c r="EX35">
        <v>0</v>
      </c>
      <c r="EY35">
        <v>0</v>
      </c>
      <c r="FQ35">
        <v>0</v>
      </c>
      <c r="FR35">
        <f t="shared" si="50"/>
        <v>0</v>
      </c>
      <c r="FS35">
        <v>0</v>
      </c>
      <c r="FX35">
        <v>0</v>
      </c>
      <c r="FY35">
        <v>0</v>
      </c>
      <c r="GA35" t="s">
        <v>3</v>
      </c>
      <c r="GD35">
        <v>1</v>
      </c>
      <c r="GF35">
        <v>972108674</v>
      </c>
      <c r="GG35">
        <v>2</v>
      </c>
      <c r="GH35">
        <v>1</v>
      </c>
      <c r="GI35">
        <v>-2</v>
      </c>
      <c r="GJ35">
        <v>0</v>
      </c>
      <c r="GK35">
        <v>0</v>
      </c>
      <c r="GL35">
        <f t="shared" si="51"/>
        <v>0</v>
      </c>
      <c r="GM35">
        <f>ROUND(O35+X35+Y35,2)+GX35</f>
        <v>76788.06</v>
      </c>
      <c r="GN35">
        <f>IF(OR(BI35=0,BI35=1),ROUND(O35+X35+Y35,2),0)</f>
        <v>0</v>
      </c>
      <c r="GO35">
        <f>IF(BI35=2,ROUND(O35+X35+Y35,2),0)</f>
        <v>0</v>
      </c>
      <c r="GP35">
        <f>IF(BI35=4,ROUND(O35+X35+Y35,2)+GX35,0)</f>
        <v>76788.06</v>
      </c>
      <c r="GR35">
        <v>0</v>
      </c>
      <c r="GS35">
        <v>0</v>
      </c>
      <c r="GT35">
        <v>0</v>
      </c>
      <c r="GU35" t="s">
        <v>3</v>
      </c>
      <c r="GV35">
        <f t="shared" si="56"/>
        <v>0</v>
      </c>
      <c r="GW35">
        <v>1</v>
      </c>
      <c r="GX35">
        <f t="shared" si="57"/>
        <v>0</v>
      </c>
      <c r="HA35">
        <v>0</v>
      </c>
      <c r="HB35">
        <v>0</v>
      </c>
      <c r="HC35">
        <f t="shared" si="58"/>
        <v>0</v>
      </c>
      <c r="IK35">
        <v>0</v>
      </c>
    </row>
    <row r="36" spans="1:245" x14ac:dyDescent="0.25">
      <c r="A36">
        <v>17</v>
      </c>
      <c r="B36">
        <v>1</v>
      </c>
      <c r="E36" t="s">
        <v>60</v>
      </c>
      <c r="F36" t="s">
        <v>61</v>
      </c>
      <c r="G36" t="s">
        <v>62</v>
      </c>
      <c r="H36" t="s">
        <v>48</v>
      </c>
      <c r="I36">
        <f>ROUND(I35,9)</f>
        <v>53.913600000000002</v>
      </c>
      <c r="J36">
        <v>0</v>
      </c>
      <c r="O36">
        <f t="shared" si="21"/>
        <v>8119.93</v>
      </c>
      <c r="P36">
        <f t="shared" si="22"/>
        <v>8119.93</v>
      </c>
      <c r="Q36">
        <f t="shared" si="23"/>
        <v>0</v>
      </c>
      <c r="R36">
        <f t="shared" si="24"/>
        <v>0</v>
      </c>
      <c r="S36">
        <f t="shared" si="25"/>
        <v>0</v>
      </c>
      <c r="T36">
        <f t="shared" si="26"/>
        <v>0</v>
      </c>
      <c r="U36">
        <f t="shared" si="27"/>
        <v>0</v>
      </c>
      <c r="V36">
        <f t="shared" si="28"/>
        <v>0</v>
      </c>
      <c r="W36">
        <f t="shared" si="29"/>
        <v>0</v>
      </c>
      <c r="X36">
        <f t="shared" si="30"/>
        <v>0</v>
      </c>
      <c r="Y36">
        <f t="shared" si="31"/>
        <v>0</v>
      </c>
      <c r="AA36">
        <v>50844173</v>
      </c>
      <c r="AB36">
        <f t="shared" si="32"/>
        <v>150.61000000000001</v>
      </c>
      <c r="AC36">
        <f t="shared" si="33"/>
        <v>150.61000000000001</v>
      </c>
      <c r="AD36">
        <f t="shared" ref="AD36:AD43" si="59">ROUND((((ET36)-(EU36))+AE36),6)</f>
        <v>0</v>
      </c>
      <c r="AE36">
        <f t="shared" ref="AE36:AF43" si="60">ROUND((EU36),6)</f>
        <v>0</v>
      </c>
      <c r="AF36">
        <f t="shared" si="60"/>
        <v>0</v>
      </c>
      <c r="AG36">
        <f t="shared" si="36"/>
        <v>0</v>
      </c>
      <c r="AH36">
        <f t="shared" ref="AH36:AI43" si="61">(EW36)</f>
        <v>0</v>
      </c>
      <c r="AI36">
        <f t="shared" si="61"/>
        <v>0</v>
      </c>
      <c r="AJ36">
        <f t="shared" si="38"/>
        <v>0</v>
      </c>
      <c r="AK36">
        <v>150.61000000000001</v>
      </c>
      <c r="AL36">
        <v>150.61000000000001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1</v>
      </c>
      <c r="AZ36">
        <v>1</v>
      </c>
      <c r="BA36">
        <v>1</v>
      </c>
      <c r="BB36">
        <v>1</v>
      </c>
      <c r="BC36">
        <v>1</v>
      </c>
      <c r="BD36" t="s">
        <v>3</v>
      </c>
      <c r="BE36" t="s">
        <v>3</v>
      </c>
      <c r="BF36" t="s">
        <v>3</v>
      </c>
      <c r="BG36" t="s">
        <v>3</v>
      </c>
      <c r="BH36">
        <v>3</v>
      </c>
      <c r="BI36">
        <v>1</v>
      </c>
      <c r="BJ36" t="s">
        <v>3</v>
      </c>
      <c r="BM36">
        <v>6001</v>
      </c>
      <c r="BN36">
        <v>0</v>
      </c>
      <c r="BO36" t="s">
        <v>3</v>
      </c>
      <c r="BP36">
        <v>0</v>
      </c>
      <c r="BQ36">
        <v>0</v>
      </c>
      <c r="BR36">
        <v>0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 t="s">
        <v>3</v>
      </c>
      <c r="BZ36">
        <v>0</v>
      </c>
      <c r="CA36">
        <v>0</v>
      </c>
      <c r="CE36">
        <v>0</v>
      </c>
      <c r="CF36">
        <v>0</v>
      </c>
      <c r="CG36">
        <v>0</v>
      </c>
      <c r="CM36">
        <v>0</v>
      </c>
      <c r="CN36" t="s">
        <v>3</v>
      </c>
      <c r="CO36">
        <v>0</v>
      </c>
      <c r="CP36">
        <f t="shared" si="39"/>
        <v>8119.93</v>
      </c>
      <c r="CQ36">
        <f t="shared" si="40"/>
        <v>150.61000000000001</v>
      </c>
      <c r="CR36">
        <f t="shared" ref="CR36:CR43" si="62">((((ET36)*BB36-(EU36)*BS36)+AE36*BS36)*AV36)</f>
        <v>0</v>
      </c>
      <c r="CS36">
        <f t="shared" si="42"/>
        <v>0</v>
      </c>
      <c r="CT36">
        <f t="shared" si="43"/>
        <v>0</v>
      </c>
      <c r="CU36">
        <f t="shared" si="44"/>
        <v>0</v>
      </c>
      <c r="CV36">
        <f t="shared" si="45"/>
        <v>0</v>
      </c>
      <c r="CW36">
        <f t="shared" si="46"/>
        <v>0</v>
      </c>
      <c r="CX36">
        <f t="shared" si="47"/>
        <v>0</v>
      </c>
      <c r="CY36">
        <f t="shared" si="48"/>
        <v>0</v>
      </c>
      <c r="CZ36">
        <f t="shared" si="49"/>
        <v>0</v>
      </c>
      <c r="DC36" t="s">
        <v>3</v>
      </c>
      <c r="DD36" t="s">
        <v>3</v>
      </c>
      <c r="DE36" t="s">
        <v>3</v>
      </c>
      <c r="DF36" t="s">
        <v>3</v>
      </c>
      <c r="DG36" t="s">
        <v>3</v>
      </c>
      <c r="DH36" t="s">
        <v>3</v>
      </c>
      <c r="DI36" t="s">
        <v>3</v>
      </c>
      <c r="DJ36" t="s">
        <v>3</v>
      </c>
      <c r="DK36" t="s">
        <v>3</v>
      </c>
      <c r="DL36" t="s">
        <v>3</v>
      </c>
      <c r="DM36" t="s">
        <v>3</v>
      </c>
      <c r="DN36">
        <v>0</v>
      </c>
      <c r="DO36">
        <v>0</v>
      </c>
      <c r="DP36">
        <v>1</v>
      </c>
      <c r="DQ36">
        <v>1</v>
      </c>
      <c r="DU36">
        <v>1009</v>
      </c>
      <c r="DV36" t="s">
        <v>48</v>
      </c>
      <c r="DW36" t="s">
        <v>48</v>
      </c>
      <c r="DX36">
        <v>1000</v>
      </c>
      <c r="EE36">
        <v>0</v>
      </c>
      <c r="EF36">
        <v>0</v>
      </c>
      <c r="EG36" t="s">
        <v>3</v>
      </c>
      <c r="EH36">
        <v>0</v>
      </c>
      <c r="EI36" t="s">
        <v>3</v>
      </c>
      <c r="EJ36">
        <v>0</v>
      </c>
      <c r="EK36">
        <v>6001</v>
      </c>
      <c r="EL36" t="s">
        <v>3</v>
      </c>
      <c r="EM36" t="s">
        <v>3</v>
      </c>
      <c r="EO36" t="s">
        <v>3</v>
      </c>
      <c r="EQ36">
        <v>0</v>
      </c>
      <c r="ER36">
        <v>150.61000000000001</v>
      </c>
      <c r="ES36">
        <v>150.61000000000001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5</v>
      </c>
      <c r="FC36">
        <v>1</v>
      </c>
      <c r="FD36">
        <v>18</v>
      </c>
      <c r="FF36">
        <v>180.73</v>
      </c>
      <c r="FQ36">
        <v>0</v>
      </c>
      <c r="FR36">
        <f t="shared" si="50"/>
        <v>0</v>
      </c>
      <c r="FS36">
        <v>0</v>
      </c>
      <c r="FX36">
        <v>0</v>
      </c>
      <c r="FY36">
        <v>0</v>
      </c>
      <c r="GA36" t="s">
        <v>63</v>
      </c>
      <c r="GD36">
        <v>0</v>
      </c>
      <c r="GF36">
        <v>1020102639</v>
      </c>
      <c r="GG36">
        <v>2</v>
      </c>
      <c r="GH36">
        <v>3</v>
      </c>
      <c r="GI36">
        <v>-2</v>
      </c>
      <c r="GJ36">
        <v>0</v>
      </c>
      <c r="GK36">
        <f>ROUND(R36*(R12)/100,2)</f>
        <v>0</v>
      </c>
      <c r="GL36">
        <f t="shared" si="51"/>
        <v>0</v>
      </c>
      <c r="GM36">
        <f t="shared" ref="GM36:GM43" si="63">ROUND(O36+X36+Y36+GK36,2)+GX36</f>
        <v>8119.93</v>
      </c>
      <c r="GN36">
        <f t="shared" ref="GN36:GN43" si="64">IF(OR(BI36=0,BI36=1),ROUND(O36+X36+Y36+GK36,2),0)</f>
        <v>8119.93</v>
      </c>
      <c r="GO36">
        <f t="shared" ref="GO36:GO43" si="65">IF(BI36=2,ROUND(O36+X36+Y36+GK36,2),0)</f>
        <v>0</v>
      </c>
      <c r="GP36">
        <f t="shared" ref="GP36:GP43" si="66">IF(BI36=4,ROUND(O36+X36+Y36+GK36,2)+GX36,0)</f>
        <v>0</v>
      </c>
      <c r="GR36">
        <v>1</v>
      </c>
      <c r="GS36">
        <v>1</v>
      </c>
      <c r="GT36">
        <v>0</v>
      </c>
      <c r="GU36" t="s">
        <v>3</v>
      </c>
      <c r="GV36">
        <f t="shared" si="56"/>
        <v>0</v>
      </c>
      <c r="GW36">
        <v>1</v>
      </c>
      <c r="GX36">
        <f t="shared" si="57"/>
        <v>0</v>
      </c>
      <c r="HA36">
        <v>0</v>
      </c>
      <c r="HB36">
        <v>0</v>
      </c>
      <c r="HC36">
        <f t="shared" si="58"/>
        <v>0</v>
      </c>
      <c r="IK36">
        <v>0</v>
      </c>
    </row>
    <row r="37" spans="1:245" x14ac:dyDescent="0.25">
      <c r="A37">
        <v>17</v>
      </c>
      <c r="B37">
        <v>1</v>
      </c>
      <c r="C37">
        <f>ROW(SmtRes!A20)</f>
        <v>20</v>
      </c>
      <c r="D37">
        <f>ROW(EtalonRes!A20)</f>
        <v>20</v>
      </c>
      <c r="E37" t="s">
        <v>64</v>
      </c>
      <c r="F37" t="s">
        <v>65</v>
      </c>
      <c r="G37" t="s">
        <v>66</v>
      </c>
      <c r="H37" t="s">
        <v>33</v>
      </c>
      <c r="I37">
        <f>ROUND(I28*0.02/100,9)</f>
        <v>6.4000000000000001E-2</v>
      </c>
      <c r="J37">
        <v>0</v>
      </c>
      <c r="O37">
        <f t="shared" si="21"/>
        <v>17975.34</v>
      </c>
      <c r="P37">
        <f t="shared" si="22"/>
        <v>14238.67</v>
      </c>
      <c r="Q37">
        <f t="shared" si="23"/>
        <v>3439.11</v>
      </c>
      <c r="R37">
        <f t="shared" si="24"/>
        <v>1357.77</v>
      </c>
      <c r="S37">
        <f t="shared" si="25"/>
        <v>297.56</v>
      </c>
      <c r="T37">
        <f t="shared" si="26"/>
        <v>0</v>
      </c>
      <c r="U37">
        <f t="shared" si="27"/>
        <v>1.5897600000000001</v>
      </c>
      <c r="V37">
        <f t="shared" si="28"/>
        <v>0</v>
      </c>
      <c r="W37">
        <f t="shared" si="29"/>
        <v>0</v>
      </c>
      <c r="X37">
        <f t="shared" si="30"/>
        <v>208.29</v>
      </c>
      <c r="Y37">
        <f t="shared" si="31"/>
        <v>29.76</v>
      </c>
      <c r="AA37">
        <v>50844173</v>
      </c>
      <c r="AB37">
        <f t="shared" si="32"/>
        <v>280864.57</v>
      </c>
      <c r="AC37">
        <f t="shared" si="33"/>
        <v>222479.25</v>
      </c>
      <c r="AD37">
        <f t="shared" si="59"/>
        <v>53736.02</v>
      </c>
      <c r="AE37">
        <f t="shared" si="60"/>
        <v>21215.13</v>
      </c>
      <c r="AF37">
        <f t="shared" si="60"/>
        <v>4649.3</v>
      </c>
      <c r="AG37">
        <f t="shared" si="36"/>
        <v>0</v>
      </c>
      <c r="AH37">
        <f t="shared" si="61"/>
        <v>24.84</v>
      </c>
      <c r="AI37">
        <f t="shared" si="61"/>
        <v>0</v>
      </c>
      <c r="AJ37">
        <f t="shared" si="38"/>
        <v>0</v>
      </c>
      <c r="AK37">
        <v>280864.57</v>
      </c>
      <c r="AL37">
        <v>222479.25</v>
      </c>
      <c r="AM37">
        <v>53736.02</v>
      </c>
      <c r="AN37">
        <v>21215.13</v>
      </c>
      <c r="AO37">
        <v>4649.3</v>
      </c>
      <c r="AP37">
        <v>0</v>
      </c>
      <c r="AQ37">
        <v>24.84</v>
      </c>
      <c r="AR37">
        <v>0</v>
      </c>
      <c r="AS37">
        <v>0</v>
      </c>
      <c r="AT37">
        <v>70</v>
      </c>
      <c r="AU37">
        <v>10</v>
      </c>
      <c r="AV37">
        <v>1</v>
      </c>
      <c r="AW37">
        <v>1</v>
      </c>
      <c r="AZ37">
        <v>1</v>
      </c>
      <c r="BA37">
        <v>1</v>
      </c>
      <c r="BB37">
        <v>1</v>
      </c>
      <c r="BC37">
        <v>1</v>
      </c>
      <c r="BD37" t="s">
        <v>3</v>
      </c>
      <c r="BE37" t="s">
        <v>3</v>
      </c>
      <c r="BF37" t="s">
        <v>3</v>
      </c>
      <c r="BG37" t="s">
        <v>3</v>
      </c>
      <c r="BH37">
        <v>0</v>
      </c>
      <c r="BI37">
        <v>4</v>
      </c>
      <c r="BJ37" t="s">
        <v>67</v>
      </c>
      <c r="BM37">
        <v>0</v>
      </c>
      <c r="BN37">
        <v>0</v>
      </c>
      <c r="BO37" t="s">
        <v>3</v>
      </c>
      <c r="BP37">
        <v>0</v>
      </c>
      <c r="BQ37">
        <v>1</v>
      </c>
      <c r="BR37">
        <v>0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 t="s">
        <v>3</v>
      </c>
      <c r="BZ37">
        <v>70</v>
      </c>
      <c r="CA37">
        <v>10</v>
      </c>
      <c r="CE37">
        <v>0</v>
      </c>
      <c r="CF37">
        <v>0</v>
      </c>
      <c r="CG37">
        <v>0</v>
      </c>
      <c r="CM37">
        <v>0</v>
      </c>
      <c r="CN37" t="s">
        <v>3</v>
      </c>
      <c r="CO37">
        <v>0</v>
      </c>
      <c r="CP37">
        <f t="shared" si="39"/>
        <v>17975.34</v>
      </c>
      <c r="CQ37">
        <f t="shared" si="40"/>
        <v>222479.25</v>
      </c>
      <c r="CR37">
        <f t="shared" si="62"/>
        <v>53736.02</v>
      </c>
      <c r="CS37">
        <f t="shared" si="42"/>
        <v>21215.13</v>
      </c>
      <c r="CT37">
        <f t="shared" si="43"/>
        <v>4649.3</v>
      </c>
      <c r="CU37">
        <f t="shared" si="44"/>
        <v>0</v>
      </c>
      <c r="CV37">
        <f t="shared" si="45"/>
        <v>24.84</v>
      </c>
      <c r="CW37">
        <f t="shared" si="46"/>
        <v>0</v>
      </c>
      <c r="CX37">
        <f t="shared" si="47"/>
        <v>0</v>
      </c>
      <c r="CY37">
        <f t="shared" si="48"/>
        <v>208.292</v>
      </c>
      <c r="CZ37">
        <f t="shared" si="49"/>
        <v>29.756</v>
      </c>
      <c r="DC37" t="s">
        <v>3</v>
      </c>
      <c r="DD37" t="s">
        <v>3</v>
      </c>
      <c r="DE37" t="s">
        <v>3</v>
      </c>
      <c r="DF37" t="s">
        <v>3</v>
      </c>
      <c r="DG37" t="s">
        <v>3</v>
      </c>
      <c r="DH37" t="s">
        <v>3</v>
      </c>
      <c r="DI37" t="s">
        <v>3</v>
      </c>
      <c r="DJ37" t="s">
        <v>3</v>
      </c>
      <c r="DK37" t="s">
        <v>3</v>
      </c>
      <c r="DL37" t="s">
        <v>3</v>
      </c>
      <c r="DM37" t="s">
        <v>3</v>
      </c>
      <c r="DN37">
        <v>0</v>
      </c>
      <c r="DO37">
        <v>0</v>
      </c>
      <c r="DP37">
        <v>1</v>
      </c>
      <c r="DQ37">
        <v>1</v>
      </c>
      <c r="DU37">
        <v>1007</v>
      </c>
      <c r="DV37" t="s">
        <v>33</v>
      </c>
      <c r="DW37" t="s">
        <v>33</v>
      </c>
      <c r="DX37">
        <v>100</v>
      </c>
      <c r="EE37">
        <v>51051537</v>
      </c>
      <c r="EF37">
        <v>1</v>
      </c>
      <c r="EG37" t="s">
        <v>24</v>
      </c>
      <c r="EH37">
        <v>0</v>
      </c>
      <c r="EI37" t="s">
        <v>3</v>
      </c>
      <c r="EJ37">
        <v>4</v>
      </c>
      <c r="EK37">
        <v>0</v>
      </c>
      <c r="EL37" t="s">
        <v>25</v>
      </c>
      <c r="EM37" t="s">
        <v>26</v>
      </c>
      <c r="EO37" t="s">
        <v>3</v>
      </c>
      <c r="EQ37">
        <v>0</v>
      </c>
      <c r="ER37">
        <v>280864.57</v>
      </c>
      <c r="ES37">
        <v>222479.25</v>
      </c>
      <c r="ET37">
        <v>53736.02</v>
      </c>
      <c r="EU37">
        <v>21215.13</v>
      </c>
      <c r="EV37">
        <v>4649.3</v>
      </c>
      <c r="EW37">
        <v>24.84</v>
      </c>
      <c r="EX37">
        <v>0</v>
      </c>
      <c r="EY37">
        <v>0</v>
      </c>
      <c r="FQ37">
        <v>0</v>
      </c>
      <c r="FR37">
        <f t="shared" si="50"/>
        <v>0</v>
      </c>
      <c r="FS37">
        <v>0</v>
      </c>
      <c r="FX37">
        <v>70</v>
      </c>
      <c r="FY37">
        <v>10</v>
      </c>
      <c r="GA37" t="s">
        <v>3</v>
      </c>
      <c r="GD37">
        <v>0</v>
      </c>
      <c r="GF37">
        <v>-967976254</v>
      </c>
      <c r="GG37">
        <v>2</v>
      </c>
      <c r="GH37">
        <v>1</v>
      </c>
      <c r="GI37">
        <v>-2</v>
      </c>
      <c r="GJ37">
        <v>0</v>
      </c>
      <c r="GK37">
        <f>ROUND(R37*(R12)/100,2)</f>
        <v>1466.39</v>
      </c>
      <c r="GL37">
        <f t="shared" si="51"/>
        <v>0</v>
      </c>
      <c r="GM37">
        <f t="shared" si="63"/>
        <v>19679.78</v>
      </c>
      <c r="GN37">
        <f t="shared" si="64"/>
        <v>0</v>
      </c>
      <c r="GO37">
        <f t="shared" si="65"/>
        <v>0</v>
      </c>
      <c r="GP37">
        <f t="shared" si="66"/>
        <v>19679.78</v>
      </c>
      <c r="GR37">
        <v>0</v>
      </c>
      <c r="GS37">
        <v>0</v>
      </c>
      <c r="GT37">
        <v>0</v>
      </c>
      <c r="GU37" t="s">
        <v>3</v>
      </c>
      <c r="GV37">
        <f t="shared" si="56"/>
        <v>0</v>
      </c>
      <c r="GW37">
        <v>1</v>
      </c>
      <c r="GX37">
        <f t="shared" si="57"/>
        <v>0</v>
      </c>
      <c r="HA37">
        <v>0</v>
      </c>
      <c r="HB37">
        <v>0</v>
      </c>
      <c r="HC37">
        <f t="shared" si="58"/>
        <v>0</v>
      </c>
      <c r="IK37">
        <v>0</v>
      </c>
    </row>
    <row r="38" spans="1:245" x14ac:dyDescent="0.25">
      <c r="A38">
        <v>17</v>
      </c>
      <c r="B38">
        <v>1</v>
      </c>
      <c r="C38">
        <f>ROW(SmtRes!A25)</f>
        <v>25</v>
      </c>
      <c r="D38">
        <f>ROW(EtalonRes!A24)</f>
        <v>24</v>
      </c>
      <c r="E38" t="s">
        <v>68</v>
      </c>
      <c r="F38" t="s">
        <v>69</v>
      </c>
      <c r="G38" t="s">
        <v>70</v>
      </c>
      <c r="H38" t="s">
        <v>38</v>
      </c>
      <c r="I38">
        <f>ROUND(I28/100,9)</f>
        <v>3.2</v>
      </c>
      <c r="J38">
        <v>0</v>
      </c>
      <c r="O38">
        <f t="shared" si="21"/>
        <v>76694.080000000002</v>
      </c>
      <c r="P38">
        <f t="shared" si="22"/>
        <v>65564.320000000007</v>
      </c>
      <c r="Q38">
        <f t="shared" si="23"/>
        <v>3593.79</v>
      </c>
      <c r="R38">
        <f t="shared" si="24"/>
        <v>1509.5</v>
      </c>
      <c r="S38">
        <f t="shared" si="25"/>
        <v>7535.97</v>
      </c>
      <c r="T38">
        <f t="shared" si="26"/>
        <v>0</v>
      </c>
      <c r="U38">
        <f t="shared" si="27"/>
        <v>32.96</v>
      </c>
      <c r="V38">
        <f t="shared" si="28"/>
        <v>0</v>
      </c>
      <c r="W38">
        <f t="shared" si="29"/>
        <v>0</v>
      </c>
      <c r="X38">
        <f t="shared" si="30"/>
        <v>5275.18</v>
      </c>
      <c r="Y38">
        <f t="shared" si="31"/>
        <v>753.6</v>
      </c>
      <c r="AA38">
        <v>50844173</v>
      </c>
      <c r="AB38">
        <f t="shared" si="32"/>
        <v>23966.9</v>
      </c>
      <c r="AC38">
        <f t="shared" si="33"/>
        <v>20488.849999999999</v>
      </c>
      <c r="AD38">
        <f t="shared" si="59"/>
        <v>1123.06</v>
      </c>
      <c r="AE38">
        <f t="shared" si="60"/>
        <v>471.72</v>
      </c>
      <c r="AF38">
        <f t="shared" si="60"/>
        <v>2354.9899999999998</v>
      </c>
      <c r="AG38">
        <f t="shared" si="36"/>
        <v>0</v>
      </c>
      <c r="AH38">
        <f t="shared" si="61"/>
        <v>10.3</v>
      </c>
      <c r="AI38">
        <f t="shared" si="61"/>
        <v>0</v>
      </c>
      <c r="AJ38">
        <f t="shared" si="38"/>
        <v>0</v>
      </c>
      <c r="AK38">
        <v>23966.9</v>
      </c>
      <c r="AL38">
        <v>20488.849999999999</v>
      </c>
      <c r="AM38">
        <v>1123.06</v>
      </c>
      <c r="AN38">
        <v>471.72</v>
      </c>
      <c r="AO38">
        <v>2354.9899999999998</v>
      </c>
      <c r="AP38">
        <v>0</v>
      </c>
      <c r="AQ38">
        <v>10.3</v>
      </c>
      <c r="AR38">
        <v>0</v>
      </c>
      <c r="AS38">
        <v>0</v>
      </c>
      <c r="AT38">
        <v>70</v>
      </c>
      <c r="AU38">
        <v>10</v>
      </c>
      <c r="AV38">
        <v>1</v>
      </c>
      <c r="AW38">
        <v>1</v>
      </c>
      <c r="AZ38">
        <v>1</v>
      </c>
      <c r="BA38">
        <v>1</v>
      </c>
      <c r="BB38">
        <v>1</v>
      </c>
      <c r="BC38">
        <v>1</v>
      </c>
      <c r="BD38" t="s">
        <v>3</v>
      </c>
      <c r="BE38" t="s">
        <v>3</v>
      </c>
      <c r="BF38" t="s">
        <v>3</v>
      </c>
      <c r="BG38" t="s">
        <v>3</v>
      </c>
      <c r="BH38">
        <v>0</v>
      </c>
      <c r="BI38">
        <v>4</v>
      </c>
      <c r="BJ38" t="s">
        <v>71</v>
      </c>
      <c r="BM38">
        <v>0</v>
      </c>
      <c r="BN38">
        <v>0</v>
      </c>
      <c r="BO38" t="s">
        <v>3</v>
      </c>
      <c r="BP38">
        <v>0</v>
      </c>
      <c r="BQ38">
        <v>1</v>
      </c>
      <c r="BR38">
        <v>0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 t="s">
        <v>3</v>
      </c>
      <c r="BZ38">
        <v>70</v>
      </c>
      <c r="CA38">
        <v>10</v>
      </c>
      <c r="CE38">
        <v>0</v>
      </c>
      <c r="CF38">
        <v>0</v>
      </c>
      <c r="CG38">
        <v>0</v>
      </c>
      <c r="CM38">
        <v>0</v>
      </c>
      <c r="CN38" t="s">
        <v>3</v>
      </c>
      <c r="CO38">
        <v>0</v>
      </c>
      <c r="CP38">
        <f t="shared" si="39"/>
        <v>76694.080000000002</v>
      </c>
      <c r="CQ38">
        <f t="shared" si="40"/>
        <v>20488.849999999999</v>
      </c>
      <c r="CR38">
        <f t="shared" si="62"/>
        <v>1123.06</v>
      </c>
      <c r="CS38">
        <f t="shared" si="42"/>
        <v>471.72</v>
      </c>
      <c r="CT38">
        <f t="shared" si="43"/>
        <v>2354.9899999999998</v>
      </c>
      <c r="CU38">
        <f t="shared" si="44"/>
        <v>0</v>
      </c>
      <c r="CV38">
        <f t="shared" si="45"/>
        <v>10.3</v>
      </c>
      <c r="CW38">
        <f t="shared" si="46"/>
        <v>0</v>
      </c>
      <c r="CX38">
        <f t="shared" si="47"/>
        <v>0</v>
      </c>
      <c r="CY38">
        <f t="shared" si="48"/>
        <v>5275.1790000000001</v>
      </c>
      <c r="CZ38">
        <f t="shared" si="49"/>
        <v>753.59699999999998</v>
      </c>
      <c r="DC38" t="s">
        <v>3</v>
      </c>
      <c r="DD38" t="s">
        <v>3</v>
      </c>
      <c r="DE38" t="s">
        <v>3</v>
      </c>
      <c r="DF38" t="s">
        <v>3</v>
      </c>
      <c r="DG38" t="s">
        <v>3</v>
      </c>
      <c r="DH38" t="s">
        <v>3</v>
      </c>
      <c r="DI38" t="s">
        <v>3</v>
      </c>
      <c r="DJ38" t="s">
        <v>3</v>
      </c>
      <c r="DK38" t="s">
        <v>3</v>
      </c>
      <c r="DL38" t="s">
        <v>3</v>
      </c>
      <c r="DM38" t="s">
        <v>3</v>
      </c>
      <c r="DN38">
        <v>0</v>
      </c>
      <c r="DO38">
        <v>0</v>
      </c>
      <c r="DP38">
        <v>1</v>
      </c>
      <c r="DQ38">
        <v>1</v>
      </c>
      <c r="DU38">
        <v>1005</v>
      </c>
      <c r="DV38" t="s">
        <v>38</v>
      </c>
      <c r="DW38" t="s">
        <v>38</v>
      </c>
      <c r="DX38">
        <v>100</v>
      </c>
      <c r="EE38">
        <v>51051537</v>
      </c>
      <c r="EF38">
        <v>1</v>
      </c>
      <c r="EG38" t="s">
        <v>24</v>
      </c>
      <c r="EH38">
        <v>0</v>
      </c>
      <c r="EI38" t="s">
        <v>3</v>
      </c>
      <c r="EJ38">
        <v>4</v>
      </c>
      <c r="EK38">
        <v>0</v>
      </c>
      <c r="EL38" t="s">
        <v>25</v>
      </c>
      <c r="EM38" t="s">
        <v>26</v>
      </c>
      <c r="EO38" t="s">
        <v>3</v>
      </c>
      <c r="EQ38">
        <v>0</v>
      </c>
      <c r="ER38">
        <v>23966.9</v>
      </c>
      <c r="ES38">
        <v>20488.849999999999</v>
      </c>
      <c r="ET38">
        <v>1123.06</v>
      </c>
      <c r="EU38">
        <v>471.72</v>
      </c>
      <c r="EV38">
        <v>2354.9899999999998</v>
      </c>
      <c r="EW38">
        <v>10.3</v>
      </c>
      <c r="EX38">
        <v>0</v>
      </c>
      <c r="EY38">
        <v>0</v>
      </c>
      <c r="FQ38">
        <v>0</v>
      </c>
      <c r="FR38">
        <f t="shared" si="50"/>
        <v>0</v>
      </c>
      <c r="FS38">
        <v>0</v>
      </c>
      <c r="FX38">
        <v>70</v>
      </c>
      <c r="FY38">
        <v>10</v>
      </c>
      <c r="GA38" t="s">
        <v>3</v>
      </c>
      <c r="GD38">
        <v>0</v>
      </c>
      <c r="GF38">
        <v>-1685848756</v>
      </c>
      <c r="GG38">
        <v>2</v>
      </c>
      <c r="GH38">
        <v>1</v>
      </c>
      <c r="GI38">
        <v>-2</v>
      </c>
      <c r="GJ38">
        <v>0</v>
      </c>
      <c r="GK38">
        <f>ROUND(R38*(R12)/100,2)</f>
        <v>1630.26</v>
      </c>
      <c r="GL38">
        <f t="shared" si="51"/>
        <v>0</v>
      </c>
      <c r="GM38">
        <f t="shared" si="63"/>
        <v>84353.12</v>
      </c>
      <c r="GN38">
        <f t="shared" si="64"/>
        <v>0</v>
      </c>
      <c r="GO38">
        <f t="shared" si="65"/>
        <v>0</v>
      </c>
      <c r="GP38">
        <f t="shared" si="66"/>
        <v>84353.12</v>
      </c>
      <c r="GR38">
        <v>0</v>
      </c>
      <c r="GS38">
        <v>0</v>
      </c>
      <c r="GT38">
        <v>0</v>
      </c>
      <c r="GU38" t="s">
        <v>3</v>
      </c>
      <c r="GV38">
        <f t="shared" si="56"/>
        <v>0</v>
      </c>
      <c r="GW38">
        <v>1</v>
      </c>
      <c r="GX38">
        <f t="shared" si="57"/>
        <v>0</v>
      </c>
      <c r="HA38">
        <v>0</v>
      </c>
      <c r="HB38">
        <v>0</v>
      </c>
      <c r="HC38">
        <f t="shared" si="58"/>
        <v>0</v>
      </c>
      <c r="IK38">
        <v>0</v>
      </c>
    </row>
    <row r="39" spans="1:245" x14ac:dyDescent="0.25">
      <c r="A39">
        <v>18</v>
      </c>
      <c r="B39">
        <v>1</v>
      </c>
      <c r="C39">
        <v>24</v>
      </c>
      <c r="E39" t="s">
        <v>72</v>
      </c>
      <c r="F39" t="s">
        <v>73</v>
      </c>
      <c r="G39" t="s">
        <v>74</v>
      </c>
      <c r="H39" t="s">
        <v>48</v>
      </c>
      <c r="I39">
        <f>I38*J39</f>
        <v>-22.847999999999999</v>
      </c>
      <c r="J39">
        <v>-7.14</v>
      </c>
      <c r="O39">
        <f t="shared" si="21"/>
        <v>-60593.81</v>
      </c>
      <c r="P39">
        <f t="shared" si="22"/>
        <v>-60593.81</v>
      </c>
      <c r="Q39">
        <f t="shared" si="23"/>
        <v>0</v>
      </c>
      <c r="R39">
        <f t="shared" si="24"/>
        <v>0</v>
      </c>
      <c r="S39">
        <f t="shared" si="25"/>
        <v>0</v>
      </c>
      <c r="T39">
        <f t="shared" si="26"/>
        <v>0</v>
      </c>
      <c r="U39">
        <f t="shared" si="27"/>
        <v>0</v>
      </c>
      <c r="V39">
        <f t="shared" si="28"/>
        <v>0</v>
      </c>
      <c r="W39">
        <f t="shared" si="29"/>
        <v>0</v>
      </c>
      <c r="X39">
        <f t="shared" si="30"/>
        <v>0</v>
      </c>
      <c r="Y39">
        <f t="shared" si="31"/>
        <v>0</v>
      </c>
      <c r="AA39">
        <v>50844173</v>
      </c>
      <c r="AB39">
        <f t="shared" si="32"/>
        <v>2652.04</v>
      </c>
      <c r="AC39">
        <f t="shared" si="33"/>
        <v>2652.04</v>
      </c>
      <c r="AD39">
        <f t="shared" si="59"/>
        <v>0</v>
      </c>
      <c r="AE39">
        <f t="shared" si="60"/>
        <v>0</v>
      </c>
      <c r="AF39">
        <f t="shared" si="60"/>
        <v>0</v>
      </c>
      <c r="AG39">
        <f t="shared" si="36"/>
        <v>0</v>
      </c>
      <c r="AH39">
        <f t="shared" si="61"/>
        <v>0</v>
      </c>
      <c r="AI39">
        <f t="shared" si="61"/>
        <v>0</v>
      </c>
      <c r="AJ39">
        <f t="shared" si="38"/>
        <v>0</v>
      </c>
      <c r="AK39">
        <v>2652.04</v>
      </c>
      <c r="AL39">
        <v>2652.04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70</v>
      </c>
      <c r="AU39">
        <v>10</v>
      </c>
      <c r="AV39">
        <v>1</v>
      </c>
      <c r="AW39">
        <v>1</v>
      </c>
      <c r="AZ39">
        <v>1</v>
      </c>
      <c r="BA39">
        <v>1</v>
      </c>
      <c r="BB39">
        <v>1</v>
      </c>
      <c r="BC39">
        <v>1</v>
      </c>
      <c r="BD39" t="s">
        <v>3</v>
      </c>
      <c r="BE39" t="s">
        <v>3</v>
      </c>
      <c r="BF39" t="s">
        <v>3</v>
      </c>
      <c r="BG39" t="s">
        <v>3</v>
      </c>
      <c r="BH39">
        <v>3</v>
      </c>
      <c r="BI39">
        <v>4</v>
      </c>
      <c r="BJ39" t="s">
        <v>75</v>
      </c>
      <c r="BM39">
        <v>0</v>
      </c>
      <c r="BN39">
        <v>0</v>
      </c>
      <c r="BO39" t="s">
        <v>3</v>
      </c>
      <c r="BP39">
        <v>0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 t="s">
        <v>3</v>
      </c>
      <c r="BZ39">
        <v>70</v>
      </c>
      <c r="CA39">
        <v>10</v>
      </c>
      <c r="CE39">
        <v>0</v>
      </c>
      <c r="CF39">
        <v>0</v>
      </c>
      <c r="CG39">
        <v>0</v>
      </c>
      <c r="CM39">
        <v>0</v>
      </c>
      <c r="CN39" t="s">
        <v>3</v>
      </c>
      <c r="CO39">
        <v>0</v>
      </c>
      <c r="CP39">
        <f t="shared" si="39"/>
        <v>-60593.81</v>
      </c>
      <c r="CQ39">
        <f t="shared" si="40"/>
        <v>2652.04</v>
      </c>
      <c r="CR39">
        <f t="shared" si="62"/>
        <v>0</v>
      </c>
      <c r="CS39">
        <f t="shared" si="42"/>
        <v>0</v>
      </c>
      <c r="CT39">
        <f t="shared" si="43"/>
        <v>0</v>
      </c>
      <c r="CU39">
        <f t="shared" si="44"/>
        <v>0</v>
      </c>
      <c r="CV39">
        <f t="shared" si="45"/>
        <v>0</v>
      </c>
      <c r="CW39">
        <f t="shared" si="46"/>
        <v>0</v>
      </c>
      <c r="CX39">
        <f t="shared" si="47"/>
        <v>0</v>
      </c>
      <c r="CY39">
        <f t="shared" si="48"/>
        <v>0</v>
      </c>
      <c r="CZ39">
        <f t="shared" si="49"/>
        <v>0</v>
      </c>
      <c r="DC39" t="s">
        <v>3</v>
      </c>
      <c r="DD39" t="s">
        <v>3</v>
      </c>
      <c r="DE39" t="s">
        <v>3</v>
      </c>
      <c r="DF39" t="s">
        <v>3</v>
      </c>
      <c r="DG39" t="s">
        <v>3</v>
      </c>
      <c r="DH39" t="s">
        <v>3</v>
      </c>
      <c r="DI39" t="s">
        <v>3</v>
      </c>
      <c r="DJ39" t="s">
        <v>3</v>
      </c>
      <c r="DK39" t="s">
        <v>3</v>
      </c>
      <c r="DL39" t="s">
        <v>3</v>
      </c>
      <c r="DM39" t="s">
        <v>3</v>
      </c>
      <c r="DN39">
        <v>0</v>
      </c>
      <c r="DO39">
        <v>0</v>
      </c>
      <c r="DP39">
        <v>1</v>
      </c>
      <c r="DQ39">
        <v>1</v>
      </c>
      <c r="DU39">
        <v>1009</v>
      </c>
      <c r="DV39" t="s">
        <v>48</v>
      </c>
      <c r="DW39" t="s">
        <v>48</v>
      </c>
      <c r="DX39">
        <v>1000</v>
      </c>
      <c r="EE39">
        <v>51051537</v>
      </c>
      <c r="EF39">
        <v>1</v>
      </c>
      <c r="EG39" t="s">
        <v>24</v>
      </c>
      <c r="EH39">
        <v>0</v>
      </c>
      <c r="EI39" t="s">
        <v>3</v>
      </c>
      <c r="EJ39">
        <v>4</v>
      </c>
      <c r="EK39">
        <v>0</v>
      </c>
      <c r="EL39" t="s">
        <v>25</v>
      </c>
      <c r="EM39" t="s">
        <v>26</v>
      </c>
      <c r="EO39" t="s">
        <v>3</v>
      </c>
      <c r="EQ39">
        <v>32768</v>
      </c>
      <c r="ER39">
        <v>2652.04</v>
      </c>
      <c r="ES39">
        <v>2652.04</v>
      </c>
      <c r="ET39">
        <v>0</v>
      </c>
      <c r="EU39">
        <v>0</v>
      </c>
      <c r="EV39">
        <v>0</v>
      </c>
      <c r="EW39">
        <v>0</v>
      </c>
      <c r="EX39">
        <v>0</v>
      </c>
      <c r="FQ39">
        <v>0</v>
      </c>
      <c r="FR39">
        <f t="shared" si="50"/>
        <v>0</v>
      </c>
      <c r="FS39">
        <v>0</v>
      </c>
      <c r="FX39">
        <v>70</v>
      </c>
      <c r="FY39">
        <v>10</v>
      </c>
      <c r="GA39" t="s">
        <v>3</v>
      </c>
      <c r="GD39">
        <v>0</v>
      </c>
      <c r="GF39">
        <v>-740831190</v>
      </c>
      <c r="GG39">
        <v>2</v>
      </c>
      <c r="GH39">
        <v>1</v>
      </c>
      <c r="GI39">
        <v>-2</v>
      </c>
      <c r="GJ39">
        <v>0</v>
      </c>
      <c r="GK39">
        <f>ROUND(R39*(R12)/100,2)</f>
        <v>0</v>
      </c>
      <c r="GL39">
        <f t="shared" si="51"/>
        <v>0</v>
      </c>
      <c r="GM39">
        <f t="shared" si="63"/>
        <v>-60593.81</v>
      </c>
      <c r="GN39">
        <f t="shared" si="64"/>
        <v>0</v>
      </c>
      <c r="GO39">
        <f t="shared" si="65"/>
        <v>0</v>
      </c>
      <c r="GP39">
        <f t="shared" si="66"/>
        <v>-60593.81</v>
      </c>
      <c r="GR39">
        <v>0</v>
      </c>
      <c r="GS39">
        <v>0</v>
      </c>
      <c r="GT39">
        <v>0</v>
      </c>
      <c r="GU39" t="s">
        <v>3</v>
      </c>
      <c r="GV39">
        <f t="shared" si="56"/>
        <v>0</v>
      </c>
      <c r="GW39">
        <v>1</v>
      </c>
      <c r="GX39">
        <f t="shared" si="57"/>
        <v>0</v>
      </c>
      <c r="HA39">
        <v>0</v>
      </c>
      <c r="HB39">
        <v>0</v>
      </c>
      <c r="HC39">
        <f t="shared" si="58"/>
        <v>0</v>
      </c>
      <c r="IK39">
        <v>0</v>
      </c>
    </row>
    <row r="40" spans="1:245" x14ac:dyDescent="0.25">
      <c r="A40">
        <v>18</v>
      </c>
      <c r="B40">
        <v>1</v>
      </c>
      <c r="C40">
        <v>25</v>
      </c>
      <c r="E40" t="s">
        <v>76</v>
      </c>
      <c r="F40" t="s">
        <v>73</v>
      </c>
      <c r="G40" t="s">
        <v>74</v>
      </c>
      <c r="H40" t="s">
        <v>48</v>
      </c>
      <c r="I40">
        <f>I38*J40</f>
        <v>37.344000000000001</v>
      </c>
      <c r="J40">
        <v>11.67</v>
      </c>
      <c r="O40">
        <f t="shared" si="21"/>
        <v>99037.78</v>
      </c>
      <c r="P40">
        <f t="shared" si="22"/>
        <v>99037.78</v>
      </c>
      <c r="Q40">
        <f t="shared" si="23"/>
        <v>0</v>
      </c>
      <c r="R40">
        <f t="shared" si="24"/>
        <v>0</v>
      </c>
      <c r="S40">
        <f t="shared" si="25"/>
        <v>0</v>
      </c>
      <c r="T40">
        <f t="shared" si="26"/>
        <v>0</v>
      </c>
      <c r="U40">
        <f t="shared" si="27"/>
        <v>0</v>
      </c>
      <c r="V40">
        <f t="shared" si="28"/>
        <v>0</v>
      </c>
      <c r="W40">
        <f t="shared" si="29"/>
        <v>0</v>
      </c>
      <c r="X40">
        <f t="shared" si="30"/>
        <v>0</v>
      </c>
      <c r="Y40">
        <f t="shared" si="31"/>
        <v>0</v>
      </c>
      <c r="AA40">
        <v>50844173</v>
      </c>
      <c r="AB40">
        <f t="shared" si="32"/>
        <v>2652.04</v>
      </c>
      <c r="AC40">
        <f t="shared" si="33"/>
        <v>2652.04</v>
      </c>
      <c r="AD40">
        <f t="shared" si="59"/>
        <v>0</v>
      </c>
      <c r="AE40">
        <f t="shared" si="60"/>
        <v>0</v>
      </c>
      <c r="AF40">
        <f t="shared" si="60"/>
        <v>0</v>
      </c>
      <c r="AG40">
        <f t="shared" si="36"/>
        <v>0</v>
      </c>
      <c r="AH40">
        <f t="shared" si="61"/>
        <v>0</v>
      </c>
      <c r="AI40">
        <f t="shared" si="61"/>
        <v>0</v>
      </c>
      <c r="AJ40">
        <f t="shared" si="38"/>
        <v>0</v>
      </c>
      <c r="AK40">
        <v>2652.04</v>
      </c>
      <c r="AL40">
        <v>2652.04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70</v>
      </c>
      <c r="AU40">
        <v>10</v>
      </c>
      <c r="AV40">
        <v>1</v>
      </c>
      <c r="AW40">
        <v>1</v>
      </c>
      <c r="AZ40">
        <v>1</v>
      </c>
      <c r="BA40">
        <v>1</v>
      </c>
      <c r="BB40">
        <v>1</v>
      </c>
      <c r="BC40">
        <v>1</v>
      </c>
      <c r="BD40" t="s">
        <v>3</v>
      </c>
      <c r="BE40" t="s">
        <v>3</v>
      </c>
      <c r="BF40" t="s">
        <v>3</v>
      </c>
      <c r="BG40" t="s">
        <v>3</v>
      </c>
      <c r="BH40">
        <v>3</v>
      </c>
      <c r="BI40">
        <v>4</v>
      </c>
      <c r="BJ40" t="s">
        <v>75</v>
      </c>
      <c r="BM40">
        <v>0</v>
      </c>
      <c r="BN40">
        <v>0</v>
      </c>
      <c r="BO40" t="s">
        <v>3</v>
      </c>
      <c r="BP40">
        <v>0</v>
      </c>
      <c r="BQ40">
        <v>1</v>
      </c>
      <c r="BR40">
        <v>0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 t="s">
        <v>3</v>
      </c>
      <c r="BZ40">
        <v>70</v>
      </c>
      <c r="CA40">
        <v>10</v>
      </c>
      <c r="CE40">
        <v>0</v>
      </c>
      <c r="CF40">
        <v>0</v>
      </c>
      <c r="CG40">
        <v>0</v>
      </c>
      <c r="CM40">
        <v>0</v>
      </c>
      <c r="CN40" t="s">
        <v>3</v>
      </c>
      <c r="CO40">
        <v>0</v>
      </c>
      <c r="CP40">
        <f t="shared" si="39"/>
        <v>99037.78</v>
      </c>
      <c r="CQ40">
        <f t="shared" si="40"/>
        <v>2652.04</v>
      </c>
      <c r="CR40">
        <f t="shared" si="62"/>
        <v>0</v>
      </c>
      <c r="CS40">
        <f t="shared" si="42"/>
        <v>0</v>
      </c>
      <c r="CT40">
        <f t="shared" si="43"/>
        <v>0</v>
      </c>
      <c r="CU40">
        <f t="shared" si="44"/>
        <v>0</v>
      </c>
      <c r="CV40">
        <f t="shared" si="45"/>
        <v>0</v>
      </c>
      <c r="CW40">
        <f t="shared" si="46"/>
        <v>0</v>
      </c>
      <c r="CX40">
        <f t="shared" si="47"/>
        <v>0</v>
      </c>
      <c r="CY40">
        <f t="shared" si="48"/>
        <v>0</v>
      </c>
      <c r="CZ40">
        <f t="shared" si="49"/>
        <v>0</v>
      </c>
      <c r="DC40" t="s">
        <v>3</v>
      </c>
      <c r="DD40" t="s">
        <v>3</v>
      </c>
      <c r="DE40" t="s">
        <v>3</v>
      </c>
      <c r="DF40" t="s">
        <v>3</v>
      </c>
      <c r="DG40" t="s">
        <v>3</v>
      </c>
      <c r="DH40" t="s">
        <v>3</v>
      </c>
      <c r="DI40" t="s">
        <v>3</v>
      </c>
      <c r="DJ40" t="s">
        <v>3</v>
      </c>
      <c r="DK40" t="s">
        <v>3</v>
      </c>
      <c r="DL40" t="s">
        <v>3</v>
      </c>
      <c r="DM40" t="s">
        <v>3</v>
      </c>
      <c r="DN40">
        <v>0</v>
      </c>
      <c r="DO40">
        <v>0</v>
      </c>
      <c r="DP40">
        <v>1</v>
      </c>
      <c r="DQ40">
        <v>1</v>
      </c>
      <c r="DU40">
        <v>1009</v>
      </c>
      <c r="DV40" t="s">
        <v>48</v>
      </c>
      <c r="DW40" t="s">
        <v>48</v>
      </c>
      <c r="DX40">
        <v>1000</v>
      </c>
      <c r="EE40">
        <v>51051537</v>
      </c>
      <c r="EF40">
        <v>1</v>
      </c>
      <c r="EG40" t="s">
        <v>24</v>
      </c>
      <c r="EH40">
        <v>0</v>
      </c>
      <c r="EI40" t="s">
        <v>3</v>
      </c>
      <c r="EJ40">
        <v>4</v>
      </c>
      <c r="EK40">
        <v>0</v>
      </c>
      <c r="EL40" t="s">
        <v>25</v>
      </c>
      <c r="EM40" t="s">
        <v>26</v>
      </c>
      <c r="EO40" t="s">
        <v>3</v>
      </c>
      <c r="EQ40">
        <v>0</v>
      </c>
      <c r="ER40">
        <v>2652.04</v>
      </c>
      <c r="ES40">
        <v>2652.04</v>
      </c>
      <c r="ET40">
        <v>0</v>
      </c>
      <c r="EU40">
        <v>0</v>
      </c>
      <c r="EV40">
        <v>0</v>
      </c>
      <c r="EW40">
        <v>0</v>
      </c>
      <c r="EX40">
        <v>0</v>
      </c>
      <c r="FQ40">
        <v>0</v>
      </c>
      <c r="FR40">
        <f t="shared" si="50"/>
        <v>0</v>
      </c>
      <c r="FS40">
        <v>0</v>
      </c>
      <c r="FX40">
        <v>70</v>
      </c>
      <c r="FY40">
        <v>10</v>
      </c>
      <c r="GA40" t="s">
        <v>3</v>
      </c>
      <c r="GD40">
        <v>0</v>
      </c>
      <c r="GF40">
        <v>-740831190</v>
      </c>
      <c r="GG40">
        <v>2</v>
      </c>
      <c r="GH40">
        <v>1</v>
      </c>
      <c r="GI40">
        <v>-2</v>
      </c>
      <c r="GJ40">
        <v>0</v>
      </c>
      <c r="GK40">
        <f>ROUND(R40*(R12)/100,2)</f>
        <v>0</v>
      </c>
      <c r="GL40">
        <f t="shared" si="51"/>
        <v>0</v>
      </c>
      <c r="GM40">
        <f t="shared" si="63"/>
        <v>99037.78</v>
      </c>
      <c r="GN40">
        <f t="shared" si="64"/>
        <v>0</v>
      </c>
      <c r="GO40">
        <f t="shared" si="65"/>
        <v>0</v>
      </c>
      <c r="GP40">
        <f t="shared" si="66"/>
        <v>99037.78</v>
      </c>
      <c r="GR40">
        <v>0</v>
      </c>
      <c r="GS40">
        <v>0</v>
      </c>
      <c r="GT40">
        <v>0</v>
      </c>
      <c r="GU40" t="s">
        <v>3</v>
      </c>
      <c r="GV40">
        <f t="shared" si="56"/>
        <v>0</v>
      </c>
      <c r="GW40">
        <v>1</v>
      </c>
      <c r="GX40">
        <f t="shared" si="57"/>
        <v>0</v>
      </c>
      <c r="HA40">
        <v>0</v>
      </c>
      <c r="HB40">
        <v>0</v>
      </c>
      <c r="HC40">
        <f t="shared" si="58"/>
        <v>0</v>
      </c>
      <c r="IK40">
        <v>0</v>
      </c>
    </row>
    <row r="41" spans="1:245" x14ac:dyDescent="0.25">
      <c r="A41">
        <v>17</v>
      </c>
      <c r="B41">
        <v>1</v>
      </c>
      <c r="C41">
        <f>ROW(SmtRes!A30)</f>
        <v>30</v>
      </c>
      <c r="D41">
        <f>ROW(EtalonRes!A28)</f>
        <v>28</v>
      </c>
      <c r="E41" t="s">
        <v>77</v>
      </c>
      <c r="F41" t="s">
        <v>78</v>
      </c>
      <c r="G41" t="s">
        <v>79</v>
      </c>
      <c r="H41" t="s">
        <v>43</v>
      </c>
      <c r="I41">
        <f>ROUND(I29/100,9)</f>
        <v>3.24</v>
      </c>
      <c r="J41">
        <v>0</v>
      </c>
      <c r="O41">
        <f t="shared" si="21"/>
        <v>232263.42</v>
      </c>
      <c r="P41">
        <f t="shared" si="22"/>
        <v>180799.81</v>
      </c>
      <c r="Q41">
        <f t="shared" si="23"/>
        <v>0</v>
      </c>
      <c r="R41">
        <f t="shared" si="24"/>
        <v>0</v>
      </c>
      <c r="S41">
        <f t="shared" si="25"/>
        <v>51463.61</v>
      </c>
      <c r="T41">
        <f t="shared" si="26"/>
        <v>0</v>
      </c>
      <c r="U41">
        <f t="shared" si="27"/>
        <v>260.07479999999998</v>
      </c>
      <c r="V41">
        <f t="shared" si="28"/>
        <v>0</v>
      </c>
      <c r="W41">
        <f t="shared" si="29"/>
        <v>0</v>
      </c>
      <c r="X41">
        <f t="shared" si="30"/>
        <v>36024.53</v>
      </c>
      <c r="Y41">
        <f t="shared" si="31"/>
        <v>5146.3599999999997</v>
      </c>
      <c r="AA41">
        <v>50844173</v>
      </c>
      <c r="AB41">
        <f t="shared" si="32"/>
        <v>71686.240000000005</v>
      </c>
      <c r="AC41">
        <f t="shared" si="33"/>
        <v>55802.41</v>
      </c>
      <c r="AD41">
        <f t="shared" si="59"/>
        <v>0</v>
      </c>
      <c r="AE41">
        <f t="shared" si="60"/>
        <v>0</v>
      </c>
      <c r="AF41">
        <f t="shared" si="60"/>
        <v>15883.83</v>
      </c>
      <c r="AG41">
        <f t="shared" si="36"/>
        <v>0</v>
      </c>
      <c r="AH41">
        <f t="shared" si="61"/>
        <v>80.27</v>
      </c>
      <c r="AI41">
        <f t="shared" si="61"/>
        <v>0</v>
      </c>
      <c r="AJ41">
        <f t="shared" si="38"/>
        <v>0</v>
      </c>
      <c r="AK41">
        <v>71686.240000000005</v>
      </c>
      <c r="AL41">
        <v>55802.41</v>
      </c>
      <c r="AM41">
        <v>0</v>
      </c>
      <c r="AN41">
        <v>0</v>
      </c>
      <c r="AO41">
        <v>15883.83</v>
      </c>
      <c r="AP41">
        <v>0</v>
      </c>
      <c r="AQ41">
        <v>80.27</v>
      </c>
      <c r="AR41">
        <v>0</v>
      </c>
      <c r="AS41">
        <v>0</v>
      </c>
      <c r="AT41">
        <v>70</v>
      </c>
      <c r="AU41">
        <v>10</v>
      </c>
      <c r="AV41">
        <v>1</v>
      </c>
      <c r="AW41">
        <v>1</v>
      </c>
      <c r="AZ41">
        <v>1</v>
      </c>
      <c r="BA41">
        <v>1</v>
      </c>
      <c r="BB41">
        <v>1</v>
      </c>
      <c r="BC41">
        <v>1</v>
      </c>
      <c r="BD41" t="s">
        <v>3</v>
      </c>
      <c r="BE41" t="s">
        <v>3</v>
      </c>
      <c r="BF41" t="s">
        <v>3</v>
      </c>
      <c r="BG41" t="s">
        <v>3</v>
      </c>
      <c r="BH41">
        <v>0</v>
      </c>
      <c r="BI41">
        <v>4</v>
      </c>
      <c r="BJ41" t="s">
        <v>80</v>
      </c>
      <c r="BM41">
        <v>0</v>
      </c>
      <c r="BN41">
        <v>0</v>
      </c>
      <c r="BO41" t="s">
        <v>3</v>
      </c>
      <c r="BP41">
        <v>0</v>
      </c>
      <c r="BQ41">
        <v>1</v>
      </c>
      <c r="BR41">
        <v>0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 t="s">
        <v>3</v>
      </c>
      <c r="BZ41">
        <v>70</v>
      </c>
      <c r="CA41">
        <v>10</v>
      </c>
      <c r="CE41">
        <v>0</v>
      </c>
      <c r="CF41">
        <v>0</v>
      </c>
      <c r="CG41">
        <v>0</v>
      </c>
      <c r="CM41">
        <v>0</v>
      </c>
      <c r="CN41" t="s">
        <v>3</v>
      </c>
      <c r="CO41">
        <v>0</v>
      </c>
      <c r="CP41">
        <f t="shared" si="39"/>
        <v>232263.41999999998</v>
      </c>
      <c r="CQ41">
        <f t="shared" si="40"/>
        <v>55802.41</v>
      </c>
      <c r="CR41">
        <f t="shared" si="62"/>
        <v>0</v>
      </c>
      <c r="CS41">
        <f t="shared" si="42"/>
        <v>0</v>
      </c>
      <c r="CT41">
        <f t="shared" si="43"/>
        <v>15883.83</v>
      </c>
      <c r="CU41">
        <f t="shared" si="44"/>
        <v>0</v>
      </c>
      <c r="CV41">
        <f t="shared" si="45"/>
        <v>80.27</v>
      </c>
      <c r="CW41">
        <f t="shared" si="46"/>
        <v>0</v>
      </c>
      <c r="CX41">
        <f t="shared" si="47"/>
        <v>0</v>
      </c>
      <c r="CY41">
        <f t="shared" si="48"/>
        <v>36024.527000000002</v>
      </c>
      <c r="CZ41">
        <f t="shared" si="49"/>
        <v>5146.3609999999999</v>
      </c>
      <c r="DC41" t="s">
        <v>3</v>
      </c>
      <c r="DD41" t="s">
        <v>3</v>
      </c>
      <c r="DE41" t="s">
        <v>3</v>
      </c>
      <c r="DF41" t="s">
        <v>3</v>
      </c>
      <c r="DG41" t="s">
        <v>3</v>
      </c>
      <c r="DH41" t="s">
        <v>3</v>
      </c>
      <c r="DI41" t="s">
        <v>3</v>
      </c>
      <c r="DJ41" t="s">
        <v>3</v>
      </c>
      <c r="DK41" t="s">
        <v>3</v>
      </c>
      <c r="DL41" t="s">
        <v>3</v>
      </c>
      <c r="DM41" t="s">
        <v>3</v>
      </c>
      <c r="DN41">
        <v>0</v>
      </c>
      <c r="DO41">
        <v>0</v>
      </c>
      <c r="DP41">
        <v>1</v>
      </c>
      <c r="DQ41">
        <v>1</v>
      </c>
      <c r="DU41">
        <v>1003</v>
      </c>
      <c r="DV41" t="s">
        <v>43</v>
      </c>
      <c r="DW41" t="s">
        <v>43</v>
      </c>
      <c r="DX41">
        <v>100</v>
      </c>
      <c r="EE41">
        <v>51051537</v>
      </c>
      <c r="EF41">
        <v>1</v>
      </c>
      <c r="EG41" t="s">
        <v>24</v>
      </c>
      <c r="EH41">
        <v>0</v>
      </c>
      <c r="EI41" t="s">
        <v>3</v>
      </c>
      <c r="EJ41">
        <v>4</v>
      </c>
      <c r="EK41">
        <v>0</v>
      </c>
      <c r="EL41" t="s">
        <v>25</v>
      </c>
      <c r="EM41" t="s">
        <v>26</v>
      </c>
      <c r="EO41" t="s">
        <v>3</v>
      </c>
      <c r="EQ41">
        <v>0</v>
      </c>
      <c r="ER41">
        <v>71686.240000000005</v>
      </c>
      <c r="ES41">
        <v>55802.41</v>
      </c>
      <c r="ET41">
        <v>0</v>
      </c>
      <c r="EU41">
        <v>0</v>
      </c>
      <c r="EV41">
        <v>15883.83</v>
      </c>
      <c r="EW41">
        <v>80.27</v>
      </c>
      <c r="EX41">
        <v>0</v>
      </c>
      <c r="EY41">
        <v>0</v>
      </c>
      <c r="FQ41">
        <v>0</v>
      </c>
      <c r="FR41">
        <f t="shared" si="50"/>
        <v>0</v>
      </c>
      <c r="FS41">
        <v>0</v>
      </c>
      <c r="FX41">
        <v>70</v>
      </c>
      <c r="FY41">
        <v>10</v>
      </c>
      <c r="GA41" t="s">
        <v>3</v>
      </c>
      <c r="GD41">
        <v>0</v>
      </c>
      <c r="GF41">
        <v>-1203639930</v>
      </c>
      <c r="GG41">
        <v>2</v>
      </c>
      <c r="GH41">
        <v>1</v>
      </c>
      <c r="GI41">
        <v>-2</v>
      </c>
      <c r="GJ41">
        <v>0</v>
      </c>
      <c r="GK41">
        <f>ROUND(R41*(R12)/100,2)</f>
        <v>0</v>
      </c>
      <c r="GL41">
        <f t="shared" si="51"/>
        <v>0</v>
      </c>
      <c r="GM41">
        <f t="shared" si="63"/>
        <v>273434.31</v>
      </c>
      <c r="GN41">
        <f t="shared" si="64"/>
        <v>0</v>
      </c>
      <c r="GO41">
        <f t="shared" si="65"/>
        <v>0</v>
      </c>
      <c r="GP41">
        <f t="shared" si="66"/>
        <v>273434.31</v>
      </c>
      <c r="GR41">
        <v>0</v>
      </c>
      <c r="GS41">
        <v>3</v>
      </c>
      <c r="GT41">
        <v>0</v>
      </c>
      <c r="GU41" t="s">
        <v>3</v>
      </c>
      <c r="GV41">
        <f t="shared" si="56"/>
        <v>0</v>
      </c>
      <c r="GW41">
        <v>1</v>
      </c>
      <c r="GX41">
        <f t="shared" si="57"/>
        <v>0</v>
      </c>
      <c r="HA41">
        <v>0</v>
      </c>
      <c r="HB41">
        <v>0</v>
      </c>
      <c r="HC41">
        <f t="shared" si="58"/>
        <v>0</v>
      </c>
      <c r="IK41">
        <v>0</v>
      </c>
    </row>
    <row r="42" spans="1:245" x14ac:dyDescent="0.25">
      <c r="A42">
        <v>18</v>
      </c>
      <c r="B42">
        <v>1</v>
      </c>
      <c r="C42">
        <v>29</v>
      </c>
      <c r="E42" t="s">
        <v>81</v>
      </c>
      <c r="F42" t="s">
        <v>82</v>
      </c>
      <c r="G42" t="s">
        <v>83</v>
      </c>
      <c r="H42" t="s">
        <v>84</v>
      </c>
      <c r="I42">
        <f>I41*J42</f>
        <v>-13.932</v>
      </c>
      <c r="J42">
        <v>-4.3</v>
      </c>
      <c r="O42">
        <f t="shared" si="21"/>
        <v>-109129.5</v>
      </c>
      <c r="P42">
        <f t="shared" si="22"/>
        <v>-109129.5</v>
      </c>
      <c r="Q42">
        <f t="shared" si="23"/>
        <v>0</v>
      </c>
      <c r="R42">
        <f t="shared" si="24"/>
        <v>0</v>
      </c>
      <c r="S42">
        <f t="shared" si="25"/>
        <v>0</v>
      </c>
      <c r="T42">
        <f t="shared" si="26"/>
        <v>0</v>
      </c>
      <c r="U42">
        <f t="shared" si="27"/>
        <v>0</v>
      </c>
      <c r="V42">
        <f t="shared" si="28"/>
        <v>0</v>
      </c>
      <c r="W42">
        <f t="shared" si="29"/>
        <v>0</v>
      </c>
      <c r="X42">
        <f t="shared" si="30"/>
        <v>0</v>
      </c>
      <c r="Y42">
        <f t="shared" si="31"/>
        <v>0</v>
      </c>
      <c r="AA42">
        <v>50844173</v>
      </c>
      <c r="AB42">
        <f t="shared" si="32"/>
        <v>7833.01</v>
      </c>
      <c r="AC42">
        <f t="shared" si="33"/>
        <v>7833.01</v>
      </c>
      <c r="AD42">
        <f t="shared" si="59"/>
        <v>0</v>
      </c>
      <c r="AE42">
        <f t="shared" si="60"/>
        <v>0</v>
      </c>
      <c r="AF42">
        <f t="shared" si="60"/>
        <v>0</v>
      </c>
      <c r="AG42">
        <f t="shared" si="36"/>
        <v>0</v>
      </c>
      <c r="AH42">
        <f t="shared" si="61"/>
        <v>0</v>
      </c>
      <c r="AI42">
        <f t="shared" si="61"/>
        <v>0</v>
      </c>
      <c r="AJ42">
        <f t="shared" si="38"/>
        <v>0</v>
      </c>
      <c r="AK42">
        <v>7833.01</v>
      </c>
      <c r="AL42">
        <v>7833.01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70</v>
      </c>
      <c r="AU42">
        <v>10</v>
      </c>
      <c r="AV42">
        <v>1</v>
      </c>
      <c r="AW42">
        <v>1</v>
      </c>
      <c r="AZ42">
        <v>1</v>
      </c>
      <c r="BA42">
        <v>1</v>
      </c>
      <c r="BB42">
        <v>1</v>
      </c>
      <c r="BC42">
        <v>1</v>
      </c>
      <c r="BD42" t="s">
        <v>3</v>
      </c>
      <c r="BE42" t="s">
        <v>3</v>
      </c>
      <c r="BF42" t="s">
        <v>3</v>
      </c>
      <c r="BG42" t="s">
        <v>3</v>
      </c>
      <c r="BH42">
        <v>3</v>
      </c>
      <c r="BI42">
        <v>4</v>
      </c>
      <c r="BJ42" t="s">
        <v>85</v>
      </c>
      <c r="BM42">
        <v>0</v>
      </c>
      <c r="BN42">
        <v>0</v>
      </c>
      <c r="BO42" t="s">
        <v>3</v>
      </c>
      <c r="BP42">
        <v>0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 t="s">
        <v>3</v>
      </c>
      <c r="BZ42">
        <v>70</v>
      </c>
      <c r="CA42">
        <v>10</v>
      </c>
      <c r="CE42">
        <v>0</v>
      </c>
      <c r="CF42">
        <v>0</v>
      </c>
      <c r="CG42">
        <v>0</v>
      </c>
      <c r="CM42">
        <v>0</v>
      </c>
      <c r="CN42" t="s">
        <v>3</v>
      </c>
      <c r="CO42">
        <v>0</v>
      </c>
      <c r="CP42">
        <f t="shared" si="39"/>
        <v>-109129.5</v>
      </c>
      <c r="CQ42">
        <f t="shared" si="40"/>
        <v>7833.01</v>
      </c>
      <c r="CR42">
        <f t="shared" si="62"/>
        <v>0</v>
      </c>
      <c r="CS42">
        <f t="shared" si="42"/>
        <v>0</v>
      </c>
      <c r="CT42">
        <f t="shared" si="43"/>
        <v>0</v>
      </c>
      <c r="CU42">
        <f t="shared" si="44"/>
        <v>0</v>
      </c>
      <c r="CV42">
        <f t="shared" si="45"/>
        <v>0</v>
      </c>
      <c r="CW42">
        <f t="shared" si="46"/>
        <v>0</v>
      </c>
      <c r="CX42">
        <f t="shared" si="47"/>
        <v>0</v>
      </c>
      <c r="CY42">
        <f t="shared" si="48"/>
        <v>0</v>
      </c>
      <c r="CZ42">
        <f t="shared" si="49"/>
        <v>0</v>
      </c>
      <c r="DC42" t="s">
        <v>3</v>
      </c>
      <c r="DD42" t="s">
        <v>3</v>
      </c>
      <c r="DE42" t="s">
        <v>3</v>
      </c>
      <c r="DF42" t="s">
        <v>3</v>
      </c>
      <c r="DG42" t="s">
        <v>3</v>
      </c>
      <c r="DH42" t="s">
        <v>3</v>
      </c>
      <c r="DI42" t="s">
        <v>3</v>
      </c>
      <c r="DJ42" t="s">
        <v>3</v>
      </c>
      <c r="DK42" t="s">
        <v>3</v>
      </c>
      <c r="DL42" t="s">
        <v>3</v>
      </c>
      <c r="DM42" t="s">
        <v>3</v>
      </c>
      <c r="DN42">
        <v>0</v>
      </c>
      <c r="DO42">
        <v>0</v>
      </c>
      <c r="DP42">
        <v>1</v>
      </c>
      <c r="DQ42">
        <v>1</v>
      </c>
      <c r="DU42">
        <v>1007</v>
      </c>
      <c r="DV42" t="s">
        <v>84</v>
      </c>
      <c r="DW42" t="s">
        <v>84</v>
      </c>
      <c r="DX42">
        <v>1</v>
      </c>
      <c r="EE42">
        <v>51051537</v>
      </c>
      <c r="EF42">
        <v>1</v>
      </c>
      <c r="EG42" t="s">
        <v>24</v>
      </c>
      <c r="EH42">
        <v>0</v>
      </c>
      <c r="EI42" t="s">
        <v>3</v>
      </c>
      <c r="EJ42">
        <v>4</v>
      </c>
      <c r="EK42">
        <v>0</v>
      </c>
      <c r="EL42" t="s">
        <v>25</v>
      </c>
      <c r="EM42" t="s">
        <v>26</v>
      </c>
      <c r="EO42" t="s">
        <v>3</v>
      </c>
      <c r="EQ42">
        <v>32768</v>
      </c>
      <c r="ER42">
        <v>7833.01</v>
      </c>
      <c r="ES42">
        <v>7833.01</v>
      </c>
      <c r="ET42">
        <v>0</v>
      </c>
      <c r="EU42">
        <v>0</v>
      </c>
      <c r="EV42">
        <v>0</v>
      </c>
      <c r="EW42">
        <v>0</v>
      </c>
      <c r="EX42">
        <v>0</v>
      </c>
      <c r="FQ42">
        <v>0</v>
      </c>
      <c r="FR42">
        <f t="shared" si="50"/>
        <v>0</v>
      </c>
      <c r="FS42">
        <v>0</v>
      </c>
      <c r="FX42">
        <v>70</v>
      </c>
      <c r="FY42">
        <v>10</v>
      </c>
      <c r="GA42" t="s">
        <v>3</v>
      </c>
      <c r="GD42">
        <v>0</v>
      </c>
      <c r="GF42">
        <v>-503481226</v>
      </c>
      <c r="GG42">
        <v>2</v>
      </c>
      <c r="GH42">
        <v>1</v>
      </c>
      <c r="GI42">
        <v>-2</v>
      </c>
      <c r="GJ42">
        <v>0</v>
      </c>
      <c r="GK42">
        <f>ROUND(R42*(R12)/100,2)</f>
        <v>0</v>
      </c>
      <c r="GL42">
        <f t="shared" si="51"/>
        <v>0</v>
      </c>
      <c r="GM42">
        <f t="shared" si="63"/>
        <v>-109129.5</v>
      </c>
      <c r="GN42">
        <f t="shared" si="64"/>
        <v>0</v>
      </c>
      <c r="GO42">
        <f t="shared" si="65"/>
        <v>0</v>
      </c>
      <c r="GP42">
        <f t="shared" si="66"/>
        <v>-109129.5</v>
      </c>
      <c r="GR42">
        <v>0</v>
      </c>
      <c r="GS42">
        <v>3</v>
      </c>
      <c r="GT42">
        <v>0</v>
      </c>
      <c r="GU42" t="s">
        <v>3</v>
      </c>
      <c r="GV42">
        <f t="shared" si="56"/>
        <v>0</v>
      </c>
      <c r="GW42">
        <v>1</v>
      </c>
      <c r="GX42">
        <f t="shared" si="57"/>
        <v>0</v>
      </c>
      <c r="HA42">
        <v>0</v>
      </c>
      <c r="HB42">
        <v>0</v>
      </c>
      <c r="HC42">
        <f t="shared" si="58"/>
        <v>0</v>
      </c>
      <c r="IK42">
        <v>0</v>
      </c>
    </row>
    <row r="43" spans="1:245" x14ac:dyDescent="0.25">
      <c r="A43">
        <v>18</v>
      </c>
      <c r="B43">
        <v>1</v>
      </c>
      <c r="C43">
        <v>30</v>
      </c>
      <c r="E43" t="s">
        <v>86</v>
      </c>
      <c r="F43" t="s">
        <v>87</v>
      </c>
      <c r="G43" t="s">
        <v>88</v>
      </c>
      <c r="H43" t="s">
        <v>89</v>
      </c>
      <c r="I43">
        <f>I41*J43</f>
        <v>324</v>
      </c>
      <c r="J43">
        <v>100</v>
      </c>
      <c r="O43">
        <f t="shared" si="21"/>
        <v>120722.4</v>
      </c>
      <c r="P43">
        <f t="shared" si="22"/>
        <v>120722.4</v>
      </c>
      <c r="Q43">
        <f t="shared" si="23"/>
        <v>0</v>
      </c>
      <c r="R43">
        <f t="shared" si="24"/>
        <v>0</v>
      </c>
      <c r="S43">
        <f t="shared" si="25"/>
        <v>0</v>
      </c>
      <c r="T43">
        <f t="shared" si="26"/>
        <v>0</v>
      </c>
      <c r="U43">
        <f t="shared" si="27"/>
        <v>0</v>
      </c>
      <c r="V43">
        <f t="shared" si="28"/>
        <v>0</v>
      </c>
      <c r="W43">
        <f t="shared" si="29"/>
        <v>0</v>
      </c>
      <c r="X43">
        <f t="shared" si="30"/>
        <v>0</v>
      </c>
      <c r="Y43">
        <f t="shared" si="31"/>
        <v>0</v>
      </c>
      <c r="AA43">
        <v>50844173</v>
      </c>
      <c r="AB43">
        <f t="shared" si="32"/>
        <v>372.6</v>
      </c>
      <c r="AC43">
        <f t="shared" si="33"/>
        <v>372.6</v>
      </c>
      <c r="AD43">
        <f t="shared" si="59"/>
        <v>0</v>
      </c>
      <c r="AE43">
        <f t="shared" si="60"/>
        <v>0</v>
      </c>
      <c r="AF43">
        <f t="shared" si="60"/>
        <v>0</v>
      </c>
      <c r="AG43">
        <f t="shared" si="36"/>
        <v>0</v>
      </c>
      <c r="AH43">
        <f t="shared" si="61"/>
        <v>0</v>
      </c>
      <c r="AI43">
        <f t="shared" si="61"/>
        <v>0</v>
      </c>
      <c r="AJ43">
        <f t="shared" si="38"/>
        <v>0</v>
      </c>
      <c r="AK43">
        <v>372.6</v>
      </c>
      <c r="AL43">
        <v>372.6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Z43">
        <v>1</v>
      </c>
      <c r="BA43">
        <v>1</v>
      </c>
      <c r="BB43">
        <v>1</v>
      </c>
      <c r="BC43">
        <v>1</v>
      </c>
      <c r="BD43" t="s">
        <v>3</v>
      </c>
      <c r="BE43" t="s">
        <v>3</v>
      </c>
      <c r="BF43" t="s">
        <v>3</v>
      </c>
      <c r="BG43" t="s">
        <v>3</v>
      </c>
      <c r="BH43">
        <v>3</v>
      </c>
      <c r="BI43">
        <v>1</v>
      </c>
      <c r="BJ43" t="s">
        <v>3</v>
      </c>
      <c r="BM43">
        <v>6001</v>
      </c>
      <c r="BN43">
        <v>0</v>
      </c>
      <c r="BO43" t="s">
        <v>3</v>
      </c>
      <c r="BP43">
        <v>0</v>
      </c>
      <c r="BQ43">
        <v>0</v>
      </c>
      <c r="BR43">
        <v>0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 t="s">
        <v>3</v>
      </c>
      <c r="BZ43">
        <v>0</v>
      </c>
      <c r="CA43">
        <v>0</v>
      </c>
      <c r="CE43">
        <v>0</v>
      </c>
      <c r="CF43">
        <v>0</v>
      </c>
      <c r="CG43">
        <v>0</v>
      </c>
      <c r="CM43">
        <v>0</v>
      </c>
      <c r="CN43" t="s">
        <v>3</v>
      </c>
      <c r="CO43">
        <v>0</v>
      </c>
      <c r="CP43">
        <f t="shared" si="39"/>
        <v>120722.4</v>
      </c>
      <c r="CQ43">
        <f t="shared" si="40"/>
        <v>372.6</v>
      </c>
      <c r="CR43">
        <f t="shared" si="62"/>
        <v>0</v>
      </c>
      <c r="CS43">
        <f t="shared" si="42"/>
        <v>0</v>
      </c>
      <c r="CT43">
        <f t="shared" si="43"/>
        <v>0</v>
      </c>
      <c r="CU43">
        <f t="shared" si="44"/>
        <v>0</v>
      </c>
      <c r="CV43">
        <f t="shared" si="45"/>
        <v>0</v>
      </c>
      <c r="CW43">
        <f t="shared" si="46"/>
        <v>0</v>
      </c>
      <c r="CX43">
        <f t="shared" si="47"/>
        <v>0</v>
      </c>
      <c r="CY43">
        <f t="shared" si="48"/>
        <v>0</v>
      </c>
      <c r="CZ43">
        <f t="shared" si="49"/>
        <v>0</v>
      </c>
      <c r="DC43" t="s">
        <v>3</v>
      </c>
      <c r="DD43" t="s">
        <v>3</v>
      </c>
      <c r="DE43" t="s">
        <v>3</v>
      </c>
      <c r="DF43" t="s">
        <v>3</v>
      </c>
      <c r="DG43" t="s">
        <v>3</v>
      </c>
      <c r="DH43" t="s">
        <v>3</v>
      </c>
      <c r="DI43" t="s">
        <v>3</v>
      </c>
      <c r="DJ43" t="s">
        <v>3</v>
      </c>
      <c r="DK43" t="s">
        <v>3</v>
      </c>
      <c r="DL43" t="s">
        <v>3</v>
      </c>
      <c r="DM43" t="s">
        <v>3</v>
      </c>
      <c r="DN43">
        <v>0</v>
      </c>
      <c r="DO43">
        <v>0</v>
      </c>
      <c r="DP43">
        <v>1</v>
      </c>
      <c r="DQ43">
        <v>1</v>
      </c>
      <c r="DU43">
        <v>1003</v>
      </c>
      <c r="DV43" t="s">
        <v>89</v>
      </c>
      <c r="DW43" t="s">
        <v>89</v>
      </c>
      <c r="DX43">
        <v>1</v>
      </c>
      <c r="EE43">
        <v>0</v>
      </c>
      <c r="EF43">
        <v>0</v>
      </c>
      <c r="EG43" t="s">
        <v>3</v>
      </c>
      <c r="EH43">
        <v>0</v>
      </c>
      <c r="EI43" t="s">
        <v>3</v>
      </c>
      <c r="EJ43">
        <v>0</v>
      </c>
      <c r="EK43">
        <v>6001</v>
      </c>
      <c r="EL43" t="s">
        <v>3</v>
      </c>
      <c r="EM43" t="s">
        <v>3</v>
      </c>
      <c r="EO43" t="s">
        <v>3</v>
      </c>
      <c r="EQ43">
        <v>0</v>
      </c>
      <c r="ER43">
        <v>372.6</v>
      </c>
      <c r="ES43">
        <v>372.6</v>
      </c>
      <c r="ET43">
        <v>0</v>
      </c>
      <c r="EU43">
        <v>0</v>
      </c>
      <c r="EV43">
        <v>0</v>
      </c>
      <c r="EW43">
        <v>0</v>
      </c>
      <c r="EX43">
        <v>0</v>
      </c>
      <c r="EZ43">
        <v>5</v>
      </c>
      <c r="FC43">
        <v>1</v>
      </c>
      <c r="FD43">
        <v>18</v>
      </c>
      <c r="FF43">
        <v>447.12</v>
      </c>
      <c r="FQ43">
        <v>0</v>
      </c>
      <c r="FR43">
        <f t="shared" si="50"/>
        <v>0</v>
      </c>
      <c r="FS43">
        <v>0</v>
      </c>
      <c r="FX43">
        <v>0</v>
      </c>
      <c r="FY43">
        <v>0</v>
      </c>
      <c r="GA43" t="s">
        <v>90</v>
      </c>
      <c r="GD43">
        <v>0</v>
      </c>
      <c r="GF43">
        <v>432596619</v>
      </c>
      <c r="GG43">
        <v>2</v>
      </c>
      <c r="GH43">
        <v>3</v>
      </c>
      <c r="GI43">
        <v>-2</v>
      </c>
      <c r="GJ43">
        <v>0</v>
      </c>
      <c r="GK43">
        <f>ROUND(R43*(R12)/100,2)</f>
        <v>0</v>
      </c>
      <c r="GL43">
        <f t="shared" si="51"/>
        <v>0</v>
      </c>
      <c r="GM43">
        <f t="shared" si="63"/>
        <v>120722.4</v>
      </c>
      <c r="GN43">
        <f t="shared" si="64"/>
        <v>120722.4</v>
      </c>
      <c r="GO43">
        <f t="shared" si="65"/>
        <v>0</v>
      </c>
      <c r="GP43">
        <f t="shared" si="66"/>
        <v>0</v>
      </c>
      <c r="GR43">
        <v>1</v>
      </c>
      <c r="GS43">
        <v>1</v>
      </c>
      <c r="GT43">
        <v>0</v>
      </c>
      <c r="GU43" t="s">
        <v>3</v>
      </c>
      <c r="GV43">
        <f t="shared" si="56"/>
        <v>0</v>
      </c>
      <c r="GW43">
        <v>1</v>
      </c>
      <c r="GX43">
        <f t="shared" si="57"/>
        <v>0</v>
      </c>
      <c r="HA43">
        <v>0</v>
      </c>
      <c r="HB43">
        <v>0</v>
      </c>
      <c r="HC43">
        <f t="shared" si="58"/>
        <v>0</v>
      </c>
      <c r="IK43">
        <v>0</v>
      </c>
    </row>
    <row r="45" spans="1:245" x14ac:dyDescent="0.25">
      <c r="A45" s="2">
        <v>51</v>
      </c>
      <c r="B45" s="2">
        <f>B24</f>
        <v>1</v>
      </c>
      <c r="C45" s="2">
        <f>A24</f>
        <v>4</v>
      </c>
      <c r="D45" s="2">
        <f>ROW(A24)</f>
        <v>24</v>
      </c>
      <c r="E45" s="2"/>
      <c r="F45" s="2" t="str">
        <f>IF(F24&lt;&gt;"",F24,"")</f>
        <v>Новый раздел</v>
      </c>
      <c r="G45" s="2" t="str">
        <f>IF(G24&lt;&gt;"",G24,"")</f>
        <v>Ремонт асфальтобетонного покрытия пешеходных дорожек</v>
      </c>
      <c r="H45" s="2">
        <v>0</v>
      </c>
      <c r="I45" s="2"/>
      <c r="J45" s="2"/>
      <c r="K45" s="2"/>
      <c r="L45" s="2"/>
      <c r="M45" s="2"/>
      <c r="N45" s="2"/>
      <c r="O45" s="2">
        <f t="shared" ref="O45:T45" si="67">ROUND(AB45,2)</f>
        <v>529306.25</v>
      </c>
      <c r="P45" s="2">
        <f t="shared" si="67"/>
        <v>318759.59999999998</v>
      </c>
      <c r="Q45" s="2">
        <f t="shared" si="67"/>
        <v>95175.58</v>
      </c>
      <c r="R45" s="2">
        <f t="shared" si="67"/>
        <v>49858.31</v>
      </c>
      <c r="S45" s="2">
        <f t="shared" si="67"/>
        <v>115371.07</v>
      </c>
      <c r="T45" s="2">
        <f t="shared" si="67"/>
        <v>0</v>
      </c>
      <c r="U45" s="2">
        <f>AH45</f>
        <v>574.92776000000003</v>
      </c>
      <c r="V45" s="2">
        <f>AI45</f>
        <v>0</v>
      </c>
      <c r="W45" s="2">
        <f>ROUND(AJ45,2)</f>
        <v>0</v>
      </c>
      <c r="X45" s="2">
        <f>ROUND(AK45,2)</f>
        <v>80759.759999999995</v>
      </c>
      <c r="Y45" s="2">
        <f>ROUND(AL45,2)</f>
        <v>11537.12</v>
      </c>
      <c r="Z45" s="2"/>
      <c r="AA45" s="2"/>
      <c r="AB45" s="2">
        <f>ROUND(SUMIF(AA28:AA43,"=50844173",O28:O43),2)</f>
        <v>529306.25</v>
      </c>
      <c r="AC45" s="2">
        <f>ROUND(SUMIF(AA28:AA43,"=50844173",P28:P43),2)</f>
        <v>318759.59999999998</v>
      </c>
      <c r="AD45" s="2">
        <f>ROUND(SUMIF(AA28:AA43,"=50844173",Q28:Q43),2)</f>
        <v>95175.58</v>
      </c>
      <c r="AE45" s="2">
        <f>ROUND(SUMIF(AA28:AA43,"=50844173",R28:R43),2)</f>
        <v>49858.31</v>
      </c>
      <c r="AF45" s="2">
        <f>ROUND(SUMIF(AA28:AA43,"=50844173",S28:S43),2)</f>
        <v>115371.07</v>
      </c>
      <c r="AG45" s="2">
        <f>ROUND(SUMIF(AA28:AA43,"=50844173",T28:T43),2)</f>
        <v>0</v>
      </c>
      <c r="AH45" s="2">
        <f>SUMIF(AA28:AA43,"=50844173",U28:U43)</f>
        <v>574.92776000000003</v>
      </c>
      <c r="AI45" s="2">
        <f>SUMIF(AA28:AA43,"=50844173",V28:V43)</f>
        <v>0</v>
      </c>
      <c r="AJ45" s="2">
        <f>ROUND(SUMIF(AA28:AA43,"=50844173",W28:W43),2)</f>
        <v>0</v>
      </c>
      <c r="AK45" s="2">
        <f>ROUND(SUMIF(AA28:AA43,"=50844173",X28:X43),2)</f>
        <v>80759.759999999995</v>
      </c>
      <c r="AL45" s="2">
        <f>ROUND(SUMIF(AA28:AA43,"=50844173",Y28:Y43),2)</f>
        <v>11537.12</v>
      </c>
      <c r="AM45" s="2"/>
      <c r="AN45" s="2"/>
      <c r="AO45" s="2">
        <f t="shared" ref="AO45:BD45" si="68">ROUND(BX45,2)</f>
        <v>0</v>
      </c>
      <c r="AP45" s="2">
        <f t="shared" si="68"/>
        <v>0</v>
      </c>
      <c r="AQ45" s="2">
        <f t="shared" si="68"/>
        <v>0</v>
      </c>
      <c r="AR45" s="2">
        <f t="shared" si="68"/>
        <v>628535.69999999995</v>
      </c>
      <c r="AS45" s="2">
        <f t="shared" si="68"/>
        <v>128842.33</v>
      </c>
      <c r="AT45" s="2">
        <f t="shared" si="68"/>
        <v>0</v>
      </c>
      <c r="AU45" s="2">
        <f t="shared" si="68"/>
        <v>499693.37</v>
      </c>
      <c r="AV45" s="2">
        <f t="shared" si="68"/>
        <v>318759.59999999998</v>
      </c>
      <c r="AW45" s="2">
        <f t="shared" si="68"/>
        <v>318759.59999999998</v>
      </c>
      <c r="AX45" s="2">
        <f t="shared" si="68"/>
        <v>0</v>
      </c>
      <c r="AY45" s="2">
        <f t="shared" si="68"/>
        <v>318759.59999999998</v>
      </c>
      <c r="AZ45" s="2">
        <f t="shared" si="68"/>
        <v>0</v>
      </c>
      <c r="BA45" s="2">
        <f t="shared" si="68"/>
        <v>0</v>
      </c>
      <c r="BB45" s="2">
        <f t="shared" si="68"/>
        <v>0</v>
      </c>
      <c r="BC45" s="2">
        <f t="shared" si="68"/>
        <v>0</v>
      </c>
      <c r="BD45" s="2">
        <f t="shared" si="68"/>
        <v>0</v>
      </c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>
        <f>ROUND(SUMIF(AA28:AA43,"=50844173",FQ28:FQ43),2)</f>
        <v>0</v>
      </c>
      <c r="BY45" s="2">
        <f>ROUND(SUMIF(AA28:AA43,"=50844173",FR28:FR43),2)</f>
        <v>0</v>
      </c>
      <c r="BZ45" s="2">
        <f>ROUND(SUMIF(AA28:AA43,"=50844173",GL28:GL43),2)</f>
        <v>0</v>
      </c>
      <c r="CA45" s="2">
        <f>ROUND(SUMIF(AA28:AA43,"=50844173",GM28:GM43),2)</f>
        <v>628535.69999999995</v>
      </c>
      <c r="CB45" s="2">
        <f>ROUND(SUMIF(AA28:AA43,"=50844173",GN28:GN43),2)</f>
        <v>128842.33</v>
      </c>
      <c r="CC45" s="2">
        <f>ROUND(SUMIF(AA28:AA43,"=50844173",GO28:GO43),2)</f>
        <v>0</v>
      </c>
      <c r="CD45" s="2">
        <f>ROUND(SUMIF(AA28:AA43,"=50844173",GP28:GP43),2)</f>
        <v>499693.37</v>
      </c>
      <c r="CE45" s="2">
        <f>AC45-BX45</f>
        <v>318759.59999999998</v>
      </c>
      <c r="CF45" s="2">
        <f>AC45-BY45</f>
        <v>318759.59999999998</v>
      </c>
      <c r="CG45" s="2">
        <f>BX45-BZ45</f>
        <v>0</v>
      </c>
      <c r="CH45" s="2">
        <f>AC45-BX45-BY45+BZ45</f>
        <v>318759.59999999998</v>
      </c>
      <c r="CI45" s="2">
        <f>BY45-BZ45</f>
        <v>0</v>
      </c>
      <c r="CJ45" s="2">
        <f>ROUND(SUMIF(AA28:AA43,"=50844173",GX28:GX43),2)</f>
        <v>0</v>
      </c>
      <c r="CK45" s="2">
        <f>ROUND(SUMIF(AA28:AA43,"=50844173",GY28:GY43),2)</f>
        <v>0</v>
      </c>
      <c r="CL45" s="2">
        <f>ROUND(SUMIF(AA28:AA43,"=50844173",GZ28:GZ43),2)</f>
        <v>0</v>
      </c>
      <c r="CM45" s="2">
        <f>ROUND(SUMIF(AA28:AA43,"=50844173",HD28:HD43),2)</f>
        <v>0</v>
      </c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>
        <v>0</v>
      </c>
    </row>
    <row r="47" spans="1:245" x14ac:dyDescent="0.25">
      <c r="A47" s="4">
        <v>50</v>
      </c>
      <c r="B47" s="4">
        <v>0</v>
      </c>
      <c r="C47" s="4">
        <v>0</v>
      </c>
      <c r="D47" s="4">
        <v>1</v>
      </c>
      <c r="E47" s="4">
        <v>201</v>
      </c>
      <c r="F47" s="4">
        <f>ROUND(Source!O45,O47)</f>
        <v>529306.25</v>
      </c>
      <c r="G47" s="4" t="s">
        <v>91</v>
      </c>
      <c r="H47" s="4" t="s">
        <v>92</v>
      </c>
      <c r="I47" s="4"/>
      <c r="J47" s="4"/>
      <c r="K47" s="4">
        <v>201</v>
      </c>
      <c r="L47" s="4">
        <v>1</v>
      </c>
      <c r="M47" s="4">
        <v>3</v>
      </c>
      <c r="N47" s="4" t="s">
        <v>3</v>
      </c>
      <c r="O47" s="4">
        <v>2</v>
      </c>
      <c r="P47" s="4"/>
      <c r="Q47" s="4"/>
      <c r="R47" s="4"/>
      <c r="S47" s="4"/>
      <c r="T47" s="4"/>
      <c r="U47" s="4"/>
      <c r="V47" s="4"/>
      <c r="W47" s="4"/>
    </row>
    <row r="48" spans="1:245" x14ac:dyDescent="0.25">
      <c r="A48" s="4">
        <v>50</v>
      </c>
      <c r="B48" s="4">
        <v>0</v>
      </c>
      <c r="C48" s="4">
        <v>0</v>
      </c>
      <c r="D48" s="4">
        <v>1</v>
      </c>
      <c r="E48" s="4">
        <v>202</v>
      </c>
      <c r="F48" s="4">
        <f>ROUND(Source!P45,O48)</f>
        <v>318759.59999999998</v>
      </c>
      <c r="G48" s="4" t="s">
        <v>93</v>
      </c>
      <c r="H48" s="4" t="s">
        <v>94</v>
      </c>
      <c r="I48" s="4"/>
      <c r="J48" s="4"/>
      <c r="K48" s="4">
        <v>202</v>
      </c>
      <c r="L48" s="4">
        <v>2</v>
      </c>
      <c r="M48" s="4">
        <v>3</v>
      </c>
      <c r="N48" s="4" t="s">
        <v>3</v>
      </c>
      <c r="O48" s="4">
        <v>2</v>
      </c>
      <c r="P48" s="4"/>
      <c r="Q48" s="4"/>
      <c r="R48" s="4"/>
      <c r="S48" s="4"/>
      <c r="T48" s="4"/>
      <c r="U48" s="4"/>
      <c r="V48" s="4"/>
      <c r="W48" s="4"/>
    </row>
    <row r="49" spans="1:23" x14ac:dyDescent="0.25">
      <c r="A49" s="4">
        <v>50</v>
      </c>
      <c r="B49" s="4">
        <v>0</v>
      </c>
      <c r="C49" s="4">
        <v>0</v>
      </c>
      <c r="D49" s="4">
        <v>1</v>
      </c>
      <c r="E49" s="4">
        <v>222</v>
      </c>
      <c r="F49" s="4">
        <f>ROUND(Source!AO45,O49)</f>
        <v>0</v>
      </c>
      <c r="G49" s="4" t="s">
        <v>95</v>
      </c>
      <c r="H49" s="4" t="s">
        <v>96</v>
      </c>
      <c r="I49" s="4"/>
      <c r="J49" s="4"/>
      <c r="K49" s="4">
        <v>222</v>
      </c>
      <c r="L49" s="4">
        <v>3</v>
      </c>
      <c r="M49" s="4">
        <v>3</v>
      </c>
      <c r="N49" s="4" t="s">
        <v>3</v>
      </c>
      <c r="O49" s="4">
        <v>2</v>
      </c>
      <c r="P49" s="4"/>
      <c r="Q49" s="4"/>
      <c r="R49" s="4"/>
      <c r="S49" s="4"/>
      <c r="T49" s="4"/>
      <c r="U49" s="4"/>
      <c r="V49" s="4"/>
      <c r="W49" s="4"/>
    </row>
    <row r="50" spans="1:23" x14ac:dyDescent="0.25">
      <c r="A50" s="4">
        <v>50</v>
      </c>
      <c r="B50" s="4">
        <v>0</v>
      </c>
      <c r="C50" s="4">
        <v>0</v>
      </c>
      <c r="D50" s="4">
        <v>1</v>
      </c>
      <c r="E50" s="4">
        <v>225</v>
      </c>
      <c r="F50" s="4">
        <f>ROUND(Source!AV45,O50)</f>
        <v>318759.59999999998</v>
      </c>
      <c r="G50" s="4" t="s">
        <v>97</v>
      </c>
      <c r="H50" s="4" t="s">
        <v>98</v>
      </c>
      <c r="I50" s="4"/>
      <c r="J50" s="4"/>
      <c r="K50" s="4">
        <v>225</v>
      </c>
      <c r="L50" s="4">
        <v>4</v>
      </c>
      <c r="M50" s="4">
        <v>3</v>
      </c>
      <c r="N50" s="4" t="s">
        <v>3</v>
      </c>
      <c r="O50" s="4">
        <v>2</v>
      </c>
      <c r="P50" s="4"/>
      <c r="Q50" s="4"/>
      <c r="R50" s="4"/>
      <c r="S50" s="4"/>
      <c r="T50" s="4"/>
      <c r="U50" s="4"/>
      <c r="V50" s="4"/>
      <c r="W50" s="4"/>
    </row>
    <row r="51" spans="1:23" x14ac:dyDescent="0.25">
      <c r="A51" s="4">
        <v>50</v>
      </c>
      <c r="B51" s="4">
        <v>0</v>
      </c>
      <c r="C51" s="4">
        <v>0</v>
      </c>
      <c r="D51" s="4">
        <v>1</v>
      </c>
      <c r="E51" s="4">
        <v>226</v>
      </c>
      <c r="F51" s="4">
        <f>ROUND(Source!AW45,O51)</f>
        <v>318759.59999999998</v>
      </c>
      <c r="G51" s="4" t="s">
        <v>99</v>
      </c>
      <c r="H51" s="4" t="s">
        <v>100</v>
      </c>
      <c r="I51" s="4"/>
      <c r="J51" s="4"/>
      <c r="K51" s="4">
        <v>226</v>
      </c>
      <c r="L51" s="4">
        <v>5</v>
      </c>
      <c r="M51" s="4">
        <v>3</v>
      </c>
      <c r="N51" s="4" t="s">
        <v>3</v>
      </c>
      <c r="O51" s="4">
        <v>2</v>
      </c>
      <c r="P51" s="4"/>
      <c r="Q51" s="4"/>
      <c r="R51" s="4"/>
      <c r="S51" s="4"/>
      <c r="T51" s="4"/>
      <c r="U51" s="4"/>
      <c r="V51" s="4"/>
      <c r="W51" s="4"/>
    </row>
    <row r="52" spans="1:23" x14ac:dyDescent="0.25">
      <c r="A52" s="4">
        <v>50</v>
      </c>
      <c r="B52" s="4">
        <v>0</v>
      </c>
      <c r="C52" s="4">
        <v>0</v>
      </c>
      <c r="D52" s="4">
        <v>1</v>
      </c>
      <c r="E52" s="4">
        <v>227</v>
      </c>
      <c r="F52" s="4">
        <f>ROUND(Source!AX45,O52)</f>
        <v>0</v>
      </c>
      <c r="G52" s="4" t="s">
        <v>101</v>
      </c>
      <c r="H52" s="4" t="s">
        <v>102</v>
      </c>
      <c r="I52" s="4"/>
      <c r="J52" s="4"/>
      <c r="K52" s="4">
        <v>227</v>
      </c>
      <c r="L52" s="4">
        <v>6</v>
      </c>
      <c r="M52" s="4">
        <v>3</v>
      </c>
      <c r="N52" s="4" t="s">
        <v>3</v>
      </c>
      <c r="O52" s="4">
        <v>2</v>
      </c>
      <c r="P52" s="4"/>
      <c r="Q52" s="4"/>
      <c r="R52" s="4"/>
      <c r="S52" s="4"/>
      <c r="T52" s="4"/>
      <c r="U52" s="4"/>
      <c r="V52" s="4"/>
      <c r="W52" s="4"/>
    </row>
    <row r="53" spans="1:23" x14ac:dyDescent="0.25">
      <c r="A53" s="4">
        <v>50</v>
      </c>
      <c r="B53" s="4">
        <v>0</v>
      </c>
      <c r="C53" s="4">
        <v>0</v>
      </c>
      <c r="D53" s="4">
        <v>1</v>
      </c>
      <c r="E53" s="4">
        <v>228</v>
      </c>
      <c r="F53" s="4">
        <f>ROUND(Source!AY45,O53)</f>
        <v>318759.59999999998</v>
      </c>
      <c r="G53" s="4" t="s">
        <v>103</v>
      </c>
      <c r="H53" s="4" t="s">
        <v>104</v>
      </c>
      <c r="I53" s="4"/>
      <c r="J53" s="4"/>
      <c r="K53" s="4">
        <v>228</v>
      </c>
      <c r="L53" s="4">
        <v>7</v>
      </c>
      <c r="M53" s="4">
        <v>3</v>
      </c>
      <c r="N53" s="4" t="s">
        <v>3</v>
      </c>
      <c r="O53" s="4">
        <v>2</v>
      </c>
      <c r="P53" s="4"/>
      <c r="Q53" s="4"/>
      <c r="R53" s="4"/>
      <c r="S53" s="4"/>
      <c r="T53" s="4"/>
      <c r="U53" s="4"/>
      <c r="V53" s="4"/>
      <c r="W53" s="4"/>
    </row>
    <row r="54" spans="1:23" x14ac:dyDescent="0.25">
      <c r="A54" s="4">
        <v>50</v>
      </c>
      <c r="B54" s="4">
        <v>0</v>
      </c>
      <c r="C54" s="4">
        <v>0</v>
      </c>
      <c r="D54" s="4">
        <v>1</v>
      </c>
      <c r="E54" s="4">
        <v>216</v>
      </c>
      <c r="F54" s="4">
        <f>ROUND(Source!AP45,O54)</f>
        <v>0</v>
      </c>
      <c r="G54" s="4" t="s">
        <v>105</v>
      </c>
      <c r="H54" s="4" t="s">
        <v>106</v>
      </c>
      <c r="I54" s="4"/>
      <c r="J54" s="4"/>
      <c r="K54" s="4">
        <v>216</v>
      </c>
      <c r="L54" s="4">
        <v>8</v>
      </c>
      <c r="M54" s="4">
        <v>3</v>
      </c>
      <c r="N54" s="4" t="s">
        <v>3</v>
      </c>
      <c r="O54" s="4">
        <v>2</v>
      </c>
      <c r="P54" s="4"/>
      <c r="Q54" s="4"/>
      <c r="R54" s="4"/>
      <c r="S54" s="4"/>
      <c r="T54" s="4"/>
      <c r="U54" s="4"/>
      <c r="V54" s="4"/>
      <c r="W54" s="4"/>
    </row>
    <row r="55" spans="1:23" x14ac:dyDescent="0.25">
      <c r="A55" s="4">
        <v>50</v>
      </c>
      <c r="B55" s="4">
        <v>0</v>
      </c>
      <c r="C55" s="4">
        <v>0</v>
      </c>
      <c r="D55" s="4">
        <v>1</v>
      </c>
      <c r="E55" s="4">
        <v>223</v>
      </c>
      <c r="F55" s="4">
        <f>ROUND(Source!AQ45,O55)</f>
        <v>0</v>
      </c>
      <c r="G55" s="4" t="s">
        <v>107</v>
      </c>
      <c r="H55" s="4" t="s">
        <v>108</v>
      </c>
      <c r="I55" s="4"/>
      <c r="J55" s="4"/>
      <c r="K55" s="4">
        <v>223</v>
      </c>
      <c r="L55" s="4">
        <v>9</v>
      </c>
      <c r="M55" s="4">
        <v>3</v>
      </c>
      <c r="N55" s="4" t="s">
        <v>3</v>
      </c>
      <c r="O55" s="4">
        <v>2</v>
      </c>
      <c r="P55" s="4"/>
      <c r="Q55" s="4"/>
      <c r="R55" s="4"/>
      <c r="S55" s="4"/>
      <c r="T55" s="4"/>
      <c r="U55" s="4"/>
      <c r="V55" s="4"/>
      <c r="W55" s="4"/>
    </row>
    <row r="56" spans="1:23" x14ac:dyDescent="0.25">
      <c r="A56" s="4">
        <v>50</v>
      </c>
      <c r="B56" s="4">
        <v>0</v>
      </c>
      <c r="C56" s="4">
        <v>0</v>
      </c>
      <c r="D56" s="4">
        <v>1</v>
      </c>
      <c r="E56" s="4">
        <v>229</v>
      </c>
      <c r="F56" s="4">
        <f>ROUND(Source!AZ45,O56)</f>
        <v>0</v>
      </c>
      <c r="G56" s="4" t="s">
        <v>109</v>
      </c>
      <c r="H56" s="4" t="s">
        <v>110</v>
      </c>
      <c r="I56" s="4"/>
      <c r="J56" s="4"/>
      <c r="K56" s="4">
        <v>229</v>
      </c>
      <c r="L56" s="4">
        <v>10</v>
      </c>
      <c r="M56" s="4">
        <v>3</v>
      </c>
      <c r="N56" s="4" t="s">
        <v>3</v>
      </c>
      <c r="O56" s="4">
        <v>2</v>
      </c>
      <c r="P56" s="4"/>
      <c r="Q56" s="4"/>
      <c r="R56" s="4"/>
      <c r="S56" s="4"/>
      <c r="T56" s="4"/>
      <c r="U56" s="4"/>
      <c r="V56" s="4"/>
      <c r="W56" s="4"/>
    </row>
    <row r="57" spans="1:23" x14ac:dyDescent="0.25">
      <c r="A57" s="4">
        <v>50</v>
      </c>
      <c r="B57" s="4">
        <v>0</v>
      </c>
      <c r="C57" s="4">
        <v>0</v>
      </c>
      <c r="D57" s="4">
        <v>1</v>
      </c>
      <c r="E57" s="4">
        <v>203</v>
      </c>
      <c r="F57" s="4">
        <f>ROUND(Source!Q45,O57)</f>
        <v>95175.58</v>
      </c>
      <c r="G57" s="4" t="s">
        <v>111</v>
      </c>
      <c r="H57" s="4" t="s">
        <v>112</v>
      </c>
      <c r="I57" s="4"/>
      <c r="J57" s="4"/>
      <c r="K57" s="4">
        <v>203</v>
      </c>
      <c r="L57" s="4">
        <v>11</v>
      </c>
      <c r="M57" s="4">
        <v>3</v>
      </c>
      <c r="N57" s="4" t="s">
        <v>3</v>
      </c>
      <c r="O57" s="4">
        <v>2</v>
      </c>
      <c r="P57" s="4"/>
      <c r="Q57" s="4"/>
      <c r="R57" s="4"/>
      <c r="S57" s="4"/>
      <c r="T57" s="4"/>
      <c r="U57" s="4"/>
      <c r="V57" s="4"/>
      <c r="W57" s="4"/>
    </row>
    <row r="58" spans="1:23" x14ac:dyDescent="0.25">
      <c r="A58" s="4">
        <v>50</v>
      </c>
      <c r="B58" s="4">
        <v>0</v>
      </c>
      <c r="C58" s="4">
        <v>0</v>
      </c>
      <c r="D58" s="4">
        <v>1</v>
      </c>
      <c r="E58" s="4">
        <v>231</v>
      </c>
      <c r="F58" s="4">
        <f>ROUND(Source!BB45,O58)</f>
        <v>0</v>
      </c>
      <c r="G58" s="4" t="s">
        <v>113</v>
      </c>
      <c r="H58" s="4" t="s">
        <v>114</v>
      </c>
      <c r="I58" s="4"/>
      <c r="J58" s="4"/>
      <c r="K58" s="4">
        <v>231</v>
      </c>
      <c r="L58" s="4">
        <v>12</v>
      </c>
      <c r="M58" s="4">
        <v>3</v>
      </c>
      <c r="N58" s="4" t="s">
        <v>3</v>
      </c>
      <c r="O58" s="4">
        <v>2</v>
      </c>
      <c r="P58" s="4"/>
      <c r="Q58" s="4"/>
      <c r="R58" s="4"/>
      <c r="S58" s="4"/>
      <c r="T58" s="4"/>
      <c r="U58" s="4"/>
      <c r="V58" s="4"/>
      <c r="W58" s="4"/>
    </row>
    <row r="59" spans="1:23" x14ac:dyDescent="0.25">
      <c r="A59" s="4">
        <v>50</v>
      </c>
      <c r="B59" s="4">
        <v>0</v>
      </c>
      <c r="C59" s="4">
        <v>0</v>
      </c>
      <c r="D59" s="4">
        <v>1</v>
      </c>
      <c r="E59" s="4">
        <v>204</v>
      </c>
      <c r="F59" s="4">
        <f>ROUND(Source!R45,O59)</f>
        <v>49858.31</v>
      </c>
      <c r="G59" s="4" t="s">
        <v>115</v>
      </c>
      <c r="H59" s="4" t="s">
        <v>116</v>
      </c>
      <c r="I59" s="4"/>
      <c r="J59" s="4"/>
      <c r="K59" s="4">
        <v>204</v>
      </c>
      <c r="L59" s="4">
        <v>13</v>
      </c>
      <c r="M59" s="4">
        <v>3</v>
      </c>
      <c r="N59" s="4" t="s">
        <v>3</v>
      </c>
      <c r="O59" s="4">
        <v>2</v>
      </c>
      <c r="P59" s="4"/>
      <c r="Q59" s="4"/>
      <c r="R59" s="4"/>
      <c r="S59" s="4"/>
      <c r="T59" s="4"/>
      <c r="U59" s="4"/>
      <c r="V59" s="4"/>
      <c r="W59" s="4"/>
    </row>
    <row r="60" spans="1:23" x14ac:dyDescent="0.25">
      <c r="A60" s="4">
        <v>50</v>
      </c>
      <c r="B60" s="4">
        <v>0</v>
      </c>
      <c r="C60" s="4">
        <v>0</v>
      </c>
      <c r="D60" s="4">
        <v>1</v>
      </c>
      <c r="E60" s="4">
        <v>205</v>
      </c>
      <c r="F60" s="4">
        <f>ROUND(Source!S45,O60)</f>
        <v>115371.07</v>
      </c>
      <c r="G60" s="4" t="s">
        <v>117</v>
      </c>
      <c r="H60" s="4" t="s">
        <v>118</v>
      </c>
      <c r="I60" s="4"/>
      <c r="J60" s="4"/>
      <c r="K60" s="4">
        <v>205</v>
      </c>
      <c r="L60" s="4">
        <v>14</v>
      </c>
      <c r="M60" s="4">
        <v>3</v>
      </c>
      <c r="N60" s="4" t="s">
        <v>3</v>
      </c>
      <c r="O60" s="4">
        <v>2</v>
      </c>
      <c r="P60" s="4"/>
      <c r="Q60" s="4"/>
      <c r="R60" s="4"/>
      <c r="S60" s="4"/>
      <c r="T60" s="4"/>
      <c r="U60" s="4"/>
      <c r="V60" s="4"/>
      <c r="W60" s="4"/>
    </row>
    <row r="61" spans="1:23" x14ac:dyDescent="0.25">
      <c r="A61" s="4">
        <v>50</v>
      </c>
      <c r="B61" s="4">
        <v>0</v>
      </c>
      <c r="C61" s="4">
        <v>0</v>
      </c>
      <c r="D61" s="4">
        <v>1</v>
      </c>
      <c r="E61" s="4">
        <v>232</v>
      </c>
      <c r="F61" s="4">
        <f>ROUND(Source!BC45,O61)</f>
        <v>0</v>
      </c>
      <c r="G61" s="4" t="s">
        <v>119</v>
      </c>
      <c r="H61" s="4" t="s">
        <v>120</v>
      </c>
      <c r="I61" s="4"/>
      <c r="J61" s="4"/>
      <c r="K61" s="4">
        <v>232</v>
      </c>
      <c r="L61" s="4">
        <v>15</v>
      </c>
      <c r="M61" s="4">
        <v>3</v>
      </c>
      <c r="N61" s="4" t="s">
        <v>3</v>
      </c>
      <c r="O61" s="4">
        <v>2</v>
      </c>
      <c r="P61" s="4"/>
      <c r="Q61" s="4"/>
      <c r="R61" s="4"/>
      <c r="S61" s="4"/>
      <c r="T61" s="4"/>
      <c r="U61" s="4"/>
      <c r="V61" s="4"/>
      <c r="W61" s="4"/>
    </row>
    <row r="62" spans="1:23" x14ac:dyDescent="0.25">
      <c r="A62" s="4">
        <v>50</v>
      </c>
      <c r="B62" s="4">
        <v>0</v>
      </c>
      <c r="C62" s="4">
        <v>0</v>
      </c>
      <c r="D62" s="4">
        <v>1</v>
      </c>
      <c r="E62" s="4">
        <v>214</v>
      </c>
      <c r="F62" s="4">
        <f>ROUND(Source!AS45,O62)</f>
        <v>128842.33</v>
      </c>
      <c r="G62" s="4" t="s">
        <v>121</v>
      </c>
      <c r="H62" s="4" t="s">
        <v>122</v>
      </c>
      <c r="I62" s="4"/>
      <c r="J62" s="4"/>
      <c r="K62" s="4">
        <v>214</v>
      </c>
      <c r="L62" s="4">
        <v>16</v>
      </c>
      <c r="M62" s="4">
        <v>3</v>
      </c>
      <c r="N62" s="4" t="s">
        <v>3</v>
      </c>
      <c r="O62" s="4">
        <v>2</v>
      </c>
      <c r="P62" s="4"/>
      <c r="Q62" s="4"/>
      <c r="R62" s="4"/>
      <c r="S62" s="4"/>
      <c r="T62" s="4"/>
      <c r="U62" s="4"/>
      <c r="V62" s="4"/>
      <c r="W62" s="4"/>
    </row>
    <row r="63" spans="1:23" x14ac:dyDescent="0.25">
      <c r="A63" s="4">
        <v>50</v>
      </c>
      <c r="B63" s="4">
        <v>0</v>
      </c>
      <c r="C63" s="4">
        <v>0</v>
      </c>
      <c r="D63" s="4">
        <v>1</v>
      </c>
      <c r="E63" s="4">
        <v>215</v>
      </c>
      <c r="F63" s="4">
        <f>ROUND(Source!AT45,O63)</f>
        <v>0</v>
      </c>
      <c r="G63" s="4" t="s">
        <v>123</v>
      </c>
      <c r="H63" s="4" t="s">
        <v>124</v>
      </c>
      <c r="I63" s="4"/>
      <c r="J63" s="4"/>
      <c r="K63" s="4">
        <v>215</v>
      </c>
      <c r="L63" s="4">
        <v>17</v>
      </c>
      <c r="M63" s="4">
        <v>3</v>
      </c>
      <c r="N63" s="4" t="s">
        <v>3</v>
      </c>
      <c r="O63" s="4">
        <v>2</v>
      </c>
      <c r="P63" s="4"/>
      <c r="Q63" s="4"/>
      <c r="R63" s="4"/>
      <c r="S63" s="4"/>
      <c r="T63" s="4"/>
      <c r="U63" s="4"/>
      <c r="V63" s="4"/>
      <c r="W63" s="4"/>
    </row>
    <row r="64" spans="1:23" x14ac:dyDescent="0.25">
      <c r="A64" s="4">
        <v>50</v>
      </c>
      <c r="B64" s="4">
        <v>0</v>
      </c>
      <c r="C64" s="4">
        <v>0</v>
      </c>
      <c r="D64" s="4">
        <v>1</v>
      </c>
      <c r="E64" s="4">
        <v>217</v>
      </c>
      <c r="F64" s="4">
        <f>ROUND(Source!AU45,O64)</f>
        <v>499693.37</v>
      </c>
      <c r="G64" s="4" t="s">
        <v>125</v>
      </c>
      <c r="H64" s="4" t="s">
        <v>126</v>
      </c>
      <c r="I64" s="4"/>
      <c r="J64" s="4"/>
      <c r="K64" s="4">
        <v>217</v>
      </c>
      <c r="L64" s="4">
        <v>18</v>
      </c>
      <c r="M64" s="4">
        <v>3</v>
      </c>
      <c r="N64" s="4" t="s">
        <v>3</v>
      </c>
      <c r="O64" s="4">
        <v>2</v>
      </c>
      <c r="P64" s="4"/>
      <c r="Q64" s="4"/>
      <c r="R64" s="4"/>
      <c r="S64" s="4"/>
      <c r="T64" s="4"/>
      <c r="U64" s="4"/>
      <c r="V64" s="4"/>
      <c r="W64" s="4"/>
    </row>
    <row r="65" spans="1:23" x14ac:dyDescent="0.25">
      <c r="A65" s="4">
        <v>50</v>
      </c>
      <c r="B65" s="4">
        <v>0</v>
      </c>
      <c r="C65" s="4">
        <v>0</v>
      </c>
      <c r="D65" s="4">
        <v>1</v>
      </c>
      <c r="E65" s="4">
        <v>230</v>
      </c>
      <c r="F65" s="4">
        <f>ROUND(Source!BA45,O65)</f>
        <v>0</v>
      </c>
      <c r="G65" s="4" t="s">
        <v>127</v>
      </c>
      <c r="H65" s="4" t="s">
        <v>128</v>
      </c>
      <c r="I65" s="4"/>
      <c r="J65" s="4"/>
      <c r="K65" s="4">
        <v>230</v>
      </c>
      <c r="L65" s="4">
        <v>19</v>
      </c>
      <c r="M65" s="4">
        <v>3</v>
      </c>
      <c r="N65" s="4" t="s">
        <v>3</v>
      </c>
      <c r="O65" s="4">
        <v>2</v>
      </c>
      <c r="P65" s="4"/>
      <c r="Q65" s="4"/>
      <c r="R65" s="4"/>
      <c r="S65" s="4"/>
      <c r="T65" s="4"/>
      <c r="U65" s="4"/>
      <c r="V65" s="4"/>
      <c r="W65" s="4"/>
    </row>
    <row r="66" spans="1:23" x14ac:dyDescent="0.25">
      <c r="A66" s="4">
        <v>50</v>
      </c>
      <c r="B66" s="4">
        <v>0</v>
      </c>
      <c r="C66" s="4">
        <v>0</v>
      </c>
      <c r="D66" s="4">
        <v>1</v>
      </c>
      <c r="E66" s="4">
        <v>206</v>
      </c>
      <c r="F66" s="4">
        <f>ROUND(Source!T45,O66)</f>
        <v>0</v>
      </c>
      <c r="G66" s="4" t="s">
        <v>129</v>
      </c>
      <c r="H66" s="4" t="s">
        <v>130</v>
      </c>
      <c r="I66" s="4"/>
      <c r="J66" s="4"/>
      <c r="K66" s="4">
        <v>206</v>
      </c>
      <c r="L66" s="4">
        <v>20</v>
      </c>
      <c r="M66" s="4">
        <v>3</v>
      </c>
      <c r="N66" s="4" t="s">
        <v>3</v>
      </c>
      <c r="O66" s="4">
        <v>2</v>
      </c>
      <c r="P66" s="4"/>
      <c r="Q66" s="4"/>
      <c r="R66" s="4"/>
      <c r="S66" s="4"/>
      <c r="T66" s="4"/>
      <c r="U66" s="4"/>
      <c r="V66" s="4"/>
      <c r="W66" s="4"/>
    </row>
    <row r="67" spans="1:23" x14ac:dyDescent="0.25">
      <c r="A67" s="4">
        <v>50</v>
      </c>
      <c r="B67" s="4">
        <v>0</v>
      </c>
      <c r="C67" s="4">
        <v>0</v>
      </c>
      <c r="D67" s="4">
        <v>1</v>
      </c>
      <c r="E67" s="4">
        <v>207</v>
      </c>
      <c r="F67" s="4">
        <f>Source!U45</f>
        <v>574.92776000000003</v>
      </c>
      <c r="G67" s="4" t="s">
        <v>131</v>
      </c>
      <c r="H67" s="4" t="s">
        <v>132</v>
      </c>
      <c r="I67" s="4"/>
      <c r="J67" s="4"/>
      <c r="K67" s="4">
        <v>207</v>
      </c>
      <c r="L67" s="4">
        <v>21</v>
      </c>
      <c r="M67" s="4">
        <v>3</v>
      </c>
      <c r="N67" s="4" t="s">
        <v>3</v>
      </c>
      <c r="O67" s="4">
        <v>-1</v>
      </c>
      <c r="P67" s="4"/>
      <c r="Q67" s="4"/>
      <c r="R67" s="4"/>
      <c r="S67" s="4"/>
      <c r="T67" s="4"/>
      <c r="U67" s="4"/>
      <c r="V67" s="4"/>
      <c r="W67" s="4"/>
    </row>
    <row r="68" spans="1:23" x14ac:dyDescent="0.25">
      <c r="A68" s="4">
        <v>50</v>
      </c>
      <c r="B68" s="4">
        <v>0</v>
      </c>
      <c r="C68" s="4">
        <v>0</v>
      </c>
      <c r="D68" s="4">
        <v>1</v>
      </c>
      <c r="E68" s="4">
        <v>208</v>
      </c>
      <c r="F68" s="4">
        <f>Source!V45</f>
        <v>0</v>
      </c>
      <c r="G68" s="4" t="s">
        <v>133</v>
      </c>
      <c r="H68" s="4" t="s">
        <v>134</v>
      </c>
      <c r="I68" s="4"/>
      <c r="J68" s="4"/>
      <c r="K68" s="4">
        <v>208</v>
      </c>
      <c r="L68" s="4">
        <v>22</v>
      </c>
      <c r="M68" s="4">
        <v>3</v>
      </c>
      <c r="N68" s="4" t="s">
        <v>3</v>
      </c>
      <c r="O68" s="4">
        <v>-1</v>
      </c>
      <c r="P68" s="4"/>
      <c r="Q68" s="4"/>
      <c r="R68" s="4"/>
      <c r="S68" s="4"/>
      <c r="T68" s="4"/>
      <c r="U68" s="4"/>
      <c r="V68" s="4"/>
      <c r="W68" s="4"/>
    </row>
    <row r="69" spans="1:23" x14ac:dyDescent="0.25">
      <c r="A69" s="4">
        <v>50</v>
      </c>
      <c r="B69" s="4">
        <v>0</v>
      </c>
      <c r="C69" s="4">
        <v>0</v>
      </c>
      <c r="D69" s="4">
        <v>1</v>
      </c>
      <c r="E69" s="4">
        <v>209</v>
      </c>
      <c r="F69" s="4">
        <f>ROUND(Source!W45,O69)</f>
        <v>0</v>
      </c>
      <c r="G69" s="4" t="s">
        <v>135</v>
      </c>
      <c r="H69" s="4" t="s">
        <v>136</v>
      </c>
      <c r="I69" s="4"/>
      <c r="J69" s="4"/>
      <c r="K69" s="4">
        <v>209</v>
      </c>
      <c r="L69" s="4">
        <v>23</v>
      </c>
      <c r="M69" s="4">
        <v>3</v>
      </c>
      <c r="N69" s="4" t="s">
        <v>3</v>
      </c>
      <c r="O69" s="4">
        <v>2</v>
      </c>
      <c r="P69" s="4"/>
      <c r="Q69" s="4"/>
      <c r="R69" s="4"/>
      <c r="S69" s="4"/>
      <c r="T69" s="4"/>
      <c r="U69" s="4"/>
      <c r="V69" s="4"/>
      <c r="W69" s="4"/>
    </row>
    <row r="70" spans="1:23" x14ac:dyDescent="0.25">
      <c r="A70" s="4">
        <v>50</v>
      </c>
      <c r="B70" s="4">
        <v>0</v>
      </c>
      <c r="C70" s="4">
        <v>0</v>
      </c>
      <c r="D70" s="4">
        <v>1</v>
      </c>
      <c r="E70" s="4">
        <v>233</v>
      </c>
      <c r="F70" s="4">
        <f>ROUND(Source!BD45,O70)</f>
        <v>0</v>
      </c>
      <c r="G70" s="4" t="s">
        <v>137</v>
      </c>
      <c r="H70" s="4" t="s">
        <v>138</v>
      </c>
      <c r="I70" s="4"/>
      <c r="J70" s="4"/>
      <c r="K70" s="4">
        <v>233</v>
      </c>
      <c r="L70" s="4">
        <v>24</v>
      </c>
      <c r="M70" s="4">
        <v>3</v>
      </c>
      <c r="N70" s="4" t="s">
        <v>3</v>
      </c>
      <c r="O70" s="4">
        <v>2</v>
      </c>
      <c r="P70" s="4"/>
      <c r="Q70" s="4"/>
      <c r="R70" s="4"/>
      <c r="S70" s="4"/>
      <c r="T70" s="4"/>
      <c r="U70" s="4"/>
      <c r="V70" s="4"/>
      <c r="W70" s="4"/>
    </row>
    <row r="71" spans="1:23" x14ac:dyDescent="0.25">
      <c r="A71" s="4">
        <v>50</v>
      </c>
      <c r="B71" s="4">
        <v>0</v>
      </c>
      <c r="C71" s="4">
        <v>0</v>
      </c>
      <c r="D71" s="4">
        <v>1</v>
      </c>
      <c r="E71" s="4">
        <v>210</v>
      </c>
      <c r="F71" s="4">
        <f>ROUND(Source!X45,O71)</f>
        <v>80759.759999999995</v>
      </c>
      <c r="G71" s="4" t="s">
        <v>139</v>
      </c>
      <c r="H71" s="4" t="s">
        <v>140</v>
      </c>
      <c r="I71" s="4"/>
      <c r="J71" s="4"/>
      <c r="K71" s="4">
        <v>210</v>
      </c>
      <c r="L71" s="4">
        <v>25</v>
      </c>
      <c r="M71" s="4">
        <v>3</v>
      </c>
      <c r="N71" s="4" t="s">
        <v>3</v>
      </c>
      <c r="O71" s="4">
        <v>2</v>
      </c>
      <c r="P71" s="4"/>
      <c r="Q71" s="4"/>
      <c r="R71" s="4"/>
      <c r="S71" s="4"/>
      <c r="T71" s="4"/>
      <c r="U71" s="4"/>
      <c r="V71" s="4"/>
      <c r="W71" s="4"/>
    </row>
    <row r="72" spans="1:23" x14ac:dyDescent="0.25">
      <c r="A72" s="4">
        <v>50</v>
      </c>
      <c r="B72" s="4">
        <v>0</v>
      </c>
      <c r="C72" s="4">
        <v>0</v>
      </c>
      <c r="D72" s="4">
        <v>1</v>
      </c>
      <c r="E72" s="4">
        <v>211</v>
      </c>
      <c r="F72" s="4">
        <f>ROUND(Source!Y45,O72)</f>
        <v>11537.12</v>
      </c>
      <c r="G72" s="4" t="s">
        <v>141</v>
      </c>
      <c r="H72" s="4" t="s">
        <v>142</v>
      </c>
      <c r="I72" s="4"/>
      <c r="J72" s="4"/>
      <c r="K72" s="4">
        <v>211</v>
      </c>
      <c r="L72" s="4">
        <v>26</v>
      </c>
      <c r="M72" s="4">
        <v>3</v>
      </c>
      <c r="N72" s="4" t="s">
        <v>3</v>
      </c>
      <c r="O72" s="4">
        <v>2</v>
      </c>
      <c r="P72" s="4"/>
      <c r="Q72" s="4"/>
      <c r="R72" s="4"/>
      <c r="S72" s="4"/>
      <c r="T72" s="4"/>
      <c r="U72" s="4"/>
      <c r="V72" s="4"/>
      <c r="W72" s="4"/>
    </row>
    <row r="73" spans="1:23" x14ac:dyDescent="0.25">
      <c r="A73" s="4">
        <v>50</v>
      </c>
      <c r="B73" s="4">
        <v>0</v>
      </c>
      <c r="C73" s="4">
        <v>0</v>
      </c>
      <c r="D73" s="4">
        <v>1</v>
      </c>
      <c r="E73" s="4">
        <v>224</v>
      </c>
      <c r="F73" s="4">
        <f>ROUND(Source!AR45,O73)</f>
        <v>628535.69999999995</v>
      </c>
      <c r="G73" s="4" t="s">
        <v>143</v>
      </c>
      <c r="H73" s="4" t="s">
        <v>144</v>
      </c>
      <c r="I73" s="4"/>
      <c r="J73" s="4"/>
      <c r="K73" s="4">
        <v>224</v>
      </c>
      <c r="L73" s="4">
        <v>27</v>
      </c>
      <c r="M73" s="4">
        <v>3</v>
      </c>
      <c r="N73" s="4" t="s">
        <v>3</v>
      </c>
      <c r="O73" s="4">
        <v>2</v>
      </c>
      <c r="P73" s="4"/>
      <c r="Q73" s="4"/>
      <c r="R73" s="4"/>
      <c r="S73" s="4"/>
      <c r="T73" s="4"/>
      <c r="U73" s="4"/>
      <c r="V73" s="4"/>
      <c r="W73" s="4"/>
    </row>
    <row r="74" spans="1:23" x14ac:dyDescent="0.25">
      <c r="A74" s="4">
        <v>50</v>
      </c>
      <c r="B74" s="4">
        <v>1</v>
      </c>
      <c r="C74" s="4">
        <v>0</v>
      </c>
      <c r="D74" s="4">
        <v>2</v>
      </c>
      <c r="E74" s="4">
        <v>0</v>
      </c>
      <c r="F74" s="4">
        <f>ROUND(F60,O74)</f>
        <v>115371.07</v>
      </c>
      <c r="G74" s="4" t="s">
        <v>22</v>
      </c>
      <c r="H74" s="4" t="s">
        <v>145</v>
      </c>
      <c r="I74" s="4"/>
      <c r="J74" s="4"/>
      <c r="K74" s="4">
        <v>212</v>
      </c>
      <c r="L74" s="4">
        <v>28</v>
      </c>
      <c r="M74" s="4">
        <v>0</v>
      </c>
      <c r="N74" s="4" t="s">
        <v>3</v>
      </c>
      <c r="O74" s="4">
        <v>2</v>
      </c>
      <c r="P74" s="4"/>
      <c r="Q74" s="4"/>
      <c r="R74" s="4"/>
      <c r="S74" s="4"/>
      <c r="T74" s="4"/>
      <c r="U74" s="4"/>
      <c r="V74" s="4"/>
      <c r="W74" s="4"/>
    </row>
    <row r="75" spans="1:23" x14ac:dyDescent="0.25">
      <c r="A75" s="4">
        <v>50</v>
      </c>
      <c r="B75" s="4">
        <v>1</v>
      </c>
      <c r="C75" s="4">
        <v>0</v>
      </c>
      <c r="D75" s="4">
        <v>2</v>
      </c>
      <c r="E75" s="4">
        <v>0</v>
      </c>
      <c r="F75" s="4">
        <f>ROUND(F59,O75)</f>
        <v>49858.31</v>
      </c>
      <c r="G75" s="4" t="s">
        <v>27</v>
      </c>
      <c r="H75" s="4" t="s">
        <v>146</v>
      </c>
      <c r="I75" s="4"/>
      <c r="J75" s="4"/>
      <c r="K75" s="4">
        <v>212</v>
      </c>
      <c r="L75" s="4">
        <v>29</v>
      </c>
      <c r="M75" s="4">
        <v>0</v>
      </c>
      <c r="N75" s="4" t="s">
        <v>3</v>
      </c>
      <c r="O75" s="4">
        <v>2</v>
      </c>
      <c r="P75" s="4"/>
      <c r="Q75" s="4"/>
      <c r="R75" s="4"/>
      <c r="S75" s="4"/>
      <c r="T75" s="4"/>
      <c r="U75" s="4"/>
      <c r="V75" s="4"/>
      <c r="W75" s="4"/>
    </row>
    <row r="76" spans="1:23" x14ac:dyDescent="0.25">
      <c r="A76" s="4">
        <v>50</v>
      </c>
      <c r="B76" s="4">
        <v>1</v>
      </c>
      <c r="C76" s="4">
        <v>0</v>
      </c>
      <c r="D76" s="4">
        <v>2</v>
      </c>
      <c r="E76" s="4">
        <v>0</v>
      </c>
      <c r="F76" s="4">
        <f>ROUND(F72,O76)</f>
        <v>11537.12</v>
      </c>
      <c r="G76" s="4" t="s">
        <v>30</v>
      </c>
      <c r="H76" s="4" t="s">
        <v>147</v>
      </c>
      <c r="I76" s="4"/>
      <c r="J76" s="4"/>
      <c r="K76" s="4">
        <v>212</v>
      </c>
      <c r="L76" s="4">
        <v>30</v>
      </c>
      <c r="M76" s="4">
        <v>0</v>
      </c>
      <c r="N76" s="4" t="s">
        <v>3</v>
      </c>
      <c r="O76" s="4">
        <v>2</v>
      </c>
      <c r="P76" s="4"/>
      <c r="Q76" s="4"/>
      <c r="R76" s="4"/>
      <c r="S76" s="4"/>
      <c r="T76" s="4"/>
      <c r="U76" s="4"/>
      <c r="V76" s="4"/>
      <c r="W76" s="4"/>
    </row>
    <row r="77" spans="1:23" x14ac:dyDescent="0.25">
      <c r="A77" s="4">
        <v>50</v>
      </c>
      <c r="B77" s="4">
        <v>1</v>
      </c>
      <c r="C77" s="4">
        <v>0</v>
      </c>
      <c r="D77" s="4">
        <v>2</v>
      </c>
      <c r="E77" s="4">
        <v>0</v>
      </c>
      <c r="F77" s="4">
        <f>ROUND(F59*0.3,O77)</f>
        <v>14957.49</v>
      </c>
      <c r="G77" s="4" t="s">
        <v>35</v>
      </c>
      <c r="H77" s="4" t="s">
        <v>148</v>
      </c>
      <c r="I77" s="4"/>
      <c r="J77" s="4"/>
      <c r="K77" s="4">
        <v>212</v>
      </c>
      <c r="L77" s="4">
        <v>31</v>
      </c>
      <c r="M77" s="4">
        <v>0</v>
      </c>
      <c r="N77" s="4" t="s">
        <v>3</v>
      </c>
      <c r="O77" s="4">
        <v>2</v>
      </c>
      <c r="P77" s="4"/>
      <c r="Q77" s="4"/>
      <c r="R77" s="4"/>
      <c r="S77" s="4"/>
      <c r="T77" s="4"/>
      <c r="U77" s="4"/>
      <c r="V77" s="4"/>
      <c r="W77" s="4"/>
    </row>
    <row r="78" spans="1:23" x14ac:dyDescent="0.25">
      <c r="A78" s="4">
        <v>50</v>
      </c>
      <c r="B78" s="4">
        <v>1</v>
      </c>
      <c r="C78" s="4">
        <v>0</v>
      </c>
      <c r="D78" s="4">
        <v>2</v>
      </c>
      <c r="E78" s="4">
        <v>0</v>
      </c>
      <c r="F78" s="4">
        <f>ROUND(F73-F74-F75-F76-F77,O78)</f>
        <v>436811.71</v>
      </c>
      <c r="G78" s="4" t="s">
        <v>40</v>
      </c>
      <c r="H78" s="4" t="s">
        <v>149</v>
      </c>
      <c r="I78" s="4"/>
      <c r="J78" s="4"/>
      <c r="K78" s="4">
        <v>212</v>
      </c>
      <c r="L78" s="4">
        <v>32</v>
      </c>
      <c r="M78" s="4">
        <v>0</v>
      </c>
      <c r="N78" s="4" t="s">
        <v>3</v>
      </c>
      <c r="O78" s="4">
        <v>2</v>
      </c>
      <c r="P78" s="4"/>
      <c r="Q78" s="4"/>
      <c r="R78" s="4"/>
      <c r="S78" s="4"/>
      <c r="T78" s="4"/>
      <c r="U78" s="4"/>
      <c r="V78" s="4"/>
      <c r="W78" s="4"/>
    </row>
    <row r="79" spans="1:23" x14ac:dyDescent="0.25">
      <c r="A79" s="4">
        <v>50</v>
      </c>
      <c r="B79" s="4">
        <v>1</v>
      </c>
      <c r="C79" s="4">
        <v>0</v>
      </c>
      <c r="D79" s="4">
        <v>2</v>
      </c>
      <c r="E79" s="4">
        <v>0</v>
      </c>
      <c r="F79" s="4">
        <f>ROUND(F78*0.2,O79)</f>
        <v>87362.34</v>
      </c>
      <c r="G79" s="4" t="s">
        <v>45</v>
      </c>
      <c r="H79" s="4" t="s">
        <v>150</v>
      </c>
      <c r="I79" s="4"/>
      <c r="J79" s="4"/>
      <c r="K79" s="4">
        <v>212</v>
      </c>
      <c r="L79" s="4">
        <v>33</v>
      </c>
      <c r="M79" s="4">
        <v>0</v>
      </c>
      <c r="N79" s="4" t="s">
        <v>3</v>
      </c>
      <c r="O79" s="4">
        <v>2</v>
      </c>
      <c r="P79" s="4"/>
      <c r="Q79" s="4"/>
      <c r="R79" s="4"/>
      <c r="S79" s="4"/>
      <c r="T79" s="4"/>
      <c r="U79" s="4"/>
      <c r="V79" s="4"/>
      <c r="W79" s="4"/>
    </row>
    <row r="80" spans="1:23" x14ac:dyDescent="0.25">
      <c r="A80" s="4">
        <v>50</v>
      </c>
      <c r="B80" s="4">
        <v>1</v>
      </c>
      <c r="C80" s="4">
        <v>0</v>
      </c>
      <c r="D80" s="4">
        <v>2</v>
      </c>
      <c r="E80" s="4">
        <v>0</v>
      </c>
      <c r="F80" s="4">
        <f>ROUND(F78+F79,O80)</f>
        <v>524174.05</v>
      </c>
      <c r="G80" s="4" t="s">
        <v>50</v>
      </c>
      <c r="H80" s="4" t="s">
        <v>151</v>
      </c>
      <c r="I80" s="4"/>
      <c r="J80" s="4"/>
      <c r="K80" s="4">
        <v>212</v>
      </c>
      <c r="L80" s="4">
        <v>34</v>
      </c>
      <c r="M80" s="4">
        <v>0</v>
      </c>
      <c r="N80" s="4" t="s">
        <v>3</v>
      </c>
      <c r="O80" s="4">
        <v>2</v>
      </c>
      <c r="P80" s="4"/>
      <c r="Q80" s="4"/>
      <c r="R80" s="4"/>
      <c r="S80" s="4"/>
      <c r="T80" s="4"/>
      <c r="U80" s="4"/>
      <c r="V80" s="4"/>
      <c r="W80" s="4"/>
    </row>
    <row r="81" spans="1:245" x14ac:dyDescent="0.25">
      <c r="A81" s="4">
        <v>50</v>
      </c>
      <c r="B81" s="4">
        <v>1</v>
      </c>
      <c r="C81" s="4">
        <v>0</v>
      </c>
      <c r="D81" s="4">
        <v>2</v>
      </c>
      <c r="E81" s="4">
        <v>0</v>
      </c>
      <c r="F81" s="4">
        <f>ROUND(F80+F74+F75,O81)</f>
        <v>689403.43</v>
      </c>
      <c r="G81" s="4" t="s">
        <v>55</v>
      </c>
      <c r="H81" s="4" t="s">
        <v>152</v>
      </c>
      <c r="I81" s="4"/>
      <c r="J81" s="4"/>
      <c r="K81" s="4">
        <v>212</v>
      </c>
      <c r="L81" s="4">
        <v>35</v>
      </c>
      <c r="M81" s="4">
        <v>0</v>
      </c>
      <c r="N81" s="4" t="s">
        <v>3</v>
      </c>
      <c r="O81" s="4">
        <v>2</v>
      </c>
      <c r="P81" s="4"/>
      <c r="Q81" s="4"/>
      <c r="R81" s="4"/>
      <c r="S81" s="4"/>
      <c r="T81" s="4"/>
      <c r="U81" s="4"/>
      <c r="V81" s="4"/>
      <c r="W81" s="4"/>
    </row>
    <row r="83" spans="1:245" x14ac:dyDescent="0.25">
      <c r="A83" s="1">
        <v>4</v>
      </c>
      <c r="B83" s="1">
        <v>1</v>
      </c>
      <c r="C83" s="1"/>
      <c r="D83" s="1">
        <f>ROW(A93)</f>
        <v>93</v>
      </c>
      <c r="E83" s="1"/>
      <c r="F83" s="1" t="s">
        <v>20</v>
      </c>
      <c r="G83" s="1" t="s">
        <v>153</v>
      </c>
      <c r="H83" s="1" t="s">
        <v>3</v>
      </c>
      <c r="I83" s="1">
        <v>0</v>
      </c>
      <c r="J83" s="1"/>
      <c r="K83" s="1">
        <v>-1</v>
      </c>
      <c r="L83" s="1"/>
      <c r="M83" s="1"/>
      <c r="N83" s="1"/>
      <c r="O83" s="1"/>
      <c r="P83" s="1"/>
      <c r="Q83" s="1"/>
      <c r="R83" s="1"/>
      <c r="S83" s="1"/>
      <c r="T83" s="1"/>
      <c r="U83" s="1" t="s">
        <v>3</v>
      </c>
      <c r="V83" s="1">
        <v>0</v>
      </c>
      <c r="W83" s="1"/>
      <c r="X83" s="1"/>
      <c r="Y83" s="1"/>
      <c r="Z83" s="1"/>
      <c r="AA83" s="1"/>
      <c r="AB83" s="1" t="s">
        <v>3</v>
      </c>
      <c r="AC83" s="1" t="s">
        <v>3</v>
      </c>
      <c r="AD83" s="1" t="s">
        <v>3</v>
      </c>
      <c r="AE83" s="1" t="s">
        <v>3</v>
      </c>
      <c r="AF83" s="1" t="s">
        <v>3</v>
      </c>
      <c r="AG83" s="1" t="s">
        <v>3</v>
      </c>
      <c r="AH83" s="1"/>
      <c r="AI83" s="1"/>
      <c r="AJ83" s="1"/>
      <c r="AK83" s="1"/>
      <c r="AL83" s="1"/>
      <c r="AM83" s="1"/>
      <c r="AN83" s="1"/>
      <c r="AO83" s="1"/>
      <c r="AP83" s="1" t="s">
        <v>3</v>
      </c>
      <c r="AQ83" s="1" t="s">
        <v>3</v>
      </c>
      <c r="AR83" s="1" t="s">
        <v>3</v>
      </c>
      <c r="AS83" s="1"/>
      <c r="AT83" s="1"/>
      <c r="AU83" s="1"/>
      <c r="AV83" s="1"/>
      <c r="AW83" s="1"/>
      <c r="AX83" s="1"/>
      <c r="AY83" s="1"/>
      <c r="AZ83" s="1" t="s">
        <v>3</v>
      </c>
      <c r="BA83" s="1"/>
      <c r="BB83" s="1" t="s">
        <v>3</v>
      </c>
      <c r="BC83" s="1" t="s">
        <v>3</v>
      </c>
      <c r="BD83" s="1" t="s">
        <v>3</v>
      </c>
      <c r="BE83" s="1" t="s">
        <v>3</v>
      </c>
      <c r="BF83" s="1" t="s">
        <v>3</v>
      </c>
      <c r="BG83" s="1" t="s">
        <v>3</v>
      </c>
      <c r="BH83" s="1" t="s">
        <v>3</v>
      </c>
      <c r="BI83" s="1" t="s">
        <v>3</v>
      </c>
      <c r="BJ83" s="1" t="s">
        <v>3</v>
      </c>
      <c r="BK83" s="1" t="s">
        <v>3</v>
      </c>
      <c r="BL83" s="1" t="s">
        <v>3</v>
      </c>
      <c r="BM83" s="1" t="s">
        <v>3</v>
      </c>
      <c r="BN83" s="1" t="s">
        <v>3</v>
      </c>
      <c r="BO83" s="1" t="s">
        <v>3</v>
      </c>
      <c r="BP83" s="1" t="s">
        <v>3</v>
      </c>
      <c r="BQ83" s="1"/>
      <c r="BR83" s="1"/>
      <c r="BS83" s="1"/>
      <c r="BT83" s="1"/>
      <c r="BU83" s="1"/>
      <c r="BV83" s="1"/>
      <c r="BW83" s="1"/>
      <c r="BX83" s="1">
        <v>0</v>
      </c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>
        <v>0</v>
      </c>
    </row>
    <row r="85" spans="1:245" x14ac:dyDescent="0.25">
      <c r="A85" s="2">
        <v>52</v>
      </c>
      <c r="B85" s="2">
        <f t="shared" ref="B85:G85" si="69">B93</f>
        <v>1</v>
      </c>
      <c r="C85" s="2">
        <f t="shared" si="69"/>
        <v>4</v>
      </c>
      <c r="D85" s="2">
        <f t="shared" si="69"/>
        <v>83</v>
      </c>
      <c r="E85" s="2">
        <f t="shared" si="69"/>
        <v>0</v>
      </c>
      <c r="F85" s="2" t="str">
        <f t="shared" si="69"/>
        <v>Новый раздел</v>
      </c>
      <c r="G85" s="2" t="str">
        <f t="shared" si="69"/>
        <v>Ремонт газонов</v>
      </c>
      <c r="H85" s="2"/>
      <c r="I85" s="2"/>
      <c r="J85" s="2"/>
      <c r="K85" s="2"/>
      <c r="L85" s="2"/>
      <c r="M85" s="2"/>
      <c r="N85" s="2"/>
      <c r="O85" s="2">
        <f t="shared" ref="O85:AT85" si="70">O93</f>
        <v>63177.13</v>
      </c>
      <c r="P85" s="2">
        <f t="shared" si="70"/>
        <v>36845.24</v>
      </c>
      <c r="Q85" s="2">
        <f t="shared" si="70"/>
        <v>184.48</v>
      </c>
      <c r="R85" s="2">
        <f t="shared" si="70"/>
        <v>67.489999999999995</v>
      </c>
      <c r="S85" s="2">
        <f t="shared" si="70"/>
        <v>26147.41</v>
      </c>
      <c r="T85" s="2">
        <f t="shared" si="70"/>
        <v>0</v>
      </c>
      <c r="U85" s="2">
        <f t="shared" si="70"/>
        <v>139.05687225</v>
      </c>
      <c r="V85" s="2">
        <f t="shared" si="70"/>
        <v>0</v>
      </c>
      <c r="W85" s="2">
        <f t="shared" si="70"/>
        <v>0</v>
      </c>
      <c r="X85" s="2">
        <f t="shared" si="70"/>
        <v>18303.189999999999</v>
      </c>
      <c r="Y85" s="2">
        <f t="shared" si="70"/>
        <v>2614.7399999999998</v>
      </c>
      <c r="Z85" s="2">
        <f t="shared" si="70"/>
        <v>0</v>
      </c>
      <c r="AA85" s="2">
        <f t="shared" si="70"/>
        <v>0</v>
      </c>
      <c r="AB85" s="2">
        <f t="shared" si="70"/>
        <v>63177.13</v>
      </c>
      <c r="AC85" s="2">
        <f t="shared" si="70"/>
        <v>36845.24</v>
      </c>
      <c r="AD85" s="2">
        <f t="shared" si="70"/>
        <v>184.48</v>
      </c>
      <c r="AE85" s="2">
        <f t="shared" si="70"/>
        <v>67.489999999999995</v>
      </c>
      <c r="AF85" s="2">
        <f t="shared" si="70"/>
        <v>26147.41</v>
      </c>
      <c r="AG85" s="2">
        <f t="shared" si="70"/>
        <v>0</v>
      </c>
      <c r="AH85" s="2">
        <f t="shared" si="70"/>
        <v>139.05687225</v>
      </c>
      <c r="AI85" s="2">
        <f t="shared" si="70"/>
        <v>0</v>
      </c>
      <c r="AJ85" s="2">
        <f t="shared" si="70"/>
        <v>0</v>
      </c>
      <c r="AK85" s="2">
        <f t="shared" si="70"/>
        <v>18303.189999999999</v>
      </c>
      <c r="AL85" s="2">
        <f t="shared" si="70"/>
        <v>2614.7399999999998</v>
      </c>
      <c r="AM85" s="2">
        <f t="shared" si="70"/>
        <v>0</v>
      </c>
      <c r="AN85" s="2">
        <f t="shared" si="70"/>
        <v>0</v>
      </c>
      <c r="AO85" s="2">
        <f t="shared" si="70"/>
        <v>0</v>
      </c>
      <c r="AP85" s="2">
        <f t="shared" si="70"/>
        <v>0</v>
      </c>
      <c r="AQ85" s="2">
        <f t="shared" si="70"/>
        <v>0</v>
      </c>
      <c r="AR85" s="2">
        <f t="shared" si="70"/>
        <v>84167.95</v>
      </c>
      <c r="AS85" s="2">
        <f t="shared" si="70"/>
        <v>0</v>
      </c>
      <c r="AT85" s="2">
        <f t="shared" si="70"/>
        <v>0</v>
      </c>
      <c r="AU85" s="2">
        <f t="shared" ref="AU85:BZ85" si="71">AU93</f>
        <v>84167.95</v>
      </c>
      <c r="AV85" s="2">
        <f t="shared" si="71"/>
        <v>36845.24</v>
      </c>
      <c r="AW85" s="2">
        <f t="shared" si="71"/>
        <v>36845.24</v>
      </c>
      <c r="AX85" s="2">
        <f t="shared" si="71"/>
        <v>0</v>
      </c>
      <c r="AY85" s="2">
        <f t="shared" si="71"/>
        <v>36845.24</v>
      </c>
      <c r="AZ85" s="2">
        <f t="shared" si="71"/>
        <v>0</v>
      </c>
      <c r="BA85" s="2">
        <f t="shared" si="71"/>
        <v>0</v>
      </c>
      <c r="BB85" s="2">
        <f t="shared" si="71"/>
        <v>0</v>
      </c>
      <c r="BC85" s="2">
        <f t="shared" si="71"/>
        <v>0</v>
      </c>
      <c r="BD85" s="2">
        <f t="shared" si="71"/>
        <v>0</v>
      </c>
      <c r="BE85" s="2">
        <f t="shared" si="71"/>
        <v>0</v>
      </c>
      <c r="BF85" s="2">
        <f t="shared" si="71"/>
        <v>0</v>
      </c>
      <c r="BG85" s="2">
        <f t="shared" si="71"/>
        <v>0</v>
      </c>
      <c r="BH85" s="2">
        <f t="shared" si="71"/>
        <v>0</v>
      </c>
      <c r="BI85" s="2">
        <f t="shared" si="71"/>
        <v>0</v>
      </c>
      <c r="BJ85" s="2">
        <f t="shared" si="71"/>
        <v>0</v>
      </c>
      <c r="BK85" s="2">
        <f t="shared" si="71"/>
        <v>0</v>
      </c>
      <c r="BL85" s="2">
        <f t="shared" si="71"/>
        <v>0</v>
      </c>
      <c r="BM85" s="2">
        <f t="shared" si="71"/>
        <v>0</v>
      </c>
      <c r="BN85" s="2">
        <f t="shared" si="71"/>
        <v>0</v>
      </c>
      <c r="BO85" s="2">
        <f t="shared" si="71"/>
        <v>0</v>
      </c>
      <c r="BP85" s="2">
        <f t="shared" si="71"/>
        <v>0</v>
      </c>
      <c r="BQ85" s="2">
        <f t="shared" si="71"/>
        <v>0</v>
      </c>
      <c r="BR85" s="2">
        <f t="shared" si="71"/>
        <v>0</v>
      </c>
      <c r="BS85" s="2">
        <f t="shared" si="71"/>
        <v>0</v>
      </c>
      <c r="BT85" s="2">
        <f t="shared" si="71"/>
        <v>0</v>
      </c>
      <c r="BU85" s="2">
        <f t="shared" si="71"/>
        <v>0</v>
      </c>
      <c r="BV85" s="2">
        <f t="shared" si="71"/>
        <v>0</v>
      </c>
      <c r="BW85" s="2">
        <f t="shared" si="71"/>
        <v>0</v>
      </c>
      <c r="BX85" s="2">
        <f t="shared" si="71"/>
        <v>0</v>
      </c>
      <c r="BY85" s="2">
        <f t="shared" si="71"/>
        <v>0</v>
      </c>
      <c r="BZ85" s="2">
        <f t="shared" si="71"/>
        <v>0</v>
      </c>
      <c r="CA85" s="2">
        <f t="shared" ref="CA85:DF85" si="72">CA93</f>
        <v>84167.95</v>
      </c>
      <c r="CB85" s="2">
        <f t="shared" si="72"/>
        <v>0</v>
      </c>
      <c r="CC85" s="2">
        <f t="shared" si="72"/>
        <v>0</v>
      </c>
      <c r="CD85" s="2">
        <f t="shared" si="72"/>
        <v>84167.95</v>
      </c>
      <c r="CE85" s="2">
        <f t="shared" si="72"/>
        <v>36845.24</v>
      </c>
      <c r="CF85" s="2">
        <f t="shared" si="72"/>
        <v>36845.24</v>
      </c>
      <c r="CG85" s="2">
        <f t="shared" si="72"/>
        <v>0</v>
      </c>
      <c r="CH85" s="2">
        <f t="shared" si="72"/>
        <v>36845.24</v>
      </c>
      <c r="CI85" s="2">
        <f t="shared" si="72"/>
        <v>0</v>
      </c>
      <c r="CJ85" s="2">
        <f t="shared" si="72"/>
        <v>0</v>
      </c>
      <c r="CK85" s="2">
        <f t="shared" si="72"/>
        <v>0</v>
      </c>
      <c r="CL85" s="2">
        <f t="shared" si="72"/>
        <v>0</v>
      </c>
      <c r="CM85" s="2">
        <f t="shared" si="72"/>
        <v>0</v>
      </c>
      <c r="CN85" s="2">
        <f t="shared" si="72"/>
        <v>0</v>
      </c>
      <c r="CO85" s="2">
        <f t="shared" si="72"/>
        <v>0</v>
      </c>
      <c r="CP85" s="2">
        <f t="shared" si="72"/>
        <v>0</v>
      </c>
      <c r="CQ85" s="2">
        <f t="shared" si="72"/>
        <v>0</v>
      </c>
      <c r="CR85" s="2">
        <f t="shared" si="72"/>
        <v>0</v>
      </c>
      <c r="CS85" s="2">
        <f t="shared" si="72"/>
        <v>0</v>
      </c>
      <c r="CT85" s="2">
        <f t="shared" si="72"/>
        <v>0</v>
      </c>
      <c r="CU85" s="2">
        <f t="shared" si="72"/>
        <v>0</v>
      </c>
      <c r="CV85" s="2">
        <f t="shared" si="72"/>
        <v>0</v>
      </c>
      <c r="CW85" s="2">
        <f t="shared" si="72"/>
        <v>0</v>
      </c>
      <c r="CX85" s="2">
        <f t="shared" si="72"/>
        <v>0</v>
      </c>
      <c r="CY85" s="2">
        <f t="shared" si="72"/>
        <v>0</v>
      </c>
      <c r="CZ85" s="2">
        <f t="shared" si="72"/>
        <v>0</v>
      </c>
      <c r="DA85" s="2">
        <f t="shared" si="72"/>
        <v>0</v>
      </c>
      <c r="DB85" s="2">
        <f t="shared" si="72"/>
        <v>0</v>
      </c>
      <c r="DC85" s="2">
        <f t="shared" si="72"/>
        <v>0</v>
      </c>
      <c r="DD85" s="2">
        <f t="shared" si="72"/>
        <v>0</v>
      </c>
      <c r="DE85" s="2">
        <f t="shared" si="72"/>
        <v>0</v>
      </c>
      <c r="DF85" s="2">
        <f t="shared" si="72"/>
        <v>0</v>
      </c>
      <c r="DG85" s="3">
        <f t="shared" ref="DG85:EL85" si="73">DG93</f>
        <v>0</v>
      </c>
      <c r="DH85" s="3">
        <f t="shared" si="73"/>
        <v>0</v>
      </c>
      <c r="DI85" s="3">
        <f t="shared" si="73"/>
        <v>0</v>
      </c>
      <c r="DJ85" s="3">
        <f t="shared" si="73"/>
        <v>0</v>
      </c>
      <c r="DK85" s="3">
        <f t="shared" si="73"/>
        <v>0</v>
      </c>
      <c r="DL85" s="3">
        <f t="shared" si="73"/>
        <v>0</v>
      </c>
      <c r="DM85" s="3">
        <f t="shared" si="73"/>
        <v>0</v>
      </c>
      <c r="DN85" s="3">
        <f t="shared" si="73"/>
        <v>0</v>
      </c>
      <c r="DO85" s="3">
        <f t="shared" si="73"/>
        <v>0</v>
      </c>
      <c r="DP85" s="3">
        <f t="shared" si="73"/>
        <v>0</v>
      </c>
      <c r="DQ85" s="3">
        <f t="shared" si="73"/>
        <v>0</v>
      </c>
      <c r="DR85" s="3">
        <f t="shared" si="73"/>
        <v>0</v>
      </c>
      <c r="DS85" s="3">
        <f t="shared" si="73"/>
        <v>0</v>
      </c>
      <c r="DT85" s="3">
        <f t="shared" si="73"/>
        <v>0</v>
      </c>
      <c r="DU85" s="3">
        <f t="shared" si="73"/>
        <v>0</v>
      </c>
      <c r="DV85" s="3">
        <f t="shared" si="73"/>
        <v>0</v>
      </c>
      <c r="DW85" s="3">
        <f t="shared" si="73"/>
        <v>0</v>
      </c>
      <c r="DX85" s="3">
        <f t="shared" si="73"/>
        <v>0</v>
      </c>
      <c r="DY85" s="3">
        <f t="shared" si="73"/>
        <v>0</v>
      </c>
      <c r="DZ85" s="3">
        <f t="shared" si="73"/>
        <v>0</v>
      </c>
      <c r="EA85" s="3">
        <f t="shared" si="73"/>
        <v>0</v>
      </c>
      <c r="EB85" s="3">
        <f t="shared" si="73"/>
        <v>0</v>
      </c>
      <c r="EC85" s="3">
        <f t="shared" si="73"/>
        <v>0</v>
      </c>
      <c r="ED85" s="3">
        <f t="shared" si="73"/>
        <v>0</v>
      </c>
      <c r="EE85" s="3">
        <f t="shared" si="73"/>
        <v>0</v>
      </c>
      <c r="EF85" s="3">
        <f t="shared" si="73"/>
        <v>0</v>
      </c>
      <c r="EG85" s="3">
        <f t="shared" si="73"/>
        <v>0</v>
      </c>
      <c r="EH85" s="3">
        <f t="shared" si="73"/>
        <v>0</v>
      </c>
      <c r="EI85" s="3">
        <f t="shared" si="73"/>
        <v>0</v>
      </c>
      <c r="EJ85" s="3">
        <f t="shared" si="73"/>
        <v>0</v>
      </c>
      <c r="EK85" s="3">
        <f t="shared" si="73"/>
        <v>0</v>
      </c>
      <c r="EL85" s="3">
        <f t="shared" si="73"/>
        <v>0</v>
      </c>
      <c r="EM85" s="3">
        <f t="shared" ref="EM85:FR85" si="74">EM93</f>
        <v>0</v>
      </c>
      <c r="EN85" s="3">
        <f t="shared" si="74"/>
        <v>0</v>
      </c>
      <c r="EO85" s="3">
        <f t="shared" si="74"/>
        <v>0</v>
      </c>
      <c r="EP85" s="3">
        <f t="shared" si="74"/>
        <v>0</v>
      </c>
      <c r="EQ85" s="3">
        <f t="shared" si="74"/>
        <v>0</v>
      </c>
      <c r="ER85" s="3">
        <f t="shared" si="74"/>
        <v>0</v>
      </c>
      <c r="ES85" s="3">
        <f t="shared" si="74"/>
        <v>0</v>
      </c>
      <c r="ET85" s="3">
        <f t="shared" si="74"/>
        <v>0</v>
      </c>
      <c r="EU85" s="3">
        <f t="shared" si="74"/>
        <v>0</v>
      </c>
      <c r="EV85" s="3">
        <f t="shared" si="74"/>
        <v>0</v>
      </c>
      <c r="EW85" s="3">
        <f t="shared" si="74"/>
        <v>0</v>
      </c>
      <c r="EX85" s="3">
        <f t="shared" si="74"/>
        <v>0</v>
      </c>
      <c r="EY85" s="3">
        <f t="shared" si="74"/>
        <v>0</v>
      </c>
      <c r="EZ85" s="3">
        <f t="shared" si="74"/>
        <v>0</v>
      </c>
      <c r="FA85" s="3">
        <f t="shared" si="74"/>
        <v>0</v>
      </c>
      <c r="FB85" s="3">
        <f t="shared" si="74"/>
        <v>0</v>
      </c>
      <c r="FC85" s="3">
        <f t="shared" si="74"/>
        <v>0</v>
      </c>
      <c r="FD85" s="3">
        <f t="shared" si="74"/>
        <v>0</v>
      </c>
      <c r="FE85" s="3">
        <f t="shared" si="74"/>
        <v>0</v>
      </c>
      <c r="FF85" s="3">
        <f t="shared" si="74"/>
        <v>0</v>
      </c>
      <c r="FG85" s="3">
        <f t="shared" si="74"/>
        <v>0</v>
      </c>
      <c r="FH85" s="3">
        <f t="shared" si="74"/>
        <v>0</v>
      </c>
      <c r="FI85" s="3">
        <f t="shared" si="74"/>
        <v>0</v>
      </c>
      <c r="FJ85" s="3">
        <f t="shared" si="74"/>
        <v>0</v>
      </c>
      <c r="FK85" s="3">
        <f t="shared" si="74"/>
        <v>0</v>
      </c>
      <c r="FL85" s="3">
        <f t="shared" si="74"/>
        <v>0</v>
      </c>
      <c r="FM85" s="3">
        <f t="shared" si="74"/>
        <v>0</v>
      </c>
      <c r="FN85" s="3">
        <f t="shared" si="74"/>
        <v>0</v>
      </c>
      <c r="FO85" s="3">
        <f t="shared" si="74"/>
        <v>0</v>
      </c>
      <c r="FP85" s="3">
        <f t="shared" si="74"/>
        <v>0</v>
      </c>
      <c r="FQ85" s="3">
        <f t="shared" si="74"/>
        <v>0</v>
      </c>
      <c r="FR85" s="3">
        <f t="shared" si="74"/>
        <v>0</v>
      </c>
      <c r="FS85" s="3">
        <f t="shared" ref="FS85:GX85" si="75">FS93</f>
        <v>0</v>
      </c>
      <c r="FT85" s="3">
        <f t="shared" si="75"/>
        <v>0</v>
      </c>
      <c r="FU85" s="3">
        <f t="shared" si="75"/>
        <v>0</v>
      </c>
      <c r="FV85" s="3">
        <f t="shared" si="75"/>
        <v>0</v>
      </c>
      <c r="FW85" s="3">
        <f t="shared" si="75"/>
        <v>0</v>
      </c>
      <c r="FX85" s="3">
        <f t="shared" si="75"/>
        <v>0</v>
      </c>
      <c r="FY85" s="3">
        <f t="shared" si="75"/>
        <v>0</v>
      </c>
      <c r="FZ85" s="3">
        <f t="shared" si="75"/>
        <v>0</v>
      </c>
      <c r="GA85" s="3">
        <f t="shared" si="75"/>
        <v>0</v>
      </c>
      <c r="GB85" s="3">
        <f t="shared" si="75"/>
        <v>0</v>
      </c>
      <c r="GC85" s="3">
        <f t="shared" si="75"/>
        <v>0</v>
      </c>
      <c r="GD85" s="3">
        <f t="shared" si="75"/>
        <v>0</v>
      </c>
      <c r="GE85" s="3">
        <f t="shared" si="75"/>
        <v>0</v>
      </c>
      <c r="GF85" s="3">
        <f t="shared" si="75"/>
        <v>0</v>
      </c>
      <c r="GG85" s="3">
        <f t="shared" si="75"/>
        <v>0</v>
      </c>
      <c r="GH85" s="3">
        <f t="shared" si="75"/>
        <v>0</v>
      </c>
      <c r="GI85" s="3">
        <f t="shared" si="75"/>
        <v>0</v>
      </c>
      <c r="GJ85" s="3">
        <f t="shared" si="75"/>
        <v>0</v>
      </c>
      <c r="GK85" s="3">
        <f t="shared" si="75"/>
        <v>0</v>
      </c>
      <c r="GL85" s="3">
        <f t="shared" si="75"/>
        <v>0</v>
      </c>
      <c r="GM85" s="3">
        <f t="shared" si="75"/>
        <v>0</v>
      </c>
      <c r="GN85" s="3">
        <f t="shared" si="75"/>
        <v>0</v>
      </c>
      <c r="GO85" s="3">
        <f t="shared" si="75"/>
        <v>0</v>
      </c>
      <c r="GP85" s="3">
        <f t="shared" si="75"/>
        <v>0</v>
      </c>
      <c r="GQ85" s="3">
        <f t="shared" si="75"/>
        <v>0</v>
      </c>
      <c r="GR85" s="3">
        <f t="shared" si="75"/>
        <v>0</v>
      </c>
      <c r="GS85" s="3">
        <f t="shared" si="75"/>
        <v>0</v>
      </c>
      <c r="GT85" s="3">
        <f t="shared" si="75"/>
        <v>0</v>
      </c>
      <c r="GU85" s="3">
        <f t="shared" si="75"/>
        <v>0</v>
      </c>
      <c r="GV85" s="3">
        <f t="shared" si="75"/>
        <v>0</v>
      </c>
      <c r="GW85" s="3">
        <f t="shared" si="75"/>
        <v>0</v>
      </c>
      <c r="GX85" s="3">
        <f t="shared" si="75"/>
        <v>0</v>
      </c>
    </row>
    <row r="87" spans="1:245" x14ac:dyDescent="0.25">
      <c r="A87">
        <v>17</v>
      </c>
      <c r="B87">
        <v>1</v>
      </c>
      <c r="E87" t="s">
        <v>154</v>
      </c>
      <c r="F87" t="s">
        <v>3</v>
      </c>
      <c r="G87" t="s">
        <v>153</v>
      </c>
      <c r="H87" t="s">
        <v>23</v>
      </c>
      <c r="I87">
        <v>404.82350000000002</v>
      </c>
      <c r="J87">
        <v>0</v>
      </c>
      <c r="O87">
        <f>ROUND(CP87,2)</f>
        <v>0</v>
      </c>
      <c r="P87">
        <f>ROUND(CQ87*I87,2)</f>
        <v>0</v>
      </c>
      <c r="Q87">
        <f>ROUND(CR87*I87,2)</f>
        <v>0</v>
      </c>
      <c r="R87">
        <f>ROUND(CS87*I87,2)</f>
        <v>0</v>
      </c>
      <c r="S87">
        <f>ROUND(CT87*I87,2)</f>
        <v>0</v>
      </c>
      <c r="T87">
        <f>ROUND(CU87*I87,2)</f>
        <v>0</v>
      </c>
      <c r="U87">
        <f>CV87*I87</f>
        <v>0</v>
      </c>
      <c r="V87">
        <f>CW87*I87</f>
        <v>0</v>
      </c>
      <c r="W87">
        <f>ROUND(CX87*I87,2)</f>
        <v>0</v>
      </c>
      <c r="X87">
        <f t="shared" ref="X87:Y91" si="76">ROUND(CY87,2)</f>
        <v>0</v>
      </c>
      <c r="Y87">
        <f t="shared" si="76"/>
        <v>0</v>
      </c>
      <c r="AA87">
        <v>50844173</v>
      </c>
      <c r="AB87">
        <f>ROUND((AC87+AD87+AF87),6)</f>
        <v>0</v>
      </c>
      <c r="AC87">
        <f>ROUND((ES87),6)</f>
        <v>0</v>
      </c>
      <c r="AD87">
        <f>ROUND((((ET87)-(EU87))+AE87),6)</f>
        <v>0</v>
      </c>
      <c r="AE87">
        <f t="shared" ref="AE87:AF91" si="77">ROUND((EU87),6)</f>
        <v>0</v>
      </c>
      <c r="AF87">
        <f t="shared" si="77"/>
        <v>0</v>
      </c>
      <c r="AG87">
        <f>ROUND((AP87),6)</f>
        <v>0</v>
      </c>
      <c r="AH87">
        <f t="shared" ref="AH87:AI91" si="78">(EW87)</f>
        <v>0</v>
      </c>
      <c r="AI87">
        <f t="shared" si="78"/>
        <v>0</v>
      </c>
      <c r="AJ87">
        <f>(AS87)</f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70</v>
      </c>
      <c r="AU87">
        <v>10</v>
      </c>
      <c r="AV87">
        <v>1</v>
      </c>
      <c r="AW87">
        <v>1</v>
      </c>
      <c r="AZ87">
        <v>1</v>
      </c>
      <c r="BA87">
        <v>1</v>
      </c>
      <c r="BB87">
        <v>1</v>
      </c>
      <c r="BC87">
        <v>1</v>
      </c>
      <c r="BD87" t="s">
        <v>3</v>
      </c>
      <c r="BE87" t="s">
        <v>3</v>
      </c>
      <c r="BF87" t="s">
        <v>3</v>
      </c>
      <c r="BG87" t="s">
        <v>3</v>
      </c>
      <c r="BH87">
        <v>0</v>
      </c>
      <c r="BI87">
        <v>4</v>
      </c>
      <c r="BJ87" t="s">
        <v>3</v>
      </c>
      <c r="BM87">
        <v>0</v>
      </c>
      <c r="BN87">
        <v>0</v>
      </c>
      <c r="BO87" t="s">
        <v>3</v>
      </c>
      <c r="BP87">
        <v>0</v>
      </c>
      <c r="BQ87">
        <v>1</v>
      </c>
      <c r="BR87">
        <v>0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 t="s">
        <v>3</v>
      </c>
      <c r="BZ87">
        <v>70</v>
      </c>
      <c r="CA87">
        <v>10</v>
      </c>
      <c r="CE87">
        <v>0</v>
      </c>
      <c r="CF87">
        <v>0</v>
      </c>
      <c r="CG87">
        <v>0</v>
      </c>
      <c r="CM87">
        <v>0</v>
      </c>
      <c r="CN87" t="s">
        <v>3</v>
      </c>
      <c r="CO87">
        <v>0</v>
      </c>
      <c r="CP87">
        <f>(P87+Q87+S87)</f>
        <v>0</v>
      </c>
      <c r="CQ87">
        <f>(AC87*BC87*AW87)</f>
        <v>0</v>
      </c>
      <c r="CR87">
        <f>((((ET87)*BB87-(EU87)*BS87)+AE87*BS87)*AV87)</f>
        <v>0</v>
      </c>
      <c r="CS87">
        <f>(AE87*BS87*AV87)</f>
        <v>0</v>
      </c>
      <c r="CT87">
        <f>(AF87*BA87*AV87)</f>
        <v>0</v>
      </c>
      <c r="CU87">
        <f>AG87</f>
        <v>0</v>
      </c>
      <c r="CV87">
        <f>(AH87*AV87)</f>
        <v>0</v>
      </c>
      <c r="CW87">
        <f t="shared" ref="CW87:CX91" si="79">AI87</f>
        <v>0</v>
      </c>
      <c r="CX87">
        <f t="shared" si="79"/>
        <v>0</v>
      </c>
      <c r="CY87">
        <f>((S87*BZ87)/100)</f>
        <v>0</v>
      </c>
      <c r="CZ87">
        <f>((S87*CA87)/100)</f>
        <v>0</v>
      </c>
      <c r="DC87" t="s">
        <v>3</v>
      </c>
      <c r="DD87" t="s">
        <v>3</v>
      </c>
      <c r="DE87" t="s">
        <v>3</v>
      </c>
      <c r="DF87" t="s">
        <v>3</v>
      </c>
      <c r="DG87" t="s">
        <v>3</v>
      </c>
      <c r="DH87" t="s">
        <v>3</v>
      </c>
      <c r="DI87" t="s">
        <v>3</v>
      </c>
      <c r="DJ87" t="s">
        <v>3</v>
      </c>
      <c r="DK87" t="s">
        <v>3</v>
      </c>
      <c r="DL87" t="s">
        <v>3</v>
      </c>
      <c r="DM87" t="s">
        <v>3</v>
      </c>
      <c r="DN87">
        <v>0</v>
      </c>
      <c r="DO87">
        <v>0</v>
      </c>
      <c r="DP87">
        <v>1</v>
      </c>
      <c r="DQ87">
        <v>1</v>
      </c>
      <c r="DU87">
        <v>1013</v>
      </c>
      <c r="DV87" t="s">
        <v>23</v>
      </c>
      <c r="DW87" t="s">
        <v>23</v>
      </c>
      <c r="DX87">
        <v>1</v>
      </c>
      <c r="EE87">
        <v>51051537</v>
      </c>
      <c r="EF87">
        <v>1</v>
      </c>
      <c r="EG87" t="s">
        <v>24</v>
      </c>
      <c r="EH87">
        <v>0</v>
      </c>
      <c r="EI87" t="s">
        <v>3</v>
      </c>
      <c r="EJ87">
        <v>4</v>
      </c>
      <c r="EK87">
        <v>0</v>
      </c>
      <c r="EL87" t="s">
        <v>25</v>
      </c>
      <c r="EM87" t="s">
        <v>26</v>
      </c>
      <c r="EO87" t="s">
        <v>3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FQ87">
        <v>0</v>
      </c>
      <c r="FR87">
        <f>ROUND(IF(AND(BH87=3,BI87=3),P87,0),2)</f>
        <v>0</v>
      </c>
      <c r="FS87">
        <v>0</v>
      </c>
      <c r="FX87">
        <v>70</v>
      </c>
      <c r="FY87">
        <v>10</v>
      </c>
      <c r="GA87" t="s">
        <v>3</v>
      </c>
      <c r="GD87">
        <v>0</v>
      </c>
      <c r="GF87">
        <v>-2002894436</v>
      </c>
      <c r="GG87">
        <v>2</v>
      </c>
      <c r="GH87">
        <v>0</v>
      </c>
      <c r="GI87">
        <v>-2</v>
      </c>
      <c r="GJ87">
        <v>0</v>
      </c>
      <c r="GK87">
        <f>ROUND(R87*(R12)/100,2)</f>
        <v>0</v>
      </c>
      <c r="GL87">
        <f>ROUND(IF(AND(BH87=3,BI87=3,FS87&lt;&gt;0),P87,0),2)</f>
        <v>0</v>
      </c>
      <c r="GM87">
        <f>ROUND(O87+X87+Y87+GK87,2)+GX87</f>
        <v>0</v>
      </c>
      <c r="GN87">
        <f>IF(OR(BI87=0,BI87=1),ROUND(O87+X87+Y87+GK87,2),0)</f>
        <v>0</v>
      </c>
      <c r="GO87">
        <f>IF(BI87=2,ROUND(O87+X87+Y87+GK87,2),0)</f>
        <v>0</v>
      </c>
      <c r="GP87">
        <f>IF(BI87=4,ROUND(O87+X87+Y87+GK87,2)+GX87,0)</f>
        <v>0</v>
      </c>
      <c r="GR87">
        <v>0</v>
      </c>
      <c r="GS87">
        <v>3</v>
      </c>
      <c r="GT87">
        <v>0</v>
      </c>
      <c r="GU87" t="s">
        <v>3</v>
      </c>
      <c r="GV87">
        <f>ROUND((GT87),6)</f>
        <v>0</v>
      </c>
      <c r="GW87">
        <v>1</v>
      </c>
      <c r="GX87">
        <f>ROUND(HC87*I87,2)</f>
        <v>0</v>
      </c>
      <c r="HA87">
        <v>0</v>
      </c>
      <c r="HB87">
        <v>0</v>
      </c>
      <c r="HC87">
        <f>GV87*GW87</f>
        <v>0</v>
      </c>
      <c r="IK87">
        <v>0</v>
      </c>
    </row>
    <row r="88" spans="1:245" x14ac:dyDescent="0.25">
      <c r="A88">
        <v>17</v>
      </c>
      <c r="B88">
        <v>1</v>
      </c>
      <c r="C88">
        <f>ROW(SmtRes!A34)</f>
        <v>34</v>
      </c>
      <c r="D88">
        <f>ROW(EtalonRes!A32)</f>
        <v>32</v>
      </c>
      <c r="E88" t="s">
        <v>155</v>
      </c>
      <c r="F88" t="s">
        <v>156</v>
      </c>
      <c r="G88" t="s">
        <v>157</v>
      </c>
      <c r="H88" t="s">
        <v>38</v>
      </c>
      <c r="I88">
        <f>ROUND(I87*0.75/100,9)</f>
        <v>3.03617625</v>
      </c>
      <c r="J88">
        <v>0</v>
      </c>
      <c r="O88">
        <f>ROUND(CP88,2)</f>
        <v>51810.61</v>
      </c>
      <c r="P88">
        <f>ROUND(CQ88*I88,2)</f>
        <v>34324.120000000003</v>
      </c>
      <c r="Q88">
        <f>ROUND(CR88*I88,2)</f>
        <v>184.48</v>
      </c>
      <c r="R88">
        <f>ROUND(CS88*I88,2)</f>
        <v>67.489999999999995</v>
      </c>
      <c r="S88">
        <f>ROUND(CT88*I88,2)</f>
        <v>17302.009999999998</v>
      </c>
      <c r="T88">
        <f>ROUND(CU88*I88,2)</f>
        <v>0</v>
      </c>
      <c r="U88">
        <f>CV88*I88</f>
        <v>93.514228500000002</v>
      </c>
      <c r="V88">
        <f>CW88*I88</f>
        <v>0</v>
      </c>
      <c r="W88">
        <f>ROUND(CX88*I88,2)</f>
        <v>0</v>
      </c>
      <c r="X88">
        <f t="shared" si="76"/>
        <v>12111.41</v>
      </c>
      <c r="Y88">
        <f t="shared" si="76"/>
        <v>1730.2</v>
      </c>
      <c r="AA88">
        <v>50844173</v>
      </c>
      <c r="AB88">
        <f>ROUND((AC88+AD88+AF88),6)</f>
        <v>17064.43</v>
      </c>
      <c r="AC88">
        <f>ROUND((ES88),6)</f>
        <v>11305.05</v>
      </c>
      <c r="AD88">
        <f>ROUND((((ET88)-(EU88))+AE88),6)</f>
        <v>60.76</v>
      </c>
      <c r="AE88">
        <f t="shared" si="77"/>
        <v>22.23</v>
      </c>
      <c r="AF88">
        <f t="shared" si="77"/>
        <v>5698.62</v>
      </c>
      <c r="AG88">
        <f>ROUND((AP88),6)</f>
        <v>0</v>
      </c>
      <c r="AH88">
        <f t="shared" si="78"/>
        <v>30.8</v>
      </c>
      <c r="AI88">
        <f t="shared" si="78"/>
        <v>0</v>
      </c>
      <c r="AJ88">
        <f>(AS88)</f>
        <v>0</v>
      </c>
      <c r="AK88">
        <v>17064.43</v>
      </c>
      <c r="AL88">
        <v>11305.05</v>
      </c>
      <c r="AM88">
        <v>60.76</v>
      </c>
      <c r="AN88">
        <v>22.23</v>
      </c>
      <c r="AO88">
        <v>5698.62</v>
      </c>
      <c r="AP88">
        <v>0</v>
      </c>
      <c r="AQ88">
        <v>30.8</v>
      </c>
      <c r="AR88">
        <v>0</v>
      </c>
      <c r="AS88">
        <v>0</v>
      </c>
      <c r="AT88">
        <v>70</v>
      </c>
      <c r="AU88">
        <v>10</v>
      </c>
      <c r="AV88">
        <v>1</v>
      </c>
      <c r="AW88">
        <v>1</v>
      </c>
      <c r="AZ88">
        <v>1</v>
      </c>
      <c r="BA88">
        <v>1</v>
      </c>
      <c r="BB88">
        <v>1</v>
      </c>
      <c r="BC88">
        <v>1</v>
      </c>
      <c r="BD88" t="s">
        <v>3</v>
      </c>
      <c r="BE88" t="s">
        <v>3</v>
      </c>
      <c r="BF88" t="s">
        <v>3</v>
      </c>
      <c r="BG88" t="s">
        <v>3</v>
      </c>
      <c r="BH88">
        <v>0</v>
      </c>
      <c r="BI88">
        <v>4</v>
      </c>
      <c r="BJ88" t="s">
        <v>158</v>
      </c>
      <c r="BM88">
        <v>0</v>
      </c>
      <c r="BN88">
        <v>0</v>
      </c>
      <c r="BO88" t="s">
        <v>3</v>
      </c>
      <c r="BP88">
        <v>0</v>
      </c>
      <c r="BQ88">
        <v>1</v>
      </c>
      <c r="BR88">
        <v>0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 t="s">
        <v>3</v>
      </c>
      <c r="BZ88">
        <v>70</v>
      </c>
      <c r="CA88">
        <v>10</v>
      </c>
      <c r="CE88">
        <v>0</v>
      </c>
      <c r="CF88">
        <v>0</v>
      </c>
      <c r="CG88">
        <v>0</v>
      </c>
      <c r="CM88">
        <v>0</v>
      </c>
      <c r="CN88" t="s">
        <v>3</v>
      </c>
      <c r="CO88">
        <v>0</v>
      </c>
      <c r="CP88">
        <f>(P88+Q88+S88)</f>
        <v>51810.61</v>
      </c>
      <c r="CQ88">
        <f>(AC88*BC88*AW88)</f>
        <v>11305.05</v>
      </c>
      <c r="CR88">
        <f>((((ET88)*BB88-(EU88)*BS88)+AE88*BS88)*AV88)</f>
        <v>60.760000000000005</v>
      </c>
      <c r="CS88">
        <f>(AE88*BS88*AV88)</f>
        <v>22.23</v>
      </c>
      <c r="CT88">
        <f>(AF88*BA88*AV88)</f>
        <v>5698.62</v>
      </c>
      <c r="CU88">
        <f>AG88</f>
        <v>0</v>
      </c>
      <c r="CV88">
        <f>(AH88*AV88)</f>
        <v>30.8</v>
      </c>
      <c r="CW88">
        <f t="shared" si="79"/>
        <v>0</v>
      </c>
      <c r="CX88">
        <f t="shared" si="79"/>
        <v>0</v>
      </c>
      <c r="CY88">
        <f>((S88*BZ88)/100)</f>
        <v>12111.406999999999</v>
      </c>
      <c r="CZ88">
        <f>((S88*CA88)/100)</f>
        <v>1730.2009999999998</v>
      </c>
      <c r="DC88" t="s">
        <v>3</v>
      </c>
      <c r="DD88" t="s">
        <v>3</v>
      </c>
      <c r="DE88" t="s">
        <v>3</v>
      </c>
      <c r="DF88" t="s">
        <v>3</v>
      </c>
      <c r="DG88" t="s">
        <v>3</v>
      </c>
      <c r="DH88" t="s">
        <v>3</v>
      </c>
      <c r="DI88" t="s">
        <v>3</v>
      </c>
      <c r="DJ88" t="s">
        <v>3</v>
      </c>
      <c r="DK88" t="s">
        <v>3</v>
      </c>
      <c r="DL88" t="s">
        <v>3</v>
      </c>
      <c r="DM88" t="s">
        <v>3</v>
      </c>
      <c r="DN88">
        <v>0</v>
      </c>
      <c r="DO88">
        <v>0</v>
      </c>
      <c r="DP88">
        <v>1</v>
      </c>
      <c r="DQ88">
        <v>1</v>
      </c>
      <c r="DU88">
        <v>1005</v>
      </c>
      <c r="DV88" t="s">
        <v>38</v>
      </c>
      <c r="DW88" t="s">
        <v>38</v>
      </c>
      <c r="DX88">
        <v>100</v>
      </c>
      <c r="EE88">
        <v>51051537</v>
      </c>
      <c r="EF88">
        <v>1</v>
      </c>
      <c r="EG88" t="s">
        <v>24</v>
      </c>
      <c r="EH88">
        <v>0</v>
      </c>
      <c r="EI88" t="s">
        <v>3</v>
      </c>
      <c r="EJ88">
        <v>4</v>
      </c>
      <c r="EK88">
        <v>0</v>
      </c>
      <c r="EL88" t="s">
        <v>25</v>
      </c>
      <c r="EM88" t="s">
        <v>26</v>
      </c>
      <c r="EO88" t="s">
        <v>3</v>
      </c>
      <c r="EQ88">
        <v>0</v>
      </c>
      <c r="ER88">
        <v>17064.43</v>
      </c>
      <c r="ES88">
        <v>11305.05</v>
      </c>
      <c r="ET88">
        <v>60.76</v>
      </c>
      <c r="EU88">
        <v>22.23</v>
      </c>
      <c r="EV88">
        <v>5698.62</v>
      </c>
      <c r="EW88">
        <v>30.8</v>
      </c>
      <c r="EX88">
        <v>0</v>
      </c>
      <c r="EY88">
        <v>0</v>
      </c>
      <c r="FQ88">
        <v>0</v>
      </c>
      <c r="FR88">
        <f>ROUND(IF(AND(BH88=3,BI88=3),P88,0),2)</f>
        <v>0</v>
      </c>
      <c r="FS88">
        <v>0</v>
      </c>
      <c r="FX88">
        <v>70</v>
      </c>
      <c r="FY88">
        <v>10</v>
      </c>
      <c r="GA88" t="s">
        <v>3</v>
      </c>
      <c r="GD88">
        <v>0</v>
      </c>
      <c r="GF88">
        <v>92011487</v>
      </c>
      <c r="GG88">
        <v>2</v>
      </c>
      <c r="GH88">
        <v>1</v>
      </c>
      <c r="GI88">
        <v>-2</v>
      </c>
      <c r="GJ88">
        <v>0</v>
      </c>
      <c r="GK88">
        <f>ROUND(R88*(R12)/100,2)</f>
        <v>72.89</v>
      </c>
      <c r="GL88">
        <f>ROUND(IF(AND(BH88=3,BI88=3,FS88&lt;&gt;0),P88,0),2)</f>
        <v>0</v>
      </c>
      <c r="GM88">
        <f>ROUND(O88+X88+Y88+GK88,2)+GX88</f>
        <v>65725.11</v>
      </c>
      <c r="GN88">
        <f>IF(OR(BI88=0,BI88=1),ROUND(O88+X88+Y88+GK88,2),0)</f>
        <v>0</v>
      </c>
      <c r="GO88">
        <f>IF(BI88=2,ROUND(O88+X88+Y88+GK88,2),0)</f>
        <v>0</v>
      </c>
      <c r="GP88">
        <f>IF(BI88=4,ROUND(O88+X88+Y88+GK88,2)+GX88,0)</f>
        <v>65725.11</v>
      </c>
      <c r="GR88">
        <v>0</v>
      </c>
      <c r="GS88">
        <v>0</v>
      </c>
      <c r="GT88">
        <v>0</v>
      </c>
      <c r="GU88" t="s">
        <v>3</v>
      </c>
      <c r="GV88">
        <f>ROUND((GT88),6)</f>
        <v>0</v>
      </c>
      <c r="GW88">
        <v>1</v>
      </c>
      <c r="GX88">
        <f>ROUND(HC88*I88,2)</f>
        <v>0</v>
      </c>
      <c r="HA88">
        <v>0</v>
      </c>
      <c r="HB88">
        <v>0</v>
      </c>
      <c r="HC88">
        <f>GV88*GW88</f>
        <v>0</v>
      </c>
      <c r="IK88">
        <v>0</v>
      </c>
    </row>
    <row r="89" spans="1:245" x14ac:dyDescent="0.25">
      <c r="A89">
        <v>17</v>
      </c>
      <c r="B89">
        <v>1</v>
      </c>
      <c r="C89">
        <f>ROW(SmtRes!A36)</f>
        <v>36</v>
      </c>
      <c r="D89">
        <f>ROW(EtalonRes!A34)</f>
        <v>34</v>
      </c>
      <c r="E89" t="s">
        <v>159</v>
      </c>
      <c r="F89" t="s">
        <v>160</v>
      </c>
      <c r="G89" t="s">
        <v>161</v>
      </c>
      <c r="H89" t="s">
        <v>38</v>
      </c>
      <c r="I89">
        <f>ROUND(I87*0.25/100,9)</f>
        <v>1.01205875</v>
      </c>
      <c r="J89">
        <v>0</v>
      </c>
      <c r="O89">
        <f>ROUND(CP89,2)</f>
        <v>20054.919999999998</v>
      </c>
      <c r="P89">
        <f>ROUND(CQ89*I89,2)</f>
        <v>11441.37</v>
      </c>
      <c r="Q89">
        <f>ROUND(CR89*I89,2)</f>
        <v>0</v>
      </c>
      <c r="R89">
        <f>ROUND(CS89*I89,2)</f>
        <v>0</v>
      </c>
      <c r="S89">
        <f>ROUND(CT89*I89,2)</f>
        <v>8613.5499999999993</v>
      </c>
      <c r="T89">
        <f>ROUND(CU89*I89,2)</f>
        <v>0</v>
      </c>
      <c r="U89">
        <f>CV89*I89</f>
        <v>46.554702499999998</v>
      </c>
      <c r="V89">
        <f>CW89*I89</f>
        <v>0</v>
      </c>
      <c r="W89">
        <f>ROUND(CX89*I89,2)</f>
        <v>0</v>
      </c>
      <c r="X89">
        <f t="shared" si="76"/>
        <v>6029.49</v>
      </c>
      <c r="Y89">
        <f t="shared" si="76"/>
        <v>861.36</v>
      </c>
      <c r="AA89">
        <v>50844173</v>
      </c>
      <c r="AB89">
        <f>ROUND((AC89+AD89+AF89),6)</f>
        <v>19815.97</v>
      </c>
      <c r="AC89">
        <f>ROUND((ES89),6)</f>
        <v>11305.05</v>
      </c>
      <c r="AD89">
        <f>ROUND((((ET89)-(EU89))+AE89),6)</f>
        <v>0</v>
      </c>
      <c r="AE89">
        <f t="shared" si="77"/>
        <v>0</v>
      </c>
      <c r="AF89">
        <f t="shared" si="77"/>
        <v>8510.92</v>
      </c>
      <c r="AG89">
        <f>ROUND((AP89),6)</f>
        <v>0</v>
      </c>
      <c r="AH89">
        <f t="shared" si="78"/>
        <v>46</v>
      </c>
      <c r="AI89">
        <f t="shared" si="78"/>
        <v>0</v>
      </c>
      <c r="AJ89">
        <f>(AS89)</f>
        <v>0</v>
      </c>
      <c r="AK89">
        <v>19815.97</v>
      </c>
      <c r="AL89">
        <v>11305.05</v>
      </c>
      <c r="AM89">
        <v>0</v>
      </c>
      <c r="AN89">
        <v>0</v>
      </c>
      <c r="AO89">
        <v>8510.92</v>
      </c>
      <c r="AP89">
        <v>0</v>
      </c>
      <c r="AQ89">
        <v>46</v>
      </c>
      <c r="AR89">
        <v>0</v>
      </c>
      <c r="AS89">
        <v>0</v>
      </c>
      <c r="AT89">
        <v>70</v>
      </c>
      <c r="AU89">
        <v>10</v>
      </c>
      <c r="AV89">
        <v>1</v>
      </c>
      <c r="AW89">
        <v>1</v>
      </c>
      <c r="AZ89">
        <v>1</v>
      </c>
      <c r="BA89">
        <v>1</v>
      </c>
      <c r="BB89">
        <v>1</v>
      </c>
      <c r="BC89">
        <v>1</v>
      </c>
      <c r="BD89" t="s">
        <v>3</v>
      </c>
      <c r="BE89" t="s">
        <v>3</v>
      </c>
      <c r="BF89" t="s">
        <v>3</v>
      </c>
      <c r="BG89" t="s">
        <v>3</v>
      </c>
      <c r="BH89">
        <v>0</v>
      </c>
      <c r="BI89">
        <v>4</v>
      </c>
      <c r="BJ89" t="s">
        <v>162</v>
      </c>
      <c r="BM89">
        <v>0</v>
      </c>
      <c r="BN89">
        <v>0</v>
      </c>
      <c r="BO89" t="s">
        <v>3</v>
      </c>
      <c r="BP89">
        <v>0</v>
      </c>
      <c r="BQ89">
        <v>1</v>
      </c>
      <c r="BR89">
        <v>0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 t="s">
        <v>3</v>
      </c>
      <c r="BZ89">
        <v>70</v>
      </c>
      <c r="CA89">
        <v>10</v>
      </c>
      <c r="CE89">
        <v>0</v>
      </c>
      <c r="CF89">
        <v>0</v>
      </c>
      <c r="CG89">
        <v>0</v>
      </c>
      <c r="CM89">
        <v>0</v>
      </c>
      <c r="CN89" t="s">
        <v>3</v>
      </c>
      <c r="CO89">
        <v>0</v>
      </c>
      <c r="CP89">
        <f>(P89+Q89+S89)</f>
        <v>20054.919999999998</v>
      </c>
      <c r="CQ89">
        <f>(AC89*BC89*AW89)</f>
        <v>11305.05</v>
      </c>
      <c r="CR89">
        <f>((((ET89)*BB89-(EU89)*BS89)+AE89*BS89)*AV89)</f>
        <v>0</v>
      </c>
      <c r="CS89">
        <f>(AE89*BS89*AV89)</f>
        <v>0</v>
      </c>
      <c r="CT89">
        <f>(AF89*BA89*AV89)</f>
        <v>8510.92</v>
      </c>
      <c r="CU89">
        <f>AG89</f>
        <v>0</v>
      </c>
      <c r="CV89">
        <f>(AH89*AV89)</f>
        <v>46</v>
      </c>
      <c r="CW89">
        <f t="shared" si="79"/>
        <v>0</v>
      </c>
      <c r="CX89">
        <f t="shared" si="79"/>
        <v>0</v>
      </c>
      <c r="CY89">
        <f>((S89*BZ89)/100)</f>
        <v>6029.4849999999997</v>
      </c>
      <c r="CZ89">
        <f>((S89*CA89)/100)</f>
        <v>861.35500000000002</v>
      </c>
      <c r="DC89" t="s">
        <v>3</v>
      </c>
      <c r="DD89" t="s">
        <v>3</v>
      </c>
      <c r="DE89" t="s">
        <v>3</v>
      </c>
      <c r="DF89" t="s">
        <v>3</v>
      </c>
      <c r="DG89" t="s">
        <v>3</v>
      </c>
      <c r="DH89" t="s">
        <v>3</v>
      </c>
      <c r="DI89" t="s">
        <v>3</v>
      </c>
      <c r="DJ89" t="s">
        <v>3</v>
      </c>
      <c r="DK89" t="s">
        <v>3</v>
      </c>
      <c r="DL89" t="s">
        <v>3</v>
      </c>
      <c r="DM89" t="s">
        <v>3</v>
      </c>
      <c r="DN89">
        <v>0</v>
      </c>
      <c r="DO89">
        <v>0</v>
      </c>
      <c r="DP89">
        <v>1</v>
      </c>
      <c r="DQ89">
        <v>1</v>
      </c>
      <c r="DU89">
        <v>1005</v>
      </c>
      <c r="DV89" t="s">
        <v>38</v>
      </c>
      <c r="DW89" t="s">
        <v>38</v>
      </c>
      <c r="DX89">
        <v>100</v>
      </c>
      <c r="EE89">
        <v>51051537</v>
      </c>
      <c r="EF89">
        <v>1</v>
      </c>
      <c r="EG89" t="s">
        <v>24</v>
      </c>
      <c r="EH89">
        <v>0</v>
      </c>
      <c r="EI89" t="s">
        <v>3</v>
      </c>
      <c r="EJ89">
        <v>4</v>
      </c>
      <c r="EK89">
        <v>0</v>
      </c>
      <c r="EL89" t="s">
        <v>25</v>
      </c>
      <c r="EM89" t="s">
        <v>26</v>
      </c>
      <c r="EO89" t="s">
        <v>3</v>
      </c>
      <c r="EQ89">
        <v>0</v>
      </c>
      <c r="ER89">
        <v>19815.97</v>
      </c>
      <c r="ES89">
        <v>11305.05</v>
      </c>
      <c r="ET89">
        <v>0</v>
      </c>
      <c r="EU89">
        <v>0</v>
      </c>
      <c r="EV89">
        <v>8510.92</v>
      </c>
      <c r="EW89">
        <v>46</v>
      </c>
      <c r="EX89">
        <v>0</v>
      </c>
      <c r="EY89">
        <v>0</v>
      </c>
      <c r="FQ89">
        <v>0</v>
      </c>
      <c r="FR89">
        <f>ROUND(IF(AND(BH89=3,BI89=3),P89,0),2)</f>
        <v>0</v>
      </c>
      <c r="FS89">
        <v>0</v>
      </c>
      <c r="FX89">
        <v>70</v>
      </c>
      <c r="FY89">
        <v>10</v>
      </c>
      <c r="GA89" t="s">
        <v>3</v>
      </c>
      <c r="GD89">
        <v>0</v>
      </c>
      <c r="GF89">
        <v>14238252</v>
      </c>
      <c r="GG89">
        <v>2</v>
      </c>
      <c r="GH89">
        <v>1</v>
      </c>
      <c r="GI89">
        <v>-2</v>
      </c>
      <c r="GJ89">
        <v>0</v>
      </c>
      <c r="GK89">
        <f>ROUND(R89*(R12)/100,2)</f>
        <v>0</v>
      </c>
      <c r="GL89">
        <f>ROUND(IF(AND(BH89=3,BI89=3,FS89&lt;&gt;0),P89,0),2)</f>
        <v>0</v>
      </c>
      <c r="GM89">
        <f>ROUND(O89+X89+Y89+GK89,2)+GX89</f>
        <v>26945.77</v>
      </c>
      <c r="GN89">
        <f>IF(OR(BI89=0,BI89=1),ROUND(O89+X89+Y89+GK89,2),0)</f>
        <v>0</v>
      </c>
      <c r="GO89">
        <f>IF(BI89=2,ROUND(O89+X89+Y89+GK89,2),0)</f>
        <v>0</v>
      </c>
      <c r="GP89">
        <f>IF(BI89=4,ROUND(O89+X89+Y89+GK89,2)+GX89,0)</f>
        <v>26945.77</v>
      </c>
      <c r="GR89">
        <v>0</v>
      </c>
      <c r="GS89">
        <v>0</v>
      </c>
      <c r="GT89">
        <v>0</v>
      </c>
      <c r="GU89" t="s">
        <v>3</v>
      </c>
      <c r="GV89">
        <f>ROUND((GT89),6)</f>
        <v>0</v>
      </c>
      <c r="GW89">
        <v>1</v>
      </c>
      <c r="GX89">
        <f>ROUND(HC89*I89,2)</f>
        <v>0</v>
      </c>
      <c r="HA89">
        <v>0</v>
      </c>
      <c r="HB89">
        <v>0</v>
      </c>
      <c r="HC89">
        <f>GV89*GW89</f>
        <v>0</v>
      </c>
      <c r="IK89">
        <v>0</v>
      </c>
    </row>
    <row r="90" spans="1:245" x14ac:dyDescent="0.25">
      <c r="A90">
        <v>17</v>
      </c>
      <c r="B90">
        <v>1</v>
      </c>
      <c r="C90">
        <f>ROW(SmtRes!A38)</f>
        <v>38</v>
      </c>
      <c r="D90">
        <f>ROW(EtalonRes!A36)</f>
        <v>36</v>
      </c>
      <c r="E90" t="s">
        <v>163</v>
      </c>
      <c r="F90" t="s">
        <v>164</v>
      </c>
      <c r="G90" t="s">
        <v>165</v>
      </c>
      <c r="H90" t="s">
        <v>38</v>
      </c>
      <c r="I90">
        <f>ROUND(-I87/100,9)</f>
        <v>-4.048235</v>
      </c>
      <c r="J90">
        <v>0</v>
      </c>
      <c r="O90">
        <f>ROUND(CP90,2)</f>
        <v>-19966.419999999998</v>
      </c>
      <c r="P90">
        <f>ROUND(CQ90*I90,2)</f>
        <v>-15255.17</v>
      </c>
      <c r="Q90">
        <f>ROUND(CR90*I90,2)</f>
        <v>0</v>
      </c>
      <c r="R90">
        <f>ROUND(CS90*I90,2)</f>
        <v>0</v>
      </c>
      <c r="S90">
        <f>ROUND(CT90*I90,2)</f>
        <v>-4711.25</v>
      </c>
      <c r="T90">
        <f>ROUND(CU90*I90,2)</f>
        <v>0</v>
      </c>
      <c r="U90">
        <f>CV90*I90</f>
        <v>-25.46339815</v>
      </c>
      <c r="V90">
        <f>CW90*I90</f>
        <v>0</v>
      </c>
      <c r="W90">
        <f>ROUND(CX90*I90,2)</f>
        <v>0</v>
      </c>
      <c r="X90">
        <f t="shared" si="76"/>
        <v>-3297.88</v>
      </c>
      <c r="Y90">
        <f t="shared" si="76"/>
        <v>-471.13</v>
      </c>
      <c r="AA90">
        <v>50844173</v>
      </c>
      <c r="AB90">
        <f>ROUND((AC90+AD90+AF90),6)</f>
        <v>4932.13</v>
      </c>
      <c r="AC90">
        <f>ROUND((ES90),6)</f>
        <v>3768.35</v>
      </c>
      <c r="AD90">
        <f>ROUND((((ET90)-(EU90))+AE90),6)</f>
        <v>0</v>
      </c>
      <c r="AE90">
        <f t="shared" si="77"/>
        <v>0</v>
      </c>
      <c r="AF90">
        <f t="shared" si="77"/>
        <v>1163.78</v>
      </c>
      <c r="AG90">
        <f>ROUND((AP90),6)</f>
        <v>0</v>
      </c>
      <c r="AH90">
        <f t="shared" si="78"/>
        <v>6.29</v>
      </c>
      <c r="AI90">
        <f t="shared" si="78"/>
        <v>0</v>
      </c>
      <c r="AJ90">
        <f>(AS90)</f>
        <v>0</v>
      </c>
      <c r="AK90">
        <v>4932.13</v>
      </c>
      <c r="AL90">
        <v>3768.35</v>
      </c>
      <c r="AM90">
        <v>0</v>
      </c>
      <c r="AN90">
        <v>0</v>
      </c>
      <c r="AO90">
        <v>1163.78</v>
      </c>
      <c r="AP90">
        <v>0</v>
      </c>
      <c r="AQ90">
        <v>6.29</v>
      </c>
      <c r="AR90">
        <v>0</v>
      </c>
      <c r="AS90">
        <v>0</v>
      </c>
      <c r="AT90">
        <v>70</v>
      </c>
      <c r="AU90">
        <v>10</v>
      </c>
      <c r="AV90">
        <v>1</v>
      </c>
      <c r="AW90">
        <v>1</v>
      </c>
      <c r="AZ90">
        <v>1</v>
      </c>
      <c r="BA90">
        <v>1</v>
      </c>
      <c r="BB90">
        <v>1</v>
      </c>
      <c r="BC90">
        <v>1</v>
      </c>
      <c r="BD90" t="s">
        <v>3</v>
      </c>
      <c r="BE90" t="s">
        <v>3</v>
      </c>
      <c r="BF90" t="s">
        <v>3</v>
      </c>
      <c r="BG90" t="s">
        <v>3</v>
      </c>
      <c r="BH90">
        <v>0</v>
      </c>
      <c r="BI90">
        <v>4</v>
      </c>
      <c r="BJ90" t="s">
        <v>166</v>
      </c>
      <c r="BM90">
        <v>0</v>
      </c>
      <c r="BN90">
        <v>0</v>
      </c>
      <c r="BO90" t="s">
        <v>3</v>
      </c>
      <c r="BP90">
        <v>0</v>
      </c>
      <c r="BQ90">
        <v>1</v>
      </c>
      <c r="BR90">
        <v>0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 t="s">
        <v>3</v>
      </c>
      <c r="BZ90">
        <v>70</v>
      </c>
      <c r="CA90">
        <v>10</v>
      </c>
      <c r="CE90">
        <v>0</v>
      </c>
      <c r="CF90">
        <v>0</v>
      </c>
      <c r="CG90">
        <v>0</v>
      </c>
      <c r="CM90">
        <v>0</v>
      </c>
      <c r="CN90" t="s">
        <v>3</v>
      </c>
      <c r="CO90">
        <v>0</v>
      </c>
      <c r="CP90">
        <f>(P90+Q90+S90)</f>
        <v>-19966.419999999998</v>
      </c>
      <c r="CQ90">
        <f>(AC90*BC90*AW90)</f>
        <v>3768.35</v>
      </c>
      <c r="CR90">
        <f>((((ET90)*BB90-(EU90)*BS90)+AE90*BS90)*AV90)</f>
        <v>0</v>
      </c>
      <c r="CS90">
        <f>(AE90*BS90*AV90)</f>
        <v>0</v>
      </c>
      <c r="CT90">
        <f>(AF90*BA90*AV90)</f>
        <v>1163.78</v>
      </c>
      <c r="CU90">
        <f>AG90</f>
        <v>0</v>
      </c>
      <c r="CV90">
        <f>(AH90*AV90)</f>
        <v>6.29</v>
      </c>
      <c r="CW90">
        <f t="shared" si="79"/>
        <v>0</v>
      </c>
      <c r="CX90">
        <f t="shared" si="79"/>
        <v>0</v>
      </c>
      <c r="CY90">
        <f>((S90*BZ90)/100)</f>
        <v>-3297.875</v>
      </c>
      <c r="CZ90">
        <f>((S90*CA90)/100)</f>
        <v>-471.125</v>
      </c>
      <c r="DC90" t="s">
        <v>3</v>
      </c>
      <c r="DD90" t="s">
        <v>3</v>
      </c>
      <c r="DE90" t="s">
        <v>3</v>
      </c>
      <c r="DF90" t="s">
        <v>3</v>
      </c>
      <c r="DG90" t="s">
        <v>3</v>
      </c>
      <c r="DH90" t="s">
        <v>3</v>
      </c>
      <c r="DI90" t="s">
        <v>3</v>
      </c>
      <c r="DJ90" t="s">
        <v>3</v>
      </c>
      <c r="DK90" t="s">
        <v>3</v>
      </c>
      <c r="DL90" t="s">
        <v>3</v>
      </c>
      <c r="DM90" t="s">
        <v>3</v>
      </c>
      <c r="DN90">
        <v>0</v>
      </c>
      <c r="DO90">
        <v>0</v>
      </c>
      <c r="DP90">
        <v>1</v>
      </c>
      <c r="DQ90">
        <v>1</v>
      </c>
      <c r="DU90">
        <v>1005</v>
      </c>
      <c r="DV90" t="s">
        <v>38</v>
      </c>
      <c r="DW90" t="s">
        <v>38</v>
      </c>
      <c r="DX90">
        <v>100</v>
      </c>
      <c r="EE90">
        <v>51051537</v>
      </c>
      <c r="EF90">
        <v>1</v>
      </c>
      <c r="EG90" t="s">
        <v>24</v>
      </c>
      <c r="EH90">
        <v>0</v>
      </c>
      <c r="EI90" t="s">
        <v>3</v>
      </c>
      <c r="EJ90">
        <v>4</v>
      </c>
      <c r="EK90">
        <v>0</v>
      </c>
      <c r="EL90" t="s">
        <v>25</v>
      </c>
      <c r="EM90" t="s">
        <v>26</v>
      </c>
      <c r="EO90" t="s">
        <v>3</v>
      </c>
      <c r="EQ90">
        <v>0</v>
      </c>
      <c r="ER90">
        <v>4932.13</v>
      </c>
      <c r="ES90">
        <v>3768.35</v>
      </c>
      <c r="ET90">
        <v>0</v>
      </c>
      <c r="EU90">
        <v>0</v>
      </c>
      <c r="EV90">
        <v>1163.78</v>
      </c>
      <c r="EW90">
        <v>6.29</v>
      </c>
      <c r="EX90">
        <v>0</v>
      </c>
      <c r="EY90">
        <v>0</v>
      </c>
      <c r="FQ90">
        <v>0</v>
      </c>
      <c r="FR90">
        <f>ROUND(IF(AND(BH90=3,BI90=3),P90,0),2)</f>
        <v>0</v>
      </c>
      <c r="FS90">
        <v>0</v>
      </c>
      <c r="FX90">
        <v>70</v>
      </c>
      <c r="FY90">
        <v>10</v>
      </c>
      <c r="GA90" t="s">
        <v>3</v>
      </c>
      <c r="GD90">
        <v>0</v>
      </c>
      <c r="GF90">
        <v>-1781441154</v>
      </c>
      <c r="GG90">
        <v>2</v>
      </c>
      <c r="GH90">
        <v>1</v>
      </c>
      <c r="GI90">
        <v>-2</v>
      </c>
      <c r="GJ90">
        <v>0</v>
      </c>
      <c r="GK90">
        <f>ROUND(R90*(R12)/100,2)</f>
        <v>0</v>
      </c>
      <c r="GL90">
        <f>ROUND(IF(AND(BH90=3,BI90=3,FS90&lt;&gt;0),P90,0),2)</f>
        <v>0</v>
      </c>
      <c r="GM90">
        <f>ROUND(O90+X90+Y90+GK90,2)+GX90</f>
        <v>-23735.43</v>
      </c>
      <c r="GN90">
        <f>IF(OR(BI90=0,BI90=1),ROUND(O90+X90+Y90+GK90,2),0)</f>
        <v>0</v>
      </c>
      <c r="GO90">
        <f>IF(BI90=2,ROUND(O90+X90+Y90+GK90,2),0)</f>
        <v>0</v>
      </c>
      <c r="GP90">
        <f>IF(BI90=4,ROUND(O90+X90+Y90+GK90,2)+GX90,0)</f>
        <v>-23735.43</v>
      </c>
      <c r="GR90">
        <v>0</v>
      </c>
      <c r="GS90">
        <v>0</v>
      </c>
      <c r="GT90">
        <v>0</v>
      </c>
      <c r="GU90" t="s">
        <v>3</v>
      </c>
      <c r="GV90">
        <f>ROUND((GT90),6)</f>
        <v>0</v>
      </c>
      <c r="GW90">
        <v>1</v>
      </c>
      <c r="GX90">
        <f>ROUND(HC90*I90,2)</f>
        <v>0</v>
      </c>
      <c r="HA90">
        <v>0</v>
      </c>
      <c r="HB90">
        <v>0</v>
      </c>
      <c r="HC90">
        <f>GV90*GW90</f>
        <v>0</v>
      </c>
      <c r="IK90">
        <v>0</v>
      </c>
    </row>
    <row r="91" spans="1:245" x14ac:dyDescent="0.25">
      <c r="A91">
        <v>17</v>
      </c>
      <c r="B91">
        <v>1</v>
      </c>
      <c r="C91">
        <f>ROW(SmtRes!A41)</f>
        <v>41</v>
      </c>
      <c r="D91">
        <f>ROW(EtalonRes!A39)</f>
        <v>39</v>
      </c>
      <c r="E91" t="s">
        <v>167</v>
      </c>
      <c r="F91" t="s">
        <v>168</v>
      </c>
      <c r="G91" t="s">
        <v>169</v>
      </c>
      <c r="H91" t="s">
        <v>38</v>
      </c>
      <c r="I91">
        <f>ROUND(I87/100,9)</f>
        <v>4.048235</v>
      </c>
      <c r="J91">
        <v>0</v>
      </c>
      <c r="O91">
        <f>ROUND(CP91,2)</f>
        <v>11278.02</v>
      </c>
      <c r="P91">
        <f>ROUND(CQ91*I91,2)</f>
        <v>6334.92</v>
      </c>
      <c r="Q91">
        <f>ROUND(CR91*I91,2)</f>
        <v>0</v>
      </c>
      <c r="R91">
        <f>ROUND(CS91*I91,2)</f>
        <v>0</v>
      </c>
      <c r="S91">
        <f>ROUND(CT91*I91,2)</f>
        <v>4943.1000000000004</v>
      </c>
      <c r="T91">
        <f>ROUND(CU91*I91,2)</f>
        <v>0</v>
      </c>
      <c r="U91">
        <f>CV91*I91</f>
        <v>24.451339400000002</v>
      </c>
      <c r="V91">
        <f>CW91*I91</f>
        <v>0</v>
      </c>
      <c r="W91">
        <f>ROUND(CX91*I91,2)</f>
        <v>0</v>
      </c>
      <c r="X91">
        <f t="shared" si="76"/>
        <v>3460.17</v>
      </c>
      <c r="Y91">
        <f t="shared" si="76"/>
        <v>494.31</v>
      </c>
      <c r="AA91">
        <v>50844173</v>
      </c>
      <c r="AB91">
        <f>ROUND((AC91+AD91+AF91),6)</f>
        <v>2785.91</v>
      </c>
      <c r="AC91">
        <f>ROUND((ES91),6)</f>
        <v>1564.86</v>
      </c>
      <c r="AD91">
        <f>ROUND((((ET91)-(EU91))+AE91),6)</f>
        <v>0</v>
      </c>
      <c r="AE91">
        <f t="shared" si="77"/>
        <v>0</v>
      </c>
      <c r="AF91">
        <f t="shared" si="77"/>
        <v>1221.05</v>
      </c>
      <c r="AG91">
        <f>ROUND((AP91),6)</f>
        <v>0</v>
      </c>
      <c r="AH91">
        <f t="shared" si="78"/>
        <v>6.04</v>
      </c>
      <c r="AI91">
        <f t="shared" si="78"/>
        <v>0</v>
      </c>
      <c r="AJ91">
        <f>(AS91)</f>
        <v>0</v>
      </c>
      <c r="AK91">
        <v>2785.91</v>
      </c>
      <c r="AL91">
        <v>1564.86</v>
      </c>
      <c r="AM91">
        <v>0</v>
      </c>
      <c r="AN91">
        <v>0</v>
      </c>
      <c r="AO91">
        <v>1221.05</v>
      </c>
      <c r="AP91">
        <v>0</v>
      </c>
      <c r="AQ91">
        <v>6.04</v>
      </c>
      <c r="AR91">
        <v>0</v>
      </c>
      <c r="AS91">
        <v>0</v>
      </c>
      <c r="AT91">
        <v>70</v>
      </c>
      <c r="AU91">
        <v>10</v>
      </c>
      <c r="AV91">
        <v>1</v>
      </c>
      <c r="AW91">
        <v>1</v>
      </c>
      <c r="AZ91">
        <v>1</v>
      </c>
      <c r="BA91">
        <v>1</v>
      </c>
      <c r="BB91">
        <v>1</v>
      </c>
      <c r="BC91">
        <v>1</v>
      </c>
      <c r="BD91" t="s">
        <v>3</v>
      </c>
      <c r="BE91" t="s">
        <v>3</v>
      </c>
      <c r="BF91" t="s">
        <v>3</v>
      </c>
      <c r="BG91" t="s">
        <v>3</v>
      </c>
      <c r="BH91">
        <v>0</v>
      </c>
      <c r="BI91">
        <v>4</v>
      </c>
      <c r="BJ91" t="s">
        <v>170</v>
      </c>
      <c r="BM91">
        <v>0</v>
      </c>
      <c r="BN91">
        <v>0</v>
      </c>
      <c r="BO91" t="s">
        <v>3</v>
      </c>
      <c r="BP91">
        <v>0</v>
      </c>
      <c r="BQ91">
        <v>1</v>
      </c>
      <c r="BR91">
        <v>0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 t="s">
        <v>3</v>
      </c>
      <c r="BZ91">
        <v>70</v>
      </c>
      <c r="CA91">
        <v>10</v>
      </c>
      <c r="CE91">
        <v>0</v>
      </c>
      <c r="CF91">
        <v>0</v>
      </c>
      <c r="CG91">
        <v>0</v>
      </c>
      <c r="CM91">
        <v>0</v>
      </c>
      <c r="CN91" t="s">
        <v>3</v>
      </c>
      <c r="CO91">
        <v>0</v>
      </c>
      <c r="CP91">
        <f>(P91+Q91+S91)</f>
        <v>11278.02</v>
      </c>
      <c r="CQ91">
        <f>(AC91*BC91*AW91)</f>
        <v>1564.86</v>
      </c>
      <c r="CR91">
        <f>((((ET91)*BB91-(EU91)*BS91)+AE91*BS91)*AV91)</f>
        <v>0</v>
      </c>
      <c r="CS91">
        <f>(AE91*BS91*AV91)</f>
        <v>0</v>
      </c>
      <c r="CT91">
        <f>(AF91*BA91*AV91)</f>
        <v>1221.05</v>
      </c>
      <c r="CU91">
        <f>AG91</f>
        <v>0</v>
      </c>
      <c r="CV91">
        <f>(AH91*AV91)</f>
        <v>6.04</v>
      </c>
      <c r="CW91">
        <f t="shared" si="79"/>
        <v>0</v>
      </c>
      <c r="CX91">
        <f t="shared" si="79"/>
        <v>0</v>
      </c>
      <c r="CY91">
        <f>((S91*BZ91)/100)</f>
        <v>3460.17</v>
      </c>
      <c r="CZ91">
        <f>((S91*CA91)/100)</f>
        <v>494.31</v>
      </c>
      <c r="DC91" t="s">
        <v>3</v>
      </c>
      <c r="DD91" t="s">
        <v>3</v>
      </c>
      <c r="DE91" t="s">
        <v>3</v>
      </c>
      <c r="DF91" t="s">
        <v>3</v>
      </c>
      <c r="DG91" t="s">
        <v>3</v>
      </c>
      <c r="DH91" t="s">
        <v>3</v>
      </c>
      <c r="DI91" t="s">
        <v>3</v>
      </c>
      <c r="DJ91" t="s">
        <v>3</v>
      </c>
      <c r="DK91" t="s">
        <v>3</v>
      </c>
      <c r="DL91" t="s">
        <v>3</v>
      </c>
      <c r="DM91" t="s">
        <v>3</v>
      </c>
      <c r="DN91">
        <v>0</v>
      </c>
      <c r="DO91">
        <v>0</v>
      </c>
      <c r="DP91">
        <v>1</v>
      </c>
      <c r="DQ91">
        <v>1</v>
      </c>
      <c r="DU91">
        <v>1005</v>
      </c>
      <c r="DV91" t="s">
        <v>38</v>
      </c>
      <c r="DW91" t="s">
        <v>38</v>
      </c>
      <c r="DX91">
        <v>100</v>
      </c>
      <c r="EE91">
        <v>51051537</v>
      </c>
      <c r="EF91">
        <v>1</v>
      </c>
      <c r="EG91" t="s">
        <v>24</v>
      </c>
      <c r="EH91">
        <v>0</v>
      </c>
      <c r="EI91" t="s">
        <v>3</v>
      </c>
      <c r="EJ91">
        <v>4</v>
      </c>
      <c r="EK91">
        <v>0</v>
      </c>
      <c r="EL91" t="s">
        <v>25</v>
      </c>
      <c r="EM91" t="s">
        <v>26</v>
      </c>
      <c r="EO91" t="s">
        <v>3</v>
      </c>
      <c r="EQ91">
        <v>0</v>
      </c>
      <c r="ER91">
        <v>2785.91</v>
      </c>
      <c r="ES91">
        <v>1564.86</v>
      </c>
      <c r="ET91">
        <v>0</v>
      </c>
      <c r="EU91">
        <v>0</v>
      </c>
      <c r="EV91">
        <v>1221.05</v>
      </c>
      <c r="EW91">
        <v>6.04</v>
      </c>
      <c r="EX91">
        <v>0</v>
      </c>
      <c r="EY91">
        <v>0</v>
      </c>
      <c r="FQ91">
        <v>0</v>
      </c>
      <c r="FR91">
        <f>ROUND(IF(AND(BH91=3,BI91=3),P91,0),2)</f>
        <v>0</v>
      </c>
      <c r="FS91">
        <v>0</v>
      </c>
      <c r="FX91">
        <v>70</v>
      </c>
      <c r="FY91">
        <v>10</v>
      </c>
      <c r="GA91" t="s">
        <v>3</v>
      </c>
      <c r="GD91">
        <v>0</v>
      </c>
      <c r="GF91">
        <v>2120516223</v>
      </c>
      <c r="GG91">
        <v>2</v>
      </c>
      <c r="GH91">
        <v>1</v>
      </c>
      <c r="GI91">
        <v>-2</v>
      </c>
      <c r="GJ91">
        <v>0</v>
      </c>
      <c r="GK91">
        <f>ROUND(R91*(R12)/100,2)</f>
        <v>0</v>
      </c>
      <c r="GL91">
        <f>ROUND(IF(AND(BH91=3,BI91=3,FS91&lt;&gt;0),P91,0),2)</f>
        <v>0</v>
      </c>
      <c r="GM91">
        <f>ROUND(O91+X91+Y91+GK91,2)+GX91</f>
        <v>15232.5</v>
      </c>
      <c r="GN91">
        <f>IF(OR(BI91=0,BI91=1),ROUND(O91+X91+Y91+GK91,2),0)</f>
        <v>0</v>
      </c>
      <c r="GO91">
        <f>IF(BI91=2,ROUND(O91+X91+Y91+GK91,2),0)</f>
        <v>0</v>
      </c>
      <c r="GP91">
        <f>IF(BI91=4,ROUND(O91+X91+Y91+GK91,2)+GX91,0)</f>
        <v>15232.5</v>
      </c>
      <c r="GR91">
        <v>0</v>
      </c>
      <c r="GS91">
        <v>0</v>
      </c>
      <c r="GT91">
        <v>0</v>
      </c>
      <c r="GU91" t="s">
        <v>3</v>
      </c>
      <c r="GV91">
        <f>ROUND((GT91),6)</f>
        <v>0</v>
      </c>
      <c r="GW91">
        <v>1</v>
      </c>
      <c r="GX91">
        <f>ROUND(HC91*I91,2)</f>
        <v>0</v>
      </c>
      <c r="HA91">
        <v>0</v>
      </c>
      <c r="HB91">
        <v>0</v>
      </c>
      <c r="HC91">
        <f>GV91*GW91</f>
        <v>0</v>
      </c>
      <c r="IK91">
        <v>0</v>
      </c>
    </row>
    <row r="93" spans="1:245" x14ac:dyDescent="0.25">
      <c r="A93" s="2">
        <v>51</v>
      </c>
      <c r="B93" s="2">
        <f>B83</f>
        <v>1</v>
      </c>
      <c r="C93" s="2">
        <f>A83</f>
        <v>4</v>
      </c>
      <c r="D93" s="2">
        <f>ROW(A83)</f>
        <v>83</v>
      </c>
      <c r="E93" s="2"/>
      <c r="F93" s="2" t="str">
        <f>IF(F83&lt;&gt;"",F83,"")</f>
        <v>Новый раздел</v>
      </c>
      <c r="G93" s="2" t="str">
        <f>IF(G83&lt;&gt;"",G83,"")</f>
        <v>Ремонт газонов</v>
      </c>
      <c r="H93" s="2">
        <v>0</v>
      </c>
      <c r="I93" s="2"/>
      <c r="J93" s="2"/>
      <c r="K93" s="2"/>
      <c r="L93" s="2"/>
      <c r="M93" s="2"/>
      <c r="N93" s="2"/>
      <c r="O93" s="2">
        <f t="shared" ref="O93:T93" si="80">ROUND(AB93,2)</f>
        <v>63177.13</v>
      </c>
      <c r="P93" s="2">
        <f t="shared" si="80"/>
        <v>36845.24</v>
      </c>
      <c r="Q93" s="2">
        <f t="shared" si="80"/>
        <v>184.48</v>
      </c>
      <c r="R93" s="2">
        <f t="shared" si="80"/>
        <v>67.489999999999995</v>
      </c>
      <c r="S93" s="2">
        <f t="shared" si="80"/>
        <v>26147.41</v>
      </c>
      <c r="T93" s="2">
        <f t="shared" si="80"/>
        <v>0</v>
      </c>
      <c r="U93" s="2">
        <f>AH93</f>
        <v>139.05687225</v>
      </c>
      <c r="V93" s="2">
        <f>AI93</f>
        <v>0</v>
      </c>
      <c r="W93" s="2">
        <f>ROUND(AJ93,2)</f>
        <v>0</v>
      </c>
      <c r="X93" s="2">
        <f>ROUND(AK93,2)</f>
        <v>18303.189999999999</v>
      </c>
      <c r="Y93" s="2">
        <f>ROUND(AL93,2)</f>
        <v>2614.7399999999998</v>
      </c>
      <c r="Z93" s="2"/>
      <c r="AA93" s="2"/>
      <c r="AB93" s="2">
        <f>ROUND(SUMIF(AA87:AA91,"=50844173",O87:O91),2)</f>
        <v>63177.13</v>
      </c>
      <c r="AC93" s="2">
        <f>ROUND(SUMIF(AA87:AA91,"=50844173",P87:P91),2)</f>
        <v>36845.24</v>
      </c>
      <c r="AD93" s="2">
        <f>ROUND(SUMIF(AA87:AA91,"=50844173",Q87:Q91),2)</f>
        <v>184.48</v>
      </c>
      <c r="AE93" s="2">
        <f>ROUND(SUMIF(AA87:AA91,"=50844173",R87:R91),2)</f>
        <v>67.489999999999995</v>
      </c>
      <c r="AF93" s="2">
        <f>ROUND(SUMIF(AA87:AA91,"=50844173",S87:S91),2)</f>
        <v>26147.41</v>
      </c>
      <c r="AG93" s="2">
        <f>ROUND(SUMIF(AA87:AA91,"=50844173",T87:T91),2)</f>
        <v>0</v>
      </c>
      <c r="AH93" s="2">
        <f>SUMIF(AA87:AA91,"=50844173",U87:U91)</f>
        <v>139.05687225</v>
      </c>
      <c r="AI93" s="2">
        <f>SUMIF(AA87:AA91,"=50844173",V87:V91)</f>
        <v>0</v>
      </c>
      <c r="AJ93" s="2">
        <f>ROUND(SUMIF(AA87:AA91,"=50844173",W87:W91),2)</f>
        <v>0</v>
      </c>
      <c r="AK93" s="2">
        <f>ROUND(SUMIF(AA87:AA91,"=50844173",X87:X91),2)</f>
        <v>18303.189999999999</v>
      </c>
      <c r="AL93" s="2">
        <f>ROUND(SUMIF(AA87:AA91,"=50844173",Y87:Y91),2)</f>
        <v>2614.7399999999998</v>
      </c>
      <c r="AM93" s="2"/>
      <c r="AN93" s="2"/>
      <c r="AO93" s="2">
        <f t="shared" ref="AO93:BD93" si="81">ROUND(BX93,2)</f>
        <v>0</v>
      </c>
      <c r="AP93" s="2">
        <f t="shared" si="81"/>
        <v>0</v>
      </c>
      <c r="AQ93" s="2">
        <f t="shared" si="81"/>
        <v>0</v>
      </c>
      <c r="AR93" s="2">
        <f t="shared" si="81"/>
        <v>84167.95</v>
      </c>
      <c r="AS93" s="2">
        <f t="shared" si="81"/>
        <v>0</v>
      </c>
      <c r="AT93" s="2">
        <f t="shared" si="81"/>
        <v>0</v>
      </c>
      <c r="AU93" s="2">
        <f t="shared" si="81"/>
        <v>84167.95</v>
      </c>
      <c r="AV93" s="2">
        <f t="shared" si="81"/>
        <v>36845.24</v>
      </c>
      <c r="AW93" s="2">
        <f t="shared" si="81"/>
        <v>36845.24</v>
      </c>
      <c r="AX93" s="2">
        <f t="shared" si="81"/>
        <v>0</v>
      </c>
      <c r="AY93" s="2">
        <f t="shared" si="81"/>
        <v>36845.24</v>
      </c>
      <c r="AZ93" s="2">
        <f t="shared" si="81"/>
        <v>0</v>
      </c>
      <c r="BA93" s="2">
        <f t="shared" si="81"/>
        <v>0</v>
      </c>
      <c r="BB93" s="2">
        <f t="shared" si="81"/>
        <v>0</v>
      </c>
      <c r="BC93" s="2">
        <f t="shared" si="81"/>
        <v>0</v>
      </c>
      <c r="BD93" s="2">
        <f t="shared" si="81"/>
        <v>0</v>
      </c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>
        <f>ROUND(SUMIF(AA87:AA91,"=50844173",FQ87:FQ91),2)</f>
        <v>0</v>
      </c>
      <c r="BY93" s="2">
        <f>ROUND(SUMIF(AA87:AA91,"=50844173",FR87:FR91),2)</f>
        <v>0</v>
      </c>
      <c r="BZ93" s="2">
        <f>ROUND(SUMIF(AA87:AA91,"=50844173",GL87:GL91),2)</f>
        <v>0</v>
      </c>
      <c r="CA93" s="2">
        <f>ROUND(SUMIF(AA87:AA91,"=50844173",GM87:GM91),2)</f>
        <v>84167.95</v>
      </c>
      <c r="CB93" s="2">
        <f>ROUND(SUMIF(AA87:AA91,"=50844173",GN87:GN91),2)</f>
        <v>0</v>
      </c>
      <c r="CC93" s="2">
        <f>ROUND(SUMIF(AA87:AA91,"=50844173",GO87:GO91),2)</f>
        <v>0</v>
      </c>
      <c r="CD93" s="2">
        <f>ROUND(SUMIF(AA87:AA91,"=50844173",GP87:GP91),2)</f>
        <v>84167.95</v>
      </c>
      <c r="CE93" s="2">
        <f>AC93-BX93</f>
        <v>36845.24</v>
      </c>
      <c r="CF93" s="2">
        <f>AC93-BY93</f>
        <v>36845.24</v>
      </c>
      <c r="CG93" s="2">
        <f>BX93-BZ93</f>
        <v>0</v>
      </c>
      <c r="CH93" s="2">
        <f>AC93-BX93-BY93+BZ93</f>
        <v>36845.24</v>
      </c>
      <c r="CI93" s="2">
        <f>BY93-BZ93</f>
        <v>0</v>
      </c>
      <c r="CJ93" s="2">
        <f>ROUND(SUMIF(AA87:AA91,"=50844173",GX87:GX91),2)</f>
        <v>0</v>
      </c>
      <c r="CK93" s="2">
        <f>ROUND(SUMIF(AA87:AA91,"=50844173",GY87:GY91),2)</f>
        <v>0</v>
      </c>
      <c r="CL93" s="2">
        <f>ROUND(SUMIF(AA87:AA91,"=50844173",GZ87:GZ91),2)</f>
        <v>0</v>
      </c>
      <c r="CM93" s="2">
        <f>ROUND(SUMIF(AA87:AA91,"=50844173",HD87:HD91),2)</f>
        <v>0</v>
      </c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>
        <v>0</v>
      </c>
    </row>
    <row r="95" spans="1:245" x14ac:dyDescent="0.25">
      <c r="A95" s="4">
        <v>50</v>
      </c>
      <c r="B95" s="4">
        <v>0</v>
      </c>
      <c r="C95" s="4">
        <v>0</v>
      </c>
      <c r="D95" s="4">
        <v>1</v>
      </c>
      <c r="E95" s="4">
        <v>201</v>
      </c>
      <c r="F95" s="4">
        <f>ROUND(Source!O93,O95)</f>
        <v>63177.13</v>
      </c>
      <c r="G95" s="4" t="s">
        <v>91</v>
      </c>
      <c r="H95" s="4" t="s">
        <v>92</v>
      </c>
      <c r="I95" s="4"/>
      <c r="J95" s="4"/>
      <c r="K95" s="4">
        <v>201</v>
      </c>
      <c r="L95" s="4">
        <v>1</v>
      </c>
      <c r="M95" s="4">
        <v>3</v>
      </c>
      <c r="N95" s="4" t="s">
        <v>3</v>
      </c>
      <c r="O95" s="4">
        <v>2</v>
      </c>
      <c r="P95" s="4"/>
      <c r="Q95" s="4"/>
      <c r="R95" s="4"/>
      <c r="S95" s="4"/>
      <c r="T95" s="4"/>
      <c r="U95" s="4"/>
      <c r="V95" s="4"/>
      <c r="W95" s="4"/>
    </row>
    <row r="96" spans="1:245" x14ac:dyDescent="0.25">
      <c r="A96" s="4">
        <v>50</v>
      </c>
      <c r="B96" s="4">
        <v>0</v>
      </c>
      <c r="C96" s="4">
        <v>0</v>
      </c>
      <c r="D96" s="4">
        <v>1</v>
      </c>
      <c r="E96" s="4">
        <v>202</v>
      </c>
      <c r="F96" s="4">
        <f>ROUND(Source!P93,O96)</f>
        <v>36845.24</v>
      </c>
      <c r="G96" s="4" t="s">
        <v>93</v>
      </c>
      <c r="H96" s="4" t="s">
        <v>94</v>
      </c>
      <c r="I96" s="4"/>
      <c r="J96" s="4"/>
      <c r="K96" s="4">
        <v>202</v>
      </c>
      <c r="L96" s="4">
        <v>2</v>
      </c>
      <c r="M96" s="4">
        <v>3</v>
      </c>
      <c r="N96" s="4" t="s">
        <v>3</v>
      </c>
      <c r="O96" s="4">
        <v>2</v>
      </c>
      <c r="P96" s="4"/>
      <c r="Q96" s="4"/>
      <c r="R96" s="4"/>
      <c r="S96" s="4"/>
      <c r="T96" s="4"/>
      <c r="U96" s="4"/>
      <c r="V96" s="4"/>
      <c r="W96" s="4"/>
    </row>
    <row r="97" spans="1:23" x14ac:dyDescent="0.25">
      <c r="A97" s="4">
        <v>50</v>
      </c>
      <c r="B97" s="4">
        <v>0</v>
      </c>
      <c r="C97" s="4">
        <v>0</v>
      </c>
      <c r="D97" s="4">
        <v>1</v>
      </c>
      <c r="E97" s="4">
        <v>222</v>
      </c>
      <c r="F97" s="4">
        <f>ROUND(Source!AO93,O97)</f>
        <v>0</v>
      </c>
      <c r="G97" s="4" t="s">
        <v>95</v>
      </c>
      <c r="H97" s="4" t="s">
        <v>96</v>
      </c>
      <c r="I97" s="4"/>
      <c r="J97" s="4"/>
      <c r="K97" s="4">
        <v>222</v>
      </c>
      <c r="L97" s="4">
        <v>3</v>
      </c>
      <c r="M97" s="4">
        <v>3</v>
      </c>
      <c r="N97" s="4" t="s">
        <v>3</v>
      </c>
      <c r="O97" s="4">
        <v>2</v>
      </c>
      <c r="P97" s="4"/>
      <c r="Q97" s="4"/>
      <c r="R97" s="4"/>
      <c r="S97" s="4"/>
      <c r="T97" s="4"/>
      <c r="U97" s="4"/>
      <c r="V97" s="4"/>
      <c r="W97" s="4"/>
    </row>
    <row r="98" spans="1:23" x14ac:dyDescent="0.25">
      <c r="A98" s="4">
        <v>50</v>
      </c>
      <c r="B98" s="4">
        <v>0</v>
      </c>
      <c r="C98" s="4">
        <v>0</v>
      </c>
      <c r="D98" s="4">
        <v>1</v>
      </c>
      <c r="E98" s="4">
        <v>225</v>
      </c>
      <c r="F98" s="4">
        <f>ROUND(Source!AV93,O98)</f>
        <v>36845.24</v>
      </c>
      <c r="G98" s="4" t="s">
        <v>97</v>
      </c>
      <c r="H98" s="4" t="s">
        <v>98</v>
      </c>
      <c r="I98" s="4"/>
      <c r="J98" s="4"/>
      <c r="K98" s="4">
        <v>225</v>
      </c>
      <c r="L98" s="4">
        <v>4</v>
      </c>
      <c r="M98" s="4">
        <v>3</v>
      </c>
      <c r="N98" s="4" t="s">
        <v>3</v>
      </c>
      <c r="O98" s="4">
        <v>2</v>
      </c>
      <c r="P98" s="4"/>
      <c r="Q98" s="4"/>
      <c r="R98" s="4"/>
      <c r="S98" s="4"/>
      <c r="T98" s="4"/>
      <c r="U98" s="4"/>
      <c r="V98" s="4"/>
      <c r="W98" s="4"/>
    </row>
    <row r="99" spans="1:23" x14ac:dyDescent="0.25">
      <c r="A99" s="4">
        <v>50</v>
      </c>
      <c r="B99" s="4">
        <v>0</v>
      </c>
      <c r="C99" s="4">
        <v>0</v>
      </c>
      <c r="D99" s="4">
        <v>1</v>
      </c>
      <c r="E99" s="4">
        <v>226</v>
      </c>
      <c r="F99" s="4">
        <f>ROUND(Source!AW93,O99)</f>
        <v>36845.24</v>
      </c>
      <c r="G99" s="4" t="s">
        <v>99</v>
      </c>
      <c r="H99" s="4" t="s">
        <v>100</v>
      </c>
      <c r="I99" s="4"/>
      <c r="J99" s="4"/>
      <c r="K99" s="4">
        <v>226</v>
      </c>
      <c r="L99" s="4">
        <v>5</v>
      </c>
      <c r="M99" s="4">
        <v>3</v>
      </c>
      <c r="N99" s="4" t="s">
        <v>3</v>
      </c>
      <c r="O99" s="4">
        <v>2</v>
      </c>
      <c r="P99" s="4"/>
      <c r="Q99" s="4"/>
      <c r="R99" s="4"/>
      <c r="S99" s="4"/>
      <c r="T99" s="4"/>
      <c r="U99" s="4"/>
      <c r="V99" s="4"/>
      <c r="W99" s="4"/>
    </row>
    <row r="100" spans="1:23" x14ac:dyDescent="0.25">
      <c r="A100" s="4">
        <v>50</v>
      </c>
      <c r="B100" s="4">
        <v>0</v>
      </c>
      <c r="C100" s="4">
        <v>0</v>
      </c>
      <c r="D100" s="4">
        <v>1</v>
      </c>
      <c r="E100" s="4">
        <v>227</v>
      </c>
      <c r="F100" s="4">
        <f>ROUND(Source!AX93,O100)</f>
        <v>0</v>
      </c>
      <c r="G100" s="4" t="s">
        <v>101</v>
      </c>
      <c r="H100" s="4" t="s">
        <v>102</v>
      </c>
      <c r="I100" s="4"/>
      <c r="J100" s="4"/>
      <c r="K100" s="4">
        <v>227</v>
      </c>
      <c r="L100" s="4">
        <v>6</v>
      </c>
      <c r="M100" s="4">
        <v>3</v>
      </c>
      <c r="N100" s="4" t="s">
        <v>3</v>
      </c>
      <c r="O100" s="4">
        <v>2</v>
      </c>
      <c r="P100" s="4"/>
      <c r="Q100" s="4"/>
      <c r="R100" s="4"/>
      <c r="S100" s="4"/>
      <c r="T100" s="4"/>
      <c r="U100" s="4"/>
      <c r="V100" s="4"/>
      <c r="W100" s="4"/>
    </row>
    <row r="101" spans="1:23" x14ac:dyDescent="0.25">
      <c r="A101" s="4">
        <v>50</v>
      </c>
      <c r="B101" s="4">
        <v>0</v>
      </c>
      <c r="C101" s="4">
        <v>0</v>
      </c>
      <c r="D101" s="4">
        <v>1</v>
      </c>
      <c r="E101" s="4">
        <v>228</v>
      </c>
      <c r="F101" s="4">
        <f>ROUND(Source!AY93,O101)</f>
        <v>36845.24</v>
      </c>
      <c r="G101" s="4" t="s">
        <v>103</v>
      </c>
      <c r="H101" s="4" t="s">
        <v>104</v>
      </c>
      <c r="I101" s="4"/>
      <c r="J101" s="4"/>
      <c r="K101" s="4">
        <v>228</v>
      </c>
      <c r="L101" s="4">
        <v>7</v>
      </c>
      <c r="M101" s="4">
        <v>3</v>
      </c>
      <c r="N101" s="4" t="s">
        <v>3</v>
      </c>
      <c r="O101" s="4">
        <v>2</v>
      </c>
      <c r="P101" s="4"/>
      <c r="Q101" s="4"/>
      <c r="R101" s="4"/>
      <c r="S101" s="4"/>
      <c r="T101" s="4"/>
      <c r="U101" s="4"/>
      <c r="V101" s="4"/>
      <c r="W101" s="4"/>
    </row>
    <row r="102" spans="1:23" x14ac:dyDescent="0.25">
      <c r="A102" s="4">
        <v>50</v>
      </c>
      <c r="B102" s="4">
        <v>0</v>
      </c>
      <c r="C102" s="4">
        <v>0</v>
      </c>
      <c r="D102" s="4">
        <v>1</v>
      </c>
      <c r="E102" s="4">
        <v>216</v>
      </c>
      <c r="F102" s="4">
        <f>ROUND(Source!AP93,O102)</f>
        <v>0</v>
      </c>
      <c r="G102" s="4" t="s">
        <v>105</v>
      </c>
      <c r="H102" s="4" t="s">
        <v>106</v>
      </c>
      <c r="I102" s="4"/>
      <c r="J102" s="4"/>
      <c r="K102" s="4">
        <v>216</v>
      </c>
      <c r="L102" s="4">
        <v>8</v>
      </c>
      <c r="M102" s="4">
        <v>3</v>
      </c>
      <c r="N102" s="4" t="s">
        <v>3</v>
      </c>
      <c r="O102" s="4">
        <v>2</v>
      </c>
      <c r="P102" s="4"/>
      <c r="Q102" s="4"/>
      <c r="R102" s="4"/>
      <c r="S102" s="4"/>
      <c r="T102" s="4"/>
      <c r="U102" s="4"/>
      <c r="V102" s="4"/>
      <c r="W102" s="4"/>
    </row>
    <row r="103" spans="1:23" x14ac:dyDescent="0.25">
      <c r="A103" s="4">
        <v>50</v>
      </c>
      <c r="B103" s="4">
        <v>0</v>
      </c>
      <c r="C103" s="4">
        <v>0</v>
      </c>
      <c r="D103" s="4">
        <v>1</v>
      </c>
      <c r="E103" s="4">
        <v>223</v>
      </c>
      <c r="F103" s="4">
        <f>ROUND(Source!AQ93,O103)</f>
        <v>0</v>
      </c>
      <c r="G103" s="4" t="s">
        <v>107</v>
      </c>
      <c r="H103" s="4" t="s">
        <v>108</v>
      </c>
      <c r="I103" s="4"/>
      <c r="J103" s="4"/>
      <c r="K103" s="4">
        <v>223</v>
      </c>
      <c r="L103" s="4">
        <v>9</v>
      </c>
      <c r="M103" s="4">
        <v>3</v>
      </c>
      <c r="N103" s="4" t="s">
        <v>3</v>
      </c>
      <c r="O103" s="4">
        <v>2</v>
      </c>
      <c r="P103" s="4"/>
      <c r="Q103" s="4"/>
      <c r="R103" s="4"/>
      <c r="S103" s="4"/>
      <c r="T103" s="4"/>
      <c r="U103" s="4"/>
      <c r="V103" s="4"/>
      <c r="W103" s="4"/>
    </row>
    <row r="104" spans="1:23" x14ac:dyDescent="0.25">
      <c r="A104" s="4">
        <v>50</v>
      </c>
      <c r="B104" s="4">
        <v>0</v>
      </c>
      <c r="C104" s="4">
        <v>0</v>
      </c>
      <c r="D104" s="4">
        <v>1</v>
      </c>
      <c r="E104" s="4">
        <v>229</v>
      </c>
      <c r="F104" s="4">
        <f>ROUND(Source!AZ93,O104)</f>
        <v>0</v>
      </c>
      <c r="G104" s="4" t="s">
        <v>109</v>
      </c>
      <c r="H104" s="4" t="s">
        <v>110</v>
      </c>
      <c r="I104" s="4"/>
      <c r="J104" s="4"/>
      <c r="K104" s="4">
        <v>229</v>
      </c>
      <c r="L104" s="4">
        <v>10</v>
      </c>
      <c r="M104" s="4">
        <v>3</v>
      </c>
      <c r="N104" s="4" t="s">
        <v>3</v>
      </c>
      <c r="O104" s="4">
        <v>2</v>
      </c>
      <c r="P104" s="4"/>
      <c r="Q104" s="4"/>
      <c r="R104" s="4"/>
      <c r="S104" s="4"/>
      <c r="T104" s="4"/>
      <c r="U104" s="4"/>
      <c r="V104" s="4"/>
      <c r="W104" s="4"/>
    </row>
    <row r="105" spans="1:23" x14ac:dyDescent="0.25">
      <c r="A105" s="4">
        <v>50</v>
      </c>
      <c r="B105" s="4">
        <v>0</v>
      </c>
      <c r="C105" s="4">
        <v>0</v>
      </c>
      <c r="D105" s="4">
        <v>1</v>
      </c>
      <c r="E105" s="4">
        <v>203</v>
      </c>
      <c r="F105" s="4">
        <f>ROUND(Source!Q93,O105)</f>
        <v>184.48</v>
      </c>
      <c r="G105" s="4" t="s">
        <v>111</v>
      </c>
      <c r="H105" s="4" t="s">
        <v>112</v>
      </c>
      <c r="I105" s="4"/>
      <c r="J105" s="4"/>
      <c r="K105" s="4">
        <v>203</v>
      </c>
      <c r="L105" s="4">
        <v>11</v>
      </c>
      <c r="M105" s="4">
        <v>3</v>
      </c>
      <c r="N105" s="4" t="s">
        <v>3</v>
      </c>
      <c r="O105" s="4">
        <v>2</v>
      </c>
      <c r="P105" s="4"/>
      <c r="Q105" s="4"/>
      <c r="R105" s="4"/>
      <c r="S105" s="4"/>
      <c r="T105" s="4"/>
      <c r="U105" s="4"/>
      <c r="V105" s="4"/>
      <c r="W105" s="4"/>
    </row>
    <row r="106" spans="1:23" x14ac:dyDescent="0.25">
      <c r="A106" s="4">
        <v>50</v>
      </c>
      <c r="B106" s="4">
        <v>0</v>
      </c>
      <c r="C106" s="4">
        <v>0</v>
      </c>
      <c r="D106" s="4">
        <v>1</v>
      </c>
      <c r="E106" s="4">
        <v>231</v>
      </c>
      <c r="F106" s="4">
        <f>ROUND(Source!BB93,O106)</f>
        <v>0</v>
      </c>
      <c r="G106" s="4" t="s">
        <v>113</v>
      </c>
      <c r="H106" s="4" t="s">
        <v>114</v>
      </c>
      <c r="I106" s="4"/>
      <c r="J106" s="4"/>
      <c r="K106" s="4">
        <v>231</v>
      </c>
      <c r="L106" s="4">
        <v>12</v>
      </c>
      <c r="M106" s="4">
        <v>3</v>
      </c>
      <c r="N106" s="4" t="s">
        <v>3</v>
      </c>
      <c r="O106" s="4">
        <v>2</v>
      </c>
      <c r="P106" s="4"/>
      <c r="Q106" s="4"/>
      <c r="R106" s="4"/>
      <c r="S106" s="4"/>
      <c r="T106" s="4"/>
      <c r="U106" s="4"/>
      <c r="V106" s="4"/>
      <c r="W106" s="4"/>
    </row>
    <row r="107" spans="1:23" x14ac:dyDescent="0.25">
      <c r="A107" s="4">
        <v>50</v>
      </c>
      <c r="B107" s="4">
        <v>0</v>
      </c>
      <c r="C107" s="4">
        <v>0</v>
      </c>
      <c r="D107" s="4">
        <v>1</v>
      </c>
      <c r="E107" s="4">
        <v>204</v>
      </c>
      <c r="F107" s="4">
        <f>ROUND(Source!R93,O107)</f>
        <v>67.489999999999995</v>
      </c>
      <c r="G107" s="4" t="s">
        <v>115</v>
      </c>
      <c r="H107" s="4" t="s">
        <v>116</v>
      </c>
      <c r="I107" s="4"/>
      <c r="J107" s="4"/>
      <c r="K107" s="4">
        <v>204</v>
      </c>
      <c r="L107" s="4">
        <v>13</v>
      </c>
      <c r="M107" s="4">
        <v>3</v>
      </c>
      <c r="N107" s="4" t="s">
        <v>3</v>
      </c>
      <c r="O107" s="4">
        <v>2</v>
      </c>
      <c r="P107" s="4"/>
      <c r="Q107" s="4"/>
      <c r="R107" s="4"/>
      <c r="S107" s="4"/>
      <c r="T107" s="4"/>
      <c r="U107" s="4"/>
      <c r="V107" s="4"/>
      <c r="W107" s="4"/>
    </row>
    <row r="108" spans="1:23" x14ac:dyDescent="0.25">
      <c r="A108" s="4">
        <v>50</v>
      </c>
      <c r="B108" s="4">
        <v>0</v>
      </c>
      <c r="C108" s="4">
        <v>0</v>
      </c>
      <c r="D108" s="4">
        <v>1</v>
      </c>
      <c r="E108" s="4">
        <v>205</v>
      </c>
      <c r="F108" s="4">
        <f>ROUND(Source!S93,O108)</f>
        <v>26147.41</v>
      </c>
      <c r="G108" s="4" t="s">
        <v>117</v>
      </c>
      <c r="H108" s="4" t="s">
        <v>118</v>
      </c>
      <c r="I108" s="4"/>
      <c r="J108" s="4"/>
      <c r="K108" s="4">
        <v>205</v>
      </c>
      <c r="L108" s="4">
        <v>14</v>
      </c>
      <c r="M108" s="4">
        <v>3</v>
      </c>
      <c r="N108" s="4" t="s">
        <v>3</v>
      </c>
      <c r="O108" s="4">
        <v>2</v>
      </c>
      <c r="P108" s="4"/>
      <c r="Q108" s="4"/>
      <c r="R108" s="4"/>
      <c r="S108" s="4"/>
      <c r="T108" s="4"/>
      <c r="U108" s="4"/>
      <c r="V108" s="4"/>
      <c r="W108" s="4"/>
    </row>
    <row r="109" spans="1:23" x14ac:dyDescent="0.25">
      <c r="A109" s="4">
        <v>50</v>
      </c>
      <c r="B109" s="4">
        <v>0</v>
      </c>
      <c r="C109" s="4">
        <v>0</v>
      </c>
      <c r="D109" s="4">
        <v>1</v>
      </c>
      <c r="E109" s="4">
        <v>232</v>
      </c>
      <c r="F109" s="4">
        <f>ROUND(Source!BC93,O109)</f>
        <v>0</v>
      </c>
      <c r="G109" s="4" t="s">
        <v>119</v>
      </c>
      <c r="H109" s="4" t="s">
        <v>120</v>
      </c>
      <c r="I109" s="4"/>
      <c r="J109" s="4"/>
      <c r="K109" s="4">
        <v>232</v>
      </c>
      <c r="L109" s="4">
        <v>15</v>
      </c>
      <c r="M109" s="4">
        <v>3</v>
      </c>
      <c r="N109" s="4" t="s">
        <v>3</v>
      </c>
      <c r="O109" s="4">
        <v>2</v>
      </c>
      <c r="P109" s="4"/>
      <c r="Q109" s="4"/>
      <c r="R109" s="4"/>
      <c r="S109" s="4"/>
      <c r="T109" s="4"/>
      <c r="U109" s="4"/>
      <c r="V109" s="4"/>
      <c r="W109" s="4"/>
    </row>
    <row r="110" spans="1:23" x14ac:dyDescent="0.25">
      <c r="A110" s="4">
        <v>50</v>
      </c>
      <c r="B110" s="4">
        <v>0</v>
      </c>
      <c r="C110" s="4">
        <v>0</v>
      </c>
      <c r="D110" s="4">
        <v>1</v>
      </c>
      <c r="E110" s="4">
        <v>214</v>
      </c>
      <c r="F110" s="4">
        <f>ROUND(Source!AS93,O110)</f>
        <v>0</v>
      </c>
      <c r="G110" s="4" t="s">
        <v>121</v>
      </c>
      <c r="H110" s="4" t="s">
        <v>122</v>
      </c>
      <c r="I110" s="4"/>
      <c r="J110" s="4"/>
      <c r="K110" s="4">
        <v>214</v>
      </c>
      <c r="L110" s="4">
        <v>16</v>
      </c>
      <c r="M110" s="4">
        <v>3</v>
      </c>
      <c r="N110" s="4" t="s">
        <v>3</v>
      </c>
      <c r="O110" s="4">
        <v>2</v>
      </c>
      <c r="P110" s="4"/>
      <c r="Q110" s="4"/>
      <c r="R110" s="4"/>
      <c r="S110" s="4"/>
      <c r="T110" s="4"/>
      <c r="U110" s="4"/>
      <c r="V110" s="4"/>
      <c r="W110" s="4"/>
    </row>
    <row r="111" spans="1:23" x14ac:dyDescent="0.25">
      <c r="A111" s="4">
        <v>50</v>
      </c>
      <c r="B111" s="4">
        <v>0</v>
      </c>
      <c r="C111" s="4">
        <v>0</v>
      </c>
      <c r="D111" s="4">
        <v>1</v>
      </c>
      <c r="E111" s="4">
        <v>215</v>
      </c>
      <c r="F111" s="4">
        <f>ROUND(Source!AT93,O111)</f>
        <v>0</v>
      </c>
      <c r="G111" s="4" t="s">
        <v>123</v>
      </c>
      <c r="H111" s="4" t="s">
        <v>124</v>
      </c>
      <c r="I111" s="4"/>
      <c r="J111" s="4"/>
      <c r="K111" s="4">
        <v>215</v>
      </c>
      <c r="L111" s="4">
        <v>17</v>
      </c>
      <c r="M111" s="4">
        <v>3</v>
      </c>
      <c r="N111" s="4" t="s">
        <v>3</v>
      </c>
      <c r="O111" s="4">
        <v>2</v>
      </c>
      <c r="P111" s="4"/>
      <c r="Q111" s="4"/>
      <c r="R111" s="4"/>
      <c r="S111" s="4"/>
      <c r="T111" s="4"/>
      <c r="U111" s="4"/>
      <c r="V111" s="4"/>
      <c r="W111" s="4"/>
    </row>
    <row r="112" spans="1:23" x14ac:dyDescent="0.25">
      <c r="A112" s="4">
        <v>50</v>
      </c>
      <c r="B112" s="4">
        <v>0</v>
      </c>
      <c r="C112" s="4">
        <v>0</v>
      </c>
      <c r="D112" s="4">
        <v>1</v>
      </c>
      <c r="E112" s="4">
        <v>217</v>
      </c>
      <c r="F112" s="4">
        <f>ROUND(Source!AU93,O112)</f>
        <v>84167.95</v>
      </c>
      <c r="G112" s="4" t="s">
        <v>125</v>
      </c>
      <c r="H112" s="4" t="s">
        <v>126</v>
      </c>
      <c r="I112" s="4"/>
      <c r="J112" s="4"/>
      <c r="K112" s="4">
        <v>217</v>
      </c>
      <c r="L112" s="4">
        <v>18</v>
      </c>
      <c r="M112" s="4">
        <v>3</v>
      </c>
      <c r="N112" s="4" t="s">
        <v>3</v>
      </c>
      <c r="O112" s="4">
        <v>2</v>
      </c>
      <c r="P112" s="4"/>
      <c r="Q112" s="4"/>
      <c r="R112" s="4"/>
      <c r="S112" s="4"/>
      <c r="T112" s="4"/>
      <c r="U112" s="4"/>
      <c r="V112" s="4"/>
      <c r="W112" s="4"/>
    </row>
    <row r="113" spans="1:23" x14ac:dyDescent="0.25">
      <c r="A113" s="4">
        <v>50</v>
      </c>
      <c r="B113" s="4">
        <v>0</v>
      </c>
      <c r="C113" s="4">
        <v>0</v>
      </c>
      <c r="D113" s="4">
        <v>1</v>
      </c>
      <c r="E113" s="4">
        <v>230</v>
      </c>
      <c r="F113" s="4">
        <f>ROUND(Source!BA93,O113)</f>
        <v>0</v>
      </c>
      <c r="G113" s="4" t="s">
        <v>127</v>
      </c>
      <c r="H113" s="4" t="s">
        <v>128</v>
      </c>
      <c r="I113" s="4"/>
      <c r="J113" s="4"/>
      <c r="K113" s="4">
        <v>230</v>
      </c>
      <c r="L113" s="4">
        <v>19</v>
      </c>
      <c r="M113" s="4">
        <v>3</v>
      </c>
      <c r="N113" s="4" t="s">
        <v>3</v>
      </c>
      <c r="O113" s="4">
        <v>2</v>
      </c>
      <c r="P113" s="4"/>
      <c r="Q113" s="4"/>
      <c r="R113" s="4"/>
      <c r="S113" s="4"/>
      <c r="T113" s="4"/>
      <c r="U113" s="4"/>
      <c r="V113" s="4"/>
      <c r="W113" s="4"/>
    </row>
    <row r="114" spans="1:23" x14ac:dyDescent="0.25">
      <c r="A114" s="4">
        <v>50</v>
      </c>
      <c r="B114" s="4">
        <v>0</v>
      </c>
      <c r="C114" s="4">
        <v>0</v>
      </c>
      <c r="D114" s="4">
        <v>1</v>
      </c>
      <c r="E114" s="4">
        <v>206</v>
      </c>
      <c r="F114" s="4">
        <f>ROUND(Source!T93,O114)</f>
        <v>0</v>
      </c>
      <c r="G114" s="4" t="s">
        <v>129</v>
      </c>
      <c r="H114" s="4" t="s">
        <v>130</v>
      </c>
      <c r="I114" s="4"/>
      <c r="J114" s="4"/>
      <c r="K114" s="4">
        <v>206</v>
      </c>
      <c r="L114" s="4">
        <v>20</v>
      </c>
      <c r="M114" s="4">
        <v>3</v>
      </c>
      <c r="N114" s="4" t="s">
        <v>3</v>
      </c>
      <c r="O114" s="4">
        <v>2</v>
      </c>
      <c r="P114" s="4"/>
      <c r="Q114" s="4"/>
      <c r="R114" s="4"/>
      <c r="S114" s="4"/>
      <c r="T114" s="4"/>
      <c r="U114" s="4"/>
      <c r="V114" s="4"/>
      <c r="W114" s="4"/>
    </row>
    <row r="115" spans="1:23" x14ac:dyDescent="0.25">
      <c r="A115" s="4">
        <v>50</v>
      </c>
      <c r="B115" s="4">
        <v>0</v>
      </c>
      <c r="C115" s="4">
        <v>0</v>
      </c>
      <c r="D115" s="4">
        <v>1</v>
      </c>
      <c r="E115" s="4">
        <v>207</v>
      </c>
      <c r="F115" s="4">
        <f>Source!U93</f>
        <v>139.05687225</v>
      </c>
      <c r="G115" s="4" t="s">
        <v>131</v>
      </c>
      <c r="H115" s="4" t="s">
        <v>132</v>
      </c>
      <c r="I115" s="4"/>
      <c r="J115" s="4"/>
      <c r="K115" s="4">
        <v>207</v>
      </c>
      <c r="L115" s="4">
        <v>21</v>
      </c>
      <c r="M115" s="4">
        <v>3</v>
      </c>
      <c r="N115" s="4" t="s">
        <v>3</v>
      </c>
      <c r="O115" s="4">
        <v>-1</v>
      </c>
      <c r="P115" s="4"/>
      <c r="Q115" s="4"/>
      <c r="R115" s="4"/>
      <c r="S115" s="4"/>
      <c r="T115" s="4"/>
      <c r="U115" s="4"/>
      <c r="V115" s="4"/>
      <c r="W115" s="4"/>
    </row>
    <row r="116" spans="1:23" x14ac:dyDescent="0.25">
      <c r="A116" s="4">
        <v>50</v>
      </c>
      <c r="B116" s="4">
        <v>0</v>
      </c>
      <c r="C116" s="4">
        <v>0</v>
      </c>
      <c r="D116" s="4">
        <v>1</v>
      </c>
      <c r="E116" s="4">
        <v>208</v>
      </c>
      <c r="F116" s="4">
        <f>Source!V93</f>
        <v>0</v>
      </c>
      <c r="G116" s="4" t="s">
        <v>133</v>
      </c>
      <c r="H116" s="4" t="s">
        <v>134</v>
      </c>
      <c r="I116" s="4"/>
      <c r="J116" s="4"/>
      <c r="K116" s="4">
        <v>208</v>
      </c>
      <c r="L116" s="4">
        <v>22</v>
      </c>
      <c r="M116" s="4">
        <v>3</v>
      </c>
      <c r="N116" s="4" t="s">
        <v>3</v>
      </c>
      <c r="O116" s="4">
        <v>-1</v>
      </c>
      <c r="P116" s="4"/>
      <c r="Q116" s="4"/>
      <c r="R116" s="4"/>
      <c r="S116" s="4"/>
      <c r="T116" s="4"/>
      <c r="U116" s="4"/>
      <c r="V116" s="4"/>
      <c r="W116" s="4"/>
    </row>
    <row r="117" spans="1:23" x14ac:dyDescent="0.25">
      <c r="A117" s="4">
        <v>50</v>
      </c>
      <c r="B117" s="4">
        <v>0</v>
      </c>
      <c r="C117" s="4">
        <v>0</v>
      </c>
      <c r="D117" s="4">
        <v>1</v>
      </c>
      <c r="E117" s="4">
        <v>209</v>
      </c>
      <c r="F117" s="4">
        <f>ROUND(Source!W93,O117)</f>
        <v>0</v>
      </c>
      <c r="G117" s="4" t="s">
        <v>135</v>
      </c>
      <c r="H117" s="4" t="s">
        <v>136</v>
      </c>
      <c r="I117" s="4"/>
      <c r="J117" s="4"/>
      <c r="K117" s="4">
        <v>209</v>
      </c>
      <c r="L117" s="4">
        <v>23</v>
      </c>
      <c r="M117" s="4">
        <v>3</v>
      </c>
      <c r="N117" s="4" t="s">
        <v>3</v>
      </c>
      <c r="O117" s="4">
        <v>2</v>
      </c>
      <c r="P117" s="4"/>
      <c r="Q117" s="4"/>
      <c r="R117" s="4"/>
      <c r="S117" s="4"/>
      <c r="T117" s="4"/>
      <c r="U117" s="4"/>
      <c r="V117" s="4"/>
      <c r="W117" s="4"/>
    </row>
    <row r="118" spans="1:23" x14ac:dyDescent="0.25">
      <c r="A118" s="4">
        <v>50</v>
      </c>
      <c r="B118" s="4">
        <v>0</v>
      </c>
      <c r="C118" s="4">
        <v>0</v>
      </c>
      <c r="D118" s="4">
        <v>1</v>
      </c>
      <c r="E118" s="4">
        <v>233</v>
      </c>
      <c r="F118" s="4">
        <f>ROUND(Source!BD93,O118)</f>
        <v>0</v>
      </c>
      <c r="G118" s="4" t="s">
        <v>137</v>
      </c>
      <c r="H118" s="4" t="s">
        <v>138</v>
      </c>
      <c r="I118" s="4"/>
      <c r="J118" s="4"/>
      <c r="K118" s="4">
        <v>233</v>
      </c>
      <c r="L118" s="4">
        <v>24</v>
      </c>
      <c r="M118" s="4">
        <v>3</v>
      </c>
      <c r="N118" s="4" t="s">
        <v>3</v>
      </c>
      <c r="O118" s="4">
        <v>2</v>
      </c>
      <c r="P118" s="4"/>
      <c r="Q118" s="4"/>
      <c r="R118" s="4"/>
      <c r="S118" s="4"/>
      <c r="T118" s="4"/>
      <c r="U118" s="4"/>
      <c r="V118" s="4"/>
      <c r="W118" s="4"/>
    </row>
    <row r="119" spans="1:23" x14ac:dyDescent="0.25">
      <c r="A119" s="4">
        <v>50</v>
      </c>
      <c r="B119" s="4">
        <v>0</v>
      </c>
      <c r="C119" s="4">
        <v>0</v>
      </c>
      <c r="D119" s="4">
        <v>1</v>
      </c>
      <c r="E119" s="4">
        <v>210</v>
      </c>
      <c r="F119" s="4">
        <f>ROUND(Source!X93,O119)</f>
        <v>18303.189999999999</v>
      </c>
      <c r="G119" s="4" t="s">
        <v>139</v>
      </c>
      <c r="H119" s="4" t="s">
        <v>140</v>
      </c>
      <c r="I119" s="4"/>
      <c r="J119" s="4"/>
      <c r="K119" s="4">
        <v>210</v>
      </c>
      <c r="L119" s="4">
        <v>25</v>
      </c>
      <c r="M119" s="4">
        <v>3</v>
      </c>
      <c r="N119" s="4" t="s">
        <v>3</v>
      </c>
      <c r="O119" s="4">
        <v>2</v>
      </c>
      <c r="P119" s="4"/>
      <c r="Q119" s="4"/>
      <c r="R119" s="4"/>
      <c r="S119" s="4"/>
      <c r="T119" s="4"/>
      <c r="U119" s="4"/>
      <c r="V119" s="4"/>
      <c r="W119" s="4"/>
    </row>
    <row r="120" spans="1:23" x14ac:dyDescent="0.25">
      <c r="A120" s="4">
        <v>50</v>
      </c>
      <c r="B120" s="4">
        <v>0</v>
      </c>
      <c r="C120" s="4">
        <v>0</v>
      </c>
      <c r="D120" s="4">
        <v>1</v>
      </c>
      <c r="E120" s="4">
        <v>211</v>
      </c>
      <c r="F120" s="4">
        <f>ROUND(Source!Y93,O120)</f>
        <v>2614.7399999999998</v>
      </c>
      <c r="G120" s="4" t="s">
        <v>141</v>
      </c>
      <c r="H120" s="4" t="s">
        <v>142</v>
      </c>
      <c r="I120" s="4"/>
      <c r="J120" s="4"/>
      <c r="K120" s="4">
        <v>211</v>
      </c>
      <c r="L120" s="4">
        <v>26</v>
      </c>
      <c r="M120" s="4">
        <v>3</v>
      </c>
      <c r="N120" s="4" t="s">
        <v>3</v>
      </c>
      <c r="O120" s="4">
        <v>2</v>
      </c>
      <c r="P120" s="4"/>
      <c r="Q120" s="4"/>
      <c r="R120" s="4"/>
      <c r="S120" s="4"/>
      <c r="T120" s="4"/>
      <c r="U120" s="4"/>
      <c r="V120" s="4"/>
      <c r="W120" s="4"/>
    </row>
    <row r="121" spans="1:23" x14ac:dyDescent="0.25">
      <c r="A121" s="4">
        <v>50</v>
      </c>
      <c r="B121" s="4">
        <v>0</v>
      </c>
      <c r="C121" s="4">
        <v>0</v>
      </c>
      <c r="D121" s="4">
        <v>1</v>
      </c>
      <c r="E121" s="4">
        <v>224</v>
      </c>
      <c r="F121" s="4">
        <f>ROUND(Source!AR93,O121)</f>
        <v>84167.95</v>
      </c>
      <c r="G121" s="4" t="s">
        <v>143</v>
      </c>
      <c r="H121" s="4" t="s">
        <v>144</v>
      </c>
      <c r="I121" s="4"/>
      <c r="J121" s="4"/>
      <c r="K121" s="4">
        <v>224</v>
      </c>
      <c r="L121" s="4">
        <v>27</v>
      </c>
      <c r="M121" s="4">
        <v>3</v>
      </c>
      <c r="N121" s="4" t="s">
        <v>3</v>
      </c>
      <c r="O121" s="4">
        <v>2</v>
      </c>
      <c r="P121" s="4"/>
      <c r="Q121" s="4"/>
      <c r="R121" s="4"/>
      <c r="S121" s="4"/>
      <c r="T121" s="4"/>
      <c r="U121" s="4"/>
      <c r="V121" s="4"/>
      <c r="W121" s="4"/>
    </row>
    <row r="122" spans="1:23" x14ac:dyDescent="0.25">
      <c r="A122" s="4">
        <v>50</v>
      </c>
      <c r="B122" s="4">
        <v>1</v>
      </c>
      <c r="C122" s="4">
        <v>0</v>
      </c>
      <c r="D122" s="4">
        <v>2</v>
      </c>
      <c r="E122" s="4">
        <v>0</v>
      </c>
      <c r="F122" s="4">
        <f>ROUND(F108,O122)</f>
        <v>26147.41</v>
      </c>
      <c r="G122" s="4" t="s">
        <v>22</v>
      </c>
      <c r="H122" s="4" t="s">
        <v>145</v>
      </c>
      <c r="I122" s="4"/>
      <c r="J122" s="4"/>
      <c r="K122" s="4">
        <v>212</v>
      </c>
      <c r="L122" s="4">
        <v>28</v>
      </c>
      <c r="M122" s="4">
        <v>0</v>
      </c>
      <c r="N122" s="4" t="s">
        <v>3</v>
      </c>
      <c r="O122" s="4">
        <v>2</v>
      </c>
      <c r="P122" s="4"/>
      <c r="Q122" s="4"/>
      <c r="R122" s="4"/>
      <c r="S122" s="4"/>
      <c r="T122" s="4"/>
      <c r="U122" s="4"/>
      <c r="V122" s="4"/>
      <c r="W122" s="4"/>
    </row>
    <row r="123" spans="1:23" x14ac:dyDescent="0.25">
      <c r="A123" s="4">
        <v>50</v>
      </c>
      <c r="B123" s="4">
        <v>1</v>
      </c>
      <c r="C123" s="4">
        <v>0</v>
      </c>
      <c r="D123" s="4">
        <v>2</v>
      </c>
      <c r="E123" s="4">
        <v>0</v>
      </c>
      <c r="F123" s="4">
        <f>ROUND(F107,O123)</f>
        <v>67.489999999999995</v>
      </c>
      <c r="G123" s="4" t="s">
        <v>27</v>
      </c>
      <c r="H123" s="4" t="s">
        <v>146</v>
      </c>
      <c r="I123" s="4"/>
      <c r="J123" s="4"/>
      <c r="K123" s="4">
        <v>212</v>
      </c>
      <c r="L123" s="4">
        <v>29</v>
      </c>
      <c r="M123" s="4">
        <v>0</v>
      </c>
      <c r="N123" s="4" t="s">
        <v>3</v>
      </c>
      <c r="O123" s="4">
        <v>2</v>
      </c>
      <c r="P123" s="4"/>
      <c r="Q123" s="4"/>
      <c r="R123" s="4"/>
      <c r="S123" s="4"/>
      <c r="T123" s="4"/>
      <c r="U123" s="4"/>
      <c r="V123" s="4"/>
      <c r="W123" s="4"/>
    </row>
    <row r="124" spans="1:23" x14ac:dyDescent="0.25">
      <c r="A124" s="4">
        <v>50</v>
      </c>
      <c r="B124" s="4">
        <v>1</v>
      </c>
      <c r="C124" s="4">
        <v>0</v>
      </c>
      <c r="D124" s="4">
        <v>2</v>
      </c>
      <c r="E124" s="4">
        <v>0</v>
      </c>
      <c r="F124" s="4">
        <f>ROUND(F120,O124)</f>
        <v>2614.7399999999998</v>
      </c>
      <c r="G124" s="4" t="s">
        <v>30</v>
      </c>
      <c r="H124" s="4" t="s">
        <v>147</v>
      </c>
      <c r="I124" s="4"/>
      <c r="J124" s="4"/>
      <c r="K124" s="4">
        <v>212</v>
      </c>
      <c r="L124" s="4">
        <v>30</v>
      </c>
      <c r="M124" s="4">
        <v>0</v>
      </c>
      <c r="N124" s="4" t="s">
        <v>3</v>
      </c>
      <c r="O124" s="4">
        <v>2</v>
      </c>
      <c r="P124" s="4"/>
      <c r="Q124" s="4"/>
      <c r="R124" s="4"/>
      <c r="S124" s="4"/>
      <c r="T124" s="4"/>
      <c r="U124" s="4"/>
      <c r="V124" s="4"/>
      <c r="W124" s="4"/>
    </row>
    <row r="125" spans="1:23" x14ac:dyDescent="0.25">
      <c r="A125" s="4">
        <v>50</v>
      </c>
      <c r="B125" s="4">
        <v>1</v>
      </c>
      <c r="C125" s="4">
        <v>0</v>
      </c>
      <c r="D125" s="4">
        <v>2</v>
      </c>
      <c r="E125" s="4">
        <v>0</v>
      </c>
      <c r="F125" s="4">
        <f>ROUND(F107*0.3,O125)</f>
        <v>20.25</v>
      </c>
      <c r="G125" s="4" t="s">
        <v>35</v>
      </c>
      <c r="H125" s="4" t="s">
        <v>148</v>
      </c>
      <c r="I125" s="4"/>
      <c r="J125" s="4"/>
      <c r="K125" s="4">
        <v>212</v>
      </c>
      <c r="L125" s="4">
        <v>31</v>
      </c>
      <c r="M125" s="4">
        <v>0</v>
      </c>
      <c r="N125" s="4" t="s">
        <v>3</v>
      </c>
      <c r="O125" s="4">
        <v>2</v>
      </c>
      <c r="P125" s="4"/>
      <c r="Q125" s="4"/>
      <c r="R125" s="4"/>
      <c r="S125" s="4"/>
      <c r="T125" s="4"/>
      <c r="U125" s="4"/>
      <c r="V125" s="4"/>
      <c r="W125" s="4"/>
    </row>
    <row r="126" spans="1:23" x14ac:dyDescent="0.25">
      <c r="A126" s="4">
        <v>50</v>
      </c>
      <c r="B126" s="4">
        <v>1</v>
      </c>
      <c r="C126" s="4">
        <v>0</v>
      </c>
      <c r="D126" s="4">
        <v>2</v>
      </c>
      <c r="E126" s="4">
        <v>0</v>
      </c>
      <c r="F126" s="4">
        <f>ROUND(F121-F122-F123-F124-F125,O126)</f>
        <v>55318.06</v>
      </c>
      <c r="G126" s="4" t="s">
        <v>40</v>
      </c>
      <c r="H126" s="4" t="s">
        <v>149</v>
      </c>
      <c r="I126" s="4"/>
      <c r="J126" s="4"/>
      <c r="K126" s="4">
        <v>212</v>
      </c>
      <c r="L126" s="4">
        <v>32</v>
      </c>
      <c r="M126" s="4">
        <v>0</v>
      </c>
      <c r="N126" s="4" t="s">
        <v>3</v>
      </c>
      <c r="O126" s="4">
        <v>2</v>
      </c>
      <c r="P126" s="4"/>
      <c r="Q126" s="4"/>
      <c r="R126" s="4"/>
      <c r="S126" s="4"/>
      <c r="T126" s="4"/>
      <c r="U126" s="4"/>
      <c r="V126" s="4"/>
      <c r="W126" s="4"/>
    </row>
    <row r="127" spans="1:23" x14ac:dyDescent="0.25">
      <c r="A127" s="4">
        <v>50</v>
      </c>
      <c r="B127" s="4">
        <v>1</v>
      </c>
      <c r="C127" s="4">
        <v>0</v>
      </c>
      <c r="D127" s="4">
        <v>2</v>
      </c>
      <c r="E127" s="4">
        <v>0</v>
      </c>
      <c r="F127" s="4">
        <f>ROUND(F126*0.2,O127)</f>
        <v>11063.61</v>
      </c>
      <c r="G127" s="4" t="s">
        <v>45</v>
      </c>
      <c r="H127" s="4" t="s">
        <v>150</v>
      </c>
      <c r="I127" s="4"/>
      <c r="J127" s="4"/>
      <c r="K127" s="4">
        <v>212</v>
      </c>
      <c r="L127" s="4">
        <v>33</v>
      </c>
      <c r="M127" s="4">
        <v>0</v>
      </c>
      <c r="N127" s="4" t="s">
        <v>3</v>
      </c>
      <c r="O127" s="4">
        <v>2</v>
      </c>
      <c r="P127" s="4"/>
      <c r="Q127" s="4"/>
      <c r="R127" s="4"/>
      <c r="S127" s="4"/>
      <c r="T127" s="4"/>
      <c r="U127" s="4"/>
      <c r="V127" s="4"/>
      <c r="W127" s="4"/>
    </row>
    <row r="128" spans="1:23" x14ac:dyDescent="0.25">
      <c r="A128" s="4">
        <v>50</v>
      </c>
      <c r="B128" s="4">
        <v>1</v>
      </c>
      <c r="C128" s="4">
        <v>0</v>
      </c>
      <c r="D128" s="4">
        <v>2</v>
      </c>
      <c r="E128" s="4">
        <v>0</v>
      </c>
      <c r="F128" s="4">
        <f>ROUND(F126+F127,O128)</f>
        <v>66381.67</v>
      </c>
      <c r="G128" s="4" t="s">
        <v>50</v>
      </c>
      <c r="H128" s="4" t="s">
        <v>151</v>
      </c>
      <c r="I128" s="4"/>
      <c r="J128" s="4"/>
      <c r="K128" s="4">
        <v>212</v>
      </c>
      <c r="L128" s="4">
        <v>34</v>
      </c>
      <c r="M128" s="4">
        <v>0</v>
      </c>
      <c r="N128" s="4" t="s">
        <v>3</v>
      </c>
      <c r="O128" s="4">
        <v>2</v>
      </c>
      <c r="P128" s="4"/>
      <c r="Q128" s="4"/>
      <c r="R128" s="4"/>
      <c r="S128" s="4"/>
      <c r="T128" s="4"/>
      <c r="U128" s="4"/>
      <c r="V128" s="4"/>
      <c r="W128" s="4"/>
    </row>
    <row r="129" spans="1:206" x14ac:dyDescent="0.25">
      <c r="A129" s="4">
        <v>50</v>
      </c>
      <c r="B129" s="4">
        <v>1</v>
      </c>
      <c r="C129" s="4">
        <v>0</v>
      </c>
      <c r="D129" s="4">
        <v>2</v>
      </c>
      <c r="E129" s="4">
        <v>0</v>
      </c>
      <c r="F129" s="4">
        <f>ROUND(F128+F122+F123,O129)</f>
        <v>92596.57</v>
      </c>
      <c r="G129" s="4" t="s">
        <v>55</v>
      </c>
      <c r="H129" s="4" t="s">
        <v>152</v>
      </c>
      <c r="I129" s="4"/>
      <c r="J129" s="4"/>
      <c r="K129" s="4">
        <v>212</v>
      </c>
      <c r="L129" s="4">
        <v>35</v>
      </c>
      <c r="M129" s="4">
        <v>0</v>
      </c>
      <c r="N129" s="4" t="s">
        <v>3</v>
      </c>
      <c r="O129" s="4">
        <v>2</v>
      </c>
      <c r="P129" s="4"/>
      <c r="Q129" s="4"/>
      <c r="R129" s="4"/>
      <c r="S129" s="4"/>
      <c r="T129" s="4"/>
      <c r="U129" s="4"/>
      <c r="V129" s="4"/>
      <c r="W129" s="4"/>
    </row>
    <row r="131" spans="1:206" x14ac:dyDescent="0.25">
      <c r="A131" s="2">
        <v>51</v>
      </c>
      <c r="B131" s="2">
        <f>B20</f>
        <v>1</v>
      </c>
      <c r="C131" s="2">
        <f>A20</f>
        <v>3</v>
      </c>
      <c r="D131" s="2">
        <f>ROW(A20)</f>
        <v>20</v>
      </c>
      <c r="E131" s="2"/>
      <c r="F131" s="2" t="str">
        <f>IF(F20&lt;&gt;"",F20,"")</f>
        <v>Новая локальная смета</v>
      </c>
      <c r="G131" s="2" t="str">
        <f>IF(G20&lt;&gt;"",G20,"")</f>
        <v>Новая локальная смета</v>
      </c>
      <c r="H131" s="2">
        <v>0</v>
      </c>
      <c r="I131" s="2"/>
      <c r="J131" s="2"/>
      <c r="K131" s="2"/>
      <c r="L131" s="2"/>
      <c r="M131" s="2"/>
      <c r="N131" s="2"/>
      <c r="O131" s="2">
        <f t="shared" ref="O131:T131" si="82">ROUND(O45+O93+AB131,2)</f>
        <v>592483.38</v>
      </c>
      <c r="P131" s="2">
        <f t="shared" si="82"/>
        <v>355604.84</v>
      </c>
      <c r="Q131" s="2">
        <f t="shared" si="82"/>
        <v>95360.06</v>
      </c>
      <c r="R131" s="2">
        <f t="shared" si="82"/>
        <v>49925.8</v>
      </c>
      <c r="S131" s="2">
        <f t="shared" si="82"/>
        <v>141518.48000000001</v>
      </c>
      <c r="T131" s="2">
        <f t="shared" si="82"/>
        <v>0</v>
      </c>
      <c r="U131" s="2">
        <f>U45+U93+AH131</f>
        <v>713.98463225</v>
      </c>
      <c r="V131" s="2">
        <f>V45+V93+AI131</f>
        <v>0</v>
      </c>
      <c r="W131" s="2">
        <f>ROUND(W45+W93+AJ131,2)</f>
        <v>0</v>
      </c>
      <c r="X131" s="2">
        <f>ROUND(X45+X93+AK131,2)</f>
        <v>99062.95</v>
      </c>
      <c r="Y131" s="2">
        <f>ROUND(Y45+Y93+AL131,2)</f>
        <v>14151.86</v>
      </c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>
        <f t="shared" ref="AO131:BD131" si="83">ROUND(AO45+AO93+BX131,2)</f>
        <v>0</v>
      </c>
      <c r="AP131" s="2">
        <f t="shared" si="83"/>
        <v>0</v>
      </c>
      <c r="AQ131" s="2">
        <f t="shared" si="83"/>
        <v>0</v>
      </c>
      <c r="AR131" s="2">
        <f t="shared" si="83"/>
        <v>712703.65</v>
      </c>
      <c r="AS131" s="2">
        <f t="shared" si="83"/>
        <v>128842.33</v>
      </c>
      <c r="AT131" s="2">
        <f t="shared" si="83"/>
        <v>0</v>
      </c>
      <c r="AU131" s="2">
        <f t="shared" si="83"/>
        <v>583861.31999999995</v>
      </c>
      <c r="AV131" s="2">
        <f t="shared" si="83"/>
        <v>355604.84</v>
      </c>
      <c r="AW131" s="2">
        <f t="shared" si="83"/>
        <v>355604.84</v>
      </c>
      <c r="AX131" s="2">
        <f t="shared" si="83"/>
        <v>0</v>
      </c>
      <c r="AY131" s="2">
        <f t="shared" si="83"/>
        <v>355604.84</v>
      </c>
      <c r="AZ131" s="2">
        <f t="shared" si="83"/>
        <v>0</v>
      </c>
      <c r="BA131" s="2">
        <f t="shared" si="83"/>
        <v>0</v>
      </c>
      <c r="BB131" s="2">
        <f t="shared" si="83"/>
        <v>0</v>
      </c>
      <c r="BC131" s="2">
        <f t="shared" si="83"/>
        <v>0</v>
      </c>
      <c r="BD131" s="2">
        <f t="shared" si="83"/>
        <v>0</v>
      </c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>
        <v>0</v>
      </c>
    </row>
    <row r="133" spans="1:206" x14ac:dyDescent="0.25">
      <c r="A133" s="4">
        <v>50</v>
      </c>
      <c r="B133" s="4">
        <v>0</v>
      </c>
      <c r="C133" s="4">
        <v>0</v>
      </c>
      <c r="D133" s="4">
        <v>1</v>
      </c>
      <c r="E133" s="4">
        <v>201</v>
      </c>
      <c r="F133" s="4">
        <f>ROUND(Source!O131,O133)</f>
        <v>592483.38</v>
      </c>
      <c r="G133" s="4" t="s">
        <v>91</v>
      </c>
      <c r="H133" s="4" t="s">
        <v>92</v>
      </c>
      <c r="I133" s="4"/>
      <c r="J133" s="4"/>
      <c r="K133" s="4">
        <v>201</v>
      </c>
      <c r="L133" s="4">
        <v>1</v>
      </c>
      <c r="M133" s="4">
        <v>3</v>
      </c>
      <c r="N133" s="4" t="s">
        <v>3</v>
      </c>
      <c r="O133" s="4">
        <v>2</v>
      </c>
      <c r="P133" s="4"/>
      <c r="Q133" s="4"/>
      <c r="R133" s="4"/>
      <c r="S133" s="4"/>
      <c r="T133" s="4"/>
      <c r="U133" s="4"/>
      <c r="V133" s="4"/>
      <c r="W133" s="4"/>
    </row>
    <row r="134" spans="1:206" x14ac:dyDescent="0.25">
      <c r="A134" s="4">
        <v>50</v>
      </c>
      <c r="B134" s="4">
        <v>0</v>
      </c>
      <c r="C134" s="4">
        <v>0</v>
      </c>
      <c r="D134" s="4">
        <v>1</v>
      </c>
      <c r="E134" s="4">
        <v>202</v>
      </c>
      <c r="F134" s="4">
        <f>ROUND(Source!P131,O134)</f>
        <v>355604.84</v>
      </c>
      <c r="G134" s="4" t="s">
        <v>93</v>
      </c>
      <c r="H134" s="4" t="s">
        <v>94</v>
      </c>
      <c r="I134" s="4"/>
      <c r="J134" s="4"/>
      <c r="K134" s="4">
        <v>202</v>
      </c>
      <c r="L134" s="4">
        <v>2</v>
      </c>
      <c r="M134" s="4">
        <v>3</v>
      </c>
      <c r="N134" s="4" t="s">
        <v>3</v>
      </c>
      <c r="O134" s="4">
        <v>2</v>
      </c>
      <c r="P134" s="4"/>
      <c r="Q134" s="4"/>
      <c r="R134" s="4"/>
      <c r="S134" s="4"/>
      <c r="T134" s="4"/>
      <c r="U134" s="4"/>
      <c r="V134" s="4"/>
      <c r="W134" s="4"/>
    </row>
    <row r="135" spans="1:206" x14ac:dyDescent="0.25">
      <c r="A135" s="4">
        <v>50</v>
      </c>
      <c r="B135" s="4">
        <v>0</v>
      </c>
      <c r="C135" s="4">
        <v>0</v>
      </c>
      <c r="D135" s="4">
        <v>1</v>
      </c>
      <c r="E135" s="4">
        <v>222</v>
      </c>
      <c r="F135" s="4">
        <f>ROUND(Source!AO131,O135)</f>
        <v>0</v>
      </c>
      <c r="G135" s="4" t="s">
        <v>95</v>
      </c>
      <c r="H135" s="4" t="s">
        <v>96</v>
      </c>
      <c r="I135" s="4"/>
      <c r="J135" s="4"/>
      <c r="K135" s="4">
        <v>222</v>
      </c>
      <c r="L135" s="4">
        <v>3</v>
      </c>
      <c r="M135" s="4">
        <v>3</v>
      </c>
      <c r="N135" s="4" t="s">
        <v>3</v>
      </c>
      <c r="O135" s="4">
        <v>2</v>
      </c>
      <c r="P135" s="4"/>
      <c r="Q135" s="4"/>
      <c r="R135" s="4"/>
      <c r="S135" s="4"/>
      <c r="T135" s="4"/>
      <c r="U135" s="4"/>
      <c r="V135" s="4"/>
      <c r="W135" s="4"/>
    </row>
    <row r="136" spans="1:206" x14ac:dyDescent="0.25">
      <c r="A136" s="4">
        <v>50</v>
      </c>
      <c r="B136" s="4">
        <v>0</v>
      </c>
      <c r="C136" s="4">
        <v>0</v>
      </c>
      <c r="D136" s="4">
        <v>1</v>
      </c>
      <c r="E136" s="4">
        <v>225</v>
      </c>
      <c r="F136" s="4">
        <f>ROUND(Source!AV131,O136)</f>
        <v>355604.84</v>
      </c>
      <c r="G136" s="4" t="s">
        <v>97</v>
      </c>
      <c r="H136" s="4" t="s">
        <v>98</v>
      </c>
      <c r="I136" s="4"/>
      <c r="J136" s="4"/>
      <c r="K136" s="4">
        <v>225</v>
      </c>
      <c r="L136" s="4">
        <v>4</v>
      </c>
      <c r="M136" s="4">
        <v>3</v>
      </c>
      <c r="N136" s="4" t="s">
        <v>3</v>
      </c>
      <c r="O136" s="4">
        <v>2</v>
      </c>
      <c r="P136" s="4"/>
      <c r="Q136" s="4"/>
      <c r="R136" s="4"/>
      <c r="S136" s="4"/>
      <c r="T136" s="4"/>
      <c r="U136" s="4"/>
      <c r="V136" s="4"/>
      <c r="W136" s="4"/>
    </row>
    <row r="137" spans="1:206" x14ac:dyDescent="0.25">
      <c r="A137" s="4">
        <v>50</v>
      </c>
      <c r="B137" s="4">
        <v>0</v>
      </c>
      <c r="C137" s="4">
        <v>0</v>
      </c>
      <c r="D137" s="4">
        <v>1</v>
      </c>
      <c r="E137" s="4">
        <v>226</v>
      </c>
      <c r="F137" s="4">
        <f>ROUND(Source!AW131,O137)</f>
        <v>355604.84</v>
      </c>
      <c r="G137" s="4" t="s">
        <v>99</v>
      </c>
      <c r="H137" s="4" t="s">
        <v>100</v>
      </c>
      <c r="I137" s="4"/>
      <c r="J137" s="4"/>
      <c r="K137" s="4">
        <v>226</v>
      </c>
      <c r="L137" s="4">
        <v>5</v>
      </c>
      <c r="M137" s="4">
        <v>3</v>
      </c>
      <c r="N137" s="4" t="s">
        <v>3</v>
      </c>
      <c r="O137" s="4">
        <v>2</v>
      </c>
      <c r="P137" s="4"/>
      <c r="Q137" s="4"/>
      <c r="R137" s="4"/>
      <c r="S137" s="4"/>
      <c r="T137" s="4"/>
      <c r="U137" s="4"/>
      <c r="V137" s="4"/>
      <c r="W137" s="4"/>
    </row>
    <row r="138" spans="1:206" x14ac:dyDescent="0.25">
      <c r="A138" s="4">
        <v>50</v>
      </c>
      <c r="B138" s="4">
        <v>0</v>
      </c>
      <c r="C138" s="4">
        <v>0</v>
      </c>
      <c r="D138" s="4">
        <v>1</v>
      </c>
      <c r="E138" s="4">
        <v>227</v>
      </c>
      <c r="F138" s="4">
        <f>ROUND(Source!AX131,O138)</f>
        <v>0</v>
      </c>
      <c r="G138" s="4" t="s">
        <v>101</v>
      </c>
      <c r="H138" s="4" t="s">
        <v>102</v>
      </c>
      <c r="I138" s="4"/>
      <c r="J138" s="4"/>
      <c r="K138" s="4">
        <v>227</v>
      </c>
      <c r="L138" s="4">
        <v>6</v>
      </c>
      <c r="M138" s="4">
        <v>3</v>
      </c>
      <c r="N138" s="4" t="s">
        <v>3</v>
      </c>
      <c r="O138" s="4">
        <v>2</v>
      </c>
      <c r="P138" s="4"/>
      <c r="Q138" s="4"/>
      <c r="R138" s="4"/>
      <c r="S138" s="4"/>
      <c r="T138" s="4"/>
      <c r="U138" s="4"/>
      <c r="V138" s="4"/>
      <c r="W138" s="4"/>
    </row>
    <row r="139" spans="1:206" x14ac:dyDescent="0.25">
      <c r="A139" s="4">
        <v>50</v>
      </c>
      <c r="B139" s="4">
        <v>0</v>
      </c>
      <c r="C139" s="4">
        <v>0</v>
      </c>
      <c r="D139" s="4">
        <v>1</v>
      </c>
      <c r="E139" s="4">
        <v>228</v>
      </c>
      <c r="F139" s="4">
        <f>ROUND(Source!AY131,O139)</f>
        <v>355604.84</v>
      </c>
      <c r="G139" s="4" t="s">
        <v>103</v>
      </c>
      <c r="H139" s="4" t="s">
        <v>104</v>
      </c>
      <c r="I139" s="4"/>
      <c r="J139" s="4"/>
      <c r="K139" s="4">
        <v>228</v>
      </c>
      <c r="L139" s="4">
        <v>7</v>
      </c>
      <c r="M139" s="4">
        <v>3</v>
      </c>
      <c r="N139" s="4" t="s">
        <v>3</v>
      </c>
      <c r="O139" s="4">
        <v>2</v>
      </c>
      <c r="P139" s="4"/>
      <c r="Q139" s="4"/>
      <c r="R139" s="4"/>
      <c r="S139" s="4"/>
      <c r="T139" s="4"/>
      <c r="U139" s="4"/>
      <c r="V139" s="4"/>
      <c r="W139" s="4"/>
    </row>
    <row r="140" spans="1:206" x14ac:dyDescent="0.25">
      <c r="A140" s="4">
        <v>50</v>
      </c>
      <c r="B140" s="4">
        <v>0</v>
      </c>
      <c r="C140" s="4">
        <v>0</v>
      </c>
      <c r="D140" s="4">
        <v>1</v>
      </c>
      <c r="E140" s="4">
        <v>216</v>
      </c>
      <c r="F140" s="4">
        <f>ROUND(Source!AP131,O140)</f>
        <v>0</v>
      </c>
      <c r="G140" s="4" t="s">
        <v>105</v>
      </c>
      <c r="H140" s="4" t="s">
        <v>106</v>
      </c>
      <c r="I140" s="4"/>
      <c r="J140" s="4"/>
      <c r="K140" s="4">
        <v>216</v>
      </c>
      <c r="L140" s="4">
        <v>8</v>
      </c>
      <c r="M140" s="4">
        <v>3</v>
      </c>
      <c r="N140" s="4" t="s">
        <v>3</v>
      </c>
      <c r="O140" s="4">
        <v>2</v>
      </c>
      <c r="P140" s="4"/>
      <c r="Q140" s="4"/>
      <c r="R140" s="4"/>
      <c r="S140" s="4"/>
      <c r="T140" s="4"/>
      <c r="U140" s="4"/>
      <c r="V140" s="4"/>
      <c r="W140" s="4"/>
    </row>
    <row r="141" spans="1:206" x14ac:dyDescent="0.25">
      <c r="A141" s="4">
        <v>50</v>
      </c>
      <c r="B141" s="4">
        <v>0</v>
      </c>
      <c r="C141" s="4">
        <v>0</v>
      </c>
      <c r="D141" s="4">
        <v>1</v>
      </c>
      <c r="E141" s="4">
        <v>223</v>
      </c>
      <c r="F141" s="4">
        <f>ROUND(Source!AQ131,O141)</f>
        <v>0</v>
      </c>
      <c r="G141" s="4" t="s">
        <v>107</v>
      </c>
      <c r="H141" s="4" t="s">
        <v>108</v>
      </c>
      <c r="I141" s="4"/>
      <c r="J141" s="4"/>
      <c r="K141" s="4">
        <v>223</v>
      </c>
      <c r="L141" s="4">
        <v>9</v>
      </c>
      <c r="M141" s="4">
        <v>3</v>
      </c>
      <c r="N141" s="4" t="s">
        <v>3</v>
      </c>
      <c r="O141" s="4">
        <v>2</v>
      </c>
      <c r="P141" s="4"/>
      <c r="Q141" s="4"/>
      <c r="R141" s="4"/>
      <c r="S141" s="4"/>
      <c r="T141" s="4"/>
      <c r="U141" s="4"/>
      <c r="V141" s="4"/>
      <c r="W141" s="4"/>
    </row>
    <row r="142" spans="1:206" x14ac:dyDescent="0.25">
      <c r="A142" s="4">
        <v>50</v>
      </c>
      <c r="B142" s="4">
        <v>0</v>
      </c>
      <c r="C142" s="4">
        <v>0</v>
      </c>
      <c r="D142" s="4">
        <v>1</v>
      </c>
      <c r="E142" s="4">
        <v>229</v>
      </c>
      <c r="F142" s="4">
        <f>ROUND(Source!AZ131,O142)</f>
        <v>0</v>
      </c>
      <c r="G142" s="4" t="s">
        <v>109</v>
      </c>
      <c r="H142" s="4" t="s">
        <v>110</v>
      </c>
      <c r="I142" s="4"/>
      <c r="J142" s="4"/>
      <c r="K142" s="4">
        <v>229</v>
      </c>
      <c r="L142" s="4">
        <v>10</v>
      </c>
      <c r="M142" s="4">
        <v>3</v>
      </c>
      <c r="N142" s="4" t="s">
        <v>3</v>
      </c>
      <c r="O142" s="4">
        <v>2</v>
      </c>
      <c r="P142" s="4"/>
      <c r="Q142" s="4"/>
      <c r="R142" s="4"/>
      <c r="S142" s="4"/>
      <c r="T142" s="4"/>
      <c r="U142" s="4"/>
      <c r="V142" s="4"/>
      <c r="W142" s="4"/>
    </row>
    <row r="143" spans="1:206" x14ac:dyDescent="0.25">
      <c r="A143" s="4">
        <v>50</v>
      </c>
      <c r="B143" s="4">
        <v>0</v>
      </c>
      <c r="C143" s="4">
        <v>0</v>
      </c>
      <c r="D143" s="4">
        <v>1</v>
      </c>
      <c r="E143" s="4">
        <v>203</v>
      </c>
      <c r="F143" s="4">
        <f>ROUND(Source!Q131,O143)</f>
        <v>95360.06</v>
      </c>
      <c r="G143" s="4" t="s">
        <v>111</v>
      </c>
      <c r="H143" s="4" t="s">
        <v>112</v>
      </c>
      <c r="I143" s="4"/>
      <c r="J143" s="4"/>
      <c r="K143" s="4">
        <v>203</v>
      </c>
      <c r="L143" s="4">
        <v>11</v>
      </c>
      <c r="M143" s="4">
        <v>3</v>
      </c>
      <c r="N143" s="4" t="s">
        <v>3</v>
      </c>
      <c r="O143" s="4">
        <v>2</v>
      </c>
      <c r="P143" s="4"/>
      <c r="Q143" s="4"/>
      <c r="R143" s="4"/>
      <c r="S143" s="4"/>
      <c r="T143" s="4"/>
      <c r="U143" s="4"/>
      <c r="V143" s="4"/>
      <c r="W143" s="4"/>
    </row>
    <row r="144" spans="1:206" x14ac:dyDescent="0.25">
      <c r="A144" s="4">
        <v>50</v>
      </c>
      <c r="B144" s="4">
        <v>0</v>
      </c>
      <c r="C144" s="4">
        <v>0</v>
      </c>
      <c r="D144" s="4">
        <v>1</v>
      </c>
      <c r="E144" s="4">
        <v>231</v>
      </c>
      <c r="F144" s="4">
        <f>ROUND(Source!BB131,O144)</f>
        <v>0</v>
      </c>
      <c r="G144" s="4" t="s">
        <v>113</v>
      </c>
      <c r="H144" s="4" t="s">
        <v>114</v>
      </c>
      <c r="I144" s="4"/>
      <c r="J144" s="4"/>
      <c r="K144" s="4">
        <v>231</v>
      </c>
      <c r="L144" s="4">
        <v>12</v>
      </c>
      <c r="M144" s="4">
        <v>3</v>
      </c>
      <c r="N144" s="4" t="s">
        <v>3</v>
      </c>
      <c r="O144" s="4">
        <v>2</v>
      </c>
      <c r="P144" s="4"/>
      <c r="Q144" s="4"/>
      <c r="R144" s="4"/>
      <c r="S144" s="4"/>
      <c r="T144" s="4"/>
      <c r="U144" s="4"/>
      <c r="V144" s="4"/>
      <c r="W144" s="4"/>
    </row>
    <row r="145" spans="1:23" x14ac:dyDescent="0.25">
      <c r="A145" s="4">
        <v>50</v>
      </c>
      <c r="B145" s="4">
        <v>0</v>
      </c>
      <c r="C145" s="4">
        <v>0</v>
      </c>
      <c r="D145" s="4">
        <v>1</v>
      </c>
      <c r="E145" s="4">
        <v>204</v>
      </c>
      <c r="F145" s="4">
        <f>ROUND(Source!R131,O145)</f>
        <v>49925.8</v>
      </c>
      <c r="G145" s="4" t="s">
        <v>115</v>
      </c>
      <c r="H145" s="4" t="s">
        <v>116</v>
      </c>
      <c r="I145" s="4"/>
      <c r="J145" s="4"/>
      <c r="K145" s="4">
        <v>204</v>
      </c>
      <c r="L145" s="4">
        <v>13</v>
      </c>
      <c r="M145" s="4">
        <v>3</v>
      </c>
      <c r="N145" s="4" t="s">
        <v>3</v>
      </c>
      <c r="O145" s="4">
        <v>2</v>
      </c>
      <c r="P145" s="4"/>
      <c r="Q145" s="4"/>
      <c r="R145" s="4"/>
      <c r="S145" s="4"/>
      <c r="T145" s="4"/>
      <c r="U145" s="4"/>
      <c r="V145" s="4"/>
      <c r="W145" s="4"/>
    </row>
    <row r="146" spans="1:23" x14ac:dyDescent="0.25">
      <c r="A146" s="4">
        <v>50</v>
      </c>
      <c r="B146" s="4">
        <v>0</v>
      </c>
      <c r="C146" s="4">
        <v>0</v>
      </c>
      <c r="D146" s="4">
        <v>1</v>
      </c>
      <c r="E146" s="4">
        <v>205</v>
      </c>
      <c r="F146" s="4">
        <f>ROUND(Source!S131,O146)</f>
        <v>141518.48000000001</v>
      </c>
      <c r="G146" s="4" t="s">
        <v>117</v>
      </c>
      <c r="H146" s="4" t="s">
        <v>118</v>
      </c>
      <c r="I146" s="4"/>
      <c r="J146" s="4"/>
      <c r="K146" s="4">
        <v>205</v>
      </c>
      <c r="L146" s="4">
        <v>14</v>
      </c>
      <c r="M146" s="4">
        <v>3</v>
      </c>
      <c r="N146" s="4" t="s">
        <v>3</v>
      </c>
      <c r="O146" s="4">
        <v>2</v>
      </c>
      <c r="P146" s="4"/>
      <c r="Q146" s="4"/>
      <c r="R146" s="4"/>
      <c r="S146" s="4"/>
      <c r="T146" s="4"/>
      <c r="U146" s="4"/>
      <c r="V146" s="4"/>
      <c r="W146" s="4"/>
    </row>
    <row r="147" spans="1:23" x14ac:dyDescent="0.25">
      <c r="A147" s="4">
        <v>50</v>
      </c>
      <c r="B147" s="4">
        <v>0</v>
      </c>
      <c r="C147" s="4">
        <v>0</v>
      </c>
      <c r="D147" s="4">
        <v>1</v>
      </c>
      <c r="E147" s="4">
        <v>232</v>
      </c>
      <c r="F147" s="4">
        <f>ROUND(Source!BC131,O147)</f>
        <v>0</v>
      </c>
      <c r="G147" s="4" t="s">
        <v>119</v>
      </c>
      <c r="H147" s="4" t="s">
        <v>120</v>
      </c>
      <c r="I147" s="4"/>
      <c r="J147" s="4"/>
      <c r="K147" s="4">
        <v>232</v>
      </c>
      <c r="L147" s="4">
        <v>15</v>
      </c>
      <c r="M147" s="4">
        <v>3</v>
      </c>
      <c r="N147" s="4" t="s">
        <v>3</v>
      </c>
      <c r="O147" s="4">
        <v>2</v>
      </c>
      <c r="P147" s="4"/>
      <c r="Q147" s="4"/>
      <c r="R147" s="4"/>
      <c r="S147" s="4"/>
      <c r="T147" s="4"/>
      <c r="U147" s="4"/>
      <c r="V147" s="4"/>
      <c r="W147" s="4"/>
    </row>
    <row r="148" spans="1:23" x14ac:dyDescent="0.25">
      <c r="A148" s="4">
        <v>50</v>
      </c>
      <c r="B148" s="4">
        <v>0</v>
      </c>
      <c r="C148" s="4">
        <v>0</v>
      </c>
      <c r="D148" s="4">
        <v>1</v>
      </c>
      <c r="E148" s="4">
        <v>214</v>
      </c>
      <c r="F148" s="4">
        <f>ROUND(Source!AS131,O148)</f>
        <v>128842.33</v>
      </c>
      <c r="G148" s="4" t="s">
        <v>121</v>
      </c>
      <c r="H148" s="4" t="s">
        <v>122</v>
      </c>
      <c r="I148" s="4"/>
      <c r="J148" s="4"/>
      <c r="K148" s="4">
        <v>214</v>
      </c>
      <c r="L148" s="4">
        <v>16</v>
      </c>
      <c r="M148" s="4">
        <v>3</v>
      </c>
      <c r="N148" s="4" t="s">
        <v>3</v>
      </c>
      <c r="O148" s="4">
        <v>2</v>
      </c>
      <c r="P148" s="4"/>
      <c r="Q148" s="4"/>
      <c r="R148" s="4"/>
      <c r="S148" s="4"/>
      <c r="T148" s="4"/>
      <c r="U148" s="4"/>
      <c r="V148" s="4"/>
      <c r="W148" s="4"/>
    </row>
    <row r="149" spans="1:23" x14ac:dyDescent="0.25">
      <c r="A149" s="4">
        <v>50</v>
      </c>
      <c r="B149" s="4">
        <v>0</v>
      </c>
      <c r="C149" s="4">
        <v>0</v>
      </c>
      <c r="D149" s="4">
        <v>1</v>
      </c>
      <c r="E149" s="4">
        <v>215</v>
      </c>
      <c r="F149" s="4">
        <f>ROUND(Source!AT131,O149)</f>
        <v>0</v>
      </c>
      <c r="G149" s="4" t="s">
        <v>123</v>
      </c>
      <c r="H149" s="4" t="s">
        <v>124</v>
      </c>
      <c r="I149" s="4"/>
      <c r="J149" s="4"/>
      <c r="K149" s="4">
        <v>215</v>
      </c>
      <c r="L149" s="4">
        <v>17</v>
      </c>
      <c r="M149" s="4">
        <v>3</v>
      </c>
      <c r="N149" s="4" t="s">
        <v>3</v>
      </c>
      <c r="O149" s="4">
        <v>2</v>
      </c>
      <c r="P149" s="4"/>
      <c r="Q149" s="4"/>
      <c r="R149" s="4"/>
      <c r="S149" s="4"/>
      <c r="T149" s="4"/>
      <c r="U149" s="4"/>
      <c r="V149" s="4"/>
      <c r="W149" s="4"/>
    </row>
    <row r="150" spans="1:23" x14ac:dyDescent="0.25">
      <c r="A150" s="4">
        <v>50</v>
      </c>
      <c r="B150" s="4">
        <v>0</v>
      </c>
      <c r="C150" s="4">
        <v>0</v>
      </c>
      <c r="D150" s="4">
        <v>1</v>
      </c>
      <c r="E150" s="4">
        <v>217</v>
      </c>
      <c r="F150" s="4">
        <f>ROUND(Source!AU131,O150)</f>
        <v>583861.31999999995</v>
      </c>
      <c r="G150" s="4" t="s">
        <v>125</v>
      </c>
      <c r="H150" s="4" t="s">
        <v>126</v>
      </c>
      <c r="I150" s="4"/>
      <c r="J150" s="4"/>
      <c r="K150" s="4">
        <v>217</v>
      </c>
      <c r="L150" s="4">
        <v>18</v>
      </c>
      <c r="M150" s="4">
        <v>3</v>
      </c>
      <c r="N150" s="4" t="s">
        <v>3</v>
      </c>
      <c r="O150" s="4">
        <v>2</v>
      </c>
      <c r="P150" s="4"/>
      <c r="Q150" s="4"/>
      <c r="R150" s="4"/>
      <c r="S150" s="4"/>
      <c r="T150" s="4"/>
      <c r="U150" s="4"/>
      <c r="V150" s="4"/>
      <c r="W150" s="4"/>
    </row>
    <row r="151" spans="1:23" x14ac:dyDescent="0.25">
      <c r="A151" s="4">
        <v>50</v>
      </c>
      <c r="B151" s="4">
        <v>0</v>
      </c>
      <c r="C151" s="4">
        <v>0</v>
      </c>
      <c r="D151" s="4">
        <v>1</v>
      </c>
      <c r="E151" s="4">
        <v>230</v>
      </c>
      <c r="F151" s="4">
        <f>ROUND(Source!BA131,O151)</f>
        <v>0</v>
      </c>
      <c r="G151" s="4" t="s">
        <v>127</v>
      </c>
      <c r="H151" s="4" t="s">
        <v>128</v>
      </c>
      <c r="I151" s="4"/>
      <c r="J151" s="4"/>
      <c r="K151" s="4">
        <v>230</v>
      </c>
      <c r="L151" s="4">
        <v>19</v>
      </c>
      <c r="M151" s="4">
        <v>3</v>
      </c>
      <c r="N151" s="4" t="s">
        <v>3</v>
      </c>
      <c r="O151" s="4">
        <v>2</v>
      </c>
      <c r="P151" s="4"/>
      <c r="Q151" s="4"/>
      <c r="R151" s="4"/>
      <c r="S151" s="4"/>
      <c r="T151" s="4"/>
      <c r="U151" s="4"/>
      <c r="V151" s="4"/>
      <c r="W151" s="4"/>
    </row>
    <row r="152" spans="1:23" x14ac:dyDescent="0.25">
      <c r="A152" s="4">
        <v>50</v>
      </c>
      <c r="B152" s="4">
        <v>0</v>
      </c>
      <c r="C152" s="4">
        <v>0</v>
      </c>
      <c r="D152" s="4">
        <v>1</v>
      </c>
      <c r="E152" s="4">
        <v>206</v>
      </c>
      <c r="F152" s="4">
        <f>ROUND(Source!T131,O152)</f>
        <v>0</v>
      </c>
      <c r="G152" s="4" t="s">
        <v>129</v>
      </c>
      <c r="H152" s="4" t="s">
        <v>130</v>
      </c>
      <c r="I152" s="4"/>
      <c r="J152" s="4"/>
      <c r="K152" s="4">
        <v>206</v>
      </c>
      <c r="L152" s="4">
        <v>20</v>
      </c>
      <c r="M152" s="4">
        <v>3</v>
      </c>
      <c r="N152" s="4" t="s">
        <v>3</v>
      </c>
      <c r="O152" s="4">
        <v>2</v>
      </c>
      <c r="P152" s="4"/>
      <c r="Q152" s="4"/>
      <c r="R152" s="4"/>
      <c r="S152" s="4"/>
      <c r="T152" s="4"/>
      <c r="U152" s="4"/>
      <c r="V152" s="4"/>
      <c r="W152" s="4"/>
    </row>
    <row r="153" spans="1:23" x14ac:dyDescent="0.25">
      <c r="A153" s="4">
        <v>50</v>
      </c>
      <c r="B153" s="4">
        <v>0</v>
      </c>
      <c r="C153" s="4">
        <v>0</v>
      </c>
      <c r="D153" s="4">
        <v>1</v>
      </c>
      <c r="E153" s="4">
        <v>207</v>
      </c>
      <c r="F153" s="4">
        <f>Source!U131</f>
        <v>713.98463225</v>
      </c>
      <c r="G153" s="4" t="s">
        <v>131</v>
      </c>
      <c r="H153" s="4" t="s">
        <v>132</v>
      </c>
      <c r="I153" s="4"/>
      <c r="J153" s="4"/>
      <c r="K153" s="4">
        <v>207</v>
      </c>
      <c r="L153" s="4">
        <v>21</v>
      </c>
      <c r="M153" s="4">
        <v>3</v>
      </c>
      <c r="N153" s="4" t="s">
        <v>3</v>
      </c>
      <c r="O153" s="4">
        <v>-1</v>
      </c>
      <c r="P153" s="4"/>
      <c r="Q153" s="4"/>
      <c r="R153" s="4"/>
      <c r="S153" s="4"/>
      <c r="T153" s="4"/>
      <c r="U153" s="4"/>
      <c r="V153" s="4"/>
      <c r="W153" s="4"/>
    </row>
    <row r="154" spans="1:23" x14ac:dyDescent="0.25">
      <c r="A154" s="4">
        <v>50</v>
      </c>
      <c r="B154" s="4">
        <v>0</v>
      </c>
      <c r="C154" s="4">
        <v>0</v>
      </c>
      <c r="D154" s="4">
        <v>1</v>
      </c>
      <c r="E154" s="4">
        <v>208</v>
      </c>
      <c r="F154" s="4">
        <f>Source!V131</f>
        <v>0</v>
      </c>
      <c r="G154" s="4" t="s">
        <v>133</v>
      </c>
      <c r="H154" s="4" t="s">
        <v>134</v>
      </c>
      <c r="I154" s="4"/>
      <c r="J154" s="4"/>
      <c r="K154" s="4">
        <v>208</v>
      </c>
      <c r="L154" s="4">
        <v>22</v>
      </c>
      <c r="M154" s="4">
        <v>3</v>
      </c>
      <c r="N154" s="4" t="s">
        <v>3</v>
      </c>
      <c r="O154" s="4">
        <v>-1</v>
      </c>
      <c r="P154" s="4"/>
      <c r="Q154" s="4"/>
      <c r="R154" s="4"/>
      <c r="S154" s="4"/>
      <c r="T154" s="4"/>
      <c r="U154" s="4"/>
      <c r="V154" s="4"/>
      <c r="W154" s="4"/>
    </row>
    <row r="155" spans="1:23" x14ac:dyDescent="0.25">
      <c r="A155" s="4">
        <v>50</v>
      </c>
      <c r="B155" s="4">
        <v>0</v>
      </c>
      <c r="C155" s="4">
        <v>0</v>
      </c>
      <c r="D155" s="4">
        <v>1</v>
      </c>
      <c r="E155" s="4">
        <v>209</v>
      </c>
      <c r="F155" s="4">
        <f>ROUND(Source!W131,O155)</f>
        <v>0</v>
      </c>
      <c r="G155" s="4" t="s">
        <v>135</v>
      </c>
      <c r="H155" s="4" t="s">
        <v>136</v>
      </c>
      <c r="I155" s="4"/>
      <c r="J155" s="4"/>
      <c r="K155" s="4">
        <v>209</v>
      </c>
      <c r="L155" s="4">
        <v>23</v>
      </c>
      <c r="M155" s="4">
        <v>3</v>
      </c>
      <c r="N155" s="4" t="s">
        <v>3</v>
      </c>
      <c r="O155" s="4">
        <v>2</v>
      </c>
      <c r="P155" s="4"/>
      <c r="Q155" s="4"/>
      <c r="R155" s="4"/>
      <c r="S155" s="4"/>
      <c r="T155" s="4"/>
      <c r="U155" s="4"/>
      <c r="V155" s="4"/>
      <c r="W155" s="4"/>
    </row>
    <row r="156" spans="1:23" x14ac:dyDescent="0.25">
      <c r="A156" s="4">
        <v>50</v>
      </c>
      <c r="B156" s="4">
        <v>0</v>
      </c>
      <c r="C156" s="4">
        <v>0</v>
      </c>
      <c r="D156" s="4">
        <v>1</v>
      </c>
      <c r="E156" s="4">
        <v>233</v>
      </c>
      <c r="F156" s="4">
        <f>ROUND(Source!BD131,O156)</f>
        <v>0</v>
      </c>
      <c r="G156" s="4" t="s">
        <v>137</v>
      </c>
      <c r="H156" s="4" t="s">
        <v>138</v>
      </c>
      <c r="I156" s="4"/>
      <c r="J156" s="4"/>
      <c r="K156" s="4">
        <v>233</v>
      </c>
      <c r="L156" s="4">
        <v>24</v>
      </c>
      <c r="M156" s="4">
        <v>3</v>
      </c>
      <c r="N156" s="4" t="s">
        <v>3</v>
      </c>
      <c r="O156" s="4">
        <v>2</v>
      </c>
      <c r="P156" s="4"/>
      <c r="Q156" s="4"/>
      <c r="R156" s="4"/>
      <c r="S156" s="4"/>
      <c r="T156" s="4"/>
      <c r="U156" s="4"/>
      <c r="V156" s="4"/>
      <c r="W156" s="4"/>
    </row>
    <row r="157" spans="1:23" x14ac:dyDescent="0.25">
      <c r="A157" s="4">
        <v>50</v>
      </c>
      <c r="B157" s="4">
        <v>0</v>
      </c>
      <c r="C157" s="4">
        <v>0</v>
      </c>
      <c r="D157" s="4">
        <v>1</v>
      </c>
      <c r="E157" s="4">
        <v>210</v>
      </c>
      <c r="F157" s="4">
        <f>ROUND(Source!X131,O157)</f>
        <v>99062.95</v>
      </c>
      <c r="G157" s="4" t="s">
        <v>139</v>
      </c>
      <c r="H157" s="4" t="s">
        <v>140</v>
      </c>
      <c r="I157" s="4"/>
      <c r="J157" s="4"/>
      <c r="K157" s="4">
        <v>210</v>
      </c>
      <c r="L157" s="4">
        <v>25</v>
      </c>
      <c r="M157" s="4">
        <v>3</v>
      </c>
      <c r="N157" s="4" t="s">
        <v>3</v>
      </c>
      <c r="O157" s="4">
        <v>2</v>
      </c>
      <c r="P157" s="4"/>
      <c r="Q157" s="4"/>
      <c r="R157" s="4"/>
      <c r="S157" s="4"/>
      <c r="T157" s="4"/>
      <c r="U157" s="4"/>
      <c r="V157" s="4"/>
      <c r="W157" s="4"/>
    </row>
    <row r="158" spans="1:23" x14ac:dyDescent="0.25">
      <c r="A158" s="4">
        <v>50</v>
      </c>
      <c r="B158" s="4">
        <v>0</v>
      </c>
      <c r="C158" s="4">
        <v>0</v>
      </c>
      <c r="D158" s="4">
        <v>1</v>
      </c>
      <c r="E158" s="4">
        <v>211</v>
      </c>
      <c r="F158" s="4">
        <f>ROUND(Source!Y131,O158)</f>
        <v>14151.86</v>
      </c>
      <c r="G158" s="4" t="s">
        <v>141</v>
      </c>
      <c r="H158" s="4" t="s">
        <v>142</v>
      </c>
      <c r="I158" s="4"/>
      <c r="J158" s="4"/>
      <c r="K158" s="4">
        <v>211</v>
      </c>
      <c r="L158" s="4">
        <v>26</v>
      </c>
      <c r="M158" s="4">
        <v>3</v>
      </c>
      <c r="N158" s="4" t="s">
        <v>3</v>
      </c>
      <c r="O158" s="4">
        <v>2</v>
      </c>
      <c r="P158" s="4"/>
      <c r="Q158" s="4"/>
      <c r="R158" s="4"/>
      <c r="S158" s="4"/>
      <c r="T158" s="4"/>
      <c r="U158" s="4"/>
      <c r="V158" s="4"/>
      <c r="W158" s="4"/>
    </row>
    <row r="159" spans="1:23" x14ac:dyDescent="0.25">
      <c r="A159" s="4">
        <v>50</v>
      </c>
      <c r="B159" s="4">
        <v>0</v>
      </c>
      <c r="C159" s="4">
        <v>0</v>
      </c>
      <c r="D159" s="4">
        <v>1</v>
      </c>
      <c r="E159" s="4">
        <v>224</v>
      </c>
      <c r="F159" s="4">
        <f>ROUND(Source!AR131,O159)</f>
        <v>712703.65</v>
      </c>
      <c r="G159" s="4" t="s">
        <v>143</v>
      </c>
      <c r="H159" s="4" t="s">
        <v>144</v>
      </c>
      <c r="I159" s="4"/>
      <c r="J159" s="4"/>
      <c r="K159" s="4">
        <v>224</v>
      </c>
      <c r="L159" s="4">
        <v>27</v>
      </c>
      <c r="M159" s="4">
        <v>3</v>
      </c>
      <c r="N159" s="4" t="s">
        <v>3</v>
      </c>
      <c r="O159" s="4">
        <v>2</v>
      </c>
      <c r="P159" s="4"/>
      <c r="Q159" s="4"/>
      <c r="R159" s="4"/>
      <c r="S159" s="4"/>
      <c r="T159" s="4"/>
      <c r="U159" s="4"/>
      <c r="V159" s="4"/>
      <c r="W159" s="4"/>
    </row>
    <row r="160" spans="1:23" x14ac:dyDescent="0.25">
      <c r="A160" s="4">
        <v>50</v>
      </c>
      <c r="B160" s="4">
        <v>1</v>
      </c>
      <c r="C160" s="4">
        <v>0</v>
      </c>
      <c r="D160" s="4">
        <v>2</v>
      </c>
      <c r="E160" s="4">
        <v>0</v>
      </c>
      <c r="F160" s="4">
        <f>ROUND(F146,O160)</f>
        <v>141518.48000000001</v>
      </c>
      <c r="G160" s="4" t="s">
        <v>22</v>
      </c>
      <c r="H160" s="4" t="s">
        <v>145</v>
      </c>
      <c r="I160" s="4"/>
      <c r="J160" s="4"/>
      <c r="K160" s="4">
        <v>212</v>
      </c>
      <c r="L160" s="4">
        <v>28</v>
      </c>
      <c r="M160" s="4">
        <v>0</v>
      </c>
      <c r="N160" s="4" t="s">
        <v>3</v>
      </c>
      <c r="O160" s="4">
        <v>2</v>
      </c>
      <c r="P160" s="4"/>
      <c r="Q160" s="4"/>
      <c r="R160" s="4"/>
      <c r="S160" s="4"/>
      <c r="T160" s="4"/>
      <c r="U160" s="4"/>
      <c r="V160" s="4"/>
      <c r="W160" s="4"/>
    </row>
    <row r="161" spans="1:206" x14ac:dyDescent="0.25">
      <c r="A161" s="4">
        <v>50</v>
      </c>
      <c r="B161" s="4">
        <v>1</v>
      </c>
      <c r="C161" s="4">
        <v>0</v>
      </c>
      <c r="D161" s="4">
        <v>2</v>
      </c>
      <c r="E161" s="4">
        <v>0</v>
      </c>
      <c r="F161" s="4">
        <f>ROUND(F145,O161)</f>
        <v>49925.8</v>
      </c>
      <c r="G161" s="4" t="s">
        <v>27</v>
      </c>
      <c r="H161" s="4" t="s">
        <v>146</v>
      </c>
      <c r="I161" s="4"/>
      <c r="J161" s="4"/>
      <c r="K161" s="4">
        <v>212</v>
      </c>
      <c r="L161" s="4">
        <v>29</v>
      </c>
      <c r="M161" s="4">
        <v>0</v>
      </c>
      <c r="N161" s="4" t="s">
        <v>3</v>
      </c>
      <c r="O161" s="4">
        <v>2</v>
      </c>
      <c r="P161" s="4"/>
      <c r="Q161" s="4"/>
      <c r="R161" s="4"/>
      <c r="S161" s="4"/>
      <c r="T161" s="4"/>
      <c r="U161" s="4"/>
      <c r="V161" s="4"/>
      <c r="W161" s="4"/>
    </row>
    <row r="162" spans="1:206" x14ac:dyDescent="0.25">
      <c r="A162" s="4">
        <v>50</v>
      </c>
      <c r="B162" s="4">
        <v>1</v>
      </c>
      <c r="C162" s="4">
        <v>0</v>
      </c>
      <c r="D162" s="4">
        <v>2</v>
      </c>
      <c r="E162" s="4">
        <v>0</v>
      </c>
      <c r="F162" s="4">
        <f>ROUND(F158,O162)</f>
        <v>14151.86</v>
      </c>
      <c r="G162" s="4" t="s">
        <v>30</v>
      </c>
      <c r="H162" s="4" t="s">
        <v>147</v>
      </c>
      <c r="I162" s="4"/>
      <c r="J162" s="4"/>
      <c r="K162" s="4">
        <v>212</v>
      </c>
      <c r="L162" s="4">
        <v>30</v>
      </c>
      <c r="M162" s="4">
        <v>0</v>
      </c>
      <c r="N162" s="4" t="s">
        <v>3</v>
      </c>
      <c r="O162" s="4">
        <v>2</v>
      </c>
      <c r="P162" s="4"/>
      <c r="Q162" s="4"/>
      <c r="R162" s="4"/>
      <c r="S162" s="4"/>
      <c r="T162" s="4"/>
      <c r="U162" s="4"/>
      <c r="V162" s="4"/>
      <c r="W162" s="4"/>
    </row>
    <row r="163" spans="1:206" x14ac:dyDescent="0.25">
      <c r="A163" s="4">
        <v>50</v>
      </c>
      <c r="B163" s="4">
        <v>1</v>
      </c>
      <c r="C163" s="4">
        <v>0</v>
      </c>
      <c r="D163" s="4">
        <v>2</v>
      </c>
      <c r="E163" s="4">
        <v>0</v>
      </c>
      <c r="F163" s="4">
        <f>ROUND(F145*0.3,O163)</f>
        <v>14977.74</v>
      </c>
      <c r="G163" s="4" t="s">
        <v>35</v>
      </c>
      <c r="H163" s="4" t="s">
        <v>148</v>
      </c>
      <c r="I163" s="4"/>
      <c r="J163" s="4"/>
      <c r="K163" s="4">
        <v>212</v>
      </c>
      <c r="L163" s="4">
        <v>31</v>
      </c>
      <c r="M163" s="4">
        <v>0</v>
      </c>
      <c r="N163" s="4" t="s">
        <v>3</v>
      </c>
      <c r="O163" s="4">
        <v>2</v>
      </c>
      <c r="P163" s="4"/>
      <c r="Q163" s="4"/>
      <c r="R163" s="4"/>
      <c r="S163" s="4"/>
      <c r="T163" s="4"/>
      <c r="U163" s="4"/>
      <c r="V163" s="4"/>
      <c r="W163" s="4"/>
    </row>
    <row r="164" spans="1:206" x14ac:dyDescent="0.25">
      <c r="A164" s="4">
        <v>50</v>
      </c>
      <c r="B164" s="4">
        <v>1</v>
      </c>
      <c r="C164" s="4">
        <v>0</v>
      </c>
      <c r="D164" s="4">
        <v>2</v>
      </c>
      <c r="E164" s="4">
        <v>0</v>
      </c>
      <c r="F164" s="4">
        <f>ROUND(F159-F160-F161-F162-F163,O164)</f>
        <v>492129.77</v>
      </c>
      <c r="G164" s="4" t="s">
        <v>40</v>
      </c>
      <c r="H164" s="4" t="s">
        <v>149</v>
      </c>
      <c r="I164" s="4"/>
      <c r="J164" s="4"/>
      <c r="K164" s="4">
        <v>212</v>
      </c>
      <c r="L164" s="4">
        <v>32</v>
      </c>
      <c r="M164" s="4">
        <v>0</v>
      </c>
      <c r="N164" s="4" t="s">
        <v>3</v>
      </c>
      <c r="O164" s="4">
        <v>2</v>
      </c>
      <c r="P164" s="4"/>
      <c r="Q164" s="4"/>
      <c r="R164" s="4"/>
      <c r="S164" s="4"/>
      <c r="T164" s="4"/>
      <c r="U164" s="4"/>
      <c r="V164" s="4"/>
      <c r="W164" s="4"/>
    </row>
    <row r="165" spans="1:206" x14ac:dyDescent="0.25">
      <c r="A165" s="4">
        <v>50</v>
      </c>
      <c r="B165" s="4">
        <v>1</v>
      </c>
      <c r="C165" s="4">
        <v>0</v>
      </c>
      <c r="D165" s="4">
        <v>2</v>
      </c>
      <c r="E165" s="4">
        <v>0</v>
      </c>
      <c r="F165" s="4">
        <f>ROUND(F164*0.2,O165)</f>
        <v>98425.95</v>
      </c>
      <c r="G165" s="4" t="s">
        <v>45</v>
      </c>
      <c r="H165" s="4" t="s">
        <v>150</v>
      </c>
      <c r="I165" s="4"/>
      <c r="J165" s="4"/>
      <c r="K165" s="4">
        <v>212</v>
      </c>
      <c r="L165" s="4">
        <v>33</v>
      </c>
      <c r="M165" s="4">
        <v>0</v>
      </c>
      <c r="N165" s="4" t="s">
        <v>3</v>
      </c>
      <c r="O165" s="4">
        <v>2</v>
      </c>
      <c r="P165" s="4"/>
      <c r="Q165" s="4"/>
      <c r="R165" s="4"/>
      <c r="S165" s="4"/>
      <c r="T165" s="4"/>
      <c r="U165" s="4"/>
      <c r="V165" s="4"/>
      <c r="W165" s="4"/>
    </row>
    <row r="166" spans="1:206" x14ac:dyDescent="0.25">
      <c r="A166" s="4">
        <v>50</v>
      </c>
      <c r="B166" s="4">
        <v>1</v>
      </c>
      <c r="C166" s="4">
        <v>0</v>
      </c>
      <c r="D166" s="4">
        <v>2</v>
      </c>
      <c r="E166" s="4">
        <v>0</v>
      </c>
      <c r="F166" s="4">
        <f>ROUND(F164+F165,O166)</f>
        <v>590555.72</v>
      </c>
      <c r="G166" s="4" t="s">
        <v>50</v>
      </c>
      <c r="H166" s="4" t="s">
        <v>151</v>
      </c>
      <c r="I166" s="4"/>
      <c r="J166" s="4"/>
      <c r="K166" s="4">
        <v>212</v>
      </c>
      <c r="L166" s="4">
        <v>34</v>
      </c>
      <c r="M166" s="4">
        <v>0</v>
      </c>
      <c r="N166" s="4" t="s">
        <v>3</v>
      </c>
      <c r="O166" s="4">
        <v>2</v>
      </c>
      <c r="P166" s="4"/>
      <c r="Q166" s="4"/>
      <c r="R166" s="4"/>
      <c r="S166" s="4"/>
      <c r="T166" s="4"/>
      <c r="U166" s="4"/>
      <c r="V166" s="4"/>
      <c r="W166" s="4"/>
    </row>
    <row r="167" spans="1:206" x14ac:dyDescent="0.25">
      <c r="A167" s="4">
        <v>50</v>
      </c>
      <c r="B167" s="4">
        <v>1</v>
      </c>
      <c r="C167" s="4">
        <v>0</v>
      </c>
      <c r="D167" s="4">
        <v>2</v>
      </c>
      <c r="E167" s="4">
        <v>0</v>
      </c>
      <c r="F167" s="4">
        <f>ROUND(F166+F160+F161,O167)</f>
        <v>782000</v>
      </c>
      <c r="G167" s="4" t="s">
        <v>55</v>
      </c>
      <c r="H167" s="4" t="s">
        <v>152</v>
      </c>
      <c r="I167" s="4"/>
      <c r="J167" s="4"/>
      <c r="K167" s="4">
        <v>212</v>
      </c>
      <c r="L167" s="4">
        <v>35</v>
      </c>
      <c r="M167" s="4">
        <v>0</v>
      </c>
      <c r="N167" s="4" t="s">
        <v>3</v>
      </c>
      <c r="O167" s="4">
        <v>2</v>
      </c>
      <c r="P167" s="4"/>
      <c r="Q167" s="4"/>
      <c r="R167" s="4"/>
      <c r="S167" s="4"/>
      <c r="T167" s="4"/>
      <c r="U167" s="4"/>
      <c r="V167" s="4"/>
      <c r="W167" s="4"/>
    </row>
    <row r="169" spans="1:206" x14ac:dyDescent="0.25">
      <c r="A169" s="2">
        <v>51</v>
      </c>
      <c r="B169" s="2">
        <f>B12</f>
        <v>210</v>
      </c>
      <c r="C169" s="2">
        <f>A12</f>
        <v>1</v>
      </c>
      <c r="D169" s="2">
        <f>ROW(A12)</f>
        <v>12</v>
      </c>
      <c r="E169" s="2"/>
      <c r="F169" s="2" t="str">
        <f>IF(F12&lt;&gt;"",F12,"")</f>
        <v/>
      </c>
      <c r="G169" s="2" t="str">
        <f>IF(G12&lt;&gt;"",G12,"")</f>
        <v>Ремонт асфальтобетонных покрытий дворовой территории района Кузьминки ЮВАО г. Москвы по адресу: Волгоградский проспект 94 к.1, 96 к.1</v>
      </c>
      <c r="H169" s="2">
        <v>0</v>
      </c>
      <c r="I169" s="2"/>
      <c r="J169" s="2"/>
      <c r="K169" s="2"/>
      <c r="L169" s="2"/>
      <c r="M169" s="2"/>
      <c r="N169" s="2"/>
      <c r="O169" s="2">
        <f t="shared" ref="O169:T169" si="84">ROUND(O131,2)</f>
        <v>592483.38</v>
      </c>
      <c r="P169" s="2">
        <f t="shared" si="84"/>
        <v>355604.84</v>
      </c>
      <c r="Q169" s="2">
        <f t="shared" si="84"/>
        <v>95360.06</v>
      </c>
      <c r="R169" s="2">
        <f t="shared" si="84"/>
        <v>49925.8</v>
      </c>
      <c r="S169" s="2">
        <f t="shared" si="84"/>
        <v>141518.48000000001</v>
      </c>
      <c r="T169" s="2">
        <f t="shared" si="84"/>
        <v>0</v>
      </c>
      <c r="U169" s="2">
        <f>U131</f>
        <v>713.98463225</v>
      </c>
      <c r="V169" s="2">
        <f>V131</f>
        <v>0</v>
      </c>
      <c r="W169" s="2">
        <f>ROUND(W131,2)</f>
        <v>0</v>
      </c>
      <c r="X169" s="2">
        <f>ROUND(X131,2)</f>
        <v>99062.95</v>
      </c>
      <c r="Y169" s="2">
        <f>ROUND(Y131,2)</f>
        <v>14151.86</v>
      </c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>
        <f t="shared" ref="AO169:BD169" si="85">ROUND(AO131,2)</f>
        <v>0</v>
      </c>
      <c r="AP169" s="2">
        <f t="shared" si="85"/>
        <v>0</v>
      </c>
      <c r="AQ169" s="2">
        <f t="shared" si="85"/>
        <v>0</v>
      </c>
      <c r="AR169" s="2">
        <f t="shared" si="85"/>
        <v>712703.65</v>
      </c>
      <c r="AS169" s="2">
        <f t="shared" si="85"/>
        <v>128842.33</v>
      </c>
      <c r="AT169" s="2">
        <f t="shared" si="85"/>
        <v>0</v>
      </c>
      <c r="AU169" s="2">
        <f t="shared" si="85"/>
        <v>583861.31999999995</v>
      </c>
      <c r="AV169" s="2">
        <f t="shared" si="85"/>
        <v>355604.84</v>
      </c>
      <c r="AW169" s="2">
        <f t="shared" si="85"/>
        <v>355604.84</v>
      </c>
      <c r="AX169" s="2">
        <f t="shared" si="85"/>
        <v>0</v>
      </c>
      <c r="AY169" s="2">
        <f t="shared" si="85"/>
        <v>355604.84</v>
      </c>
      <c r="AZ169" s="2">
        <f t="shared" si="85"/>
        <v>0</v>
      </c>
      <c r="BA169" s="2">
        <f t="shared" si="85"/>
        <v>0</v>
      </c>
      <c r="BB169" s="2">
        <f t="shared" si="85"/>
        <v>0</v>
      </c>
      <c r="BC169" s="2">
        <f t="shared" si="85"/>
        <v>0</v>
      </c>
      <c r="BD169" s="2">
        <f t="shared" si="85"/>
        <v>0</v>
      </c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>
        <v>0</v>
      </c>
    </row>
    <row r="171" spans="1:206" x14ac:dyDescent="0.25">
      <c r="A171" s="4">
        <v>50</v>
      </c>
      <c r="B171" s="4">
        <v>0</v>
      </c>
      <c r="C171" s="4">
        <v>0</v>
      </c>
      <c r="D171" s="4">
        <v>1</v>
      </c>
      <c r="E171" s="4">
        <v>201</v>
      </c>
      <c r="F171" s="4">
        <f>ROUND(Source!O169,O171)</f>
        <v>592483.38</v>
      </c>
      <c r="G171" s="4" t="s">
        <v>91</v>
      </c>
      <c r="H171" s="4" t="s">
        <v>92</v>
      </c>
      <c r="I171" s="4"/>
      <c r="J171" s="4"/>
      <c r="K171" s="4">
        <v>201</v>
      </c>
      <c r="L171" s="4">
        <v>1</v>
      </c>
      <c r="M171" s="4">
        <v>3</v>
      </c>
      <c r="N171" s="4" t="s">
        <v>3</v>
      </c>
      <c r="O171" s="4">
        <v>2</v>
      </c>
      <c r="P171" s="4"/>
      <c r="Q171" s="4"/>
      <c r="R171" s="4"/>
      <c r="S171" s="4"/>
      <c r="T171" s="4"/>
      <c r="U171" s="4"/>
      <c r="V171" s="4"/>
      <c r="W171" s="4"/>
    </row>
    <row r="172" spans="1:206" x14ac:dyDescent="0.25">
      <c r="A172" s="4">
        <v>50</v>
      </c>
      <c r="B172" s="4">
        <v>0</v>
      </c>
      <c r="C172" s="4">
        <v>0</v>
      </c>
      <c r="D172" s="4">
        <v>1</v>
      </c>
      <c r="E172" s="4">
        <v>202</v>
      </c>
      <c r="F172" s="4">
        <f>ROUND(Source!P169,O172)</f>
        <v>355604.84</v>
      </c>
      <c r="G172" s="4" t="s">
        <v>93</v>
      </c>
      <c r="H172" s="4" t="s">
        <v>94</v>
      </c>
      <c r="I172" s="4"/>
      <c r="J172" s="4"/>
      <c r="K172" s="4">
        <v>202</v>
      </c>
      <c r="L172" s="4">
        <v>2</v>
      </c>
      <c r="M172" s="4">
        <v>3</v>
      </c>
      <c r="N172" s="4" t="s">
        <v>3</v>
      </c>
      <c r="O172" s="4">
        <v>2</v>
      </c>
      <c r="P172" s="4"/>
      <c r="Q172" s="4"/>
      <c r="R172" s="4"/>
      <c r="S172" s="4"/>
      <c r="T172" s="4"/>
      <c r="U172" s="4"/>
      <c r="V172" s="4"/>
      <c r="W172" s="4"/>
    </row>
    <row r="173" spans="1:206" x14ac:dyDescent="0.25">
      <c r="A173" s="4">
        <v>50</v>
      </c>
      <c r="B173" s="4">
        <v>0</v>
      </c>
      <c r="C173" s="4">
        <v>0</v>
      </c>
      <c r="D173" s="4">
        <v>1</v>
      </c>
      <c r="E173" s="4">
        <v>222</v>
      </c>
      <c r="F173" s="4">
        <f>ROUND(Source!AO169,O173)</f>
        <v>0</v>
      </c>
      <c r="G173" s="4" t="s">
        <v>95</v>
      </c>
      <c r="H173" s="4" t="s">
        <v>96</v>
      </c>
      <c r="I173" s="4"/>
      <c r="J173" s="4"/>
      <c r="K173" s="4">
        <v>222</v>
      </c>
      <c r="L173" s="4">
        <v>3</v>
      </c>
      <c r="M173" s="4">
        <v>3</v>
      </c>
      <c r="N173" s="4" t="s">
        <v>3</v>
      </c>
      <c r="O173" s="4">
        <v>2</v>
      </c>
      <c r="P173" s="4"/>
      <c r="Q173" s="4"/>
      <c r="R173" s="4"/>
      <c r="S173" s="4"/>
      <c r="T173" s="4"/>
      <c r="U173" s="4"/>
      <c r="V173" s="4"/>
      <c r="W173" s="4"/>
    </row>
    <row r="174" spans="1:206" x14ac:dyDescent="0.25">
      <c r="A174" s="4">
        <v>50</v>
      </c>
      <c r="B174" s="4">
        <v>0</v>
      </c>
      <c r="C174" s="4">
        <v>0</v>
      </c>
      <c r="D174" s="4">
        <v>1</v>
      </c>
      <c r="E174" s="4">
        <v>225</v>
      </c>
      <c r="F174" s="4">
        <f>ROUND(Source!AV169,O174)</f>
        <v>355604.84</v>
      </c>
      <c r="G174" s="4" t="s">
        <v>97</v>
      </c>
      <c r="H174" s="4" t="s">
        <v>98</v>
      </c>
      <c r="I174" s="4"/>
      <c r="J174" s="4"/>
      <c r="K174" s="4">
        <v>225</v>
      </c>
      <c r="L174" s="4">
        <v>4</v>
      </c>
      <c r="M174" s="4">
        <v>3</v>
      </c>
      <c r="N174" s="4" t="s">
        <v>3</v>
      </c>
      <c r="O174" s="4">
        <v>2</v>
      </c>
      <c r="P174" s="4"/>
      <c r="Q174" s="4"/>
      <c r="R174" s="4"/>
      <c r="S174" s="4"/>
      <c r="T174" s="4"/>
      <c r="U174" s="4"/>
      <c r="V174" s="4"/>
      <c r="W174" s="4"/>
    </row>
    <row r="175" spans="1:206" x14ac:dyDescent="0.25">
      <c r="A175" s="4">
        <v>50</v>
      </c>
      <c r="B175" s="4">
        <v>0</v>
      </c>
      <c r="C175" s="4">
        <v>0</v>
      </c>
      <c r="D175" s="4">
        <v>1</v>
      </c>
      <c r="E175" s="4">
        <v>226</v>
      </c>
      <c r="F175" s="4">
        <f>ROUND(Source!AW169,O175)</f>
        <v>355604.84</v>
      </c>
      <c r="G175" s="4" t="s">
        <v>99</v>
      </c>
      <c r="H175" s="4" t="s">
        <v>100</v>
      </c>
      <c r="I175" s="4"/>
      <c r="J175" s="4"/>
      <c r="K175" s="4">
        <v>226</v>
      </c>
      <c r="L175" s="4">
        <v>5</v>
      </c>
      <c r="M175" s="4">
        <v>3</v>
      </c>
      <c r="N175" s="4" t="s">
        <v>3</v>
      </c>
      <c r="O175" s="4">
        <v>2</v>
      </c>
      <c r="P175" s="4"/>
      <c r="Q175" s="4"/>
      <c r="R175" s="4"/>
      <c r="S175" s="4"/>
      <c r="T175" s="4"/>
      <c r="U175" s="4"/>
      <c r="V175" s="4"/>
      <c r="W175" s="4"/>
    </row>
    <row r="176" spans="1:206" x14ac:dyDescent="0.25">
      <c r="A176" s="4">
        <v>50</v>
      </c>
      <c r="B176" s="4">
        <v>0</v>
      </c>
      <c r="C176" s="4">
        <v>0</v>
      </c>
      <c r="D176" s="4">
        <v>1</v>
      </c>
      <c r="E176" s="4">
        <v>227</v>
      </c>
      <c r="F176" s="4">
        <f>ROUND(Source!AX169,O176)</f>
        <v>0</v>
      </c>
      <c r="G176" s="4" t="s">
        <v>101</v>
      </c>
      <c r="H176" s="4" t="s">
        <v>102</v>
      </c>
      <c r="I176" s="4"/>
      <c r="J176" s="4"/>
      <c r="K176" s="4">
        <v>227</v>
      </c>
      <c r="L176" s="4">
        <v>6</v>
      </c>
      <c r="M176" s="4">
        <v>3</v>
      </c>
      <c r="N176" s="4" t="s">
        <v>3</v>
      </c>
      <c r="O176" s="4">
        <v>2</v>
      </c>
      <c r="P176" s="4"/>
      <c r="Q176" s="4"/>
      <c r="R176" s="4"/>
      <c r="S176" s="4"/>
      <c r="T176" s="4"/>
      <c r="U176" s="4"/>
      <c r="V176" s="4"/>
      <c r="W176" s="4"/>
    </row>
    <row r="177" spans="1:23" x14ac:dyDescent="0.25">
      <c r="A177" s="4">
        <v>50</v>
      </c>
      <c r="B177" s="4">
        <v>0</v>
      </c>
      <c r="C177" s="4">
        <v>0</v>
      </c>
      <c r="D177" s="4">
        <v>1</v>
      </c>
      <c r="E177" s="4">
        <v>228</v>
      </c>
      <c r="F177" s="4">
        <f>ROUND(Source!AY169,O177)</f>
        <v>355604.84</v>
      </c>
      <c r="G177" s="4" t="s">
        <v>103</v>
      </c>
      <c r="H177" s="4" t="s">
        <v>104</v>
      </c>
      <c r="I177" s="4"/>
      <c r="J177" s="4"/>
      <c r="K177" s="4">
        <v>228</v>
      </c>
      <c r="L177" s="4">
        <v>7</v>
      </c>
      <c r="M177" s="4">
        <v>3</v>
      </c>
      <c r="N177" s="4" t="s">
        <v>3</v>
      </c>
      <c r="O177" s="4">
        <v>2</v>
      </c>
      <c r="P177" s="4"/>
      <c r="Q177" s="4"/>
      <c r="R177" s="4"/>
      <c r="S177" s="4"/>
      <c r="T177" s="4"/>
      <c r="U177" s="4"/>
      <c r="V177" s="4"/>
      <c r="W177" s="4"/>
    </row>
    <row r="178" spans="1:23" x14ac:dyDescent="0.25">
      <c r="A178" s="4">
        <v>50</v>
      </c>
      <c r="B178" s="4">
        <v>0</v>
      </c>
      <c r="C178" s="4">
        <v>0</v>
      </c>
      <c r="D178" s="4">
        <v>1</v>
      </c>
      <c r="E178" s="4">
        <v>216</v>
      </c>
      <c r="F178" s="4">
        <f>ROUND(Source!AP169,O178)</f>
        <v>0</v>
      </c>
      <c r="G178" s="4" t="s">
        <v>105</v>
      </c>
      <c r="H178" s="4" t="s">
        <v>106</v>
      </c>
      <c r="I178" s="4"/>
      <c r="J178" s="4"/>
      <c r="K178" s="4">
        <v>216</v>
      </c>
      <c r="L178" s="4">
        <v>8</v>
      </c>
      <c r="M178" s="4">
        <v>3</v>
      </c>
      <c r="N178" s="4" t="s">
        <v>3</v>
      </c>
      <c r="O178" s="4">
        <v>2</v>
      </c>
      <c r="P178" s="4"/>
      <c r="Q178" s="4"/>
      <c r="R178" s="4"/>
      <c r="S178" s="4"/>
      <c r="T178" s="4"/>
      <c r="U178" s="4"/>
      <c r="V178" s="4"/>
      <c r="W178" s="4"/>
    </row>
    <row r="179" spans="1:23" x14ac:dyDescent="0.25">
      <c r="A179" s="4">
        <v>50</v>
      </c>
      <c r="B179" s="4">
        <v>0</v>
      </c>
      <c r="C179" s="4">
        <v>0</v>
      </c>
      <c r="D179" s="4">
        <v>1</v>
      </c>
      <c r="E179" s="4">
        <v>223</v>
      </c>
      <c r="F179" s="4">
        <f>ROUND(Source!AQ169,O179)</f>
        <v>0</v>
      </c>
      <c r="G179" s="4" t="s">
        <v>107</v>
      </c>
      <c r="H179" s="4" t="s">
        <v>108</v>
      </c>
      <c r="I179" s="4"/>
      <c r="J179" s="4"/>
      <c r="K179" s="4">
        <v>223</v>
      </c>
      <c r="L179" s="4">
        <v>9</v>
      </c>
      <c r="M179" s="4">
        <v>3</v>
      </c>
      <c r="N179" s="4" t="s">
        <v>3</v>
      </c>
      <c r="O179" s="4">
        <v>2</v>
      </c>
      <c r="P179" s="4"/>
      <c r="Q179" s="4"/>
      <c r="R179" s="4"/>
      <c r="S179" s="4"/>
      <c r="T179" s="4"/>
      <c r="U179" s="4"/>
      <c r="V179" s="4"/>
      <c r="W179" s="4"/>
    </row>
    <row r="180" spans="1:23" x14ac:dyDescent="0.25">
      <c r="A180" s="4">
        <v>50</v>
      </c>
      <c r="B180" s="4">
        <v>0</v>
      </c>
      <c r="C180" s="4">
        <v>0</v>
      </c>
      <c r="D180" s="4">
        <v>1</v>
      </c>
      <c r="E180" s="4">
        <v>229</v>
      </c>
      <c r="F180" s="4">
        <f>ROUND(Source!AZ169,O180)</f>
        <v>0</v>
      </c>
      <c r="G180" s="4" t="s">
        <v>109</v>
      </c>
      <c r="H180" s="4" t="s">
        <v>110</v>
      </c>
      <c r="I180" s="4"/>
      <c r="J180" s="4"/>
      <c r="K180" s="4">
        <v>229</v>
      </c>
      <c r="L180" s="4">
        <v>10</v>
      </c>
      <c r="M180" s="4">
        <v>3</v>
      </c>
      <c r="N180" s="4" t="s">
        <v>3</v>
      </c>
      <c r="O180" s="4">
        <v>2</v>
      </c>
      <c r="P180" s="4"/>
      <c r="Q180" s="4"/>
      <c r="R180" s="4"/>
      <c r="S180" s="4"/>
      <c r="T180" s="4"/>
      <c r="U180" s="4"/>
      <c r="V180" s="4"/>
      <c r="W180" s="4"/>
    </row>
    <row r="181" spans="1:23" x14ac:dyDescent="0.25">
      <c r="A181" s="4">
        <v>50</v>
      </c>
      <c r="B181" s="4">
        <v>0</v>
      </c>
      <c r="C181" s="4">
        <v>0</v>
      </c>
      <c r="D181" s="4">
        <v>1</v>
      </c>
      <c r="E181" s="4">
        <v>203</v>
      </c>
      <c r="F181" s="4">
        <f>ROUND(Source!Q169,O181)</f>
        <v>95360.06</v>
      </c>
      <c r="G181" s="4" t="s">
        <v>111</v>
      </c>
      <c r="H181" s="4" t="s">
        <v>112</v>
      </c>
      <c r="I181" s="4"/>
      <c r="J181" s="4"/>
      <c r="K181" s="4">
        <v>203</v>
      </c>
      <c r="L181" s="4">
        <v>11</v>
      </c>
      <c r="M181" s="4">
        <v>3</v>
      </c>
      <c r="N181" s="4" t="s">
        <v>3</v>
      </c>
      <c r="O181" s="4">
        <v>2</v>
      </c>
      <c r="P181" s="4"/>
      <c r="Q181" s="4"/>
      <c r="R181" s="4"/>
      <c r="S181" s="4"/>
      <c r="T181" s="4"/>
      <c r="U181" s="4"/>
      <c r="V181" s="4"/>
      <c r="W181" s="4"/>
    </row>
    <row r="182" spans="1:23" x14ac:dyDescent="0.25">
      <c r="A182" s="4">
        <v>50</v>
      </c>
      <c r="B182" s="4">
        <v>0</v>
      </c>
      <c r="C182" s="4">
        <v>0</v>
      </c>
      <c r="D182" s="4">
        <v>1</v>
      </c>
      <c r="E182" s="4">
        <v>231</v>
      </c>
      <c r="F182" s="4">
        <f>ROUND(Source!BB169,O182)</f>
        <v>0</v>
      </c>
      <c r="G182" s="4" t="s">
        <v>113</v>
      </c>
      <c r="H182" s="4" t="s">
        <v>114</v>
      </c>
      <c r="I182" s="4"/>
      <c r="J182" s="4"/>
      <c r="K182" s="4">
        <v>231</v>
      </c>
      <c r="L182" s="4">
        <v>12</v>
      </c>
      <c r="M182" s="4">
        <v>3</v>
      </c>
      <c r="N182" s="4" t="s">
        <v>3</v>
      </c>
      <c r="O182" s="4">
        <v>2</v>
      </c>
      <c r="P182" s="4"/>
      <c r="Q182" s="4"/>
      <c r="R182" s="4"/>
      <c r="S182" s="4"/>
      <c r="T182" s="4"/>
      <c r="U182" s="4"/>
      <c r="V182" s="4"/>
      <c r="W182" s="4"/>
    </row>
    <row r="183" spans="1:23" x14ac:dyDescent="0.25">
      <c r="A183" s="4">
        <v>50</v>
      </c>
      <c r="B183" s="4">
        <v>0</v>
      </c>
      <c r="C183" s="4">
        <v>0</v>
      </c>
      <c r="D183" s="4">
        <v>1</v>
      </c>
      <c r="E183" s="4">
        <v>204</v>
      </c>
      <c r="F183" s="4">
        <f>ROUND(Source!R169,O183)</f>
        <v>49925.8</v>
      </c>
      <c r="G183" s="4" t="s">
        <v>115</v>
      </c>
      <c r="H183" s="4" t="s">
        <v>116</v>
      </c>
      <c r="I183" s="4"/>
      <c r="J183" s="4"/>
      <c r="K183" s="4">
        <v>204</v>
      </c>
      <c r="L183" s="4">
        <v>13</v>
      </c>
      <c r="M183" s="4">
        <v>3</v>
      </c>
      <c r="N183" s="4" t="s">
        <v>3</v>
      </c>
      <c r="O183" s="4">
        <v>2</v>
      </c>
      <c r="P183" s="4"/>
      <c r="Q183" s="4"/>
      <c r="R183" s="4"/>
      <c r="S183" s="4"/>
      <c r="T183" s="4"/>
      <c r="U183" s="4"/>
      <c r="V183" s="4"/>
      <c r="W183" s="4"/>
    </row>
    <row r="184" spans="1:23" x14ac:dyDescent="0.25">
      <c r="A184" s="4">
        <v>50</v>
      </c>
      <c r="B184" s="4">
        <v>0</v>
      </c>
      <c r="C184" s="4">
        <v>0</v>
      </c>
      <c r="D184" s="4">
        <v>1</v>
      </c>
      <c r="E184" s="4">
        <v>205</v>
      </c>
      <c r="F184" s="4">
        <f>ROUND(Source!S169,O184)</f>
        <v>141518.48000000001</v>
      </c>
      <c r="G184" s="4" t="s">
        <v>117</v>
      </c>
      <c r="H184" s="4" t="s">
        <v>118</v>
      </c>
      <c r="I184" s="4"/>
      <c r="J184" s="4"/>
      <c r="K184" s="4">
        <v>205</v>
      </c>
      <c r="L184" s="4">
        <v>14</v>
      </c>
      <c r="M184" s="4">
        <v>3</v>
      </c>
      <c r="N184" s="4" t="s">
        <v>3</v>
      </c>
      <c r="O184" s="4">
        <v>2</v>
      </c>
      <c r="P184" s="4"/>
      <c r="Q184" s="4"/>
      <c r="R184" s="4"/>
      <c r="S184" s="4"/>
      <c r="T184" s="4"/>
      <c r="U184" s="4"/>
      <c r="V184" s="4"/>
      <c r="W184" s="4"/>
    </row>
    <row r="185" spans="1:23" x14ac:dyDescent="0.25">
      <c r="A185" s="4">
        <v>50</v>
      </c>
      <c r="B185" s="4">
        <v>0</v>
      </c>
      <c r="C185" s="4">
        <v>0</v>
      </c>
      <c r="D185" s="4">
        <v>1</v>
      </c>
      <c r="E185" s="4">
        <v>232</v>
      </c>
      <c r="F185" s="4">
        <f>ROUND(Source!BC169,O185)</f>
        <v>0</v>
      </c>
      <c r="G185" s="4" t="s">
        <v>119</v>
      </c>
      <c r="H185" s="4" t="s">
        <v>120</v>
      </c>
      <c r="I185" s="4"/>
      <c r="J185" s="4"/>
      <c r="K185" s="4">
        <v>232</v>
      </c>
      <c r="L185" s="4">
        <v>15</v>
      </c>
      <c r="M185" s="4">
        <v>3</v>
      </c>
      <c r="N185" s="4" t="s">
        <v>3</v>
      </c>
      <c r="O185" s="4">
        <v>2</v>
      </c>
      <c r="P185" s="4"/>
      <c r="Q185" s="4"/>
      <c r="R185" s="4"/>
      <c r="S185" s="4"/>
      <c r="T185" s="4"/>
      <c r="U185" s="4"/>
      <c r="V185" s="4"/>
      <c r="W185" s="4"/>
    </row>
    <row r="186" spans="1:23" x14ac:dyDescent="0.25">
      <c r="A186" s="4">
        <v>50</v>
      </c>
      <c r="B186" s="4">
        <v>0</v>
      </c>
      <c r="C186" s="4">
        <v>0</v>
      </c>
      <c r="D186" s="4">
        <v>1</v>
      </c>
      <c r="E186" s="4">
        <v>214</v>
      </c>
      <c r="F186" s="4">
        <f>ROUND(Source!AS169,O186)</f>
        <v>128842.33</v>
      </c>
      <c r="G186" s="4" t="s">
        <v>121</v>
      </c>
      <c r="H186" s="4" t="s">
        <v>122</v>
      </c>
      <c r="I186" s="4"/>
      <c r="J186" s="4"/>
      <c r="K186" s="4">
        <v>214</v>
      </c>
      <c r="L186" s="4">
        <v>16</v>
      </c>
      <c r="M186" s="4">
        <v>3</v>
      </c>
      <c r="N186" s="4" t="s">
        <v>3</v>
      </c>
      <c r="O186" s="4">
        <v>2</v>
      </c>
      <c r="P186" s="4"/>
      <c r="Q186" s="4"/>
      <c r="R186" s="4"/>
      <c r="S186" s="4"/>
      <c r="T186" s="4"/>
      <c r="U186" s="4"/>
      <c r="V186" s="4"/>
      <c r="W186" s="4"/>
    </row>
    <row r="187" spans="1:23" x14ac:dyDescent="0.25">
      <c r="A187" s="4">
        <v>50</v>
      </c>
      <c r="B187" s="4">
        <v>0</v>
      </c>
      <c r="C187" s="4">
        <v>0</v>
      </c>
      <c r="D187" s="4">
        <v>1</v>
      </c>
      <c r="E187" s="4">
        <v>215</v>
      </c>
      <c r="F187" s="4">
        <f>ROUND(Source!AT169,O187)</f>
        <v>0</v>
      </c>
      <c r="G187" s="4" t="s">
        <v>123</v>
      </c>
      <c r="H187" s="4" t="s">
        <v>124</v>
      </c>
      <c r="I187" s="4"/>
      <c r="J187" s="4"/>
      <c r="K187" s="4">
        <v>215</v>
      </c>
      <c r="L187" s="4">
        <v>17</v>
      </c>
      <c r="M187" s="4">
        <v>3</v>
      </c>
      <c r="N187" s="4" t="s">
        <v>3</v>
      </c>
      <c r="O187" s="4">
        <v>2</v>
      </c>
      <c r="P187" s="4"/>
      <c r="Q187" s="4"/>
      <c r="R187" s="4"/>
      <c r="S187" s="4"/>
      <c r="T187" s="4"/>
      <c r="U187" s="4"/>
      <c r="V187" s="4"/>
      <c r="W187" s="4"/>
    </row>
    <row r="188" spans="1:23" x14ac:dyDescent="0.25">
      <c r="A188" s="4">
        <v>50</v>
      </c>
      <c r="B188" s="4">
        <v>0</v>
      </c>
      <c r="C188" s="4">
        <v>0</v>
      </c>
      <c r="D188" s="4">
        <v>1</v>
      </c>
      <c r="E188" s="4">
        <v>217</v>
      </c>
      <c r="F188" s="4">
        <f>ROUND(Source!AU169,O188)</f>
        <v>583861.31999999995</v>
      </c>
      <c r="G188" s="4" t="s">
        <v>125</v>
      </c>
      <c r="H188" s="4" t="s">
        <v>126</v>
      </c>
      <c r="I188" s="4"/>
      <c r="J188" s="4"/>
      <c r="K188" s="4">
        <v>217</v>
      </c>
      <c r="L188" s="4">
        <v>18</v>
      </c>
      <c r="M188" s="4">
        <v>3</v>
      </c>
      <c r="N188" s="4" t="s">
        <v>3</v>
      </c>
      <c r="O188" s="4">
        <v>2</v>
      </c>
      <c r="P188" s="4"/>
      <c r="Q188" s="4"/>
      <c r="R188" s="4"/>
      <c r="S188" s="4"/>
      <c r="T188" s="4"/>
      <c r="U188" s="4"/>
      <c r="V188" s="4"/>
      <c r="W188" s="4"/>
    </row>
    <row r="189" spans="1:23" x14ac:dyDescent="0.25">
      <c r="A189" s="4">
        <v>50</v>
      </c>
      <c r="B189" s="4">
        <v>0</v>
      </c>
      <c r="C189" s="4">
        <v>0</v>
      </c>
      <c r="D189" s="4">
        <v>1</v>
      </c>
      <c r="E189" s="4">
        <v>230</v>
      </c>
      <c r="F189" s="4">
        <f>ROUND(Source!BA169,O189)</f>
        <v>0</v>
      </c>
      <c r="G189" s="4" t="s">
        <v>127</v>
      </c>
      <c r="H189" s="4" t="s">
        <v>128</v>
      </c>
      <c r="I189" s="4"/>
      <c r="J189" s="4"/>
      <c r="K189" s="4">
        <v>230</v>
      </c>
      <c r="L189" s="4">
        <v>19</v>
      </c>
      <c r="M189" s="4">
        <v>3</v>
      </c>
      <c r="N189" s="4" t="s">
        <v>3</v>
      </c>
      <c r="O189" s="4">
        <v>2</v>
      </c>
      <c r="P189" s="4"/>
      <c r="Q189" s="4"/>
      <c r="R189" s="4"/>
      <c r="S189" s="4"/>
      <c r="T189" s="4"/>
      <c r="U189" s="4"/>
      <c r="V189" s="4"/>
      <c r="W189" s="4"/>
    </row>
    <row r="190" spans="1:23" x14ac:dyDescent="0.25">
      <c r="A190" s="4">
        <v>50</v>
      </c>
      <c r="B190" s="4">
        <v>0</v>
      </c>
      <c r="C190" s="4">
        <v>0</v>
      </c>
      <c r="D190" s="4">
        <v>1</v>
      </c>
      <c r="E190" s="4">
        <v>206</v>
      </c>
      <c r="F190" s="4">
        <f>ROUND(Source!T169,O190)</f>
        <v>0</v>
      </c>
      <c r="G190" s="4" t="s">
        <v>129</v>
      </c>
      <c r="H190" s="4" t="s">
        <v>130</v>
      </c>
      <c r="I190" s="4"/>
      <c r="J190" s="4"/>
      <c r="K190" s="4">
        <v>206</v>
      </c>
      <c r="L190" s="4">
        <v>20</v>
      </c>
      <c r="M190" s="4">
        <v>3</v>
      </c>
      <c r="N190" s="4" t="s">
        <v>3</v>
      </c>
      <c r="O190" s="4">
        <v>2</v>
      </c>
      <c r="P190" s="4"/>
      <c r="Q190" s="4"/>
      <c r="R190" s="4"/>
      <c r="S190" s="4"/>
      <c r="T190" s="4"/>
      <c r="U190" s="4"/>
      <c r="V190" s="4"/>
      <c r="W190" s="4"/>
    </row>
    <row r="191" spans="1:23" x14ac:dyDescent="0.25">
      <c r="A191" s="4">
        <v>50</v>
      </c>
      <c r="B191" s="4">
        <v>0</v>
      </c>
      <c r="C191" s="4">
        <v>0</v>
      </c>
      <c r="D191" s="4">
        <v>1</v>
      </c>
      <c r="E191" s="4">
        <v>207</v>
      </c>
      <c r="F191" s="4">
        <f>Source!U169</f>
        <v>713.98463225</v>
      </c>
      <c r="G191" s="4" t="s">
        <v>131</v>
      </c>
      <c r="H191" s="4" t="s">
        <v>132</v>
      </c>
      <c r="I191" s="4"/>
      <c r="J191" s="4"/>
      <c r="K191" s="4">
        <v>207</v>
      </c>
      <c r="L191" s="4">
        <v>21</v>
      </c>
      <c r="M191" s="4">
        <v>3</v>
      </c>
      <c r="N191" s="4" t="s">
        <v>3</v>
      </c>
      <c r="O191" s="4">
        <v>-1</v>
      </c>
      <c r="P191" s="4"/>
      <c r="Q191" s="4"/>
      <c r="R191" s="4"/>
      <c r="S191" s="4"/>
      <c r="T191" s="4"/>
      <c r="U191" s="4"/>
      <c r="V191" s="4"/>
      <c r="W191" s="4"/>
    </row>
    <row r="192" spans="1:23" x14ac:dyDescent="0.25">
      <c r="A192" s="4">
        <v>50</v>
      </c>
      <c r="B192" s="4">
        <v>0</v>
      </c>
      <c r="C192" s="4">
        <v>0</v>
      </c>
      <c r="D192" s="4">
        <v>1</v>
      </c>
      <c r="E192" s="4">
        <v>208</v>
      </c>
      <c r="F192" s="4">
        <f>Source!V169</f>
        <v>0</v>
      </c>
      <c r="G192" s="4" t="s">
        <v>133</v>
      </c>
      <c r="H192" s="4" t="s">
        <v>134</v>
      </c>
      <c r="I192" s="4"/>
      <c r="J192" s="4"/>
      <c r="K192" s="4">
        <v>208</v>
      </c>
      <c r="L192" s="4">
        <v>22</v>
      </c>
      <c r="M192" s="4">
        <v>3</v>
      </c>
      <c r="N192" s="4" t="s">
        <v>3</v>
      </c>
      <c r="O192" s="4">
        <v>-1</v>
      </c>
      <c r="P192" s="4"/>
      <c r="Q192" s="4"/>
      <c r="R192" s="4"/>
      <c r="S192" s="4"/>
      <c r="T192" s="4"/>
      <c r="U192" s="4"/>
      <c r="V192" s="4"/>
      <c r="W192" s="4"/>
    </row>
    <row r="193" spans="1:23" x14ac:dyDescent="0.25">
      <c r="A193" s="4">
        <v>50</v>
      </c>
      <c r="B193" s="4">
        <v>0</v>
      </c>
      <c r="C193" s="4">
        <v>0</v>
      </c>
      <c r="D193" s="4">
        <v>1</v>
      </c>
      <c r="E193" s="4">
        <v>209</v>
      </c>
      <c r="F193" s="4">
        <f>ROUND(Source!W169,O193)</f>
        <v>0</v>
      </c>
      <c r="G193" s="4" t="s">
        <v>135</v>
      </c>
      <c r="H193" s="4" t="s">
        <v>136</v>
      </c>
      <c r="I193" s="4"/>
      <c r="J193" s="4"/>
      <c r="K193" s="4">
        <v>209</v>
      </c>
      <c r="L193" s="4">
        <v>23</v>
      </c>
      <c r="M193" s="4">
        <v>3</v>
      </c>
      <c r="N193" s="4" t="s">
        <v>3</v>
      </c>
      <c r="O193" s="4">
        <v>2</v>
      </c>
      <c r="P193" s="4"/>
      <c r="Q193" s="4"/>
      <c r="R193" s="4"/>
      <c r="S193" s="4"/>
      <c r="T193" s="4"/>
      <c r="U193" s="4"/>
      <c r="V193" s="4"/>
      <c r="W193" s="4"/>
    </row>
    <row r="194" spans="1:23" x14ac:dyDescent="0.25">
      <c r="A194" s="4">
        <v>50</v>
      </c>
      <c r="B194" s="4">
        <v>0</v>
      </c>
      <c r="C194" s="4">
        <v>0</v>
      </c>
      <c r="D194" s="4">
        <v>1</v>
      </c>
      <c r="E194" s="4">
        <v>233</v>
      </c>
      <c r="F194" s="4">
        <f>ROUND(Source!BD169,O194)</f>
        <v>0</v>
      </c>
      <c r="G194" s="4" t="s">
        <v>137</v>
      </c>
      <c r="H194" s="4" t="s">
        <v>138</v>
      </c>
      <c r="I194" s="4"/>
      <c r="J194" s="4"/>
      <c r="K194" s="4">
        <v>233</v>
      </c>
      <c r="L194" s="4">
        <v>24</v>
      </c>
      <c r="M194" s="4">
        <v>3</v>
      </c>
      <c r="N194" s="4" t="s">
        <v>3</v>
      </c>
      <c r="O194" s="4">
        <v>2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25">
      <c r="A195" s="4">
        <v>50</v>
      </c>
      <c r="B195" s="4">
        <v>0</v>
      </c>
      <c r="C195" s="4">
        <v>0</v>
      </c>
      <c r="D195" s="4">
        <v>1</v>
      </c>
      <c r="E195" s="4">
        <v>210</v>
      </c>
      <c r="F195" s="4">
        <f>ROUND(Source!X169,O195)</f>
        <v>99062.95</v>
      </c>
      <c r="G195" s="4" t="s">
        <v>139</v>
      </c>
      <c r="H195" s="4" t="s">
        <v>140</v>
      </c>
      <c r="I195" s="4"/>
      <c r="J195" s="4"/>
      <c r="K195" s="4">
        <v>210</v>
      </c>
      <c r="L195" s="4">
        <v>25</v>
      </c>
      <c r="M195" s="4">
        <v>3</v>
      </c>
      <c r="N195" s="4" t="s">
        <v>3</v>
      </c>
      <c r="O195" s="4">
        <v>2</v>
      </c>
      <c r="P195" s="4"/>
      <c r="Q195" s="4"/>
      <c r="R195" s="4"/>
      <c r="S195" s="4"/>
      <c r="T195" s="4"/>
      <c r="U195" s="4"/>
      <c r="V195" s="4"/>
      <c r="W195" s="4"/>
    </row>
    <row r="196" spans="1:23" x14ac:dyDescent="0.25">
      <c r="A196" s="4">
        <v>50</v>
      </c>
      <c r="B196" s="4">
        <v>0</v>
      </c>
      <c r="C196" s="4">
        <v>0</v>
      </c>
      <c r="D196" s="4">
        <v>1</v>
      </c>
      <c r="E196" s="4">
        <v>211</v>
      </c>
      <c r="F196" s="4">
        <f>ROUND(Source!Y169,O196)</f>
        <v>14151.86</v>
      </c>
      <c r="G196" s="4" t="s">
        <v>141</v>
      </c>
      <c r="H196" s="4" t="s">
        <v>142</v>
      </c>
      <c r="I196" s="4"/>
      <c r="J196" s="4"/>
      <c r="K196" s="4">
        <v>211</v>
      </c>
      <c r="L196" s="4">
        <v>26</v>
      </c>
      <c r="M196" s="4">
        <v>3</v>
      </c>
      <c r="N196" s="4" t="s">
        <v>3</v>
      </c>
      <c r="O196" s="4">
        <v>2</v>
      </c>
      <c r="P196" s="4"/>
      <c r="Q196" s="4"/>
      <c r="R196" s="4"/>
      <c r="S196" s="4"/>
      <c r="T196" s="4"/>
      <c r="U196" s="4"/>
      <c r="V196" s="4"/>
      <c r="W196" s="4"/>
    </row>
    <row r="197" spans="1:23" x14ac:dyDescent="0.25">
      <c r="A197" s="4">
        <v>50</v>
      </c>
      <c r="B197" s="4">
        <v>0</v>
      </c>
      <c r="C197" s="4">
        <v>0</v>
      </c>
      <c r="D197" s="4">
        <v>1</v>
      </c>
      <c r="E197" s="4">
        <v>224</v>
      </c>
      <c r="F197" s="4">
        <f>ROUND(Source!AR169,O197)</f>
        <v>712703.65</v>
      </c>
      <c r="G197" s="4" t="s">
        <v>143</v>
      </c>
      <c r="H197" s="4" t="s">
        <v>144</v>
      </c>
      <c r="I197" s="4"/>
      <c r="J197" s="4"/>
      <c r="K197" s="4">
        <v>224</v>
      </c>
      <c r="L197" s="4">
        <v>27</v>
      </c>
      <c r="M197" s="4">
        <v>3</v>
      </c>
      <c r="N197" s="4" t="s">
        <v>3</v>
      </c>
      <c r="O197" s="4">
        <v>2</v>
      </c>
      <c r="P197" s="4"/>
      <c r="Q197" s="4"/>
      <c r="R197" s="4"/>
      <c r="S197" s="4"/>
      <c r="T197" s="4"/>
      <c r="U197" s="4"/>
      <c r="V197" s="4"/>
      <c r="W197" s="4"/>
    </row>
    <row r="198" spans="1:23" x14ac:dyDescent="0.25">
      <c r="A198" s="4">
        <v>50</v>
      </c>
      <c r="B198" s="4">
        <v>1</v>
      </c>
      <c r="C198" s="4">
        <v>0</v>
      </c>
      <c r="D198" s="4">
        <v>2</v>
      </c>
      <c r="E198" s="4">
        <v>0</v>
      </c>
      <c r="F198" s="4">
        <f>ROUND(F184,O198)</f>
        <v>141518.48000000001</v>
      </c>
      <c r="G198" s="4" t="s">
        <v>22</v>
      </c>
      <c r="H198" s="4" t="s">
        <v>145</v>
      </c>
      <c r="I198" s="4"/>
      <c r="J198" s="4"/>
      <c r="K198" s="4">
        <v>212</v>
      </c>
      <c r="L198" s="4">
        <v>28</v>
      </c>
      <c r="M198" s="4">
        <v>0</v>
      </c>
      <c r="N198" s="4" t="s">
        <v>3</v>
      </c>
      <c r="O198" s="4">
        <v>2</v>
      </c>
      <c r="P198" s="4"/>
      <c r="Q198" s="4"/>
      <c r="R198" s="4"/>
      <c r="S198" s="4"/>
      <c r="T198" s="4"/>
      <c r="U198" s="4"/>
      <c r="V198" s="4"/>
      <c r="W198" s="4"/>
    </row>
    <row r="199" spans="1:23" x14ac:dyDescent="0.25">
      <c r="A199" s="4">
        <v>50</v>
      </c>
      <c r="B199" s="4">
        <v>1</v>
      </c>
      <c r="C199" s="4">
        <v>0</v>
      </c>
      <c r="D199" s="4">
        <v>2</v>
      </c>
      <c r="E199" s="4">
        <v>0</v>
      </c>
      <c r="F199" s="4">
        <f>ROUND(F183,O199)</f>
        <v>49925.8</v>
      </c>
      <c r="G199" s="4" t="s">
        <v>27</v>
      </c>
      <c r="H199" s="4" t="s">
        <v>146</v>
      </c>
      <c r="I199" s="4"/>
      <c r="J199" s="4"/>
      <c r="K199" s="4">
        <v>212</v>
      </c>
      <c r="L199" s="4">
        <v>29</v>
      </c>
      <c r="M199" s="4">
        <v>0</v>
      </c>
      <c r="N199" s="4" t="s">
        <v>3</v>
      </c>
      <c r="O199" s="4">
        <v>2</v>
      </c>
      <c r="P199" s="4"/>
      <c r="Q199" s="4"/>
      <c r="R199" s="4"/>
      <c r="S199" s="4"/>
      <c r="T199" s="4"/>
      <c r="U199" s="4"/>
      <c r="V199" s="4"/>
      <c r="W199" s="4"/>
    </row>
    <row r="200" spans="1:23" x14ac:dyDescent="0.25">
      <c r="A200" s="4">
        <v>50</v>
      </c>
      <c r="B200" s="4">
        <v>1</v>
      </c>
      <c r="C200" s="4">
        <v>0</v>
      </c>
      <c r="D200" s="4">
        <v>2</v>
      </c>
      <c r="E200" s="4">
        <v>0</v>
      </c>
      <c r="F200" s="4">
        <f>ROUND(F196,O200)</f>
        <v>14151.86</v>
      </c>
      <c r="G200" s="4" t="s">
        <v>30</v>
      </c>
      <c r="H200" s="4" t="s">
        <v>147</v>
      </c>
      <c r="I200" s="4"/>
      <c r="J200" s="4"/>
      <c r="K200" s="4">
        <v>212</v>
      </c>
      <c r="L200" s="4">
        <v>30</v>
      </c>
      <c r="M200" s="4">
        <v>0</v>
      </c>
      <c r="N200" s="4" t="s">
        <v>3</v>
      </c>
      <c r="O200" s="4">
        <v>2</v>
      </c>
      <c r="P200" s="4"/>
      <c r="Q200" s="4"/>
      <c r="R200" s="4"/>
      <c r="S200" s="4"/>
      <c r="T200" s="4"/>
      <c r="U200" s="4"/>
      <c r="V200" s="4"/>
      <c r="W200" s="4"/>
    </row>
    <row r="201" spans="1:23" x14ac:dyDescent="0.25">
      <c r="A201" s="4">
        <v>50</v>
      </c>
      <c r="B201" s="4">
        <v>1</v>
      </c>
      <c r="C201" s="4">
        <v>0</v>
      </c>
      <c r="D201" s="4">
        <v>2</v>
      </c>
      <c r="E201" s="4">
        <v>0</v>
      </c>
      <c r="F201" s="4">
        <f>ROUND(F183*0.3,O201)</f>
        <v>14977.74</v>
      </c>
      <c r="G201" s="4" t="s">
        <v>35</v>
      </c>
      <c r="H201" s="4" t="s">
        <v>148</v>
      </c>
      <c r="I201" s="4"/>
      <c r="J201" s="4"/>
      <c r="K201" s="4">
        <v>212</v>
      </c>
      <c r="L201" s="4">
        <v>31</v>
      </c>
      <c r="M201" s="4">
        <v>0</v>
      </c>
      <c r="N201" s="4" t="s">
        <v>3</v>
      </c>
      <c r="O201" s="4">
        <v>2</v>
      </c>
      <c r="P201" s="4"/>
      <c r="Q201" s="4"/>
      <c r="R201" s="4"/>
      <c r="S201" s="4"/>
      <c r="T201" s="4"/>
      <c r="U201" s="4"/>
      <c r="V201" s="4"/>
      <c r="W201" s="4"/>
    </row>
    <row r="202" spans="1:23" x14ac:dyDescent="0.25">
      <c r="A202" s="4">
        <v>50</v>
      </c>
      <c r="B202" s="4">
        <v>1</v>
      </c>
      <c r="C202" s="4">
        <v>0</v>
      </c>
      <c r="D202" s="4">
        <v>2</v>
      </c>
      <c r="E202" s="4">
        <v>0</v>
      </c>
      <c r="F202" s="4">
        <f>ROUND(F197-F198-F199-F200-F201,O202)</f>
        <v>492129.77</v>
      </c>
      <c r="G202" s="4" t="s">
        <v>40</v>
      </c>
      <c r="H202" s="4" t="s">
        <v>149</v>
      </c>
      <c r="I202" s="4"/>
      <c r="J202" s="4"/>
      <c r="K202" s="4">
        <v>212</v>
      </c>
      <c r="L202" s="4">
        <v>32</v>
      </c>
      <c r="M202" s="4">
        <v>0</v>
      </c>
      <c r="N202" s="4" t="s">
        <v>3</v>
      </c>
      <c r="O202" s="4">
        <v>2</v>
      </c>
      <c r="P202" s="4"/>
      <c r="Q202" s="4"/>
      <c r="R202" s="4"/>
      <c r="S202" s="4"/>
      <c r="T202" s="4"/>
      <c r="U202" s="4"/>
      <c r="V202" s="4"/>
      <c r="W202" s="4"/>
    </row>
    <row r="203" spans="1:23" x14ac:dyDescent="0.25">
      <c r="A203" s="4">
        <v>50</v>
      </c>
      <c r="B203" s="4">
        <v>1</v>
      </c>
      <c r="C203" s="4">
        <v>0</v>
      </c>
      <c r="D203" s="4">
        <v>2</v>
      </c>
      <c r="E203" s="4">
        <v>0</v>
      </c>
      <c r="F203" s="4">
        <f>ROUND(F202*0.2,O203)</f>
        <v>98425.95</v>
      </c>
      <c r="G203" s="4" t="s">
        <v>45</v>
      </c>
      <c r="H203" s="4" t="s">
        <v>150</v>
      </c>
      <c r="I203" s="4"/>
      <c r="J203" s="4"/>
      <c r="K203" s="4">
        <v>212</v>
      </c>
      <c r="L203" s="4">
        <v>33</v>
      </c>
      <c r="M203" s="4">
        <v>0</v>
      </c>
      <c r="N203" s="4" t="s">
        <v>3</v>
      </c>
      <c r="O203" s="4">
        <v>2</v>
      </c>
      <c r="P203" s="4"/>
      <c r="Q203" s="4"/>
      <c r="R203" s="4"/>
      <c r="S203" s="4"/>
      <c r="T203" s="4"/>
      <c r="U203" s="4"/>
      <c r="V203" s="4"/>
      <c r="W203" s="4"/>
    </row>
    <row r="204" spans="1:23" x14ac:dyDescent="0.25">
      <c r="A204" s="4">
        <v>50</v>
      </c>
      <c r="B204" s="4">
        <v>1</v>
      </c>
      <c r="C204" s="4">
        <v>0</v>
      </c>
      <c r="D204" s="4">
        <v>2</v>
      </c>
      <c r="E204" s="4">
        <v>0</v>
      </c>
      <c r="F204" s="4">
        <f>ROUND(F202+F203,O204)</f>
        <v>590555.72</v>
      </c>
      <c r="G204" s="4" t="s">
        <v>50</v>
      </c>
      <c r="H204" s="4" t="s">
        <v>151</v>
      </c>
      <c r="I204" s="4"/>
      <c r="J204" s="4"/>
      <c r="K204" s="4">
        <v>212</v>
      </c>
      <c r="L204" s="4">
        <v>34</v>
      </c>
      <c r="M204" s="4">
        <v>0</v>
      </c>
      <c r="N204" s="4" t="s">
        <v>3</v>
      </c>
      <c r="O204" s="4">
        <v>2</v>
      </c>
      <c r="P204" s="4"/>
      <c r="Q204" s="4"/>
      <c r="R204" s="4"/>
      <c r="S204" s="4"/>
      <c r="T204" s="4"/>
      <c r="U204" s="4"/>
      <c r="V204" s="4"/>
      <c r="W204" s="4"/>
    </row>
    <row r="205" spans="1:23" x14ac:dyDescent="0.25">
      <c r="A205" s="4">
        <v>50</v>
      </c>
      <c r="B205" s="4">
        <v>1</v>
      </c>
      <c r="C205" s="4">
        <v>0</v>
      </c>
      <c r="D205" s="4">
        <v>2</v>
      </c>
      <c r="E205" s="4">
        <v>213</v>
      </c>
      <c r="F205" s="4">
        <f>ROUND(F204+F198+F199,O205)</f>
        <v>782000</v>
      </c>
      <c r="G205" s="4" t="s">
        <v>55</v>
      </c>
      <c r="H205" s="4" t="s">
        <v>152</v>
      </c>
      <c r="I205" s="4"/>
      <c r="J205" s="4"/>
      <c r="K205" s="4">
        <v>212</v>
      </c>
      <c r="L205" s="4">
        <v>35</v>
      </c>
      <c r="M205" s="4">
        <v>0</v>
      </c>
      <c r="N205" s="4" t="s">
        <v>3</v>
      </c>
      <c r="O205" s="4">
        <v>2</v>
      </c>
      <c r="P205" s="4"/>
      <c r="Q205" s="4"/>
      <c r="R205" s="4"/>
      <c r="S205" s="4"/>
      <c r="T205" s="4"/>
      <c r="U205" s="4"/>
      <c r="V205" s="4"/>
      <c r="W205" s="4"/>
    </row>
    <row r="208" spans="1:23" x14ac:dyDescent="0.25">
      <c r="A208">
        <v>-1</v>
      </c>
    </row>
    <row r="210" spans="1:15" x14ac:dyDescent="0.25">
      <c r="A210" s="3">
        <v>75</v>
      </c>
      <c r="B210" s="3" t="s">
        <v>171</v>
      </c>
      <c r="C210" s="3">
        <v>2020</v>
      </c>
      <c r="D210" s="3">
        <v>0</v>
      </c>
      <c r="E210" s="3">
        <v>10</v>
      </c>
      <c r="F210" s="3">
        <v>0</v>
      </c>
      <c r="G210" s="3">
        <v>0</v>
      </c>
      <c r="H210" s="3">
        <v>1</v>
      </c>
      <c r="I210" s="3">
        <v>0</v>
      </c>
      <c r="J210" s="3">
        <v>1</v>
      </c>
      <c r="K210" s="3">
        <v>78</v>
      </c>
      <c r="L210" s="3">
        <v>30</v>
      </c>
      <c r="M210" s="3">
        <v>0</v>
      </c>
      <c r="N210" s="3">
        <v>50844173</v>
      </c>
      <c r="O210" s="3">
        <v>1</v>
      </c>
    </row>
    <row r="214" spans="1:15" x14ac:dyDescent="0.25">
      <c r="A214">
        <v>65</v>
      </c>
      <c r="C214">
        <v>1</v>
      </c>
      <c r="D214">
        <v>0</v>
      </c>
      <c r="E214">
        <v>245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C59"/>
  <sheetViews>
    <sheetView workbookViewId="0"/>
  </sheetViews>
  <sheetFormatPr defaultColWidth="9.109375" defaultRowHeight="13.2" x14ac:dyDescent="0.25"/>
  <cols>
    <col min="1" max="256" width="9.109375" customWidth="1"/>
  </cols>
  <sheetData>
    <row r="1" spans="1:133" x14ac:dyDescent="0.25">
      <c r="A1">
        <v>0</v>
      </c>
      <c r="B1" t="s">
        <v>0</v>
      </c>
      <c r="D1" t="s">
        <v>172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1</v>
      </c>
      <c r="L1">
        <v>65486</v>
      </c>
      <c r="M1">
        <v>10</v>
      </c>
      <c r="N1">
        <v>11</v>
      </c>
      <c r="O1">
        <v>0</v>
      </c>
      <c r="P1">
        <v>2</v>
      </c>
      <c r="Q1">
        <v>6</v>
      </c>
    </row>
    <row r="12" spans="1:133" x14ac:dyDescent="0.25">
      <c r="A12" s="1">
        <v>1</v>
      </c>
      <c r="B12" s="1">
        <v>59</v>
      </c>
      <c r="C12" s="1">
        <v>0</v>
      </c>
      <c r="D12" s="1"/>
      <c r="E12" s="1">
        <v>0</v>
      </c>
      <c r="F12" s="1" t="s">
        <v>3</v>
      </c>
      <c r="G12" s="1" t="s">
        <v>4</v>
      </c>
      <c r="H12" s="1" t="s">
        <v>3</v>
      </c>
      <c r="I12" s="1">
        <v>0</v>
      </c>
      <c r="J12" s="1" t="s">
        <v>3</v>
      </c>
      <c r="K12" s="1">
        <v>0</v>
      </c>
      <c r="L12" s="1"/>
      <c r="M12" s="1"/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/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5</v>
      </c>
      <c r="AC12" s="1" t="s">
        <v>6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7</v>
      </c>
      <c r="AI12" s="1" t="s">
        <v>8</v>
      </c>
      <c r="AJ12" s="1" t="s">
        <v>9</v>
      </c>
      <c r="AK12" s="1"/>
      <c r="AL12" s="1" t="s">
        <v>10</v>
      </c>
      <c r="AM12" s="1" t="s">
        <v>11</v>
      </c>
      <c r="AN12" s="1" t="s">
        <v>12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/>
      <c r="BC12" s="1"/>
      <c r="BD12" s="1"/>
      <c r="BE12" s="1"/>
      <c r="BF12" s="1"/>
      <c r="BG12" s="1"/>
      <c r="BH12" s="1" t="s">
        <v>13</v>
      </c>
      <c r="BI12" s="1" t="s">
        <v>14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15</v>
      </c>
      <c r="BZ12" s="1" t="s">
        <v>16</v>
      </c>
      <c r="CA12" s="1" t="s">
        <v>17</v>
      </c>
      <c r="CB12" s="1" t="s">
        <v>17</v>
      </c>
      <c r="CC12" s="1" t="s">
        <v>17</v>
      </c>
      <c r="CD12" s="1" t="s">
        <v>17</v>
      </c>
      <c r="CE12" s="1" t="s">
        <v>18</v>
      </c>
      <c r="CF12" s="1">
        <v>0</v>
      </c>
      <c r="CG12" s="1">
        <v>0</v>
      </c>
      <c r="CH12" s="1">
        <v>8</v>
      </c>
      <c r="CI12" s="1" t="s">
        <v>3</v>
      </c>
      <c r="CJ12" s="1" t="s">
        <v>3</v>
      </c>
      <c r="CK12" s="1">
        <v>3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4" spans="1:133" x14ac:dyDescent="0.25">
      <c r="A14" s="1">
        <v>22</v>
      </c>
      <c r="B14" s="1">
        <v>0</v>
      </c>
      <c r="C14" s="1">
        <v>0</v>
      </c>
      <c r="D14" s="1">
        <v>50844173</v>
      </c>
      <c r="E14" s="1">
        <v>0</v>
      </c>
      <c r="F14" s="1">
        <v>3</v>
      </c>
      <c r="G14" s="1"/>
      <c r="H14" s="1"/>
      <c r="I14" s="1"/>
      <c r="J14" s="1"/>
      <c r="K14" s="1"/>
      <c r="L14" s="1"/>
      <c r="M14" s="1"/>
      <c r="N14" s="1"/>
      <c r="O14" s="1"/>
    </row>
    <row r="16" spans="1:133" x14ac:dyDescent="0.25">
      <c r="A16" s="5">
        <v>3</v>
      </c>
      <c r="B16" s="5">
        <v>1</v>
      </c>
      <c r="C16" s="5" t="s">
        <v>19</v>
      </c>
      <c r="D16" s="5" t="s">
        <v>19</v>
      </c>
      <c r="E16" s="6">
        <f>(Source!F148)/1000</f>
        <v>128.84233</v>
      </c>
      <c r="F16" s="6">
        <f>(Source!F149)/1000</f>
        <v>0</v>
      </c>
      <c r="G16" s="6">
        <f>(Source!F140)/1000</f>
        <v>0</v>
      </c>
      <c r="H16" s="6">
        <f>(Source!F150)/1000+(Source!F151)/1000</f>
        <v>583.86131999999998</v>
      </c>
      <c r="I16" s="6">
        <f>E16+F16+G16+H16</f>
        <v>712.70364999999993</v>
      </c>
      <c r="J16" s="6">
        <f>(Source!F146)/1000</f>
        <v>141.51848000000001</v>
      </c>
      <c r="AI16" s="5">
        <v>0</v>
      </c>
      <c r="AJ16" s="5">
        <v>0</v>
      </c>
      <c r="AK16" s="5" t="s">
        <v>3</v>
      </c>
      <c r="AL16" s="5" t="s">
        <v>3</v>
      </c>
      <c r="AM16" s="5" t="s">
        <v>3</v>
      </c>
      <c r="AN16" s="5">
        <v>0</v>
      </c>
      <c r="AO16" s="5" t="s">
        <v>3</v>
      </c>
      <c r="AP16" s="5" t="s">
        <v>3</v>
      </c>
      <c r="AT16" s="6">
        <v>592483.38</v>
      </c>
      <c r="AU16" s="6">
        <v>355604.84</v>
      </c>
      <c r="AV16" s="6">
        <v>0</v>
      </c>
      <c r="AW16" s="6">
        <v>0</v>
      </c>
      <c r="AX16" s="6">
        <v>0</v>
      </c>
      <c r="AY16" s="6">
        <v>95360.06</v>
      </c>
      <c r="AZ16" s="6">
        <v>49925.8</v>
      </c>
      <c r="BA16" s="6">
        <v>141518.48000000001</v>
      </c>
      <c r="BB16" s="6">
        <v>128842.33</v>
      </c>
      <c r="BC16" s="6">
        <v>0</v>
      </c>
      <c r="BD16" s="6">
        <v>583861.31999999995</v>
      </c>
      <c r="BE16" s="6">
        <v>0</v>
      </c>
      <c r="BF16" s="6">
        <v>713.98463225</v>
      </c>
      <c r="BG16" s="6">
        <v>0</v>
      </c>
      <c r="BH16" s="6">
        <v>0</v>
      </c>
      <c r="BI16" s="6">
        <v>99062.95</v>
      </c>
      <c r="BJ16" s="6">
        <v>14151.86</v>
      </c>
      <c r="BK16" s="6">
        <v>712703.65</v>
      </c>
    </row>
    <row r="18" spans="1:19" x14ac:dyDescent="0.25">
      <c r="A18">
        <v>51</v>
      </c>
      <c r="E18" s="7">
        <f>SUMIF(A16:A17,3,E16:E17)</f>
        <v>128.84233</v>
      </c>
      <c r="F18" s="7">
        <f>SUMIF(A16:A17,3,F16:F17)</f>
        <v>0</v>
      </c>
      <c r="G18" s="7">
        <f>SUMIF(A16:A17,3,G16:G17)</f>
        <v>0</v>
      </c>
      <c r="H18" s="7">
        <f>SUMIF(A16:A17,3,H16:H17)</f>
        <v>583.86131999999998</v>
      </c>
      <c r="I18" s="7">
        <f>SUMIF(A16:A17,3,I16:I17)</f>
        <v>712.70364999999993</v>
      </c>
      <c r="J18" s="7">
        <f>SUMIF(A16:A17,3,J16:J17)</f>
        <v>141.51848000000001</v>
      </c>
      <c r="K18" s="7"/>
      <c r="L18" s="7"/>
      <c r="M18" s="7"/>
      <c r="N18" s="7"/>
      <c r="O18" s="7"/>
      <c r="P18" s="7"/>
      <c r="Q18" s="7"/>
      <c r="R18" s="7"/>
      <c r="S18" s="7"/>
    </row>
    <row r="20" spans="1:19" x14ac:dyDescent="0.25">
      <c r="A20" s="4">
        <v>50</v>
      </c>
      <c r="B20" s="4">
        <v>0</v>
      </c>
      <c r="C20" s="4">
        <v>0</v>
      </c>
      <c r="D20" s="4">
        <v>1</v>
      </c>
      <c r="E20" s="4">
        <v>201</v>
      </c>
      <c r="F20" s="4">
        <v>592483.38</v>
      </c>
      <c r="G20" s="4" t="s">
        <v>91</v>
      </c>
      <c r="H20" s="4" t="s">
        <v>92</v>
      </c>
      <c r="I20" s="4"/>
      <c r="J20" s="4"/>
      <c r="K20" s="4">
        <v>201</v>
      </c>
      <c r="L20" s="4">
        <v>1</v>
      </c>
      <c r="M20" s="4">
        <v>3</v>
      </c>
      <c r="N20" s="4" t="s">
        <v>3</v>
      </c>
      <c r="O20" s="4">
        <v>2</v>
      </c>
      <c r="P20" s="4"/>
    </row>
    <row r="21" spans="1:19" x14ac:dyDescent="0.25">
      <c r="A21" s="4">
        <v>50</v>
      </c>
      <c r="B21" s="4">
        <v>0</v>
      </c>
      <c r="C21" s="4">
        <v>0</v>
      </c>
      <c r="D21" s="4">
        <v>1</v>
      </c>
      <c r="E21" s="4">
        <v>202</v>
      </c>
      <c r="F21" s="4">
        <v>355604.84</v>
      </c>
      <c r="G21" s="4" t="s">
        <v>93</v>
      </c>
      <c r="H21" s="4" t="s">
        <v>94</v>
      </c>
      <c r="I21" s="4"/>
      <c r="J21" s="4"/>
      <c r="K21" s="4">
        <v>202</v>
      </c>
      <c r="L21" s="4">
        <v>2</v>
      </c>
      <c r="M21" s="4">
        <v>3</v>
      </c>
      <c r="N21" s="4" t="s">
        <v>3</v>
      </c>
      <c r="O21" s="4">
        <v>2</v>
      </c>
      <c r="P21" s="4"/>
    </row>
    <row r="22" spans="1:19" x14ac:dyDescent="0.25">
      <c r="A22" s="4">
        <v>50</v>
      </c>
      <c r="B22" s="4">
        <v>0</v>
      </c>
      <c r="C22" s="4">
        <v>0</v>
      </c>
      <c r="D22" s="4">
        <v>1</v>
      </c>
      <c r="E22" s="4">
        <v>222</v>
      </c>
      <c r="F22" s="4">
        <v>0</v>
      </c>
      <c r="G22" s="4" t="s">
        <v>95</v>
      </c>
      <c r="H22" s="4" t="s">
        <v>96</v>
      </c>
      <c r="I22" s="4"/>
      <c r="J22" s="4"/>
      <c r="K22" s="4">
        <v>222</v>
      </c>
      <c r="L22" s="4">
        <v>3</v>
      </c>
      <c r="M22" s="4">
        <v>3</v>
      </c>
      <c r="N22" s="4" t="s">
        <v>3</v>
      </c>
      <c r="O22" s="4">
        <v>2</v>
      </c>
      <c r="P22" s="4"/>
    </row>
    <row r="23" spans="1:19" x14ac:dyDescent="0.25">
      <c r="A23" s="4">
        <v>50</v>
      </c>
      <c r="B23" s="4">
        <v>0</v>
      </c>
      <c r="C23" s="4">
        <v>0</v>
      </c>
      <c r="D23" s="4">
        <v>1</v>
      </c>
      <c r="E23" s="4">
        <v>225</v>
      </c>
      <c r="F23" s="4">
        <v>355604.84</v>
      </c>
      <c r="G23" s="4" t="s">
        <v>97</v>
      </c>
      <c r="H23" s="4" t="s">
        <v>98</v>
      </c>
      <c r="I23" s="4"/>
      <c r="J23" s="4"/>
      <c r="K23" s="4">
        <v>225</v>
      </c>
      <c r="L23" s="4">
        <v>4</v>
      </c>
      <c r="M23" s="4">
        <v>3</v>
      </c>
      <c r="N23" s="4" t="s">
        <v>3</v>
      </c>
      <c r="O23" s="4">
        <v>2</v>
      </c>
      <c r="P23" s="4"/>
    </row>
    <row r="24" spans="1:19" x14ac:dyDescent="0.25">
      <c r="A24" s="4">
        <v>50</v>
      </c>
      <c r="B24" s="4">
        <v>0</v>
      </c>
      <c r="C24" s="4">
        <v>0</v>
      </c>
      <c r="D24" s="4">
        <v>1</v>
      </c>
      <c r="E24" s="4">
        <v>226</v>
      </c>
      <c r="F24" s="4">
        <v>355604.84</v>
      </c>
      <c r="G24" s="4" t="s">
        <v>99</v>
      </c>
      <c r="H24" s="4" t="s">
        <v>100</v>
      </c>
      <c r="I24" s="4"/>
      <c r="J24" s="4"/>
      <c r="K24" s="4">
        <v>226</v>
      </c>
      <c r="L24" s="4">
        <v>5</v>
      </c>
      <c r="M24" s="4">
        <v>3</v>
      </c>
      <c r="N24" s="4" t="s">
        <v>3</v>
      </c>
      <c r="O24" s="4">
        <v>2</v>
      </c>
      <c r="P24" s="4"/>
    </row>
    <row r="25" spans="1:19" x14ac:dyDescent="0.25">
      <c r="A25" s="4">
        <v>50</v>
      </c>
      <c r="B25" s="4">
        <v>0</v>
      </c>
      <c r="C25" s="4">
        <v>0</v>
      </c>
      <c r="D25" s="4">
        <v>1</v>
      </c>
      <c r="E25" s="4">
        <v>227</v>
      </c>
      <c r="F25" s="4">
        <v>0</v>
      </c>
      <c r="G25" s="4" t="s">
        <v>101</v>
      </c>
      <c r="H25" s="4" t="s">
        <v>102</v>
      </c>
      <c r="I25" s="4"/>
      <c r="J25" s="4"/>
      <c r="K25" s="4">
        <v>227</v>
      </c>
      <c r="L25" s="4">
        <v>6</v>
      </c>
      <c r="M25" s="4">
        <v>3</v>
      </c>
      <c r="N25" s="4" t="s">
        <v>3</v>
      </c>
      <c r="O25" s="4">
        <v>2</v>
      </c>
      <c r="P25" s="4"/>
    </row>
    <row r="26" spans="1:19" x14ac:dyDescent="0.25">
      <c r="A26" s="4">
        <v>50</v>
      </c>
      <c r="B26" s="4">
        <v>0</v>
      </c>
      <c r="C26" s="4">
        <v>0</v>
      </c>
      <c r="D26" s="4">
        <v>1</v>
      </c>
      <c r="E26" s="4">
        <v>228</v>
      </c>
      <c r="F26" s="4">
        <v>355604.84</v>
      </c>
      <c r="G26" s="4" t="s">
        <v>103</v>
      </c>
      <c r="H26" s="4" t="s">
        <v>104</v>
      </c>
      <c r="I26" s="4"/>
      <c r="J26" s="4"/>
      <c r="K26" s="4">
        <v>228</v>
      </c>
      <c r="L26" s="4">
        <v>7</v>
      </c>
      <c r="M26" s="4">
        <v>3</v>
      </c>
      <c r="N26" s="4" t="s">
        <v>3</v>
      </c>
      <c r="O26" s="4">
        <v>2</v>
      </c>
      <c r="P26" s="4"/>
    </row>
    <row r="27" spans="1:19" x14ac:dyDescent="0.25">
      <c r="A27" s="4">
        <v>50</v>
      </c>
      <c r="B27" s="4">
        <v>0</v>
      </c>
      <c r="C27" s="4">
        <v>0</v>
      </c>
      <c r="D27" s="4">
        <v>1</v>
      </c>
      <c r="E27" s="4">
        <v>216</v>
      </c>
      <c r="F27" s="4">
        <v>0</v>
      </c>
      <c r="G27" s="4" t="s">
        <v>105</v>
      </c>
      <c r="H27" s="4" t="s">
        <v>106</v>
      </c>
      <c r="I27" s="4"/>
      <c r="J27" s="4"/>
      <c r="K27" s="4">
        <v>216</v>
      </c>
      <c r="L27" s="4">
        <v>8</v>
      </c>
      <c r="M27" s="4">
        <v>3</v>
      </c>
      <c r="N27" s="4" t="s">
        <v>3</v>
      </c>
      <c r="O27" s="4">
        <v>2</v>
      </c>
      <c r="P27" s="4"/>
    </row>
    <row r="28" spans="1:19" x14ac:dyDescent="0.25">
      <c r="A28" s="4">
        <v>50</v>
      </c>
      <c r="B28" s="4">
        <v>0</v>
      </c>
      <c r="C28" s="4">
        <v>0</v>
      </c>
      <c r="D28" s="4">
        <v>1</v>
      </c>
      <c r="E28" s="4">
        <v>223</v>
      </c>
      <c r="F28" s="4">
        <v>0</v>
      </c>
      <c r="G28" s="4" t="s">
        <v>107</v>
      </c>
      <c r="H28" s="4" t="s">
        <v>108</v>
      </c>
      <c r="I28" s="4"/>
      <c r="J28" s="4"/>
      <c r="K28" s="4">
        <v>223</v>
      </c>
      <c r="L28" s="4">
        <v>9</v>
      </c>
      <c r="M28" s="4">
        <v>3</v>
      </c>
      <c r="N28" s="4" t="s">
        <v>3</v>
      </c>
      <c r="O28" s="4">
        <v>2</v>
      </c>
      <c r="P28" s="4"/>
    </row>
    <row r="29" spans="1:19" x14ac:dyDescent="0.25">
      <c r="A29" s="4">
        <v>50</v>
      </c>
      <c r="B29" s="4">
        <v>0</v>
      </c>
      <c r="C29" s="4">
        <v>0</v>
      </c>
      <c r="D29" s="4">
        <v>1</v>
      </c>
      <c r="E29" s="4">
        <v>229</v>
      </c>
      <c r="F29" s="4">
        <v>0</v>
      </c>
      <c r="G29" s="4" t="s">
        <v>109</v>
      </c>
      <c r="H29" s="4" t="s">
        <v>110</v>
      </c>
      <c r="I29" s="4"/>
      <c r="J29" s="4"/>
      <c r="K29" s="4">
        <v>229</v>
      </c>
      <c r="L29" s="4">
        <v>10</v>
      </c>
      <c r="M29" s="4">
        <v>3</v>
      </c>
      <c r="N29" s="4" t="s">
        <v>3</v>
      </c>
      <c r="O29" s="4">
        <v>2</v>
      </c>
      <c r="P29" s="4"/>
    </row>
    <row r="30" spans="1:19" x14ac:dyDescent="0.25">
      <c r="A30" s="4">
        <v>50</v>
      </c>
      <c r="B30" s="4">
        <v>0</v>
      </c>
      <c r="C30" s="4">
        <v>0</v>
      </c>
      <c r="D30" s="4">
        <v>1</v>
      </c>
      <c r="E30" s="4">
        <v>203</v>
      </c>
      <c r="F30" s="4">
        <v>95360.06</v>
      </c>
      <c r="G30" s="4" t="s">
        <v>111</v>
      </c>
      <c r="H30" s="4" t="s">
        <v>112</v>
      </c>
      <c r="I30" s="4"/>
      <c r="J30" s="4"/>
      <c r="K30" s="4">
        <v>203</v>
      </c>
      <c r="L30" s="4">
        <v>11</v>
      </c>
      <c r="M30" s="4">
        <v>3</v>
      </c>
      <c r="N30" s="4" t="s">
        <v>3</v>
      </c>
      <c r="O30" s="4">
        <v>2</v>
      </c>
      <c r="P30" s="4"/>
    </row>
    <row r="31" spans="1:19" x14ac:dyDescent="0.25">
      <c r="A31" s="4">
        <v>50</v>
      </c>
      <c r="B31" s="4">
        <v>0</v>
      </c>
      <c r="C31" s="4">
        <v>0</v>
      </c>
      <c r="D31" s="4">
        <v>1</v>
      </c>
      <c r="E31" s="4">
        <v>231</v>
      </c>
      <c r="F31" s="4">
        <v>0</v>
      </c>
      <c r="G31" s="4" t="s">
        <v>113</v>
      </c>
      <c r="H31" s="4" t="s">
        <v>114</v>
      </c>
      <c r="I31" s="4"/>
      <c r="J31" s="4"/>
      <c r="K31" s="4">
        <v>231</v>
      </c>
      <c r="L31" s="4">
        <v>12</v>
      </c>
      <c r="M31" s="4">
        <v>3</v>
      </c>
      <c r="N31" s="4" t="s">
        <v>3</v>
      </c>
      <c r="O31" s="4">
        <v>2</v>
      </c>
      <c r="P31" s="4"/>
    </row>
    <row r="32" spans="1:19" x14ac:dyDescent="0.25">
      <c r="A32" s="4">
        <v>50</v>
      </c>
      <c r="B32" s="4">
        <v>0</v>
      </c>
      <c r="C32" s="4">
        <v>0</v>
      </c>
      <c r="D32" s="4">
        <v>1</v>
      </c>
      <c r="E32" s="4">
        <v>204</v>
      </c>
      <c r="F32" s="4">
        <v>49925.8</v>
      </c>
      <c r="G32" s="4" t="s">
        <v>115</v>
      </c>
      <c r="H32" s="4" t="s">
        <v>116</v>
      </c>
      <c r="I32" s="4"/>
      <c r="J32" s="4"/>
      <c r="K32" s="4">
        <v>204</v>
      </c>
      <c r="L32" s="4">
        <v>13</v>
      </c>
      <c r="M32" s="4">
        <v>3</v>
      </c>
      <c r="N32" s="4" t="s">
        <v>3</v>
      </c>
      <c r="O32" s="4">
        <v>2</v>
      </c>
      <c r="P32" s="4"/>
    </row>
    <row r="33" spans="1:16" x14ac:dyDescent="0.25">
      <c r="A33" s="4">
        <v>50</v>
      </c>
      <c r="B33" s="4">
        <v>0</v>
      </c>
      <c r="C33" s="4">
        <v>0</v>
      </c>
      <c r="D33" s="4">
        <v>1</v>
      </c>
      <c r="E33" s="4">
        <v>205</v>
      </c>
      <c r="F33" s="4">
        <v>141518.48000000001</v>
      </c>
      <c r="G33" s="4" t="s">
        <v>117</v>
      </c>
      <c r="H33" s="4" t="s">
        <v>118</v>
      </c>
      <c r="I33" s="4"/>
      <c r="J33" s="4"/>
      <c r="K33" s="4">
        <v>205</v>
      </c>
      <c r="L33" s="4">
        <v>14</v>
      </c>
      <c r="M33" s="4">
        <v>3</v>
      </c>
      <c r="N33" s="4" t="s">
        <v>3</v>
      </c>
      <c r="O33" s="4">
        <v>2</v>
      </c>
      <c r="P33" s="4"/>
    </row>
    <row r="34" spans="1:16" x14ac:dyDescent="0.25">
      <c r="A34" s="4">
        <v>50</v>
      </c>
      <c r="B34" s="4">
        <v>0</v>
      </c>
      <c r="C34" s="4">
        <v>0</v>
      </c>
      <c r="D34" s="4">
        <v>1</v>
      </c>
      <c r="E34" s="4">
        <v>232</v>
      </c>
      <c r="F34" s="4">
        <v>0</v>
      </c>
      <c r="G34" s="4" t="s">
        <v>119</v>
      </c>
      <c r="H34" s="4" t="s">
        <v>120</v>
      </c>
      <c r="I34" s="4"/>
      <c r="J34" s="4"/>
      <c r="K34" s="4">
        <v>232</v>
      </c>
      <c r="L34" s="4">
        <v>15</v>
      </c>
      <c r="M34" s="4">
        <v>3</v>
      </c>
      <c r="N34" s="4" t="s">
        <v>3</v>
      </c>
      <c r="O34" s="4">
        <v>2</v>
      </c>
      <c r="P34" s="4"/>
    </row>
    <row r="35" spans="1:16" x14ac:dyDescent="0.25">
      <c r="A35" s="4">
        <v>50</v>
      </c>
      <c r="B35" s="4">
        <v>0</v>
      </c>
      <c r="C35" s="4">
        <v>0</v>
      </c>
      <c r="D35" s="4">
        <v>1</v>
      </c>
      <c r="E35" s="4">
        <v>214</v>
      </c>
      <c r="F35" s="4">
        <v>128842.33</v>
      </c>
      <c r="G35" s="4" t="s">
        <v>121</v>
      </c>
      <c r="H35" s="4" t="s">
        <v>122</v>
      </c>
      <c r="I35" s="4"/>
      <c r="J35" s="4"/>
      <c r="K35" s="4">
        <v>214</v>
      </c>
      <c r="L35" s="4">
        <v>16</v>
      </c>
      <c r="M35" s="4">
        <v>3</v>
      </c>
      <c r="N35" s="4" t="s">
        <v>3</v>
      </c>
      <c r="O35" s="4">
        <v>2</v>
      </c>
      <c r="P35" s="4"/>
    </row>
    <row r="36" spans="1:16" x14ac:dyDescent="0.25">
      <c r="A36" s="4">
        <v>50</v>
      </c>
      <c r="B36" s="4">
        <v>0</v>
      </c>
      <c r="C36" s="4">
        <v>0</v>
      </c>
      <c r="D36" s="4">
        <v>1</v>
      </c>
      <c r="E36" s="4">
        <v>215</v>
      </c>
      <c r="F36" s="4">
        <v>0</v>
      </c>
      <c r="G36" s="4" t="s">
        <v>123</v>
      </c>
      <c r="H36" s="4" t="s">
        <v>124</v>
      </c>
      <c r="I36" s="4"/>
      <c r="J36" s="4"/>
      <c r="K36" s="4">
        <v>215</v>
      </c>
      <c r="L36" s="4">
        <v>17</v>
      </c>
      <c r="M36" s="4">
        <v>3</v>
      </c>
      <c r="N36" s="4" t="s">
        <v>3</v>
      </c>
      <c r="O36" s="4">
        <v>2</v>
      </c>
      <c r="P36" s="4"/>
    </row>
    <row r="37" spans="1:16" x14ac:dyDescent="0.25">
      <c r="A37" s="4">
        <v>50</v>
      </c>
      <c r="B37" s="4">
        <v>0</v>
      </c>
      <c r="C37" s="4">
        <v>0</v>
      </c>
      <c r="D37" s="4">
        <v>1</v>
      </c>
      <c r="E37" s="4">
        <v>217</v>
      </c>
      <c r="F37" s="4">
        <v>583861.31999999995</v>
      </c>
      <c r="G37" s="4" t="s">
        <v>125</v>
      </c>
      <c r="H37" s="4" t="s">
        <v>126</v>
      </c>
      <c r="I37" s="4"/>
      <c r="J37" s="4"/>
      <c r="K37" s="4">
        <v>217</v>
      </c>
      <c r="L37" s="4">
        <v>18</v>
      </c>
      <c r="M37" s="4">
        <v>3</v>
      </c>
      <c r="N37" s="4" t="s">
        <v>3</v>
      </c>
      <c r="O37" s="4">
        <v>2</v>
      </c>
      <c r="P37" s="4"/>
    </row>
    <row r="38" spans="1:16" x14ac:dyDescent="0.25">
      <c r="A38" s="4">
        <v>50</v>
      </c>
      <c r="B38" s="4">
        <v>0</v>
      </c>
      <c r="C38" s="4">
        <v>0</v>
      </c>
      <c r="D38" s="4">
        <v>1</v>
      </c>
      <c r="E38" s="4">
        <v>230</v>
      </c>
      <c r="F38" s="4">
        <v>0</v>
      </c>
      <c r="G38" s="4" t="s">
        <v>127</v>
      </c>
      <c r="H38" s="4" t="s">
        <v>128</v>
      </c>
      <c r="I38" s="4"/>
      <c r="J38" s="4"/>
      <c r="K38" s="4">
        <v>230</v>
      </c>
      <c r="L38" s="4">
        <v>19</v>
      </c>
      <c r="M38" s="4">
        <v>3</v>
      </c>
      <c r="N38" s="4" t="s">
        <v>3</v>
      </c>
      <c r="O38" s="4">
        <v>2</v>
      </c>
      <c r="P38" s="4"/>
    </row>
    <row r="39" spans="1:16" x14ac:dyDescent="0.25">
      <c r="A39" s="4">
        <v>50</v>
      </c>
      <c r="B39" s="4">
        <v>0</v>
      </c>
      <c r="C39" s="4">
        <v>0</v>
      </c>
      <c r="D39" s="4">
        <v>1</v>
      </c>
      <c r="E39" s="4">
        <v>206</v>
      </c>
      <c r="F39" s="4">
        <v>0</v>
      </c>
      <c r="G39" s="4" t="s">
        <v>129</v>
      </c>
      <c r="H39" s="4" t="s">
        <v>130</v>
      </c>
      <c r="I39" s="4"/>
      <c r="J39" s="4"/>
      <c r="K39" s="4">
        <v>206</v>
      </c>
      <c r="L39" s="4">
        <v>20</v>
      </c>
      <c r="M39" s="4">
        <v>3</v>
      </c>
      <c r="N39" s="4" t="s">
        <v>3</v>
      </c>
      <c r="O39" s="4">
        <v>2</v>
      </c>
      <c r="P39" s="4"/>
    </row>
    <row r="40" spans="1:16" x14ac:dyDescent="0.25">
      <c r="A40" s="4">
        <v>50</v>
      </c>
      <c r="B40" s="4">
        <v>0</v>
      </c>
      <c r="C40" s="4">
        <v>0</v>
      </c>
      <c r="D40" s="4">
        <v>1</v>
      </c>
      <c r="E40" s="4">
        <v>207</v>
      </c>
      <c r="F40" s="4">
        <v>713.98463225</v>
      </c>
      <c r="G40" s="4" t="s">
        <v>131</v>
      </c>
      <c r="H40" s="4" t="s">
        <v>132</v>
      </c>
      <c r="I40" s="4"/>
      <c r="J40" s="4"/>
      <c r="K40" s="4">
        <v>207</v>
      </c>
      <c r="L40" s="4">
        <v>21</v>
      </c>
      <c r="M40" s="4">
        <v>3</v>
      </c>
      <c r="N40" s="4" t="s">
        <v>3</v>
      </c>
      <c r="O40" s="4">
        <v>-1</v>
      </c>
      <c r="P40" s="4"/>
    </row>
    <row r="41" spans="1:16" x14ac:dyDescent="0.25">
      <c r="A41" s="4">
        <v>50</v>
      </c>
      <c r="B41" s="4">
        <v>0</v>
      </c>
      <c r="C41" s="4">
        <v>0</v>
      </c>
      <c r="D41" s="4">
        <v>1</v>
      </c>
      <c r="E41" s="4">
        <v>208</v>
      </c>
      <c r="F41" s="4">
        <v>0</v>
      </c>
      <c r="G41" s="4" t="s">
        <v>133</v>
      </c>
      <c r="H41" s="4" t="s">
        <v>134</v>
      </c>
      <c r="I41" s="4"/>
      <c r="J41" s="4"/>
      <c r="K41" s="4">
        <v>208</v>
      </c>
      <c r="L41" s="4">
        <v>22</v>
      </c>
      <c r="M41" s="4">
        <v>3</v>
      </c>
      <c r="N41" s="4" t="s">
        <v>3</v>
      </c>
      <c r="O41" s="4">
        <v>-1</v>
      </c>
      <c r="P41" s="4"/>
    </row>
    <row r="42" spans="1:16" x14ac:dyDescent="0.25">
      <c r="A42" s="4">
        <v>50</v>
      </c>
      <c r="B42" s="4">
        <v>0</v>
      </c>
      <c r="C42" s="4">
        <v>0</v>
      </c>
      <c r="D42" s="4">
        <v>1</v>
      </c>
      <c r="E42" s="4">
        <v>209</v>
      </c>
      <c r="F42" s="4">
        <v>0</v>
      </c>
      <c r="G42" s="4" t="s">
        <v>135</v>
      </c>
      <c r="H42" s="4" t="s">
        <v>136</v>
      </c>
      <c r="I42" s="4"/>
      <c r="J42" s="4"/>
      <c r="K42" s="4">
        <v>209</v>
      </c>
      <c r="L42" s="4">
        <v>23</v>
      </c>
      <c r="M42" s="4">
        <v>3</v>
      </c>
      <c r="N42" s="4" t="s">
        <v>3</v>
      </c>
      <c r="O42" s="4">
        <v>2</v>
      </c>
      <c r="P42" s="4"/>
    </row>
    <row r="43" spans="1:16" x14ac:dyDescent="0.25">
      <c r="A43" s="4">
        <v>50</v>
      </c>
      <c r="B43" s="4">
        <v>0</v>
      </c>
      <c r="C43" s="4">
        <v>0</v>
      </c>
      <c r="D43" s="4">
        <v>1</v>
      </c>
      <c r="E43" s="4">
        <v>233</v>
      </c>
      <c r="F43" s="4">
        <v>0</v>
      </c>
      <c r="G43" s="4" t="s">
        <v>137</v>
      </c>
      <c r="H43" s="4" t="s">
        <v>138</v>
      </c>
      <c r="I43" s="4"/>
      <c r="J43" s="4"/>
      <c r="K43" s="4">
        <v>233</v>
      </c>
      <c r="L43" s="4">
        <v>24</v>
      </c>
      <c r="M43" s="4">
        <v>3</v>
      </c>
      <c r="N43" s="4" t="s">
        <v>3</v>
      </c>
      <c r="O43" s="4">
        <v>2</v>
      </c>
      <c r="P43" s="4"/>
    </row>
    <row r="44" spans="1:16" x14ac:dyDescent="0.25">
      <c r="A44" s="4">
        <v>50</v>
      </c>
      <c r="B44" s="4">
        <v>0</v>
      </c>
      <c r="C44" s="4">
        <v>0</v>
      </c>
      <c r="D44" s="4">
        <v>1</v>
      </c>
      <c r="E44" s="4">
        <v>210</v>
      </c>
      <c r="F44" s="4">
        <v>99062.95</v>
      </c>
      <c r="G44" s="4" t="s">
        <v>139</v>
      </c>
      <c r="H44" s="4" t="s">
        <v>140</v>
      </c>
      <c r="I44" s="4"/>
      <c r="J44" s="4"/>
      <c r="K44" s="4">
        <v>210</v>
      </c>
      <c r="L44" s="4">
        <v>25</v>
      </c>
      <c r="M44" s="4">
        <v>3</v>
      </c>
      <c r="N44" s="4" t="s">
        <v>3</v>
      </c>
      <c r="O44" s="4">
        <v>2</v>
      </c>
      <c r="P44" s="4"/>
    </row>
    <row r="45" spans="1:16" x14ac:dyDescent="0.25">
      <c r="A45" s="4">
        <v>50</v>
      </c>
      <c r="B45" s="4">
        <v>0</v>
      </c>
      <c r="C45" s="4">
        <v>0</v>
      </c>
      <c r="D45" s="4">
        <v>1</v>
      </c>
      <c r="E45" s="4">
        <v>211</v>
      </c>
      <c r="F45" s="4">
        <v>14151.86</v>
      </c>
      <c r="G45" s="4" t="s">
        <v>141</v>
      </c>
      <c r="H45" s="4" t="s">
        <v>142</v>
      </c>
      <c r="I45" s="4"/>
      <c r="J45" s="4"/>
      <c r="K45" s="4">
        <v>211</v>
      </c>
      <c r="L45" s="4">
        <v>26</v>
      </c>
      <c r="M45" s="4">
        <v>3</v>
      </c>
      <c r="N45" s="4" t="s">
        <v>3</v>
      </c>
      <c r="O45" s="4">
        <v>2</v>
      </c>
      <c r="P45" s="4"/>
    </row>
    <row r="46" spans="1:16" x14ac:dyDescent="0.25">
      <c r="A46" s="4">
        <v>50</v>
      </c>
      <c r="B46" s="4">
        <v>0</v>
      </c>
      <c r="C46" s="4">
        <v>0</v>
      </c>
      <c r="D46" s="4">
        <v>1</v>
      </c>
      <c r="E46" s="4">
        <v>224</v>
      </c>
      <c r="F46" s="4">
        <v>712703.65</v>
      </c>
      <c r="G46" s="4" t="s">
        <v>143</v>
      </c>
      <c r="H46" s="4" t="s">
        <v>144</v>
      </c>
      <c r="I46" s="4"/>
      <c r="J46" s="4"/>
      <c r="K46" s="4">
        <v>224</v>
      </c>
      <c r="L46" s="4">
        <v>27</v>
      </c>
      <c r="M46" s="4">
        <v>3</v>
      </c>
      <c r="N46" s="4" t="s">
        <v>3</v>
      </c>
      <c r="O46" s="4">
        <v>2</v>
      </c>
      <c r="P46" s="4"/>
    </row>
    <row r="47" spans="1:16" x14ac:dyDescent="0.25">
      <c r="A47" s="4">
        <v>50</v>
      </c>
      <c r="B47" s="4">
        <v>1</v>
      </c>
      <c r="C47" s="4">
        <v>0</v>
      </c>
      <c r="D47" s="4">
        <v>2</v>
      </c>
      <c r="E47" s="4">
        <v>0</v>
      </c>
      <c r="F47" s="4">
        <v>141518.48000000001</v>
      </c>
      <c r="G47" s="4" t="s">
        <v>22</v>
      </c>
      <c r="H47" s="4" t="s">
        <v>145</v>
      </c>
      <c r="I47" s="4"/>
      <c r="J47" s="4"/>
      <c r="K47" s="4">
        <v>212</v>
      </c>
      <c r="L47" s="4">
        <v>28</v>
      </c>
      <c r="M47" s="4">
        <v>0</v>
      </c>
      <c r="N47" s="4" t="s">
        <v>3</v>
      </c>
      <c r="O47" s="4">
        <v>2</v>
      </c>
      <c r="P47" s="4"/>
    </row>
    <row r="48" spans="1:16" x14ac:dyDescent="0.25">
      <c r="A48" s="4">
        <v>50</v>
      </c>
      <c r="B48" s="4">
        <v>1</v>
      </c>
      <c r="C48" s="4">
        <v>0</v>
      </c>
      <c r="D48" s="4">
        <v>2</v>
      </c>
      <c r="E48" s="4">
        <v>0</v>
      </c>
      <c r="F48" s="4">
        <v>49925.8</v>
      </c>
      <c r="G48" s="4" t="s">
        <v>27</v>
      </c>
      <c r="H48" s="4" t="s">
        <v>146</v>
      </c>
      <c r="I48" s="4"/>
      <c r="J48" s="4"/>
      <c r="K48" s="4">
        <v>212</v>
      </c>
      <c r="L48" s="4">
        <v>29</v>
      </c>
      <c r="M48" s="4">
        <v>0</v>
      </c>
      <c r="N48" s="4" t="s">
        <v>3</v>
      </c>
      <c r="O48" s="4">
        <v>2</v>
      </c>
      <c r="P48" s="4"/>
    </row>
    <row r="49" spans="1:16" x14ac:dyDescent="0.25">
      <c r="A49" s="4">
        <v>50</v>
      </c>
      <c r="B49" s="4">
        <v>1</v>
      </c>
      <c r="C49" s="4">
        <v>0</v>
      </c>
      <c r="D49" s="4">
        <v>2</v>
      </c>
      <c r="E49" s="4">
        <v>0</v>
      </c>
      <c r="F49" s="4">
        <v>14151.86</v>
      </c>
      <c r="G49" s="4" t="s">
        <v>30</v>
      </c>
      <c r="H49" s="4" t="s">
        <v>147</v>
      </c>
      <c r="I49" s="4"/>
      <c r="J49" s="4"/>
      <c r="K49" s="4">
        <v>212</v>
      </c>
      <c r="L49" s="4">
        <v>30</v>
      </c>
      <c r="M49" s="4">
        <v>0</v>
      </c>
      <c r="N49" s="4" t="s">
        <v>3</v>
      </c>
      <c r="O49" s="4">
        <v>2</v>
      </c>
      <c r="P49" s="4"/>
    </row>
    <row r="50" spans="1:16" x14ac:dyDescent="0.25">
      <c r="A50" s="4">
        <v>50</v>
      </c>
      <c r="B50" s="4">
        <v>1</v>
      </c>
      <c r="C50" s="4">
        <v>0</v>
      </c>
      <c r="D50" s="4">
        <v>2</v>
      </c>
      <c r="E50" s="4">
        <v>0</v>
      </c>
      <c r="F50" s="4">
        <v>14977.74</v>
      </c>
      <c r="G50" s="4" t="s">
        <v>35</v>
      </c>
      <c r="H50" s="4" t="s">
        <v>148</v>
      </c>
      <c r="I50" s="4"/>
      <c r="J50" s="4"/>
      <c r="K50" s="4">
        <v>212</v>
      </c>
      <c r="L50" s="4">
        <v>31</v>
      </c>
      <c r="M50" s="4">
        <v>0</v>
      </c>
      <c r="N50" s="4" t="s">
        <v>3</v>
      </c>
      <c r="O50" s="4">
        <v>2</v>
      </c>
      <c r="P50" s="4"/>
    </row>
    <row r="51" spans="1:16" x14ac:dyDescent="0.25">
      <c r="A51" s="4">
        <v>50</v>
      </c>
      <c r="B51" s="4">
        <v>1</v>
      </c>
      <c r="C51" s="4">
        <v>0</v>
      </c>
      <c r="D51" s="4">
        <v>2</v>
      </c>
      <c r="E51" s="4">
        <v>0</v>
      </c>
      <c r="F51" s="4">
        <v>492129.77</v>
      </c>
      <c r="G51" s="4" t="s">
        <v>40</v>
      </c>
      <c r="H51" s="4" t="s">
        <v>149</v>
      </c>
      <c r="I51" s="4"/>
      <c r="J51" s="4"/>
      <c r="K51" s="4">
        <v>212</v>
      </c>
      <c r="L51" s="4">
        <v>32</v>
      </c>
      <c r="M51" s="4">
        <v>0</v>
      </c>
      <c r="N51" s="4" t="s">
        <v>3</v>
      </c>
      <c r="O51" s="4">
        <v>2</v>
      </c>
      <c r="P51" s="4"/>
    </row>
    <row r="52" spans="1:16" x14ac:dyDescent="0.25">
      <c r="A52" s="4">
        <v>50</v>
      </c>
      <c r="B52" s="4">
        <v>1</v>
      </c>
      <c r="C52" s="4">
        <v>0</v>
      </c>
      <c r="D52" s="4">
        <v>2</v>
      </c>
      <c r="E52" s="4">
        <v>0</v>
      </c>
      <c r="F52" s="4">
        <v>98425.95</v>
      </c>
      <c r="G52" s="4" t="s">
        <v>45</v>
      </c>
      <c r="H52" s="4" t="s">
        <v>150</v>
      </c>
      <c r="I52" s="4"/>
      <c r="J52" s="4"/>
      <c r="K52" s="4">
        <v>212</v>
      </c>
      <c r="L52" s="4">
        <v>33</v>
      </c>
      <c r="M52" s="4">
        <v>0</v>
      </c>
      <c r="N52" s="4" t="s">
        <v>3</v>
      </c>
      <c r="O52" s="4">
        <v>2</v>
      </c>
      <c r="P52" s="4"/>
    </row>
    <row r="53" spans="1:16" x14ac:dyDescent="0.25">
      <c r="A53" s="4">
        <v>50</v>
      </c>
      <c r="B53" s="4">
        <v>1</v>
      </c>
      <c r="C53" s="4">
        <v>0</v>
      </c>
      <c r="D53" s="4">
        <v>2</v>
      </c>
      <c r="E53" s="4">
        <v>0</v>
      </c>
      <c r="F53" s="4">
        <v>590555.72</v>
      </c>
      <c r="G53" s="4" t="s">
        <v>50</v>
      </c>
      <c r="H53" s="4" t="s">
        <v>151</v>
      </c>
      <c r="I53" s="4"/>
      <c r="J53" s="4"/>
      <c r="K53" s="4">
        <v>212</v>
      </c>
      <c r="L53" s="4">
        <v>34</v>
      </c>
      <c r="M53" s="4">
        <v>0</v>
      </c>
      <c r="N53" s="4" t="s">
        <v>3</v>
      </c>
      <c r="O53" s="4">
        <v>2</v>
      </c>
      <c r="P53" s="4"/>
    </row>
    <row r="54" spans="1:16" x14ac:dyDescent="0.25">
      <c r="A54" s="4">
        <v>50</v>
      </c>
      <c r="B54" s="4">
        <v>1</v>
      </c>
      <c r="C54" s="4">
        <v>0</v>
      </c>
      <c r="D54" s="4">
        <v>2</v>
      </c>
      <c r="E54" s="4">
        <v>213</v>
      </c>
      <c r="F54" s="4">
        <v>782000</v>
      </c>
      <c r="G54" s="4" t="s">
        <v>55</v>
      </c>
      <c r="H54" s="4" t="s">
        <v>152</v>
      </c>
      <c r="I54" s="4"/>
      <c r="J54" s="4"/>
      <c r="K54" s="4">
        <v>212</v>
      </c>
      <c r="L54" s="4">
        <v>35</v>
      </c>
      <c r="M54" s="4">
        <v>0</v>
      </c>
      <c r="N54" s="4" t="s">
        <v>3</v>
      </c>
      <c r="O54" s="4">
        <v>2</v>
      </c>
      <c r="P54" s="4"/>
    </row>
    <row r="56" spans="1:16" x14ac:dyDescent="0.25">
      <c r="A56">
        <v>-1</v>
      </c>
    </row>
    <row r="59" spans="1:16" x14ac:dyDescent="0.25">
      <c r="A59" s="3">
        <v>75</v>
      </c>
      <c r="B59" s="3" t="s">
        <v>171</v>
      </c>
      <c r="C59" s="3">
        <v>2020</v>
      </c>
      <c r="D59" s="3">
        <v>0</v>
      </c>
      <c r="E59" s="3">
        <v>10</v>
      </c>
      <c r="F59" s="3">
        <v>0</v>
      </c>
      <c r="G59" s="3">
        <v>0</v>
      </c>
      <c r="H59" s="3">
        <v>1</v>
      </c>
      <c r="I59" s="3">
        <v>0</v>
      </c>
      <c r="J59" s="3">
        <v>1</v>
      </c>
      <c r="K59" s="3">
        <v>78</v>
      </c>
      <c r="L59" s="3">
        <v>30</v>
      </c>
      <c r="M59" s="3">
        <v>0</v>
      </c>
      <c r="N59" s="3">
        <v>50844173</v>
      </c>
      <c r="O59" s="3">
        <v>1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C41"/>
  <sheetViews>
    <sheetView workbookViewId="0"/>
  </sheetViews>
  <sheetFormatPr defaultColWidth="9.109375" defaultRowHeight="13.2" x14ac:dyDescent="0.25"/>
  <cols>
    <col min="1" max="256" width="9.109375" customWidth="1"/>
  </cols>
  <sheetData>
    <row r="1" spans="1:107" x14ac:dyDescent="0.25">
      <c r="A1">
        <f>ROW(Source!A30)</f>
        <v>30</v>
      </c>
      <c r="B1">
        <v>50844173</v>
      </c>
      <c r="C1">
        <v>50844352</v>
      </c>
      <c r="D1">
        <v>48872225</v>
      </c>
      <c r="E1">
        <v>27</v>
      </c>
      <c r="F1">
        <v>1</v>
      </c>
      <c r="G1">
        <v>27</v>
      </c>
      <c r="H1">
        <v>1</v>
      </c>
      <c r="I1" t="s">
        <v>173</v>
      </c>
      <c r="J1" t="s">
        <v>3</v>
      </c>
      <c r="K1" t="s">
        <v>174</v>
      </c>
      <c r="L1">
        <v>1191</v>
      </c>
      <c r="N1">
        <v>1013</v>
      </c>
      <c r="O1" t="s">
        <v>175</v>
      </c>
      <c r="P1" t="s">
        <v>175</v>
      </c>
      <c r="Q1">
        <v>1</v>
      </c>
      <c r="W1">
        <v>0</v>
      </c>
      <c r="X1">
        <v>476480486</v>
      </c>
      <c r="Y1">
        <v>155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1</v>
      </c>
      <c r="AK1">
        <v>1</v>
      </c>
      <c r="AL1">
        <v>1</v>
      </c>
      <c r="AN1">
        <v>0</v>
      </c>
      <c r="AO1">
        <v>1</v>
      </c>
      <c r="AP1">
        <v>0</v>
      </c>
      <c r="AQ1">
        <v>0</v>
      </c>
      <c r="AR1">
        <v>0</v>
      </c>
      <c r="AS1" t="s">
        <v>3</v>
      </c>
      <c r="AT1">
        <v>155</v>
      </c>
      <c r="AU1" t="s">
        <v>3</v>
      </c>
      <c r="AV1">
        <v>1</v>
      </c>
      <c r="AW1">
        <v>2</v>
      </c>
      <c r="AX1">
        <v>50844357</v>
      </c>
      <c r="AY1">
        <v>1</v>
      </c>
      <c r="AZ1">
        <v>0</v>
      </c>
      <c r="BA1">
        <v>1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CX1">
        <f>Y1*Source!I30</f>
        <v>19.84</v>
      </c>
      <c r="CY1">
        <f>AD1</f>
        <v>0</v>
      </c>
      <c r="CZ1">
        <f>AH1</f>
        <v>0</v>
      </c>
      <c r="DA1">
        <f>AL1</f>
        <v>1</v>
      </c>
      <c r="DB1">
        <f t="shared" ref="DB1:DB9" si="0">ROUND(ROUND(AT1*CZ1,2),6)</f>
        <v>0</v>
      </c>
      <c r="DC1">
        <f t="shared" ref="DC1:DC9" si="1">ROUND(ROUND(AT1*AG1,2),6)</f>
        <v>0</v>
      </c>
    </row>
    <row r="2" spans="1:107" x14ac:dyDescent="0.25">
      <c r="A2">
        <f>ROW(Source!A30)</f>
        <v>30</v>
      </c>
      <c r="B2">
        <v>50844173</v>
      </c>
      <c r="C2">
        <v>50844352</v>
      </c>
      <c r="D2">
        <v>48884752</v>
      </c>
      <c r="E2">
        <v>1</v>
      </c>
      <c r="F2">
        <v>1</v>
      </c>
      <c r="G2">
        <v>27</v>
      </c>
      <c r="H2">
        <v>2</v>
      </c>
      <c r="I2" t="s">
        <v>176</v>
      </c>
      <c r="J2" t="s">
        <v>177</v>
      </c>
      <c r="K2" t="s">
        <v>178</v>
      </c>
      <c r="L2">
        <v>1368</v>
      </c>
      <c r="N2">
        <v>1011</v>
      </c>
      <c r="O2" t="s">
        <v>179</v>
      </c>
      <c r="P2" t="s">
        <v>179</v>
      </c>
      <c r="Q2">
        <v>1</v>
      </c>
      <c r="W2">
        <v>0</v>
      </c>
      <c r="X2">
        <v>734322642</v>
      </c>
      <c r="Y2">
        <v>37.5</v>
      </c>
      <c r="AA2">
        <v>0</v>
      </c>
      <c r="AB2">
        <v>744.2</v>
      </c>
      <c r="AC2">
        <v>423.17</v>
      </c>
      <c r="AD2">
        <v>0</v>
      </c>
      <c r="AE2">
        <v>0</v>
      </c>
      <c r="AF2">
        <v>744.2</v>
      </c>
      <c r="AG2">
        <v>423.17</v>
      </c>
      <c r="AH2">
        <v>0</v>
      </c>
      <c r="AI2">
        <v>1</v>
      </c>
      <c r="AJ2">
        <v>1</v>
      </c>
      <c r="AK2">
        <v>1</v>
      </c>
      <c r="AL2">
        <v>1</v>
      </c>
      <c r="AN2">
        <v>0</v>
      </c>
      <c r="AO2">
        <v>1</v>
      </c>
      <c r="AP2">
        <v>0</v>
      </c>
      <c r="AQ2">
        <v>0</v>
      </c>
      <c r="AR2">
        <v>0</v>
      </c>
      <c r="AS2" t="s">
        <v>3</v>
      </c>
      <c r="AT2">
        <v>37.5</v>
      </c>
      <c r="AU2" t="s">
        <v>3</v>
      </c>
      <c r="AV2">
        <v>0</v>
      </c>
      <c r="AW2">
        <v>2</v>
      </c>
      <c r="AX2">
        <v>50844358</v>
      </c>
      <c r="AY2">
        <v>1</v>
      </c>
      <c r="AZ2">
        <v>0</v>
      </c>
      <c r="BA2">
        <v>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CX2">
        <f>Y2*Source!I30</f>
        <v>4.8</v>
      </c>
      <c r="CY2">
        <f>AB2</f>
        <v>744.2</v>
      </c>
      <c r="CZ2">
        <f>AF2</f>
        <v>744.2</v>
      </c>
      <c r="DA2">
        <f>AJ2</f>
        <v>1</v>
      </c>
      <c r="DB2">
        <f t="shared" si="0"/>
        <v>27907.5</v>
      </c>
      <c r="DC2">
        <f t="shared" si="1"/>
        <v>15868.88</v>
      </c>
    </row>
    <row r="3" spans="1:107" x14ac:dyDescent="0.25">
      <c r="A3">
        <f>ROW(Source!A30)</f>
        <v>30</v>
      </c>
      <c r="B3">
        <v>50844173</v>
      </c>
      <c r="C3">
        <v>50844352</v>
      </c>
      <c r="D3">
        <v>48885267</v>
      </c>
      <c r="E3">
        <v>1</v>
      </c>
      <c r="F3">
        <v>1</v>
      </c>
      <c r="G3">
        <v>27</v>
      </c>
      <c r="H3">
        <v>2</v>
      </c>
      <c r="I3" t="s">
        <v>180</v>
      </c>
      <c r="J3" t="s">
        <v>181</v>
      </c>
      <c r="K3" t="s">
        <v>182</v>
      </c>
      <c r="L3">
        <v>1368</v>
      </c>
      <c r="N3">
        <v>1011</v>
      </c>
      <c r="O3" t="s">
        <v>179</v>
      </c>
      <c r="P3" t="s">
        <v>179</v>
      </c>
      <c r="Q3">
        <v>1</v>
      </c>
      <c r="W3">
        <v>0</v>
      </c>
      <c r="X3">
        <v>1403155342</v>
      </c>
      <c r="Y3">
        <v>75</v>
      </c>
      <c r="AA3">
        <v>0</v>
      </c>
      <c r="AB3">
        <v>6.02</v>
      </c>
      <c r="AC3">
        <v>0.02</v>
      </c>
      <c r="AD3">
        <v>0</v>
      </c>
      <c r="AE3">
        <v>0</v>
      </c>
      <c r="AF3">
        <v>6.02</v>
      </c>
      <c r="AG3">
        <v>0.02</v>
      </c>
      <c r="AH3">
        <v>0</v>
      </c>
      <c r="AI3">
        <v>1</v>
      </c>
      <c r="AJ3">
        <v>1</v>
      </c>
      <c r="AK3">
        <v>1</v>
      </c>
      <c r="AL3">
        <v>1</v>
      </c>
      <c r="AN3">
        <v>0</v>
      </c>
      <c r="AO3">
        <v>1</v>
      </c>
      <c r="AP3">
        <v>0</v>
      </c>
      <c r="AQ3">
        <v>0</v>
      </c>
      <c r="AR3">
        <v>0</v>
      </c>
      <c r="AS3" t="s">
        <v>3</v>
      </c>
      <c r="AT3">
        <v>75</v>
      </c>
      <c r="AU3" t="s">
        <v>3</v>
      </c>
      <c r="AV3">
        <v>0</v>
      </c>
      <c r="AW3">
        <v>2</v>
      </c>
      <c r="AX3">
        <v>50844359</v>
      </c>
      <c r="AY3">
        <v>1</v>
      </c>
      <c r="AZ3">
        <v>0</v>
      </c>
      <c r="BA3">
        <v>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CX3">
        <f>Y3*Source!I30</f>
        <v>9.6</v>
      </c>
      <c r="CY3">
        <f>AB3</f>
        <v>6.02</v>
      </c>
      <c r="CZ3">
        <f>AF3</f>
        <v>6.02</v>
      </c>
      <c r="DA3">
        <f>AJ3</f>
        <v>1</v>
      </c>
      <c r="DB3">
        <f t="shared" si="0"/>
        <v>451.5</v>
      </c>
      <c r="DC3">
        <f t="shared" si="1"/>
        <v>1.5</v>
      </c>
    </row>
    <row r="4" spans="1:107" x14ac:dyDescent="0.25">
      <c r="A4">
        <f>ROW(Source!A30)</f>
        <v>30</v>
      </c>
      <c r="B4">
        <v>50844173</v>
      </c>
      <c r="C4">
        <v>50844352</v>
      </c>
      <c r="D4">
        <v>48884622</v>
      </c>
      <c r="E4">
        <v>1</v>
      </c>
      <c r="F4">
        <v>1</v>
      </c>
      <c r="G4">
        <v>27</v>
      </c>
      <c r="H4">
        <v>2</v>
      </c>
      <c r="I4" t="s">
        <v>183</v>
      </c>
      <c r="J4" t="s">
        <v>184</v>
      </c>
      <c r="K4" t="s">
        <v>185</v>
      </c>
      <c r="L4">
        <v>1368</v>
      </c>
      <c r="N4">
        <v>1011</v>
      </c>
      <c r="O4" t="s">
        <v>179</v>
      </c>
      <c r="P4" t="s">
        <v>179</v>
      </c>
      <c r="Q4">
        <v>1</v>
      </c>
      <c r="W4">
        <v>0</v>
      </c>
      <c r="X4">
        <v>41279402</v>
      </c>
      <c r="Y4">
        <v>1.55</v>
      </c>
      <c r="AA4">
        <v>0</v>
      </c>
      <c r="AB4">
        <v>1412.71</v>
      </c>
      <c r="AC4">
        <v>641.32000000000005</v>
      </c>
      <c r="AD4">
        <v>0</v>
      </c>
      <c r="AE4">
        <v>0</v>
      </c>
      <c r="AF4">
        <v>1412.71</v>
      </c>
      <c r="AG4">
        <v>641.32000000000005</v>
      </c>
      <c r="AH4">
        <v>0</v>
      </c>
      <c r="AI4">
        <v>1</v>
      </c>
      <c r="AJ4">
        <v>1</v>
      </c>
      <c r="AK4">
        <v>1</v>
      </c>
      <c r="AL4">
        <v>1</v>
      </c>
      <c r="AN4">
        <v>0</v>
      </c>
      <c r="AO4">
        <v>1</v>
      </c>
      <c r="AP4">
        <v>0</v>
      </c>
      <c r="AQ4">
        <v>0</v>
      </c>
      <c r="AR4">
        <v>0</v>
      </c>
      <c r="AS4" t="s">
        <v>3</v>
      </c>
      <c r="AT4">
        <v>1.55</v>
      </c>
      <c r="AU4" t="s">
        <v>3</v>
      </c>
      <c r="AV4">
        <v>0</v>
      </c>
      <c r="AW4">
        <v>2</v>
      </c>
      <c r="AX4">
        <v>50844360</v>
      </c>
      <c r="AY4">
        <v>1</v>
      </c>
      <c r="AZ4">
        <v>0</v>
      </c>
      <c r="BA4">
        <v>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CX4">
        <f>Y4*Source!I30</f>
        <v>0.19840000000000002</v>
      </c>
      <c r="CY4">
        <f>AB4</f>
        <v>1412.71</v>
      </c>
      <c r="CZ4">
        <f>AF4</f>
        <v>1412.71</v>
      </c>
      <c r="DA4">
        <f>AJ4</f>
        <v>1</v>
      </c>
      <c r="DB4">
        <f t="shared" si="0"/>
        <v>2189.6999999999998</v>
      </c>
      <c r="DC4">
        <f t="shared" si="1"/>
        <v>994.05</v>
      </c>
    </row>
    <row r="5" spans="1:107" x14ac:dyDescent="0.25">
      <c r="A5">
        <f>ROW(Source!A31)</f>
        <v>31</v>
      </c>
      <c r="B5">
        <v>50844173</v>
      </c>
      <c r="C5">
        <v>50844361</v>
      </c>
      <c r="D5">
        <v>48872225</v>
      </c>
      <c r="E5">
        <v>27</v>
      </c>
      <c r="F5">
        <v>1</v>
      </c>
      <c r="G5">
        <v>27</v>
      </c>
      <c r="H5">
        <v>1</v>
      </c>
      <c r="I5" t="s">
        <v>173</v>
      </c>
      <c r="J5" t="s">
        <v>3</v>
      </c>
      <c r="K5" t="s">
        <v>174</v>
      </c>
      <c r="L5">
        <v>1191</v>
      </c>
      <c r="N5">
        <v>1013</v>
      </c>
      <c r="O5" t="s">
        <v>175</v>
      </c>
      <c r="P5" t="s">
        <v>175</v>
      </c>
      <c r="Q5">
        <v>1</v>
      </c>
      <c r="W5">
        <v>0</v>
      </c>
      <c r="X5">
        <v>476480486</v>
      </c>
      <c r="Y5">
        <v>18.68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1</v>
      </c>
      <c r="AN5">
        <v>0</v>
      </c>
      <c r="AO5">
        <v>1</v>
      </c>
      <c r="AP5">
        <v>0</v>
      </c>
      <c r="AQ5">
        <v>0</v>
      </c>
      <c r="AR5">
        <v>0</v>
      </c>
      <c r="AS5" t="s">
        <v>3</v>
      </c>
      <c r="AT5">
        <v>18.68</v>
      </c>
      <c r="AU5" t="s">
        <v>3</v>
      </c>
      <c r="AV5">
        <v>1</v>
      </c>
      <c r="AW5">
        <v>2</v>
      </c>
      <c r="AX5">
        <v>50844363</v>
      </c>
      <c r="AY5">
        <v>1</v>
      </c>
      <c r="AZ5">
        <v>0</v>
      </c>
      <c r="BA5">
        <v>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CX5">
        <f>Y5*Source!I31</f>
        <v>11.9552</v>
      </c>
      <c r="CY5">
        <f>AD5</f>
        <v>0</v>
      </c>
      <c r="CZ5">
        <f>AH5</f>
        <v>0</v>
      </c>
      <c r="DA5">
        <f>AL5</f>
        <v>1</v>
      </c>
      <c r="DB5">
        <f t="shared" si="0"/>
        <v>0</v>
      </c>
      <c r="DC5">
        <f t="shared" si="1"/>
        <v>0</v>
      </c>
    </row>
    <row r="6" spans="1:107" x14ac:dyDescent="0.25">
      <c r="A6">
        <f>ROW(Source!A32)</f>
        <v>32</v>
      </c>
      <c r="B6">
        <v>50844173</v>
      </c>
      <c r="C6">
        <v>50844364</v>
      </c>
      <c r="D6">
        <v>48872225</v>
      </c>
      <c r="E6">
        <v>27</v>
      </c>
      <c r="F6">
        <v>1</v>
      </c>
      <c r="G6">
        <v>27</v>
      </c>
      <c r="H6">
        <v>1</v>
      </c>
      <c r="I6" t="s">
        <v>173</v>
      </c>
      <c r="J6" t="s">
        <v>3</v>
      </c>
      <c r="K6" t="s">
        <v>174</v>
      </c>
      <c r="L6">
        <v>1191</v>
      </c>
      <c r="N6">
        <v>1013</v>
      </c>
      <c r="O6" t="s">
        <v>175</v>
      </c>
      <c r="P6" t="s">
        <v>175</v>
      </c>
      <c r="Q6">
        <v>1</v>
      </c>
      <c r="W6">
        <v>0</v>
      </c>
      <c r="X6">
        <v>476480486</v>
      </c>
      <c r="Y6">
        <v>76.7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N6">
        <v>0</v>
      </c>
      <c r="AO6">
        <v>1</v>
      </c>
      <c r="AP6">
        <v>0</v>
      </c>
      <c r="AQ6">
        <v>0</v>
      </c>
      <c r="AR6">
        <v>0</v>
      </c>
      <c r="AS6" t="s">
        <v>3</v>
      </c>
      <c r="AT6">
        <v>76.7</v>
      </c>
      <c r="AU6" t="s">
        <v>3</v>
      </c>
      <c r="AV6">
        <v>1</v>
      </c>
      <c r="AW6">
        <v>2</v>
      </c>
      <c r="AX6">
        <v>50844366</v>
      </c>
      <c r="AY6">
        <v>1</v>
      </c>
      <c r="AZ6">
        <v>0</v>
      </c>
      <c r="BA6">
        <v>6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CX6">
        <f>Y6*Source!I32</f>
        <v>248.50800000000004</v>
      </c>
      <c r="CY6">
        <f>AD6</f>
        <v>0</v>
      </c>
      <c r="CZ6">
        <f>AH6</f>
        <v>0</v>
      </c>
      <c r="DA6">
        <f>AL6</f>
        <v>1</v>
      </c>
      <c r="DB6">
        <f t="shared" si="0"/>
        <v>0</v>
      </c>
      <c r="DC6">
        <f t="shared" si="1"/>
        <v>0</v>
      </c>
    </row>
    <row r="7" spans="1:107" x14ac:dyDescent="0.25">
      <c r="A7">
        <f>ROW(Source!A33)</f>
        <v>33</v>
      </c>
      <c r="B7">
        <v>50844173</v>
      </c>
      <c r="C7">
        <v>50844367</v>
      </c>
      <c r="D7">
        <v>48884396</v>
      </c>
      <c r="E7">
        <v>1</v>
      </c>
      <c r="F7">
        <v>1</v>
      </c>
      <c r="G7">
        <v>27</v>
      </c>
      <c r="H7">
        <v>2</v>
      </c>
      <c r="I7" t="s">
        <v>186</v>
      </c>
      <c r="J7" t="s">
        <v>187</v>
      </c>
      <c r="K7" t="s">
        <v>188</v>
      </c>
      <c r="L7">
        <v>1368</v>
      </c>
      <c r="N7">
        <v>1011</v>
      </c>
      <c r="O7" t="s">
        <v>179</v>
      </c>
      <c r="P7" t="s">
        <v>179</v>
      </c>
      <c r="Q7">
        <v>1</v>
      </c>
      <c r="W7">
        <v>0</v>
      </c>
      <c r="X7">
        <v>770341722</v>
      </c>
      <c r="Y7">
        <v>5.3699999999999998E-2</v>
      </c>
      <c r="AA7">
        <v>0</v>
      </c>
      <c r="AB7">
        <v>1494.43</v>
      </c>
      <c r="AC7">
        <v>481.21</v>
      </c>
      <c r="AD7">
        <v>0</v>
      </c>
      <c r="AE7">
        <v>0</v>
      </c>
      <c r="AF7">
        <v>1494.43</v>
      </c>
      <c r="AG7">
        <v>481.21</v>
      </c>
      <c r="AH7">
        <v>0</v>
      </c>
      <c r="AI7">
        <v>1</v>
      </c>
      <c r="AJ7">
        <v>1</v>
      </c>
      <c r="AK7">
        <v>1</v>
      </c>
      <c r="AL7">
        <v>1</v>
      </c>
      <c r="AN7">
        <v>0</v>
      </c>
      <c r="AO7">
        <v>1</v>
      </c>
      <c r="AP7">
        <v>0</v>
      </c>
      <c r="AQ7">
        <v>0</v>
      </c>
      <c r="AR7">
        <v>0</v>
      </c>
      <c r="AS7" t="s">
        <v>3</v>
      </c>
      <c r="AT7">
        <v>5.3699999999999998E-2</v>
      </c>
      <c r="AU7" t="s">
        <v>3</v>
      </c>
      <c r="AV7">
        <v>0</v>
      </c>
      <c r="AW7">
        <v>2</v>
      </c>
      <c r="AX7">
        <v>50844369</v>
      </c>
      <c r="AY7">
        <v>1</v>
      </c>
      <c r="AZ7">
        <v>0</v>
      </c>
      <c r="BA7">
        <v>7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CX7">
        <f>Y7*Source!I33</f>
        <v>2.89516032</v>
      </c>
      <c r="CY7">
        <f>AB7</f>
        <v>1494.43</v>
      </c>
      <c r="CZ7">
        <f>AF7</f>
        <v>1494.43</v>
      </c>
      <c r="DA7">
        <f>AJ7</f>
        <v>1</v>
      </c>
      <c r="DB7">
        <f t="shared" si="0"/>
        <v>80.25</v>
      </c>
      <c r="DC7">
        <f t="shared" si="1"/>
        <v>25.84</v>
      </c>
    </row>
    <row r="8" spans="1:107" x14ac:dyDescent="0.25">
      <c r="A8">
        <f>ROW(Source!A34)</f>
        <v>34</v>
      </c>
      <c r="B8">
        <v>50844173</v>
      </c>
      <c r="C8">
        <v>50844370</v>
      </c>
      <c r="D8">
        <v>48885194</v>
      </c>
      <c r="E8">
        <v>1</v>
      </c>
      <c r="F8">
        <v>1</v>
      </c>
      <c r="G8">
        <v>27</v>
      </c>
      <c r="H8">
        <v>2</v>
      </c>
      <c r="I8" t="s">
        <v>189</v>
      </c>
      <c r="J8" t="s">
        <v>190</v>
      </c>
      <c r="K8" t="s">
        <v>191</v>
      </c>
      <c r="L8">
        <v>1368</v>
      </c>
      <c r="N8">
        <v>1011</v>
      </c>
      <c r="O8" t="s">
        <v>179</v>
      </c>
      <c r="P8" t="s">
        <v>179</v>
      </c>
      <c r="Q8">
        <v>1</v>
      </c>
      <c r="W8">
        <v>0</v>
      </c>
      <c r="X8">
        <v>238809398</v>
      </c>
      <c r="Y8">
        <v>0.02</v>
      </c>
      <c r="AA8">
        <v>0</v>
      </c>
      <c r="AB8">
        <v>1009.4</v>
      </c>
      <c r="AC8">
        <v>316.82</v>
      </c>
      <c r="AD8">
        <v>0</v>
      </c>
      <c r="AE8">
        <v>0</v>
      </c>
      <c r="AF8">
        <v>1009.4</v>
      </c>
      <c r="AG8">
        <v>316.82</v>
      </c>
      <c r="AH8">
        <v>0</v>
      </c>
      <c r="AI8">
        <v>1</v>
      </c>
      <c r="AJ8">
        <v>1</v>
      </c>
      <c r="AK8">
        <v>1</v>
      </c>
      <c r="AL8">
        <v>1</v>
      </c>
      <c r="AN8">
        <v>0</v>
      </c>
      <c r="AO8">
        <v>1</v>
      </c>
      <c r="AP8">
        <v>0</v>
      </c>
      <c r="AQ8">
        <v>0</v>
      </c>
      <c r="AR8">
        <v>0</v>
      </c>
      <c r="AS8" t="s">
        <v>3</v>
      </c>
      <c r="AT8">
        <v>0.02</v>
      </c>
      <c r="AU8" t="s">
        <v>3</v>
      </c>
      <c r="AV8">
        <v>0</v>
      </c>
      <c r="AW8">
        <v>2</v>
      </c>
      <c r="AX8">
        <v>50844373</v>
      </c>
      <c r="AY8">
        <v>1</v>
      </c>
      <c r="AZ8">
        <v>0</v>
      </c>
      <c r="BA8">
        <v>8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CX8">
        <f>Y8*Source!I34</f>
        <v>1.0782720000000001</v>
      </c>
      <c r="CY8">
        <f>AB8</f>
        <v>1009.4</v>
      </c>
      <c r="CZ8">
        <f>AF8</f>
        <v>1009.4</v>
      </c>
      <c r="DA8">
        <f>AJ8</f>
        <v>1</v>
      </c>
      <c r="DB8">
        <f t="shared" si="0"/>
        <v>20.190000000000001</v>
      </c>
      <c r="DC8">
        <f t="shared" si="1"/>
        <v>6.34</v>
      </c>
    </row>
    <row r="9" spans="1:107" x14ac:dyDescent="0.25">
      <c r="A9">
        <f>ROW(Source!A34)</f>
        <v>34</v>
      </c>
      <c r="B9">
        <v>50844173</v>
      </c>
      <c r="C9">
        <v>50844370</v>
      </c>
      <c r="D9">
        <v>48885195</v>
      </c>
      <c r="E9">
        <v>1</v>
      </c>
      <c r="F9">
        <v>1</v>
      </c>
      <c r="G9">
        <v>27</v>
      </c>
      <c r="H9">
        <v>2</v>
      </c>
      <c r="I9" t="s">
        <v>192</v>
      </c>
      <c r="J9" t="s">
        <v>193</v>
      </c>
      <c r="K9" t="s">
        <v>194</v>
      </c>
      <c r="L9">
        <v>1368</v>
      </c>
      <c r="N9">
        <v>1011</v>
      </c>
      <c r="O9" t="s">
        <v>179</v>
      </c>
      <c r="P9" t="s">
        <v>179</v>
      </c>
      <c r="Q9">
        <v>1</v>
      </c>
      <c r="W9">
        <v>0</v>
      </c>
      <c r="X9">
        <v>-1786200580</v>
      </c>
      <c r="Y9">
        <v>1.7999999999999999E-2</v>
      </c>
      <c r="AA9">
        <v>0</v>
      </c>
      <c r="AB9">
        <v>1014.12</v>
      </c>
      <c r="AC9">
        <v>317.13</v>
      </c>
      <c r="AD9">
        <v>0</v>
      </c>
      <c r="AE9">
        <v>0</v>
      </c>
      <c r="AF9">
        <v>1014.12</v>
      </c>
      <c r="AG9">
        <v>317.13</v>
      </c>
      <c r="AH9">
        <v>0</v>
      </c>
      <c r="AI9">
        <v>1</v>
      </c>
      <c r="AJ9">
        <v>1</v>
      </c>
      <c r="AK9">
        <v>1</v>
      </c>
      <c r="AL9">
        <v>1</v>
      </c>
      <c r="AN9">
        <v>0</v>
      </c>
      <c r="AO9">
        <v>1</v>
      </c>
      <c r="AP9">
        <v>0</v>
      </c>
      <c r="AQ9">
        <v>0</v>
      </c>
      <c r="AR9">
        <v>0</v>
      </c>
      <c r="AS9" t="s">
        <v>3</v>
      </c>
      <c r="AT9">
        <v>1.7999999999999999E-2</v>
      </c>
      <c r="AU9" t="s">
        <v>3</v>
      </c>
      <c r="AV9">
        <v>0</v>
      </c>
      <c r="AW9">
        <v>2</v>
      </c>
      <c r="AX9">
        <v>50844374</v>
      </c>
      <c r="AY9">
        <v>1</v>
      </c>
      <c r="AZ9">
        <v>0</v>
      </c>
      <c r="BA9">
        <v>9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CX9">
        <f>Y9*Source!I34</f>
        <v>0.9704448</v>
      </c>
      <c r="CY9">
        <f>AB9</f>
        <v>1014.12</v>
      </c>
      <c r="CZ9">
        <f>AF9</f>
        <v>1014.12</v>
      </c>
      <c r="DA9">
        <f>AJ9</f>
        <v>1</v>
      </c>
      <c r="DB9">
        <f t="shared" si="0"/>
        <v>18.25</v>
      </c>
      <c r="DC9">
        <f t="shared" si="1"/>
        <v>5.71</v>
      </c>
    </row>
    <row r="10" spans="1:107" x14ac:dyDescent="0.25">
      <c r="A10">
        <f>ROW(Source!A35)</f>
        <v>35</v>
      </c>
      <c r="B10">
        <v>50844173</v>
      </c>
      <c r="C10">
        <v>50844375</v>
      </c>
      <c r="D10">
        <v>48885194</v>
      </c>
      <c r="E10">
        <v>1</v>
      </c>
      <c r="F10">
        <v>1</v>
      </c>
      <c r="G10">
        <v>27</v>
      </c>
      <c r="H10">
        <v>2</v>
      </c>
      <c r="I10" t="s">
        <v>189</v>
      </c>
      <c r="J10" t="s">
        <v>190</v>
      </c>
      <c r="K10" t="s">
        <v>191</v>
      </c>
      <c r="L10">
        <v>1368</v>
      </c>
      <c r="N10">
        <v>1011</v>
      </c>
      <c r="O10" t="s">
        <v>179</v>
      </c>
      <c r="P10" t="s">
        <v>179</v>
      </c>
      <c r="Q10">
        <v>1</v>
      </c>
      <c r="W10">
        <v>0</v>
      </c>
      <c r="X10">
        <v>238809398</v>
      </c>
      <c r="Y10">
        <v>0.52</v>
      </c>
      <c r="AA10">
        <v>0</v>
      </c>
      <c r="AB10">
        <v>1009.4</v>
      </c>
      <c r="AC10">
        <v>316.82</v>
      </c>
      <c r="AD10">
        <v>0</v>
      </c>
      <c r="AE10">
        <v>0</v>
      </c>
      <c r="AF10">
        <v>1009.4</v>
      </c>
      <c r="AG10">
        <v>316.82</v>
      </c>
      <c r="AH10">
        <v>0</v>
      </c>
      <c r="AI10">
        <v>1</v>
      </c>
      <c r="AJ10">
        <v>1</v>
      </c>
      <c r="AK10">
        <v>1</v>
      </c>
      <c r="AL10">
        <v>1</v>
      </c>
      <c r="AN10">
        <v>0</v>
      </c>
      <c r="AO10">
        <v>1</v>
      </c>
      <c r="AP10">
        <v>1</v>
      </c>
      <c r="AQ10">
        <v>0</v>
      </c>
      <c r="AR10">
        <v>0</v>
      </c>
      <c r="AS10" t="s">
        <v>3</v>
      </c>
      <c r="AT10">
        <v>0.01</v>
      </c>
      <c r="AU10" t="s">
        <v>59</v>
      </c>
      <c r="AV10">
        <v>0</v>
      </c>
      <c r="AW10">
        <v>2</v>
      </c>
      <c r="AX10">
        <v>50844378</v>
      </c>
      <c r="AY10">
        <v>1</v>
      </c>
      <c r="AZ10">
        <v>0</v>
      </c>
      <c r="BA10">
        <v>10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CX10">
        <f>Y10*Source!I35</f>
        <v>28.035072000000003</v>
      </c>
      <c r="CY10">
        <f>AB10</f>
        <v>1009.4</v>
      </c>
      <c r="CZ10">
        <f>AF10</f>
        <v>1009.4</v>
      </c>
      <c r="DA10">
        <f>AJ10</f>
        <v>1</v>
      </c>
      <c r="DB10">
        <f>ROUND((ROUND(AT10*CZ10,2)*52),6)</f>
        <v>524.67999999999995</v>
      </c>
      <c r="DC10">
        <f>ROUND((ROUND(AT10*AG10,2)*52),6)</f>
        <v>164.84</v>
      </c>
    </row>
    <row r="11" spans="1:107" x14ac:dyDescent="0.25">
      <c r="A11">
        <f>ROW(Source!A35)</f>
        <v>35</v>
      </c>
      <c r="B11">
        <v>50844173</v>
      </c>
      <c r="C11">
        <v>50844375</v>
      </c>
      <c r="D11">
        <v>48885195</v>
      </c>
      <c r="E11">
        <v>1</v>
      </c>
      <c r="F11">
        <v>1</v>
      </c>
      <c r="G11">
        <v>27</v>
      </c>
      <c r="H11">
        <v>2</v>
      </c>
      <c r="I11" t="s">
        <v>192</v>
      </c>
      <c r="J11" t="s">
        <v>193</v>
      </c>
      <c r="K11" t="s">
        <v>194</v>
      </c>
      <c r="L11">
        <v>1368</v>
      </c>
      <c r="N11">
        <v>1011</v>
      </c>
      <c r="O11" t="s">
        <v>179</v>
      </c>
      <c r="P11" t="s">
        <v>179</v>
      </c>
      <c r="Q11">
        <v>1</v>
      </c>
      <c r="W11">
        <v>0</v>
      </c>
      <c r="X11">
        <v>-1786200580</v>
      </c>
      <c r="Y11">
        <v>0.41600000000000004</v>
      </c>
      <c r="AA11">
        <v>0</v>
      </c>
      <c r="AB11">
        <v>1014.12</v>
      </c>
      <c r="AC11">
        <v>317.13</v>
      </c>
      <c r="AD11">
        <v>0</v>
      </c>
      <c r="AE11">
        <v>0</v>
      </c>
      <c r="AF11">
        <v>1014.12</v>
      </c>
      <c r="AG11">
        <v>317.13</v>
      </c>
      <c r="AH11">
        <v>0</v>
      </c>
      <c r="AI11">
        <v>1</v>
      </c>
      <c r="AJ11">
        <v>1</v>
      </c>
      <c r="AK11">
        <v>1</v>
      </c>
      <c r="AL11">
        <v>1</v>
      </c>
      <c r="AN11">
        <v>0</v>
      </c>
      <c r="AO11">
        <v>1</v>
      </c>
      <c r="AP11">
        <v>1</v>
      </c>
      <c r="AQ11">
        <v>0</v>
      </c>
      <c r="AR11">
        <v>0</v>
      </c>
      <c r="AS11" t="s">
        <v>3</v>
      </c>
      <c r="AT11">
        <v>8.0000000000000002E-3</v>
      </c>
      <c r="AU11" t="s">
        <v>59</v>
      </c>
      <c r="AV11">
        <v>0</v>
      </c>
      <c r="AW11">
        <v>2</v>
      </c>
      <c r="AX11">
        <v>50844379</v>
      </c>
      <c r="AY11">
        <v>1</v>
      </c>
      <c r="AZ11">
        <v>0</v>
      </c>
      <c r="BA11">
        <v>11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CX11">
        <f>Y11*Source!I35</f>
        <v>22.428057600000002</v>
      </c>
      <c r="CY11">
        <f>AB11</f>
        <v>1014.12</v>
      </c>
      <c r="CZ11">
        <f>AF11</f>
        <v>1014.12</v>
      </c>
      <c r="DA11">
        <f>AJ11</f>
        <v>1</v>
      </c>
      <c r="DB11">
        <f>ROUND((ROUND(AT11*CZ11,2)*52),6)</f>
        <v>421.72</v>
      </c>
      <c r="DC11">
        <f>ROUND((ROUND(AT11*AG11,2)*52),6)</f>
        <v>132.08000000000001</v>
      </c>
    </row>
    <row r="12" spans="1:107" x14ac:dyDescent="0.25">
      <c r="A12">
        <f>ROW(Source!A37)</f>
        <v>37</v>
      </c>
      <c r="B12">
        <v>50844173</v>
      </c>
      <c r="C12">
        <v>50844381</v>
      </c>
      <c r="D12">
        <v>48872225</v>
      </c>
      <c r="E12">
        <v>27</v>
      </c>
      <c r="F12">
        <v>1</v>
      </c>
      <c r="G12">
        <v>27</v>
      </c>
      <c r="H12">
        <v>1</v>
      </c>
      <c r="I12" t="s">
        <v>173</v>
      </c>
      <c r="J12" t="s">
        <v>3</v>
      </c>
      <c r="K12" t="s">
        <v>174</v>
      </c>
      <c r="L12">
        <v>1191</v>
      </c>
      <c r="N12">
        <v>1013</v>
      </c>
      <c r="O12" t="s">
        <v>175</v>
      </c>
      <c r="P12" t="s">
        <v>175</v>
      </c>
      <c r="Q12">
        <v>1</v>
      </c>
      <c r="W12">
        <v>0</v>
      </c>
      <c r="X12">
        <v>476480486</v>
      </c>
      <c r="Y12">
        <v>24.84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1</v>
      </c>
      <c r="AL12">
        <v>1</v>
      </c>
      <c r="AN12">
        <v>0</v>
      </c>
      <c r="AO12">
        <v>1</v>
      </c>
      <c r="AP12">
        <v>0</v>
      </c>
      <c r="AQ12">
        <v>0</v>
      </c>
      <c r="AR12">
        <v>0</v>
      </c>
      <c r="AS12" t="s">
        <v>3</v>
      </c>
      <c r="AT12">
        <v>24.84</v>
      </c>
      <c r="AU12" t="s">
        <v>3</v>
      </c>
      <c r="AV12">
        <v>1</v>
      </c>
      <c r="AW12">
        <v>2</v>
      </c>
      <c r="AX12">
        <v>50844391</v>
      </c>
      <c r="AY12">
        <v>1</v>
      </c>
      <c r="AZ12">
        <v>0</v>
      </c>
      <c r="BA12">
        <v>12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CX12">
        <f>Y12*Source!I37</f>
        <v>1.5897600000000001</v>
      </c>
      <c r="CY12">
        <f>AD12</f>
        <v>0</v>
      </c>
      <c r="CZ12">
        <f>AH12</f>
        <v>0</v>
      </c>
      <c r="DA12">
        <f>AL12</f>
        <v>1</v>
      </c>
      <c r="DB12">
        <f t="shared" ref="DB12:DB41" si="2">ROUND(ROUND(AT12*CZ12,2),6)</f>
        <v>0</v>
      </c>
      <c r="DC12">
        <f t="shared" ref="DC12:DC41" si="3">ROUND(ROUND(AT12*AG12,2),6)</f>
        <v>0</v>
      </c>
    </row>
    <row r="13" spans="1:107" x14ac:dyDescent="0.25">
      <c r="A13">
        <f>ROW(Source!A37)</f>
        <v>37</v>
      </c>
      <c r="B13">
        <v>50844173</v>
      </c>
      <c r="C13">
        <v>50844381</v>
      </c>
      <c r="D13">
        <v>48884417</v>
      </c>
      <c r="E13">
        <v>1</v>
      </c>
      <c r="F13">
        <v>1</v>
      </c>
      <c r="G13">
        <v>27</v>
      </c>
      <c r="H13">
        <v>2</v>
      </c>
      <c r="I13" t="s">
        <v>195</v>
      </c>
      <c r="J13" t="s">
        <v>196</v>
      </c>
      <c r="K13" t="s">
        <v>197</v>
      </c>
      <c r="L13">
        <v>1368</v>
      </c>
      <c r="N13">
        <v>1011</v>
      </c>
      <c r="O13" t="s">
        <v>179</v>
      </c>
      <c r="P13" t="s">
        <v>179</v>
      </c>
      <c r="Q13">
        <v>1</v>
      </c>
      <c r="W13">
        <v>0</v>
      </c>
      <c r="X13">
        <v>974897901</v>
      </c>
      <c r="Y13">
        <v>2.94</v>
      </c>
      <c r="AA13">
        <v>0</v>
      </c>
      <c r="AB13">
        <v>956.79</v>
      </c>
      <c r="AC13">
        <v>359.44</v>
      </c>
      <c r="AD13">
        <v>0</v>
      </c>
      <c r="AE13">
        <v>0</v>
      </c>
      <c r="AF13">
        <v>956.79</v>
      </c>
      <c r="AG13">
        <v>359.44</v>
      </c>
      <c r="AH13">
        <v>0</v>
      </c>
      <c r="AI13">
        <v>1</v>
      </c>
      <c r="AJ13">
        <v>1</v>
      </c>
      <c r="AK13">
        <v>1</v>
      </c>
      <c r="AL13">
        <v>1</v>
      </c>
      <c r="AN13">
        <v>0</v>
      </c>
      <c r="AO13">
        <v>1</v>
      </c>
      <c r="AP13">
        <v>0</v>
      </c>
      <c r="AQ13">
        <v>0</v>
      </c>
      <c r="AR13">
        <v>0</v>
      </c>
      <c r="AS13" t="s">
        <v>3</v>
      </c>
      <c r="AT13">
        <v>2.94</v>
      </c>
      <c r="AU13" t="s">
        <v>3</v>
      </c>
      <c r="AV13">
        <v>0</v>
      </c>
      <c r="AW13">
        <v>2</v>
      </c>
      <c r="AX13">
        <v>50844392</v>
      </c>
      <c r="AY13">
        <v>1</v>
      </c>
      <c r="AZ13">
        <v>0</v>
      </c>
      <c r="BA13">
        <v>13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CX13">
        <f>Y13*Source!I37</f>
        <v>0.18815999999999999</v>
      </c>
      <c r="CY13">
        <f t="shared" ref="CY13:CY18" si="4">AB13</f>
        <v>956.79</v>
      </c>
      <c r="CZ13">
        <f t="shared" ref="CZ13:CZ18" si="5">AF13</f>
        <v>956.79</v>
      </c>
      <c r="DA13">
        <f t="shared" ref="DA13:DA18" si="6">AJ13</f>
        <v>1</v>
      </c>
      <c r="DB13">
        <f t="shared" si="2"/>
        <v>2812.96</v>
      </c>
      <c r="DC13">
        <f t="shared" si="3"/>
        <v>1056.75</v>
      </c>
    </row>
    <row r="14" spans="1:107" x14ac:dyDescent="0.25">
      <c r="A14">
        <f>ROW(Source!A37)</f>
        <v>37</v>
      </c>
      <c r="B14">
        <v>50844173</v>
      </c>
      <c r="C14">
        <v>50844381</v>
      </c>
      <c r="D14">
        <v>48884598</v>
      </c>
      <c r="E14">
        <v>1</v>
      </c>
      <c r="F14">
        <v>1</v>
      </c>
      <c r="G14">
        <v>27</v>
      </c>
      <c r="H14">
        <v>2</v>
      </c>
      <c r="I14" t="s">
        <v>198</v>
      </c>
      <c r="J14" t="s">
        <v>199</v>
      </c>
      <c r="K14" t="s">
        <v>200</v>
      </c>
      <c r="L14">
        <v>1368</v>
      </c>
      <c r="N14">
        <v>1011</v>
      </c>
      <c r="O14" t="s">
        <v>179</v>
      </c>
      <c r="P14" t="s">
        <v>179</v>
      </c>
      <c r="Q14">
        <v>1</v>
      </c>
      <c r="W14">
        <v>0</v>
      </c>
      <c r="X14">
        <v>351519474</v>
      </c>
      <c r="Y14">
        <v>1.1399999999999999</v>
      </c>
      <c r="AA14">
        <v>0</v>
      </c>
      <c r="AB14">
        <v>2020.59</v>
      </c>
      <c r="AC14">
        <v>458.56</v>
      </c>
      <c r="AD14">
        <v>0</v>
      </c>
      <c r="AE14">
        <v>0</v>
      </c>
      <c r="AF14">
        <v>2020.59</v>
      </c>
      <c r="AG14">
        <v>458.56</v>
      </c>
      <c r="AH14">
        <v>0</v>
      </c>
      <c r="AI14">
        <v>1</v>
      </c>
      <c r="AJ14">
        <v>1</v>
      </c>
      <c r="AK14">
        <v>1</v>
      </c>
      <c r="AL14">
        <v>1</v>
      </c>
      <c r="AN14">
        <v>0</v>
      </c>
      <c r="AO14">
        <v>1</v>
      </c>
      <c r="AP14">
        <v>0</v>
      </c>
      <c r="AQ14">
        <v>0</v>
      </c>
      <c r="AR14">
        <v>0</v>
      </c>
      <c r="AS14" t="s">
        <v>3</v>
      </c>
      <c r="AT14">
        <v>1.1399999999999999</v>
      </c>
      <c r="AU14" t="s">
        <v>3</v>
      </c>
      <c r="AV14">
        <v>0</v>
      </c>
      <c r="AW14">
        <v>2</v>
      </c>
      <c r="AX14">
        <v>50844393</v>
      </c>
      <c r="AY14">
        <v>1</v>
      </c>
      <c r="AZ14">
        <v>0</v>
      </c>
      <c r="BA14">
        <v>14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CX14">
        <f>Y14*Source!I37</f>
        <v>7.2959999999999997E-2</v>
      </c>
      <c r="CY14">
        <f t="shared" si="4"/>
        <v>2020.59</v>
      </c>
      <c r="CZ14">
        <f t="shared" si="5"/>
        <v>2020.59</v>
      </c>
      <c r="DA14">
        <f t="shared" si="6"/>
        <v>1</v>
      </c>
      <c r="DB14">
        <f t="shared" si="2"/>
        <v>2303.4699999999998</v>
      </c>
      <c r="DC14">
        <f t="shared" si="3"/>
        <v>522.76</v>
      </c>
    </row>
    <row r="15" spans="1:107" x14ac:dyDescent="0.25">
      <c r="A15">
        <f>ROW(Source!A37)</f>
        <v>37</v>
      </c>
      <c r="B15">
        <v>50844173</v>
      </c>
      <c r="C15">
        <v>50844381</v>
      </c>
      <c r="D15">
        <v>48884583</v>
      </c>
      <c r="E15">
        <v>1</v>
      </c>
      <c r="F15">
        <v>1</v>
      </c>
      <c r="G15">
        <v>27</v>
      </c>
      <c r="H15">
        <v>2</v>
      </c>
      <c r="I15" t="s">
        <v>201</v>
      </c>
      <c r="J15" t="s">
        <v>202</v>
      </c>
      <c r="K15" t="s">
        <v>203</v>
      </c>
      <c r="L15">
        <v>1368</v>
      </c>
      <c r="N15">
        <v>1011</v>
      </c>
      <c r="O15" t="s">
        <v>179</v>
      </c>
      <c r="P15" t="s">
        <v>179</v>
      </c>
      <c r="Q15">
        <v>1</v>
      </c>
      <c r="W15">
        <v>0</v>
      </c>
      <c r="X15">
        <v>-1930120489</v>
      </c>
      <c r="Y15">
        <v>8.9600000000000009</v>
      </c>
      <c r="AA15">
        <v>0</v>
      </c>
      <c r="AB15">
        <v>1261.8699999999999</v>
      </c>
      <c r="AC15">
        <v>530.02</v>
      </c>
      <c r="AD15">
        <v>0</v>
      </c>
      <c r="AE15">
        <v>0</v>
      </c>
      <c r="AF15">
        <v>1261.8699999999999</v>
      </c>
      <c r="AG15">
        <v>530.02</v>
      </c>
      <c r="AH15">
        <v>0</v>
      </c>
      <c r="AI15">
        <v>1</v>
      </c>
      <c r="AJ15">
        <v>1</v>
      </c>
      <c r="AK15">
        <v>1</v>
      </c>
      <c r="AL15">
        <v>1</v>
      </c>
      <c r="AN15">
        <v>0</v>
      </c>
      <c r="AO15">
        <v>1</v>
      </c>
      <c r="AP15">
        <v>0</v>
      </c>
      <c r="AQ15">
        <v>0</v>
      </c>
      <c r="AR15">
        <v>0</v>
      </c>
      <c r="AS15" t="s">
        <v>3</v>
      </c>
      <c r="AT15">
        <v>8.9600000000000009</v>
      </c>
      <c r="AU15" t="s">
        <v>3</v>
      </c>
      <c r="AV15">
        <v>0</v>
      </c>
      <c r="AW15">
        <v>2</v>
      </c>
      <c r="AX15">
        <v>50844394</v>
      </c>
      <c r="AY15">
        <v>1</v>
      </c>
      <c r="AZ15">
        <v>0</v>
      </c>
      <c r="BA15">
        <v>15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CX15">
        <f>Y15*Source!I37</f>
        <v>0.57344000000000006</v>
      </c>
      <c r="CY15">
        <f t="shared" si="4"/>
        <v>1261.8699999999999</v>
      </c>
      <c r="CZ15">
        <f t="shared" si="5"/>
        <v>1261.8699999999999</v>
      </c>
      <c r="DA15">
        <f t="shared" si="6"/>
        <v>1</v>
      </c>
      <c r="DB15">
        <f t="shared" si="2"/>
        <v>11306.36</v>
      </c>
      <c r="DC15">
        <f t="shared" si="3"/>
        <v>4748.9799999999996</v>
      </c>
    </row>
    <row r="16" spans="1:107" x14ac:dyDescent="0.25">
      <c r="A16">
        <f>ROW(Source!A37)</f>
        <v>37</v>
      </c>
      <c r="B16">
        <v>50844173</v>
      </c>
      <c r="C16">
        <v>50844381</v>
      </c>
      <c r="D16">
        <v>48884584</v>
      </c>
      <c r="E16">
        <v>1</v>
      </c>
      <c r="F16">
        <v>1</v>
      </c>
      <c r="G16">
        <v>27</v>
      </c>
      <c r="H16">
        <v>2</v>
      </c>
      <c r="I16" t="s">
        <v>204</v>
      </c>
      <c r="J16" t="s">
        <v>205</v>
      </c>
      <c r="K16" t="s">
        <v>206</v>
      </c>
      <c r="L16">
        <v>1368</v>
      </c>
      <c r="N16">
        <v>1011</v>
      </c>
      <c r="O16" t="s">
        <v>179</v>
      </c>
      <c r="P16" t="s">
        <v>179</v>
      </c>
      <c r="Q16">
        <v>1</v>
      </c>
      <c r="W16">
        <v>0</v>
      </c>
      <c r="X16">
        <v>1869206802</v>
      </c>
      <c r="Y16">
        <v>18.25</v>
      </c>
      <c r="AA16">
        <v>0</v>
      </c>
      <c r="AB16">
        <v>1827.95</v>
      </c>
      <c r="AC16">
        <v>720.55</v>
      </c>
      <c r="AD16">
        <v>0</v>
      </c>
      <c r="AE16">
        <v>0</v>
      </c>
      <c r="AF16">
        <v>1827.95</v>
      </c>
      <c r="AG16">
        <v>720.55</v>
      </c>
      <c r="AH16">
        <v>0</v>
      </c>
      <c r="AI16">
        <v>1</v>
      </c>
      <c r="AJ16">
        <v>1</v>
      </c>
      <c r="AK16">
        <v>1</v>
      </c>
      <c r="AL16">
        <v>1</v>
      </c>
      <c r="AN16">
        <v>0</v>
      </c>
      <c r="AO16">
        <v>1</v>
      </c>
      <c r="AP16">
        <v>0</v>
      </c>
      <c r="AQ16">
        <v>0</v>
      </c>
      <c r="AR16">
        <v>0</v>
      </c>
      <c r="AS16" t="s">
        <v>3</v>
      </c>
      <c r="AT16">
        <v>18.25</v>
      </c>
      <c r="AU16" t="s">
        <v>3</v>
      </c>
      <c r="AV16">
        <v>0</v>
      </c>
      <c r="AW16">
        <v>2</v>
      </c>
      <c r="AX16">
        <v>50844395</v>
      </c>
      <c r="AY16">
        <v>1</v>
      </c>
      <c r="AZ16">
        <v>0</v>
      </c>
      <c r="BA16">
        <v>16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CX16">
        <f>Y16*Source!I37</f>
        <v>1.1679999999999999</v>
      </c>
      <c r="CY16">
        <f t="shared" si="4"/>
        <v>1827.95</v>
      </c>
      <c r="CZ16">
        <f t="shared" si="5"/>
        <v>1827.95</v>
      </c>
      <c r="DA16">
        <f t="shared" si="6"/>
        <v>1</v>
      </c>
      <c r="DB16">
        <f t="shared" si="2"/>
        <v>33360.089999999997</v>
      </c>
      <c r="DC16">
        <f t="shared" si="3"/>
        <v>13150.04</v>
      </c>
    </row>
    <row r="17" spans="1:107" x14ac:dyDescent="0.25">
      <c r="A17">
        <f>ROW(Source!A37)</f>
        <v>37</v>
      </c>
      <c r="B17">
        <v>50844173</v>
      </c>
      <c r="C17">
        <v>50844381</v>
      </c>
      <c r="D17">
        <v>48884622</v>
      </c>
      <c r="E17">
        <v>1</v>
      </c>
      <c r="F17">
        <v>1</v>
      </c>
      <c r="G17">
        <v>27</v>
      </c>
      <c r="H17">
        <v>2</v>
      </c>
      <c r="I17" t="s">
        <v>183</v>
      </c>
      <c r="J17" t="s">
        <v>184</v>
      </c>
      <c r="K17" t="s">
        <v>185</v>
      </c>
      <c r="L17">
        <v>1368</v>
      </c>
      <c r="N17">
        <v>1011</v>
      </c>
      <c r="O17" t="s">
        <v>179</v>
      </c>
      <c r="P17" t="s">
        <v>179</v>
      </c>
      <c r="Q17">
        <v>1</v>
      </c>
      <c r="W17">
        <v>0</v>
      </c>
      <c r="X17">
        <v>41279402</v>
      </c>
      <c r="Y17">
        <v>2.2400000000000002</v>
      </c>
      <c r="AA17">
        <v>0</v>
      </c>
      <c r="AB17">
        <v>1412.71</v>
      </c>
      <c r="AC17">
        <v>641.32000000000005</v>
      </c>
      <c r="AD17">
        <v>0</v>
      </c>
      <c r="AE17">
        <v>0</v>
      </c>
      <c r="AF17">
        <v>1412.71</v>
      </c>
      <c r="AG17">
        <v>641.32000000000005</v>
      </c>
      <c r="AH17">
        <v>0</v>
      </c>
      <c r="AI17">
        <v>1</v>
      </c>
      <c r="AJ17">
        <v>1</v>
      </c>
      <c r="AK17">
        <v>1</v>
      </c>
      <c r="AL17">
        <v>1</v>
      </c>
      <c r="AN17">
        <v>0</v>
      </c>
      <c r="AO17">
        <v>1</v>
      </c>
      <c r="AP17">
        <v>0</v>
      </c>
      <c r="AQ17">
        <v>0</v>
      </c>
      <c r="AR17">
        <v>0</v>
      </c>
      <c r="AS17" t="s">
        <v>3</v>
      </c>
      <c r="AT17">
        <v>2.2400000000000002</v>
      </c>
      <c r="AU17" t="s">
        <v>3</v>
      </c>
      <c r="AV17">
        <v>0</v>
      </c>
      <c r="AW17">
        <v>2</v>
      </c>
      <c r="AX17">
        <v>50844396</v>
      </c>
      <c r="AY17">
        <v>1</v>
      </c>
      <c r="AZ17">
        <v>0</v>
      </c>
      <c r="BA17">
        <v>17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CX17">
        <f>Y17*Source!I37</f>
        <v>0.14336000000000002</v>
      </c>
      <c r="CY17">
        <f t="shared" si="4"/>
        <v>1412.71</v>
      </c>
      <c r="CZ17">
        <f t="shared" si="5"/>
        <v>1412.71</v>
      </c>
      <c r="DA17">
        <f t="shared" si="6"/>
        <v>1</v>
      </c>
      <c r="DB17">
        <f t="shared" si="2"/>
        <v>3164.47</v>
      </c>
      <c r="DC17">
        <f t="shared" si="3"/>
        <v>1436.56</v>
      </c>
    </row>
    <row r="18" spans="1:107" x14ac:dyDescent="0.25">
      <c r="A18">
        <f>ROW(Source!A37)</f>
        <v>37</v>
      </c>
      <c r="B18">
        <v>50844173</v>
      </c>
      <c r="C18">
        <v>50844381</v>
      </c>
      <c r="D18">
        <v>48884588</v>
      </c>
      <c r="E18">
        <v>1</v>
      </c>
      <c r="F18">
        <v>1</v>
      </c>
      <c r="G18">
        <v>27</v>
      </c>
      <c r="H18">
        <v>2</v>
      </c>
      <c r="I18" t="s">
        <v>207</v>
      </c>
      <c r="J18" t="s">
        <v>208</v>
      </c>
      <c r="K18" t="s">
        <v>209</v>
      </c>
      <c r="L18">
        <v>1368</v>
      </c>
      <c r="N18">
        <v>1011</v>
      </c>
      <c r="O18" t="s">
        <v>179</v>
      </c>
      <c r="P18" t="s">
        <v>179</v>
      </c>
      <c r="Q18">
        <v>1</v>
      </c>
      <c r="W18">
        <v>0</v>
      </c>
      <c r="X18">
        <v>-1991511797</v>
      </c>
      <c r="Y18">
        <v>0.65</v>
      </c>
      <c r="AA18">
        <v>0</v>
      </c>
      <c r="AB18">
        <v>1213.3399999999999</v>
      </c>
      <c r="AC18">
        <v>461.6</v>
      </c>
      <c r="AD18">
        <v>0</v>
      </c>
      <c r="AE18">
        <v>0</v>
      </c>
      <c r="AF18">
        <v>1213.3399999999999</v>
      </c>
      <c r="AG18">
        <v>461.6</v>
      </c>
      <c r="AH18">
        <v>0</v>
      </c>
      <c r="AI18">
        <v>1</v>
      </c>
      <c r="AJ18">
        <v>1</v>
      </c>
      <c r="AK18">
        <v>1</v>
      </c>
      <c r="AL18">
        <v>1</v>
      </c>
      <c r="AN18">
        <v>0</v>
      </c>
      <c r="AO18">
        <v>1</v>
      </c>
      <c r="AP18">
        <v>0</v>
      </c>
      <c r="AQ18">
        <v>0</v>
      </c>
      <c r="AR18">
        <v>0</v>
      </c>
      <c r="AS18" t="s">
        <v>3</v>
      </c>
      <c r="AT18">
        <v>0.65</v>
      </c>
      <c r="AU18" t="s">
        <v>3</v>
      </c>
      <c r="AV18">
        <v>0</v>
      </c>
      <c r="AW18">
        <v>2</v>
      </c>
      <c r="AX18">
        <v>50844397</v>
      </c>
      <c r="AY18">
        <v>1</v>
      </c>
      <c r="AZ18">
        <v>0</v>
      </c>
      <c r="BA18">
        <v>18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CX18">
        <f>Y18*Source!I37</f>
        <v>4.1600000000000005E-2</v>
      </c>
      <c r="CY18">
        <f t="shared" si="4"/>
        <v>1213.3399999999999</v>
      </c>
      <c r="CZ18">
        <f t="shared" si="5"/>
        <v>1213.3399999999999</v>
      </c>
      <c r="DA18">
        <f t="shared" si="6"/>
        <v>1</v>
      </c>
      <c r="DB18">
        <f t="shared" si="2"/>
        <v>788.67</v>
      </c>
      <c r="DC18">
        <f t="shared" si="3"/>
        <v>300.04000000000002</v>
      </c>
    </row>
    <row r="19" spans="1:107" x14ac:dyDescent="0.25">
      <c r="A19">
        <f>ROW(Source!A37)</f>
        <v>37</v>
      </c>
      <c r="B19">
        <v>50844173</v>
      </c>
      <c r="C19">
        <v>50844381</v>
      </c>
      <c r="D19">
        <v>48886576</v>
      </c>
      <c r="E19">
        <v>1</v>
      </c>
      <c r="F19">
        <v>1</v>
      </c>
      <c r="G19">
        <v>27</v>
      </c>
      <c r="H19">
        <v>3</v>
      </c>
      <c r="I19" t="s">
        <v>210</v>
      </c>
      <c r="J19" t="s">
        <v>211</v>
      </c>
      <c r="K19" t="s">
        <v>212</v>
      </c>
      <c r="L19">
        <v>1339</v>
      </c>
      <c r="N19">
        <v>1007</v>
      </c>
      <c r="O19" t="s">
        <v>84</v>
      </c>
      <c r="P19" t="s">
        <v>84</v>
      </c>
      <c r="Q19">
        <v>1</v>
      </c>
      <c r="W19">
        <v>0</v>
      </c>
      <c r="X19">
        <v>811973350</v>
      </c>
      <c r="Y19">
        <v>126</v>
      </c>
      <c r="AA19">
        <v>1763.75</v>
      </c>
      <c r="AB19">
        <v>0</v>
      </c>
      <c r="AC19">
        <v>0</v>
      </c>
      <c r="AD19">
        <v>0</v>
      </c>
      <c r="AE19">
        <v>1763.75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1</v>
      </c>
      <c r="AL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 t="s">
        <v>3</v>
      </c>
      <c r="AT19">
        <v>126</v>
      </c>
      <c r="AU19" t="s">
        <v>3</v>
      </c>
      <c r="AV19">
        <v>0</v>
      </c>
      <c r="AW19">
        <v>2</v>
      </c>
      <c r="AX19">
        <v>50844398</v>
      </c>
      <c r="AY19">
        <v>1</v>
      </c>
      <c r="AZ19">
        <v>0</v>
      </c>
      <c r="BA19">
        <v>19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CX19">
        <f>Y19*Source!I37</f>
        <v>8.0640000000000001</v>
      </c>
      <c r="CY19">
        <f>AA19</f>
        <v>1763.75</v>
      </c>
      <c r="CZ19">
        <f>AE19</f>
        <v>1763.75</v>
      </c>
      <c r="DA19">
        <f>AI19</f>
        <v>1</v>
      </c>
      <c r="DB19">
        <f t="shared" si="2"/>
        <v>222232.5</v>
      </c>
      <c r="DC19">
        <f t="shared" si="3"/>
        <v>0</v>
      </c>
    </row>
    <row r="20" spans="1:107" x14ac:dyDescent="0.25">
      <c r="A20">
        <f>ROW(Source!A37)</f>
        <v>37</v>
      </c>
      <c r="B20">
        <v>50844173</v>
      </c>
      <c r="C20">
        <v>50844381</v>
      </c>
      <c r="D20">
        <v>48887296</v>
      </c>
      <c r="E20">
        <v>1</v>
      </c>
      <c r="F20">
        <v>1</v>
      </c>
      <c r="G20">
        <v>27</v>
      </c>
      <c r="H20">
        <v>3</v>
      </c>
      <c r="I20" t="s">
        <v>213</v>
      </c>
      <c r="J20" t="s">
        <v>214</v>
      </c>
      <c r="K20" t="s">
        <v>215</v>
      </c>
      <c r="L20">
        <v>1339</v>
      </c>
      <c r="N20">
        <v>1007</v>
      </c>
      <c r="O20" t="s">
        <v>84</v>
      </c>
      <c r="P20" t="s">
        <v>84</v>
      </c>
      <c r="Q20">
        <v>1</v>
      </c>
      <c r="W20">
        <v>0</v>
      </c>
      <c r="X20">
        <v>2028445372</v>
      </c>
      <c r="Y20">
        <v>7</v>
      </c>
      <c r="AA20">
        <v>35.25</v>
      </c>
      <c r="AB20">
        <v>0</v>
      </c>
      <c r="AC20">
        <v>0</v>
      </c>
      <c r="AD20">
        <v>0</v>
      </c>
      <c r="AE20">
        <v>35.25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1</v>
      </c>
      <c r="AN20">
        <v>0</v>
      </c>
      <c r="AO20">
        <v>1</v>
      </c>
      <c r="AP20">
        <v>0</v>
      </c>
      <c r="AQ20">
        <v>0</v>
      </c>
      <c r="AR20">
        <v>0</v>
      </c>
      <c r="AS20" t="s">
        <v>3</v>
      </c>
      <c r="AT20">
        <v>7</v>
      </c>
      <c r="AU20" t="s">
        <v>3</v>
      </c>
      <c r="AV20">
        <v>0</v>
      </c>
      <c r="AW20">
        <v>2</v>
      </c>
      <c r="AX20">
        <v>50844399</v>
      </c>
      <c r="AY20">
        <v>1</v>
      </c>
      <c r="AZ20">
        <v>0</v>
      </c>
      <c r="BA20">
        <v>20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CX20">
        <f>Y20*Source!I37</f>
        <v>0.44800000000000001</v>
      </c>
      <c r="CY20">
        <f>AA20</f>
        <v>35.25</v>
      </c>
      <c r="CZ20">
        <f>AE20</f>
        <v>35.25</v>
      </c>
      <c r="DA20">
        <f>AI20</f>
        <v>1</v>
      </c>
      <c r="DB20">
        <f t="shared" si="2"/>
        <v>246.75</v>
      </c>
      <c r="DC20">
        <f t="shared" si="3"/>
        <v>0</v>
      </c>
    </row>
    <row r="21" spans="1:107" x14ac:dyDescent="0.25">
      <c r="A21">
        <f>ROW(Source!A38)</f>
        <v>38</v>
      </c>
      <c r="B21">
        <v>50844173</v>
      </c>
      <c r="C21">
        <v>50844400</v>
      </c>
      <c r="D21">
        <v>48872225</v>
      </c>
      <c r="E21">
        <v>27</v>
      </c>
      <c r="F21">
        <v>1</v>
      </c>
      <c r="G21">
        <v>27</v>
      </c>
      <c r="H21">
        <v>1</v>
      </c>
      <c r="I21" t="s">
        <v>173</v>
      </c>
      <c r="J21" t="s">
        <v>3</v>
      </c>
      <c r="K21" t="s">
        <v>174</v>
      </c>
      <c r="L21">
        <v>1191</v>
      </c>
      <c r="N21">
        <v>1013</v>
      </c>
      <c r="O21" t="s">
        <v>175</v>
      </c>
      <c r="P21" t="s">
        <v>175</v>
      </c>
      <c r="Q21">
        <v>1</v>
      </c>
      <c r="W21">
        <v>0</v>
      </c>
      <c r="X21">
        <v>476480486</v>
      </c>
      <c r="Y21">
        <v>10.3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1</v>
      </c>
      <c r="AN21">
        <v>0</v>
      </c>
      <c r="AO21">
        <v>1</v>
      </c>
      <c r="AP21">
        <v>0</v>
      </c>
      <c r="AQ21">
        <v>0</v>
      </c>
      <c r="AR21">
        <v>0</v>
      </c>
      <c r="AS21" t="s">
        <v>3</v>
      </c>
      <c r="AT21">
        <v>10.3</v>
      </c>
      <c r="AU21" t="s">
        <v>3</v>
      </c>
      <c r="AV21">
        <v>1</v>
      </c>
      <c r="AW21">
        <v>2</v>
      </c>
      <c r="AX21">
        <v>50844406</v>
      </c>
      <c r="AY21">
        <v>1</v>
      </c>
      <c r="AZ21">
        <v>0</v>
      </c>
      <c r="BA21">
        <v>21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CX21">
        <f>Y21*Source!I38</f>
        <v>32.96</v>
      </c>
      <c r="CY21">
        <f>AD21</f>
        <v>0</v>
      </c>
      <c r="CZ21">
        <f>AH21</f>
        <v>0</v>
      </c>
      <c r="DA21">
        <f>AL21</f>
        <v>1</v>
      </c>
      <c r="DB21">
        <f t="shared" si="2"/>
        <v>0</v>
      </c>
      <c r="DC21">
        <f t="shared" si="3"/>
        <v>0</v>
      </c>
    </row>
    <row r="22" spans="1:107" x14ac:dyDescent="0.25">
      <c r="A22">
        <f>ROW(Source!A38)</f>
        <v>38</v>
      </c>
      <c r="B22">
        <v>50844173</v>
      </c>
      <c r="C22">
        <v>50844400</v>
      </c>
      <c r="D22">
        <v>48884583</v>
      </c>
      <c r="E22">
        <v>1</v>
      </c>
      <c r="F22">
        <v>1</v>
      </c>
      <c r="G22">
        <v>27</v>
      </c>
      <c r="H22">
        <v>2</v>
      </c>
      <c r="I22" t="s">
        <v>201</v>
      </c>
      <c r="J22" t="s">
        <v>202</v>
      </c>
      <c r="K22" t="s">
        <v>203</v>
      </c>
      <c r="L22">
        <v>1368</v>
      </c>
      <c r="N22">
        <v>1011</v>
      </c>
      <c r="O22" t="s">
        <v>179</v>
      </c>
      <c r="P22" t="s">
        <v>179</v>
      </c>
      <c r="Q22">
        <v>1</v>
      </c>
      <c r="W22">
        <v>0</v>
      </c>
      <c r="X22">
        <v>-1930120489</v>
      </c>
      <c r="Y22">
        <v>0.89</v>
      </c>
      <c r="AA22">
        <v>0</v>
      </c>
      <c r="AB22">
        <v>1261.8699999999999</v>
      </c>
      <c r="AC22">
        <v>530.02</v>
      </c>
      <c r="AD22">
        <v>0</v>
      </c>
      <c r="AE22">
        <v>0</v>
      </c>
      <c r="AF22">
        <v>1261.8699999999999</v>
      </c>
      <c r="AG22">
        <v>530.02</v>
      </c>
      <c r="AH22">
        <v>0</v>
      </c>
      <c r="AI22">
        <v>1</v>
      </c>
      <c r="AJ22">
        <v>1</v>
      </c>
      <c r="AK22">
        <v>1</v>
      </c>
      <c r="AL22">
        <v>1</v>
      </c>
      <c r="AN22">
        <v>0</v>
      </c>
      <c r="AO22">
        <v>1</v>
      </c>
      <c r="AP22">
        <v>0</v>
      </c>
      <c r="AQ22">
        <v>0</v>
      </c>
      <c r="AR22">
        <v>0</v>
      </c>
      <c r="AS22" t="s">
        <v>3</v>
      </c>
      <c r="AT22">
        <v>0.89</v>
      </c>
      <c r="AU22" t="s">
        <v>3</v>
      </c>
      <c r="AV22">
        <v>0</v>
      </c>
      <c r="AW22">
        <v>2</v>
      </c>
      <c r="AX22">
        <v>50844407</v>
      </c>
      <c r="AY22">
        <v>1</v>
      </c>
      <c r="AZ22">
        <v>0</v>
      </c>
      <c r="BA22">
        <v>22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CX22">
        <f>Y22*Source!I38</f>
        <v>2.8480000000000003</v>
      </c>
      <c r="CY22">
        <f>AB22</f>
        <v>1261.8699999999999</v>
      </c>
      <c r="CZ22">
        <f>AF22</f>
        <v>1261.8699999999999</v>
      </c>
      <c r="DA22">
        <f>AJ22</f>
        <v>1</v>
      </c>
      <c r="DB22">
        <f t="shared" si="2"/>
        <v>1123.06</v>
      </c>
      <c r="DC22">
        <f t="shared" si="3"/>
        <v>471.72</v>
      </c>
    </row>
    <row r="23" spans="1:107" x14ac:dyDescent="0.25">
      <c r="A23">
        <f>ROW(Source!A38)</f>
        <v>38</v>
      </c>
      <c r="B23">
        <v>50844173</v>
      </c>
      <c r="C23">
        <v>50844400</v>
      </c>
      <c r="D23">
        <v>48885389</v>
      </c>
      <c r="E23">
        <v>1</v>
      </c>
      <c r="F23">
        <v>1</v>
      </c>
      <c r="G23">
        <v>27</v>
      </c>
      <c r="H23">
        <v>3</v>
      </c>
      <c r="I23" t="s">
        <v>216</v>
      </c>
      <c r="J23" t="s">
        <v>217</v>
      </c>
      <c r="K23" t="s">
        <v>218</v>
      </c>
      <c r="L23">
        <v>1348</v>
      </c>
      <c r="N23">
        <v>1009</v>
      </c>
      <c r="O23" t="s">
        <v>48</v>
      </c>
      <c r="P23" t="s">
        <v>48</v>
      </c>
      <c r="Q23">
        <v>1000</v>
      </c>
      <c r="W23">
        <v>0</v>
      </c>
      <c r="X23">
        <v>-298244648</v>
      </c>
      <c r="Y23">
        <v>0.06</v>
      </c>
      <c r="AA23">
        <v>25888.1</v>
      </c>
      <c r="AB23">
        <v>0</v>
      </c>
      <c r="AC23">
        <v>0</v>
      </c>
      <c r="AD23">
        <v>0</v>
      </c>
      <c r="AE23">
        <v>25888.1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N23">
        <v>0</v>
      </c>
      <c r="AO23">
        <v>1</v>
      </c>
      <c r="AP23">
        <v>0</v>
      </c>
      <c r="AQ23">
        <v>0</v>
      </c>
      <c r="AR23">
        <v>0</v>
      </c>
      <c r="AS23" t="s">
        <v>3</v>
      </c>
      <c r="AT23">
        <v>0.06</v>
      </c>
      <c r="AU23" t="s">
        <v>3</v>
      </c>
      <c r="AV23">
        <v>0</v>
      </c>
      <c r="AW23">
        <v>2</v>
      </c>
      <c r="AX23">
        <v>50844408</v>
      </c>
      <c r="AY23">
        <v>1</v>
      </c>
      <c r="AZ23">
        <v>0</v>
      </c>
      <c r="BA23">
        <v>23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CX23">
        <f>Y23*Source!I38</f>
        <v>0.192</v>
      </c>
      <c r="CY23">
        <f>AA23</f>
        <v>25888.1</v>
      </c>
      <c r="CZ23">
        <f>AE23</f>
        <v>25888.1</v>
      </c>
      <c r="DA23">
        <f>AI23</f>
        <v>1</v>
      </c>
      <c r="DB23">
        <f t="shared" si="2"/>
        <v>1553.29</v>
      </c>
      <c r="DC23">
        <f t="shared" si="3"/>
        <v>0</v>
      </c>
    </row>
    <row r="24" spans="1:107" x14ac:dyDescent="0.25">
      <c r="A24">
        <f>ROW(Source!A38)</f>
        <v>38</v>
      </c>
      <c r="B24">
        <v>50844173</v>
      </c>
      <c r="C24">
        <v>50844400</v>
      </c>
      <c r="D24">
        <v>48888494</v>
      </c>
      <c r="E24">
        <v>1</v>
      </c>
      <c r="F24">
        <v>1</v>
      </c>
      <c r="G24">
        <v>27</v>
      </c>
      <c r="H24">
        <v>3</v>
      </c>
      <c r="I24" t="s">
        <v>73</v>
      </c>
      <c r="J24" t="s">
        <v>75</v>
      </c>
      <c r="K24" t="s">
        <v>74</v>
      </c>
      <c r="L24">
        <v>1348</v>
      </c>
      <c r="N24">
        <v>1009</v>
      </c>
      <c r="O24" t="s">
        <v>48</v>
      </c>
      <c r="P24" t="s">
        <v>48</v>
      </c>
      <c r="Q24">
        <v>1000</v>
      </c>
      <c r="W24">
        <v>1</v>
      </c>
      <c r="X24">
        <v>-740831190</v>
      </c>
      <c r="Y24">
        <v>-7.14</v>
      </c>
      <c r="AA24">
        <v>2652.04</v>
      </c>
      <c r="AB24">
        <v>0</v>
      </c>
      <c r="AC24">
        <v>0</v>
      </c>
      <c r="AD24">
        <v>0</v>
      </c>
      <c r="AE24">
        <v>2652.04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1</v>
      </c>
      <c r="AN24">
        <v>0</v>
      </c>
      <c r="AO24">
        <v>1</v>
      </c>
      <c r="AP24">
        <v>0</v>
      </c>
      <c r="AQ24">
        <v>0</v>
      </c>
      <c r="AR24">
        <v>0</v>
      </c>
      <c r="AS24" t="s">
        <v>3</v>
      </c>
      <c r="AT24">
        <v>-7.14</v>
      </c>
      <c r="AU24" t="s">
        <v>3</v>
      </c>
      <c r="AV24">
        <v>0</v>
      </c>
      <c r="AW24">
        <v>2</v>
      </c>
      <c r="AX24">
        <v>50844409</v>
      </c>
      <c r="AY24">
        <v>1</v>
      </c>
      <c r="AZ24">
        <v>6144</v>
      </c>
      <c r="BA24">
        <v>24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CX24">
        <f>Y24*Source!I38</f>
        <v>-22.847999999999999</v>
      </c>
      <c r="CY24">
        <f>AA24</f>
        <v>2652.04</v>
      </c>
      <c r="CZ24">
        <f>AE24</f>
        <v>2652.04</v>
      </c>
      <c r="DA24">
        <f>AI24</f>
        <v>1</v>
      </c>
      <c r="DB24">
        <f t="shared" si="2"/>
        <v>-18935.57</v>
      </c>
      <c r="DC24">
        <f t="shared" si="3"/>
        <v>0</v>
      </c>
    </row>
    <row r="25" spans="1:107" x14ac:dyDescent="0.25">
      <c r="A25">
        <f>ROW(Source!A38)</f>
        <v>38</v>
      </c>
      <c r="B25">
        <v>50844173</v>
      </c>
      <c r="C25">
        <v>50844400</v>
      </c>
      <c r="D25">
        <v>48888494</v>
      </c>
      <c r="E25">
        <v>1</v>
      </c>
      <c r="F25">
        <v>1</v>
      </c>
      <c r="G25">
        <v>27</v>
      </c>
      <c r="H25">
        <v>3</v>
      </c>
      <c r="I25" t="s">
        <v>73</v>
      </c>
      <c r="J25" t="s">
        <v>75</v>
      </c>
      <c r="K25" t="s">
        <v>74</v>
      </c>
      <c r="L25">
        <v>1348</v>
      </c>
      <c r="N25">
        <v>1009</v>
      </c>
      <c r="O25" t="s">
        <v>48</v>
      </c>
      <c r="P25" t="s">
        <v>48</v>
      </c>
      <c r="Q25">
        <v>1000</v>
      </c>
      <c r="W25">
        <v>0</v>
      </c>
      <c r="X25">
        <v>-740831190</v>
      </c>
      <c r="Y25">
        <v>11.67</v>
      </c>
      <c r="AA25">
        <v>2652.04</v>
      </c>
      <c r="AB25">
        <v>0</v>
      </c>
      <c r="AC25">
        <v>0</v>
      </c>
      <c r="AD25">
        <v>0</v>
      </c>
      <c r="AE25">
        <v>2652.04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 t="s">
        <v>3</v>
      </c>
      <c r="AT25">
        <v>11.67</v>
      </c>
      <c r="AU25" t="s">
        <v>3</v>
      </c>
      <c r="AV25">
        <v>0</v>
      </c>
      <c r="AW25">
        <v>1</v>
      </c>
      <c r="AX25">
        <v>-1</v>
      </c>
      <c r="AY25">
        <v>0</v>
      </c>
      <c r="AZ25">
        <v>0</v>
      </c>
      <c r="BA25" t="s">
        <v>3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CX25">
        <f>Y25*Source!I38</f>
        <v>37.344000000000001</v>
      </c>
      <c r="CY25">
        <f>AA25</f>
        <v>2652.04</v>
      </c>
      <c r="CZ25">
        <f>AE25</f>
        <v>2652.04</v>
      </c>
      <c r="DA25">
        <f>AI25</f>
        <v>1</v>
      </c>
      <c r="DB25">
        <f t="shared" si="2"/>
        <v>30949.31</v>
      </c>
      <c r="DC25">
        <f t="shared" si="3"/>
        <v>0</v>
      </c>
    </row>
    <row r="26" spans="1:107" x14ac:dyDescent="0.25">
      <c r="A26">
        <f>ROW(Source!A41)</f>
        <v>41</v>
      </c>
      <c r="B26">
        <v>50844173</v>
      </c>
      <c r="C26">
        <v>50844712</v>
      </c>
      <c r="D26">
        <v>48872225</v>
      </c>
      <c r="E26">
        <v>27</v>
      </c>
      <c r="F26">
        <v>1</v>
      </c>
      <c r="G26">
        <v>27</v>
      </c>
      <c r="H26">
        <v>1</v>
      </c>
      <c r="I26" t="s">
        <v>173</v>
      </c>
      <c r="J26" t="s">
        <v>3</v>
      </c>
      <c r="K26" t="s">
        <v>174</v>
      </c>
      <c r="L26">
        <v>1191</v>
      </c>
      <c r="N26">
        <v>1013</v>
      </c>
      <c r="O26" t="s">
        <v>175</v>
      </c>
      <c r="P26" t="s">
        <v>175</v>
      </c>
      <c r="Q26">
        <v>1</v>
      </c>
      <c r="W26">
        <v>0</v>
      </c>
      <c r="X26">
        <v>476480486</v>
      </c>
      <c r="Y26">
        <v>80.27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1</v>
      </c>
      <c r="AN26">
        <v>0</v>
      </c>
      <c r="AO26">
        <v>1</v>
      </c>
      <c r="AP26">
        <v>0</v>
      </c>
      <c r="AQ26">
        <v>0</v>
      </c>
      <c r="AR26">
        <v>0</v>
      </c>
      <c r="AS26" t="s">
        <v>3</v>
      </c>
      <c r="AT26">
        <v>80.27</v>
      </c>
      <c r="AU26" t="s">
        <v>3</v>
      </c>
      <c r="AV26">
        <v>1</v>
      </c>
      <c r="AW26">
        <v>2</v>
      </c>
      <c r="AX26">
        <v>50844718</v>
      </c>
      <c r="AY26">
        <v>1</v>
      </c>
      <c r="AZ26">
        <v>0</v>
      </c>
      <c r="BA26">
        <v>25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CX26">
        <f>Y26*Source!I41</f>
        <v>260.07479999999998</v>
      </c>
      <c r="CY26">
        <f>AD26</f>
        <v>0</v>
      </c>
      <c r="CZ26">
        <f>AH26</f>
        <v>0</v>
      </c>
      <c r="DA26">
        <f>AL26</f>
        <v>1</v>
      </c>
      <c r="DB26">
        <f t="shared" si="2"/>
        <v>0</v>
      </c>
      <c r="DC26">
        <f t="shared" si="3"/>
        <v>0</v>
      </c>
    </row>
    <row r="27" spans="1:107" x14ac:dyDescent="0.25">
      <c r="A27">
        <f>ROW(Source!A41)</f>
        <v>41</v>
      </c>
      <c r="B27">
        <v>50844173</v>
      </c>
      <c r="C27">
        <v>50844712</v>
      </c>
      <c r="D27">
        <v>48888265</v>
      </c>
      <c r="E27">
        <v>1</v>
      </c>
      <c r="F27">
        <v>1</v>
      </c>
      <c r="G27">
        <v>27</v>
      </c>
      <c r="H27">
        <v>3</v>
      </c>
      <c r="I27" t="s">
        <v>219</v>
      </c>
      <c r="J27" t="s">
        <v>220</v>
      </c>
      <c r="K27" t="s">
        <v>221</v>
      </c>
      <c r="L27">
        <v>1339</v>
      </c>
      <c r="N27">
        <v>1007</v>
      </c>
      <c r="O27" t="s">
        <v>84</v>
      </c>
      <c r="P27" t="s">
        <v>84</v>
      </c>
      <c r="Q27">
        <v>1</v>
      </c>
      <c r="W27">
        <v>0</v>
      </c>
      <c r="X27">
        <v>1124626699</v>
      </c>
      <c r="Y27">
        <v>5.9</v>
      </c>
      <c r="AA27">
        <v>3714.73</v>
      </c>
      <c r="AB27">
        <v>0</v>
      </c>
      <c r="AC27">
        <v>0</v>
      </c>
      <c r="AD27">
        <v>0</v>
      </c>
      <c r="AE27">
        <v>3714.73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1</v>
      </c>
      <c r="AL27">
        <v>1</v>
      </c>
      <c r="AN27">
        <v>0</v>
      </c>
      <c r="AO27">
        <v>1</v>
      </c>
      <c r="AP27">
        <v>0</v>
      </c>
      <c r="AQ27">
        <v>0</v>
      </c>
      <c r="AR27">
        <v>0</v>
      </c>
      <c r="AS27" t="s">
        <v>3</v>
      </c>
      <c r="AT27">
        <v>5.9</v>
      </c>
      <c r="AU27" t="s">
        <v>3</v>
      </c>
      <c r="AV27">
        <v>0</v>
      </c>
      <c r="AW27">
        <v>2</v>
      </c>
      <c r="AX27">
        <v>50844719</v>
      </c>
      <c r="AY27">
        <v>1</v>
      </c>
      <c r="AZ27">
        <v>0</v>
      </c>
      <c r="BA27">
        <v>26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CX27">
        <f>Y27*Source!I41</f>
        <v>19.116000000000003</v>
      </c>
      <c r="CY27">
        <f>AA27</f>
        <v>3714.73</v>
      </c>
      <c r="CZ27">
        <f>AE27</f>
        <v>3714.73</v>
      </c>
      <c r="DA27">
        <f>AI27</f>
        <v>1</v>
      </c>
      <c r="DB27">
        <f t="shared" si="2"/>
        <v>21916.91</v>
      </c>
      <c r="DC27">
        <f t="shared" si="3"/>
        <v>0</v>
      </c>
    </row>
    <row r="28" spans="1:107" x14ac:dyDescent="0.25">
      <c r="A28">
        <f>ROW(Source!A41)</f>
        <v>41</v>
      </c>
      <c r="B28">
        <v>50844173</v>
      </c>
      <c r="C28">
        <v>50844712</v>
      </c>
      <c r="D28">
        <v>48888341</v>
      </c>
      <c r="E28">
        <v>1</v>
      </c>
      <c r="F28">
        <v>1</v>
      </c>
      <c r="G28">
        <v>27</v>
      </c>
      <c r="H28">
        <v>3</v>
      </c>
      <c r="I28" t="s">
        <v>222</v>
      </c>
      <c r="J28" t="s">
        <v>223</v>
      </c>
      <c r="K28" t="s">
        <v>224</v>
      </c>
      <c r="L28">
        <v>1339</v>
      </c>
      <c r="N28">
        <v>1007</v>
      </c>
      <c r="O28" t="s">
        <v>84</v>
      </c>
      <c r="P28" t="s">
        <v>84</v>
      </c>
      <c r="Q28">
        <v>1</v>
      </c>
      <c r="W28">
        <v>0</v>
      </c>
      <c r="X28">
        <v>1443142194</v>
      </c>
      <c r="Y28">
        <v>0.06</v>
      </c>
      <c r="AA28">
        <v>3392.59</v>
      </c>
      <c r="AB28">
        <v>0</v>
      </c>
      <c r="AC28">
        <v>0</v>
      </c>
      <c r="AD28">
        <v>0</v>
      </c>
      <c r="AE28">
        <v>3392.59</v>
      </c>
      <c r="AF28">
        <v>0</v>
      </c>
      <c r="AG28">
        <v>0</v>
      </c>
      <c r="AH28">
        <v>0</v>
      </c>
      <c r="AI28">
        <v>1</v>
      </c>
      <c r="AJ28">
        <v>1</v>
      </c>
      <c r="AK28">
        <v>1</v>
      </c>
      <c r="AL28">
        <v>1</v>
      </c>
      <c r="AN28">
        <v>0</v>
      </c>
      <c r="AO28">
        <v>1</v>
      </c>
      <c r="AP28">
        <v>0</v>
      </c>
      <c r="AQ28">
        <v>0</v>
      </c>
      <c r="AR28">
        <v>0</v>
      </c>
      <c r="AS28" t="s">
        <v>3</v>
      </c>
      <c r="AT28">
        <v>0.06</v>
      </c>
      <c r="AU28" t="s">
        <v>3</v>
      </c>
      <c r="AV28">
        <v>0</v>
      </c>
      <c r="AW28">
        <v>2</v>
      </c>
      <c r="AX28">
        <v>50844720</v>
      </c>
      <c r="AY28">
        <v>1</v>
      </c>
      <c r="AZ28">
        <v>0</v>
      </c>
      <c r="BA28">
        <v>27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CX28">
        <f>Y28*Source!I41</f>
        <v>0.19440000000000002</v>
      </c>
      <c r="CY28">
        <f>AA28</f>
        <v>3392.59</v>
      </c>
      <c r="CZ28">
        <f>AE28</f>
        <v>3392.59</v>
      </c>
      <c r="DA28">
        <f>AI28</f>
        <v>1</v>
      </c>
      <c r="DB28">
        <f t="shared" si="2"/>
        <v>203.56</v>
      </c>
      <c r="DC28">
        <f t="shared" si="3"/>
        <v>0</v>
      </c>
    </row>
    <row r="29" spans="1:107" x14ac:dyDescent="0.25">
      <c r="A29">
        <f>ROW(Source!A41)</f>
        <v>41</v>
      </c>
      <c r="B29">
        <v>50844173</v>
      </c>
      <c r="C29">
        <v>50844712</v>
      </c>
      <c r="D29">
        <v>48889079</v>
      </c>
      <c r="E29">
        <v>1</v>
      </c>
      <c r="F29">
        <v>1</v>
      </c>
      <c r="G29">
        <v>27</v>
      </c>
      <c r="H29">
        <v>3</v>
      </c>
      <c r="I29" t="s">
        <v>82</v>
      </c>
      <c r="J29" t="s">
        <v>85</v>
      </c>
      <c r="K29" t="s">
        <v>83</v>
      </c>
      <c r="L29">
        <v>1339</v>
      </c>
      <c r="N29">
        <v>1007</v>
      </c>
      <c r="O29" t="s">
        <v>84</v>
      </c>
      <c r="P29" t="s">
        <v>84</v>
      </c>
      <c r="Q29">
        <v>1</v>
      </c>
      <c r="W29">
        <v>1</v>
      </c>
      <c r="X29">
        <v>-503481226</v>
      </c>
      <c r="Y29">
        <v>-4.3</v>
      </c>
      <c r="AA29">
        <v>7833.01</v>
      </c>
      <c r="AB29">
        <v>0</v>
      </c>
      <c r="AC29">
        <v>0</v>
      </c>
      <c r="AD29">
        <v>0</v>
      </c>
      <c r="AE29">
        <v>7833.01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N29">
        <v>0</v>
      </c>
      <c r="AO29">
        <v>1</v>
      </c>
      <c r="AP29">
        <v>0</v>
      </c>
      <c r="AQ29">
        <v>0</v>
      </c>
      <c r="AR29">
        <v>0</v>
      </c>
      <c r="AS29" t="s">
        <v>3</v>
      </c>
      <c r="AT29">
        <v>-4.3</v>
      </c>
      <c r="AU29" t="s">
        <v>3</v>
      </c>
      <c r="AV29">
        <v>0</v>
      </c>
      <c r="AW29">
        <v>2</v>
      </c>
      <c r="AX29">
        <v>50844721</v>
      </c>
      <c r="AY29">
        <v>1</v>
      </c>
      <c r="AZ29">
        <v>6144</v>
      </c>
      <c r="BA29">
        <v>28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CX29">
        <f>Y29*Source!I41</f>
        <v>-13.932</v>
      </c>
      <c r="CY29">
        <f>AA29</f>
        <v>7833.01</v>
      </c>
      <c r="CZ29">
        <f>AE29</f>
        <v>7833.01</v>
      </c>
      <c r="DA29">
        <f>AI29</f>
        <v>1</v>
      </c>
      <c r="DB29">
        <f t="shared" si="2"/>
        <v>-33681.94</v>
      </c>
      <c r="DC29">
        <f t="shared" si="3"/>
        <v>0</v>
      </c>
    </row>
    <row r="30" spans="1:107" x14ac:dyDescent="0.25">
      <c r="A30">
        <f>ROW(Source!A41)</f>
        <v>41</v>
      </c>
      <c r="B30">
        <v>50844173</v>
      </c>
      <c r="C30">
        <v>50844712</v>
      </c>
      <c r="D30">
        <v>0</v>
      </c>
      <c r="E30">
        <v>27</v>
      </c>
      <c r="F30">
        <v>1</v>
      </c>
      <c r="G30">
        <v>27</v>
      </c>
      <c r="H30">
        <v>3</v>
      </c>
      <c r="I30" t="s">
        <v>87</v>
      </c>
      <c r="J30" t="s">
        <v>3</v>
      </c>
      <c r="K30" t="s">
        <v>88</v>
      </c>
      <c r="L30">
        <v>1301</v>
      </c>
      <c r="N30">
        <v>1003</v>
      </c>
      <c r="O30" t="s">
        <v>89</v>
      </c>
      <c r="P30" t="s">
        <v>89</v>
      </c>
      <c r="Q30">
        <v>1</v>
      </c>
      <c r="W30">
        <v>0</v>
      </c>
      <c r="X30">
        <v>432596619</v>
      </c>
      <c r="Y30">
        <v>100</v>
      </c>
      <c r="AA30">
        <v>372.6</v>
      </c>
      <c r="AB30">
        <v>0</v>
      </c>
      <c r="AC30">
        <v>0</v>
      </c>
      <c r="AD30">
        <v>0</v>
      </c>
      <c r="AE30">
        <v>372.6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1</v>
      </c>
      <c r="AL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 t="s">
        <v>3</v>
      </c>
      <c r="AT30">
        <v>100</v>
      </c>
      <c r="AU30" t="s">
        <v>3</v>
      </c>
      <c r="AV30">
        <v>0</v>
      </c>
      <c r="AW30">
        <v>1</v>
      </c>
      <c r="AX30">
        <v>-1</v>
      </c>
      <c r="AY30">
        <v>0</v>
      </c>
      <c r="AZ30">
        <v>0</v>
      </c>
      <c r="BA30" t="s">
        <v>3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CX30">
        <f>Y30*Source!I41</f>
        <v>324</v>
      </c>
      <c r="CY30">
        <f>AA30</f>
        <v>372.6</v>
      </c>
      <c r="CZ30">
        <f>AE30</f>
        <v>372.6</v>
      </c>
      <c r="DA30">
        <f>AI30</f>
        <v>1</v>
      </c>
      <c r="DB30">
        <f t="shared" si="2"/>
        <v>37260</v>
      </c>
      <c r="DC30">
        <f t="shared" si="3"/>
        <v>0</v>
      </c>
    </row>
    <row r="31" spans="1:107" x14ac:dyDescent="0.25">
      <c r="A31">
        <f>ROW(Source!A88)</f>
        <v>88</v>
      </c>
      <c r="B31">
        <v>50844173</v>
      </c>
      <c r="C31">
        <v>50844424</v>
      </c>
      <c r="D31">
        <v>48872225</v>
      </c>
      <c r="E31">
        <v>27</v>
      </c>
      <c r="F31">
        <v>1</v>
      </c>
      <c r="G31">
        <v>27</v>
      </c>
      <c r="H31">
        <v>1</v>
      </c>
      <c r="I31" t="s">
        <v>173</v>
      </c>
      <c r="J31" t="s">
        <v>3</v>
      </c>
      <c r="K31" t="s">
        <v>174</v>
      </c>
      <c r="L31">
        <v>1191</v>
      </c>
      <c r="N31">
        <v>1013</v>
      </c>
      <c r="O31" t="s">
        <v>175</v>
      </c>
      <c r="P31" t="s">
        <v>175</v>
      </c>
      <c r="Q31">
        <v>1</v>
      </c>
      <c r="W31">
        <v>0</v>
      </c>
      <c r="X31">
        <v>476480486</v>
      </c>
      <c r="Y31">
        <v>30.8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1</v>
      </c>
      <c r="AK31">
        <v>1</v>
      </c>
      <c r="AL31">
        <v>1</v>
      </c>
      <c r="AN31">
        <v>0</v>
      </c>
      <c r="AO31">
        <v>1</v>
      </c>
      <c r="AP31">
        <v>0</v>
      </c>
      <c r="AQ31">
        <v>0</v>
      </c>
      <c r="AR31">
        <v>0</v>
      </c>
      <c r="AS31" t="s">
        <v>3</v>
      </c>
      <c r="AT31">
        <v>30.8</v>
      </c>
      <c r="AU31" t="s">
        <v>3</v>
      </c>
      <c r="AV31">
        <v>1</v>
      </c>
      <c r="AW31">
        <v>2</v>
      </c>
      <c r="AX31">
        <v>50844429</v>
      </c>
      <c r="AY31">
        <v>1</v>
      </c>
      <c r="AZ31">
        <v>0</v>
      </c>
      <c r="BA31">
        <v>29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CX31">
        <f>Y31*Source!I88</f>
        <v>93.514228500000002</v>
      </c>
      <c r="CY31">
        <f>AD31</f>
        <v>0</v>
      </c>
      <c r="CZ31">
        <f>AH31</f>
        <v>0</v>
      </c>
      <c r="DA31">
        <f>AL31</f>
        <v>1</v>
      </c>
      <c r="DB31">
        <f t="shared" si="2"/>
        <v>0</v>
      </c>
      <c r="DC31">
        <f t="shared" si="3"/>
        <v>0</v>
      </c>
    </row>
    <row r="32" spans="1:107" x14ac:dyDescent="0.25">
      <c r="A32">
        <f>ROW(Source!A88)</f>
        <v>88</v>
      </c>
      <c r="B32">
        <v>50844173</v>
      </c>
      <c r="C32">
        <v>50844424</v>
      </c>
      <c r="D32">
        <v>48884996</v>
      </c>
      <c r="E32">
        <v>1</v>
      </c>
      <c r="F32">
        <v>1</v>
      </c>
      <c r="G32">
        <v>27</v>
      </c>
      <c r="H32">
        <v>2</v>
      </c>
      <c r="I32" t="s">
        <v>225</v>
      </c>
      <c r="J32" t="s">
        <v>226</v>
      </c>
      <c r="K32" t="s">
        <v>227</v>
      </c>
      <c r="L32">
        <v>1368</v>
      </c>
      <c r="N32">
        <v>1011</v>
      </c>
      <c r="O32" t="s">
        <v>179</v>
      </c>
      <c r="P32" t="s">
        <v>179</v>
      </c>
      <c r="Q32">
        <v>1</v>
      </c>
      <c r="W32">
        <v>0</v>
      </c>
      <c r="X32">
        <v>526885268</v>
      </c>
      <c r="Y32">
        <v>0.06</v>
      </c>
      <c r="AA32">
        <v>0</v>
      </c>
      <c r="AB32">
        <v>20.7</v>
      </c>
      <c r="AC32">
        <v>9.74</v>
      </c>
      <c r="AD32">
        <v>0</v>
      </c>
      <c r="AE32">
        <v>0</v>
      </c>
      <c r="AF32">
        <v>20.7</v>
      </c>
      <c r="AG32">
        <v>9.74</v>
      </c>
      <c r="AH32">
        <v>0</v>
      </c>
      <c r="AI32">
        <v>1</v>
      </c>
      <c r="AJ32">
        <v>1</v>
      </c>
      <c r="AK32">
        <v>1</v>
      </c>
      <c r="AL32">
        <v>1</v>
      </c>
      <c r="AN32">
        <v>0</v>
      </c>
      <c r="AO32">
        <v>1</v>
      </c>
      <c r="AP32">
        <v>0</v>
      </c>
      <c r="AQ32">
        <v>0</v>
      </c>
      <c r="AR32">
        <v>0</v>
      </c>
      <c r="AS32" t="s">
        <v>3</v>
      </c>
      <c r="AT32">
        <v>0.06</v>
      </c>
      <c r="AU32" t="s">
        <v>3</v>
      </c>
      <c r="AV32">
        <v>0</v>
      </c>
      <c r="AW32">
        <v>2</v>
      </c>
      <c r="AX32">
        <v>50844430</v>
      </c>
      <c r="AY32">
        <v>1</v>
      </c>
      <c r="AZ32">
        <v>0</v>
      </c>
      <c r="BA32">
        <v>30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CX32">
        <f>Y32*Source!I88</f>
        <v>0.182170575</v>
      </c>
      <c r="CY32">
        <f>AB32</f>
        <v>20.7</v>
      </c>
      <c r="CZ32">
        <f>AF32</f>
        <v>20.7</v>
      </c>
      <c r="DA32">
        <f>AJ32</f>
        <v>1</v>
      </c>
      <c r="DB32">
        <f t="shared" si="2"/>
        <v>1.24</v>
      </c>
      <c r="DC32">
        <f t="shared" si="3"/>
        <v>0.57999999999999996</v>
      </c>
    </row>
    <row r="33" spans="1:107" x14ac:dyDescent="0.25">
      <c r="A33">
        <f>ROW(Source!A88)</f>
        <v>88</v>
      </c>
      <c r="B33">
        <v>50844173</v>
      </c>
      <c r="C33">
        <v>50844424</v>
      </c>
      <c r="D33">
        <v>48884446</v>
      </c>
      <c r="E33">
        <v>1</v>
      </c>
      <c r="F33">
        <v>1</v>
      </c>
      <c r="G33">
        <v>27</v>
      </c>
      <c r="H33">
        <v>2</v>
      </c>
      <c r="I33" t="s">
        <v>228</v>
      </c>
      <c r="J33" t="s">
        <v>229</v>
      </c>
      <c r="K33" t="s">
        <v>230</v>
      </c>
      <c r="L33">
        <v>1368</v>
      </c>
      <c r="N33">
        <v>1011</v>
      </c>
      <c r="O33" t="s">
        <v>179</v>
      </c>
      <c r="P33" t="s">
        <v>179</v>
      </c>
      <c r="Q33">
        <v>1</v>
      </c>
      <c r="W33">
        <v>0</v>
      </c>
      <c r="X33">
        <v>277467460</v>
      </c>
      <c r="Y33">
        <v>0.06</v>
      </c>
      <c r="AA33">
        <v>0</v>
      </c>
      <c r="AB33">
        <v>991.89</v>
      </c>
      <c r="AC33">
        <v>360.79</v>
      </c>
      <c r="AD33">
        <v>0</v>
      </c>
      <c r="AE33">
        <v>0</v>
      </c>
      <c r="AF33">
        <v>991.89</v>
      </c>
      <c r="AG33">
        <v>360.79</v>
      </c>
      <c r="AH33">
        <v>0</v>
      </c>
      <c r="AI33">
        <v>1</v>
      </c>
      <c r="AJ33">
        <v>1</v>
      </c>
      <c r="AK33">
        <v>1</v>
      </c>
      <c r="AL33">
        <v>1</v>
      </c>
      <c r="AN33">
        <v>0</v>
      </c>
      <c r="AO33">
        <v>1</v>
      </c>
      <c r="AP33">
        <v>0</v>
      </c>
      <c r="AQ33">
        <v>0</v>
      </c>
      <c r="AR33">
        <v>0</v>
      </c>
      <c r="AS33" t="s">
        <v>3</v>
      </c>
      <c r="AT33">
        <v>0.06</v>
      </c>
      <c r="AU33" t="s">
        <v>3</v>
      </c>
      <c r="AV33">
        <v>0</v>
      </c>
      <c r="AW33">
        <v>2</v>
      </c>
      <c r="AX33">
        <v>50844431</v>
      </c>
      <c r="AY33">
        <v>1</v>
      </c>
      <c r="AZ33">
        <v>0</v>
      </c>
      <c r="BA33">
        <v>31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CX33">
        <f>Y33*Source!I88</f>
        <v>0.182170575</v>
      </c>
      <c r="CY33">
        <f>AB33</f>
        <v>991.89</v>
      </c>
      <c r="CZ33">
        <f>AF33</f>
        <v>991.89</v>
      </c>
      <c r="DA33">
        <f>AJ33</f>
        <v>1</v>
      </c>
      <c r="DB33">
        <f t="shared" si="2"/>
        <v>59.51</v>
      </c>
      <c r="DC33">
        <f t="shared" si="3"/>
        <v>21.65</v>
      </c>
    </row>
    <row r="34" spans="1:107" x14ac:dyDescent="0.25">
      <c r="A34">
        <f>ROW(Source!A88)</f>
        <v>88</v>
      </c>
      <c r="B34">
        <v>50844173</v>
      </c>
      <c r="C34">
        <v>50844424</v>
      </c>
      <c r="D34">
        <v>48889025</v>
      </c>
      <c r="E34">
        <v>1</v>
      </c>
      <c r="F34">
        <v>1</v>
      </c>
      <c r="G34">
        <v>27</v>
      </c>
      <c r="H34">
        <v>3</v>
      </c>
      <c r="I34" t="s">
        <v>231</v>
      </c>
      <c r="J34" t="s">
        <v>232</v>
      </c>
      <c r="K34" t="s">
        <v>233</v>
      </c>
      <c r="L34">
        <v>1339</v>
      </c>
      <c r="N34">
        <v>1007</v>
      </c>
      <c r="O34" t="s">
        <v>84</v>
      </c>
      <c r="P34" t="s">
        <v>84</v>
      </c>
      <c r="Q34">
        <v>1</v>
      </c>
      <c r="W34">
        <v>0</v>
      </c>
      <c r="X34">
        <v>-1277312656</v>
      </c>
      <c r="Y34">
        <v>15</v>
      </c>
      <c r="AA34">
        <v>753.67</v>
      </c>
      <c r="AB34">
        <v>0</v>
      </c>
      <c r="AC34">
        <v>0</v>
      </c>
      <c r="AD34">
        <v>0</v>
      </c>
      <c r="AE34">
        <v>753.67</v>
      </c>
      <c r="AF34">
        <v>0</v>
      </c>
      <c r="AG34">
        <v>0</v>
      </c>
      <c r="AH34">
        <v>0</v>
      </c>
      <c r="AI34">
        <v>1</v>
      </c>
      <c r="AJ34">
        <v>1</v>
      </c>
      <c r="AK34">
        <v>1</v>
      </c>
      <c r="AL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 t="s">
        <v>3</v>
      </c>
      <c r="AT34">
        <v>15</v>
      </c>
      <c r="AU34" t="s">
        <v>3</v>
      </c>
      <c r="AV34">
        <v>0</v>
      </c>
      <c r="AW34">
        <v>2</v>
      </c>
      <c r="AX34">
        <v>50844432</v>
      </c>
      <c r="AY34">
        <v>1</v>
      </c>
      <c r="AZ34">
        <v>0</v>
      </c>
      <c r="BA34">
        <v>32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CX34">
        <f>Y34*Source!I88</f>
        <v>45.542643750000003</v>
      </c>
      <c r="CY34">
        <f>AA34</f>
        <v>753.67</v>
      </c>
      <c r="CZ34">
        <f>AE34</f>
        <v>753.67</v>
      </c>
      <c r="DA34">
        <f>AI34</f>
        <v>1</v>
      </c>
      <c r="DB34">
        <f t="shared" si="2"/>
        <v>11305.05</v>
      </c>
      <c r="DC34">
        <f t="shared" si="3"/>
        <v>0</v>
      </c>
    </row>
    <row r="35" spans="1:107" x14ac:dyDescent="0.25">
      <c r="A35">
        <f>ROW(Source!A89)</f>
        <v>89</v>
      </c>
      <c r="B35">
        <v>50844173</v>
      </c>
      <c r="C35">
        <v>50844433</v>
      </c>
      <c r="D35">
        <v>48872225</v>
      </c>
      <c r="E35">
        <v>27</v>
      </c>
      <c r="F35">
        <v>1</v>
      </c>
      <c r="G35">
        <v>27</v>
      </c>
      <c r="H35">
        <v>1</v>
      </c>
      <c r="I35" t="s">
        <v>173</v>
      </c>
      <c r="J35" t="s">
        <v>3</v>
      </c>
      <c r="K35" t="s">
        <v>174</v>
      </c>
      <c r="L35">
        <v>1191</v>
      </c>
      <c r="N35">
        <v>1013</v>
      </c>
      <c r="O35" t="s">
        <v>175</v>
      </c>
      <c r="P35" t="s">
        <v>175</v>
      </c>
      <c r="Q35">
        <v>1</v>
      </c>
      <c r="W35">
        <v>0</v>
      </c>
      <c r="X35">
        <v>476480486</v>
      </c>
      <c r="Y35">
        <v>46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N35">
        <v>0</v>
      </c>
      <c r="AO35">
        <v>1</v>
      </c>
      <c r="AP35">
        <v>0</v>
      </c>
      <c r="AQ35">
        <v>0</v>
      </c>
      <c r="AR35">
        <v>0</v>
      </c>
      <c r="AS35" t="s">
        <v>3</v>
      </c>
      <c r="AT35">
        <v>46</v>
      </c>
      <c r="AU35" t="s">
        <v>3</v>
      </c>
      <c r="AV35">
        <v>1</v>
      </c>
      <c r="AW35">
        <v>2</v>
      </c>
      <c r="AX35">
        <v>50844436</v>
      </c>
      <c r="AY35">
        <v>1</v>
      </c>
      <c r="AZ35">
        <v>0</v>
      </c>
      <c r="BA35">
        <v>33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CX35">
        <f>Y35*Source!I89</f>
        <v>46.554702499999998</v>
      </c>
      <c r="CY35">
        <f>AD35</f>
        <v>0</v>
      </c>
      <c r="CZ35">
        <f>AH35</f>
        <v>0</v>
      </c>
      <c r="DA35">
        <f>AL35</f>
        <v>1</v>
      </c>
      <c r="DB35">
        <f t="shared" si="2"/>
        <v>0</v>
      </c>
      <c r="DC35">
        <f t="shared" si="3"/>
        <v>0</v>
      </c>
    </row>
    <row r="36" spans="1:107" x14ac:dyDescent="0.25">
      <c r="A36">
        <f>ROW(Source!A89)</f>
        <v>89</v>
      </c>
      <c r="B36">
        <v>50844173</v>
      </c>
      <c r="C36">
        <v>50844433</v>
      </c>
      <c r="D36">
        <v>48889025</v>
      </c>
      <c r="E36">
        <v>1</v>
      </c>
      <c r="F36">
        <v>1</v>
      </c>
      <c r="G36">
        <v>27</v>
      </c>
      <c r="H36">
        <v>3</v>
      </c>
      <c r="I36" t="s">
        <v>231</v>
      </c>
      <c r="J36" t="s">
        <v>232</v>
      </c>
      <c r="K36" t="s">
        <v>233</v>
      </c>
      <c r="L36">
        <v>1339</v>
      </c>
      <c r="N36">
        <v>1007</v>
      </c>
      <c r="O36" t="s">
        <v>84</v>
      </c>
      <c r="P36" t="s">
        <v>84</v>
      </c>
      <c r="Q36">
        <v>1</v>
      </c>
      <c r="W36">
        <v>0</v>
      </c>
      <c r="X36">
        <v>-1277312656</v>
      </c>
      <c r="Y36">
        <v>15</v>
      </c>
      <c r="AA36">
        <v>753.67</v>
      </c>
      <c r="AB36">
        <v>0</v>
      </c>
      <c r="AC36">
        <v>0</v>
      </c>
      <c r="AD36">
        <v>0</v>
      </c>
      <c r="AE36">
        <v>753.67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1</v>
      </c>
      <c r="AL36">
        <v>1</v>
      </c>
      <c r="AN36">
        <v>0</v>
      </c>
      <c r="AO36">
        <v>1</v>
      </c>
      <c r="AP36">
        <v>0</v>
      </c>
      <c r="AQ36">
        <v>0</v>
      </c>
      <c r="AR36">
        <v>0</v>
      </c>
      <c r="AS36" t="s">
        <v>3</v>
      </c>
      <c r="AT36">
        <v>15</v>
      </c>
      <c r="AU36" t="s">
        <v>3</v>
      </c>
      <c r="AV36">
        <v>0</v>
      </c>
      <c r="AW36">
        <v>2</v>
      </c>
      <c r="AX36">
        <v>50844437</v>
      </c>
      <c r="AY36">
        <v>1</v>
      </c>
      <c r="AZ36">
        <v>0</v>
      </c>
      <c r="BA36">
        <v>34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CX36">
        <f>Y36*Source!I89</f>
        <v>15.180881250000001</v>
      </c>
      <c r="CY36">
        <f>AA36</f>
        <v>753.67</v>
      </c>
      <c r="CZ36">
        <f>AE36</f>
        <v>753.67</v>
      </c>
      <c r="DA36">
        <f>AI36</f>
        <v>1</v>
      </c>
      <c r="DB36">
        <f t="shared" si="2"/>
        <v>11305.05</v>
      </c>
      <c r="DC36">
        <f t="shared" si="3"/>
        <v>0</v>
      </c>
    </row>
    <row r="37" spans="1:107" x14ac:dyDescent="0.25">
      <c r="A37">
        <f>ROW(Source!A90)</f>
        <v>90</v>
      </c>
      <c r="B37">
        <v>50844173</v>
      </c>
      <c r="C37">
        <v>50844438</v>
      </c>
      <c r="D37">
        <v>48872225</v>
      </c>
      <c r="E37">
        <v>27</v>
      </c>
      <c r="F37">
        <v>1</v>
      </c>
      <c r="G37">
        <v>27</v>
      </c>
      <c r="H37">
        <v>1</v>
      </c>
      <c r="I37" t="s">
        <v>173</v>
      </c>
      <c r="J37" t="s">
        <v>3</v>
      </c>
      <c r="K37" t="s">
        <v>174</v>
      </c>
      <c r="L37">
        <v>1191</v>
      </c>
      <c r="N37">
        <v>1013</v>
      </c>
      <c r="O37" t="s">
        <v>175</v>
      </c>
      <c r="P37" t="s">
        <v>175</v>
      </c>
      <c r="Q37">
        <v>1</v>
      </c>
      <c r="W37">
        <v>0</v>
      </c>
      <c r="X37">
        <v>476480486</v>
      </c>
      <c r="Y37">
        <v>6.29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 t="s">
        <v>3</v>
      </c>
      <c r="AT37">
        <v>6.29</v>
      </c>
      <c r="AU37" t="s">
        <v>3</v>
      </c>
      <c r="AV37">
        <v>1</v>
      </c>
      <c r="AW37">
        <v>2</v>
      </c>
      <c r="AX37">
        <v>50844441</v>
      </c>
      <c r="AY37">
        <v>1</v>
      </c>
      <c r="AZ37">
        <v>0</v>
      </c>
      <c r="BA37">
        <v>35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CX37">
        <f>Y37*Source!I90</f>
        <v>-25.46339815</v>
      </c>
      <c r="CY37">
        <f>AD37</f>
        <v>0</v>
      </c>
      <c r="CZ37">
        <f>AH37</f>
        <v>0</v>
      </c>
      <c r="DA37">
        <f>AL37</f>
        <v>1</v>
      </c>
      <c r="DB37">
        <f t="shared" si="2"/>
        <v>0</v>
      </c>
      <c r="DC37">
        <f t="shared" si="3"/>
        <v>0</v>
      </c>
    </row>
    <row r="38" spans="1:107" x14ac:dyDescent="0.25">
      <c r="A38">
        <f>ROW(Source!A90)</f>
        <v>90</v>
      </c>
      <c r="B38">
        <v>50844173</v>
      </c>
      <c r="C38">
        <v>50844438</v>
      </c>
      <c r="D38">
        <v>48889025</v>
      </c>
      <c r="E38">
        <v>1</v>
      </c>
      <c r="F38">
        <v>1</v>
      </c>
      <c r="G38">
        <v>27</v>
      </c>
      <c r="H38">
        <v>3</v>
      </c>
      <c r="I38" t="s">
        <v>231</v>
      </c>
      <c r="J38" t="s">
        <v>232</v>
      </c>
      <c r="K38" t="s">
        <v>233</v>
      </c>
      <c r="L38">
        <v>1339</v>
      </c>
      <c r="N38">
        <v>1007</v>
      </c>
      <c r="O38" t="s">
        <v>84</v>
      </c>
      <c r="P38" t="s">
        <v>84</v>
      </c>
      <c r="Q38">
        <v>1</v>
      </c>
      <c r="W38">
        <v>0</v>
      </c>
      <c r="X38">
        <v>-1277312656</v>
      </c>
      <c r="Y38">
        <v>5</v>
      </c>
      <c r="AA38">
        <v>753.67</v>
      </c>
      <c r="AB38">
        <v>0</v>
      </c>
      <c r="AC38">
        <v>0</v>
      </c>
      <c r="AD38">
        <v>0</v>
      </c>
      <c r="AE38">
        <v>753.67</v>
      </c>
      <c r="AF38">
        <v>0</v>
      </c>
      <c r="AG38">
        <v>0</v>
      </c>
      <c r="AH38">
        <v>0</v>
      </c>
      <c r="AI38">
        <v>1</v>
      </c>
      <c r="AJ38">
        <v>1</v>
      </c>
      <c r="AK38">
        <v>1</v>
      </c>
      <c r="AL38">
        <v>1</v>
      </c>
      <c r="AN38">
        <v>0</v>
      </c>
      <c r="AO38">
        <v>1</v>
      </c>
      <c r="AP38">
        <v>0</v>
      </c>
      <c r="AQ38">
        <v>0</v>
      </c>
      <c r="AR38">
        <v>0</v>
      </c>
      <c r="AS38" t="s">
        <v>3</v>
      </c>
      <c r="AT38">
        <v>5</v>
      </c>
      <c r="AU38" t="s">
        <v>3</v>
      </c>
      <c r="AV38">
        <v>0</v>
      </c>
      <c r="AW38">
        <v>2</v>
      </c>
      <c r="AX38">
        <v>50844442</v>
      </c>
      <c r="AY38">
        <v>1</v>
      </c>
      <c r="AZ38">
        <v>0</v>
      </c>
      <c r="BA38">
        <v>36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CX38">
        <f>Y38*Source!I90</f>
        <v>-20.241174999999998</v>
      </c>
      <c r="CY38">
        <f>AA38</f>
        <v>753.67</v>
      </c>
      <c r="CZ38">
        <f>AE38</f>
        <v>753.67</v>
      </c>
      <c r="DA38">
        <f>AI38</f>
        <v>1</v>
      </c>
      <c r="DB38">
        <f t="shared" si="2"/>
        <v>3768.35</v>
      </c>
      <c r="DC38">
        <f t="shared" si="3"/>
        <v>0</v>
      </c>
    </row>
    <row r="39" spans="1:107" x14ac:dyDescent="0.25">
      <c r="A39">
        <f>ROW(Source!A91)</f>
        <v>91</v>
      </c>
      <c r="B39">
        <v>50844173</v>
      </c>
      <c r="C39">
        <v>50844443</v>
      </c>
      <c r="D39">
        <v>48872225</v>
      </c>
      <c r="E39">
        <v>27</v>
      </c>
      <c r="F39">
        <v>1</v>
      </c>
      <c r="G39">
        <v>27</v>
      </c>
      <c r="H39">
        <v>1</v>
      </c>
      <c r="I39" t="s">
        <v>173</v>
      </c>
      <c r="J39" t="s">
        <v>3</v>
      </c>
      <c r="K39" t="s">
        <v>174</v>
      </c>
      <c r="L39">
        <v>1191</v>
      </c>
      <c r="N39">
        <v>1013</v>
      </c>
      <c r="O39" t="s">
        <v>175</v>
      </c>
      <c r="P39" t="s">
        <v>175</v>
      </c>
      <c r="Q39">
        <v>1</v>
      </c>
      <c r="W39">
        <v>0</v>
      </c>
      <c r="X39">
        <v>476480486</v>
      </c>
      <c r="Y39">
        <v>6.04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N39">
        <v>0</v>
      </c>
      <c r="AO39">
        <v>1</v>
      </c>
      <c r="AP39">
        <v>0</v>
      </c>
      <c r="AQ39">
        <v>0</v>
      </c>
      <c r="AR39">
        <v>0</v>
      </c>
      <c r="AS39" t="s">
        <v>3</v>
      </c>
      <c r="AT39">
        <v>6.04</v>
      </c>
      <c r="AU39" t="s">
        <v>3</v>
      </c>
      <c r="AV39">
        <v>1</v>
      </c>
      <c r="AW39">
        <v>2</v>
      </c>
      <c r="AX39">
        <v>50844447</v>
      </c>
      <c r="AY39">
        <v>1</v>
      </c>
      <c r="AZ39">
        <v>0</v>
      </c>
      <c r="BA39">
        <v>37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CX39">
        <f>Y39*Source!I91</f>
        <v>24.451339400000002</v>
      </c>
      <c r="CY39">
        <f>AD39</f>
        <v>0</v>
      </c>
      <c r="CZ39">
        <f>AH39</f>
        <v>0</v>
      </c>
      <c r="DA39">
        <f>AL39</f>
        <v>1</v>
      </c>
      <c r="DB39">
        <f t="shared" si="2"/>
        <v>0</v>
      </c>
      <c r="DC39">
        <f t="shared" si="3"/>
        <v>0</v>
      </c>
    </row>
    <row r="40" spans="1:107" x14ac:dyDescent="0.25">
      <c r="A40">
        <f>ROW(Source!A91)</f>
        <v>91</v>
      </c>
      <c r="B40">
        <v>50844173</v>
      </c>
      <c r="C40">
        <v>50844443</v>
      </c>
      <c r="D40">
        <v>48887296</v>
      </c>
      <c r="E40">
        <v>1</v>
      </c>
      <c r="F40">
        <v>1</v>
      </c>
      <c r="G40">
        <v>27</v>
      </c>
      <c r="H40">
        <v>3</v>
      </c>
      <c r="I40" t="s">
        <v>213</v>
      </c>
      <c r="J40" t="s">
        <v>214</v>
      </c>
      <c r="K40" t="s">
        <v>215</v>
      </c>
      <c r="L40">
        <v>1339</v>
      </c>
      <c r="N40">
        <v>1007</v>
      </c>
      <c r="O40" t="s">
        <v>84</v>
      </c>
      <c r="P40" t="s">
        <v>84</v>
      </c>
      <c r="Q40">
        <v>1</v>
      </c>
      <c r="W40">
        <v>0</v>
      </c>
      <c r="X40">
        <v>2028445372</v>
      </c>
      <c r="Y40">
        <v>10</v>
      </c>
      <c r="AA40">
        <v>35.25</v>
      </c>
      <c r="AB40">
        <v>0</v>
      </c>
      <c r="AC40">
        <v>0</v>
      </c>
      <c r="AD40">
        <v>0</v>
      </c>
      <c r="AE40">
        <v>35.25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N40">
        <v>0</v>
      </c>
      <c r="AO40">
        <v>1</v>
      </c>
      <c r="AP40">
        <v>0</v>
      </c>
      <c r="AQ40">
        <v>0</v>
      </c>
      <c r="AR40">
        <v>0</v>
      </c>
      <c r="AS40" t="s">
        <v>3</v>
      </c>
      <c r="AT40">
        <v>10</v>
      </c>
      <c r="AU40" t="s">
        <v>3</v>
      </c>
      <c r="AV40">
        <v>0</v>
      </c>
      <c r="AW40">
        <v>2</v>
      </c>
      <c r="AX40">
        <v>50844448</v>
      </c>
      <c r="AY40">
        <v>1</v>
      </c>
      <c r="AZ40">
        <v>0</v>
      </c>
      <c r="BA40">
        <v>38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CX40">
        <f>Y40*Source!I91</f>
        <v>40.482349999999997</v>
      </c>
      <c r="CY40">
        <f>AA40</f>
        <v>35.25</v>
      </c>
      <c r="CZ40">
        <f>AE40</f>
        <v>35.25</v>
      </c>
      <c r="DA40">
        <f>AI40</f>
        <v>1</v>
      </c>
      <c r="DB40">
        <f t="shared" si="2"/>
        <v>352.5</v>
      </c>
      <c r="DC40">
        <f t="shared" si="3"/>
        <v>0</v>
      </c>
    </row>
    <row r="41" spans="1:107" x14ac:dyDescent="0.25">
      <c r="A41">
        <f>ROW(Source!A91)</f>
        <v>91</v>
      </c>
      <c r="B41">
        <v>50844173</v>
      </c>
      <c r="C41">
        <v>50844443</v>
      </c>
      <c r="D41">
        <v>48889030</v>
      </c>
      <c r="E41">
        <v>1</v>
      </c>
      <c r="F41">
        <v>1</v>
      </c>
      <c r="G41">
        <v>27</v>
      </c>
      <c r="H41">
        <v>3</v>
      </c>
      <c r="I41" t="s">
        <v>234</v>
      </c>
      <c r="J41" t="s">
        <v>235</v>
      </c>
      <c r="K41" t="s">
        <v>236</v>
      </c>
      <c r="L41">
        <v>1346</v>
      </c>
      <c r="N41">
        <v>1009</v>
      </c>
      <c r="O41" t="s">
        <v>237</v>
      </c>
      <c r="P41" t="s">
        <v>237</v>
      </c>
      <c r="Q41">
        <v>1</v>
      </c>
      <c r="W41">
        <v>0</v>
      </c>
      <c r="X41">
        <v>1601918108</v>
      </c>
      <c r="Y41">
        <v>4</v>
      </c>
      <c r="AA41">
        <v>303.08999999999997</v>
      </c>
      <c r="AB41">
        <v>0</v>
      </c>
      <c r="AC41">
        <v>0</v>
      </c>
      <c r="AD41">
        <v>0</v>
      </c>
      <c r="AE41">
        <v>303.08999999999997</v>
      </c>
      <c r="AF41">
        <v>0</v>
      </c>
      <c r="AG41">
        <v>0</v>
      </c>
      <c r="AH41">
        <v>0</v>
      </c>
      <c r="AI41">
        <v>1</v>
      </c>
      <c r="AJ41">
        <v>1</v>
      </c>
      <c r="AK41">
        <v>1</v>
      </c>
      <c r="AL41">
        <v>1</v>
      </c>
      <c r="AN41">
        <v>0</v>
      </c>
      <c r="AO41">
        <v>1</v>
      </c>
      <c r="AP41">
        <v>0</v>
      </c>
      <c r="AQ41">
        <v>0</v>
      </c>
      <c r="AR41">
        <v>0</v>
      </c>
      <c r="AS41" t="s">
        <v>3</v>
      </c>
      <c r="AT41">
        <v>4</v>
      </c>
      <c r="AU41" t="s">
        <v>3</v>
      </c>
      <c r="AV41">
        <v>0</v>
      </c>
      <c r="AW41">
        <v>2</v>
      </c>
      <c r="AX41">
        <v>50844449</v>
      </c>
      <c r="AY41">
        <v>1</v>
      </c>
      <c r="AZ41">
        <v>0</v>
      </c>
      <c r="BA41">
        <v>39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CX41">
        <f>Y41*Source!I91</f>
        <v>16.19294</v>
      </c>
      <c r="CY41">
        <f>AA41</f>
        <v>303.08999999999997</v>
      </c>
      <c r="CZ41">
        <f>AE41</f>
        <v>303.08999999999997</v>
      </c>
      <c r="DA41">
        <f>AI41</f>
        <v>1</v>
      </c>
      <c r="DB41">
        <f t="shared" si="2"/>
        <v>1212.3599999999999</v>
      </c>
      <c r="DC41">
        <f t="shared" si="3"/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39"/>
  <sheetViews>
    <sheetView workbookViewId="0">
      <selection activeCell="M71" sqref="M71"/>
    </sheetView>
  </sheetViews>
  <sheetFormatPr defaultColWidth="9.109375" defaultRowHeight="13.2" x14ac:dyDescent="0.25"/>
  <cols>
    <col min="1" max="256" width="9.109375" customWidth="1"/>
  </cols>
  <sheetData>
    <row r="1" spans="1:44" x14ac:dyDescent="0.25">
      <c r="A1">
        <f>ROW(Source!A30)</f>
        <v>30</v>
      </c>
      <c r="B1">
        <v>50844357</v>
      </c>
      <c r="C1">
        <v>50844352</v>
      </c>
      <c r="D1">
        <v>48872225</v>
      </c>
      <c r="E1">
        <v>27</v>
      </c>
      <c r="F1">
        <v>1</v>
      </c>
      <c r="G1">
        <v>27</v>
      </c>
      <c r="H1">
        <v>1</v>
      </c>
      <c r="I1" t="s">
        <v>173</v>
      </c>
      <c r="J1" t="s">
        <v>3</v>
      </c>
      <c r="K1" t="s">
        <v>174</v>
      </c>
      <c r="L1">
        <v>1191</v>
      </c>
      <c r="N1">
        <v>1013</v>
      </c>
      <c r="O1" t="s">
        <v>175</v>
      </c>
      <c r="P1" t="s">
        <v>175</v>
      </c>
      <c r="Q1">
        <v>1</v>
      </c>
      <c r="X1">
        <v>155</v>
      </c>
      <c r="Y1">
        <v>0</v>
      </c>
      <c r="Z1">
        <v>0</v>
      </c>
      <c r="AA1">
        <v>0</v>
      </c>
      <c r="AB1">
        <v>0</v>
      </c>
      <c r="AC1">
        <v>0</v>
      </c>
      <c r="AD1">
        <v>1</v>
      </c>
      <c r="AE1">
        <v>1</v>
      </c>
      <c r="AF1" t="s">
        <v>3</v>
      </c>
      <c r="AG1">
        <v>155</v>
      </c>
      <c r="AH1">
        <v>2</v>
      </c>
      <c r="AI1">
        <v>50844353</v>
      </c>
      <c r="AJ1">
        <v>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</row>
    <row r="2" spans="1:44" x14ac:dyDescent="0.25">
      <c r="A2">
        <f>ROW(Source!A30)</f>
        <v>30</v>
      </c>
      <c r="B2">
        <v>50844358</v>
      </c>
      <c r="C2">
        <v>50844352</v>
      </c>
      <c r="D2">
        <v>48884752</v>
      </c>
      <c r="E2">
        <v>1</v>
      </c>
      <c r="F2">
        <v>1</v>
      </c>
      <c r="G2">
        <v>27</v>
      </c>
      <c r="H2">
        <v>2</v>
      </c>
      <c r="I2" t="s">
        <v>176</v>
      </c>
      <c r="J2" t="s">
        <v>177</v>
      </c>
      <c r="K2" t="s">
        <v>178</v>
      </c>
      <c r="L2">
        <v>1368</v>
      </c>
      <c r="N2">
        <v>1011</v>
      </c>
      <c r="O2" t="s">
        <v>179</v>
      </c>
      <c r="P2" t="s">
        <v>179</v>
      </c>
      <c r="Q2">
        <v>1</v>
      </c>
      <c r="X2">
        <v>37.5</v>
      </c>
      <c r="Y2">
        <v>0</v>
      </c>
      <c r="Z2">
        <v>744.2</v>
      </c>
      <c r="AA2">
        <v>423.17</v>
      </c>
      <c r="AB2">
        <v>0</v>
      </c>
      <c r="AC2">
        <v>0</v>
      </c>
      <c r="AD2">
        <v>1</v>
      </c>
      <c r="AE2">
        <v>0</v>
      </c>
      <c r="AF2" t="s">
        <v>3</v>
      </c>
      <c r="AG2">
        <v>37.5</v>
      </c>
      <c r="AH2">
        <v>2</v>
      </c>
      <c r="AI2">
        <v>50844354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5">
      <c r="A3">
        <f>ROW(Source!A30)</f>
        <v>30</v>
      </c>
      <c r="B3">
        <v>50844359</v>
      </c>
      <c r="C3">
        <v>50844352</v>
      </c>
      <c r="D3">
        <v>48885267</v>
      </c>
      <c r="E3">
        <v>1</v>
      </c>
      <c r="F3">
        <v>1</v>
      </c>
      <c r="G3">
        <v>27</v>
      </c>
      <c r="H3">
        <v>2</v>
      </c>
      <c r="I3" t="s">
        <v>180</v>
      </c>
      <c r="J3" t="s">
        <v>181</v>
      </c>
      <c r="K3" t="s">
        <v>182</v>
      </c>
      <c r="L3">
        <v>1368</v>
      </c>
      <c r="N3">
        <v>1011</v>
      </c>
      <c r="O3" t="s">
        <v>179</v>
      </c>
      <c r="P3" t="s">
        <v>179</v>
      </c>
      <c r="Q3">
        <v>1</v>
      </c>
      <c r="X3">
        <v>75</v>
      </c>
      <c r="Y3">
        <v>0</v>
      </c>
      <c r="Z3">
        <v>6.02</v>
      </c>
      <c r="AA3">
        <v>0.02</v>
      </c>
      <c r="AB3">
        <v>0</v>
      </c>
      <c r="AC3">
        <v>0</v>
      </c>
      <c r="AD3">
        <v>1</v>
      </c>
      <c r="AE3">
        <v>0</v>
      </c>
      <c r="AF3" t="s">
        <v>3</v>
      </c>
      <c r="AG3">
        <v>75</v>
      </c>
      <c r="AH3">
        <v>2</v>
      </c>
      <c r="AI3">
        <v>50844355</v>
      </c>
      <c r="AJ3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5">
      <c r="A4">
        <f>ROW(Source!A30)</f>
        <v>30</v>
      </c>
      <c r="B4">
        <v>50844360</v>
      </c>
      <c r="C4">
        <v>50844352</v>
      </c>
      <c r="D4">
        <v>48884622</v>
      </c>
      <c r="E4">
        <v>1</v>
      </c>
      <c r="F4">
        <v>1</v>
      </c>
      <c r="G4">
        <v>27</v>
      </c>
      <c r="H4">
        <v>2</v>
      </c>
      <c r="I4" t="s">
        <v>183</v>
      </c>
      <c r="J4" t="s">
        <v>184</v>
      </c>
      <c r="K4" t="s">
        <v>185</v>
      </c>
      <c r="L4">
        <v>1368</v>
      </c>
      <c r="N4">
        <v>1011</v>
      </c>
      <c r="O4" t="s">
        <v>179</v>
      </c>
      <c r="P4" t="s">
        <v>179</v>
      </c>
      <c r="Q4">
        <v>1</v>
      </c>
      <c r="X4">
        <v>1.55</v>
      </c>
      <c r="Y4">
        <v>0</v>
      </c>
      <c r="Z4">
        <v>1412.71</v>
      </c>
      <c r="AA4">
        <v>641.32000000000005</v>
      </c>
      <c r="AB4">
        <v>0</v>
      </c>
      <c r="AC4">
        <v>0</v>
      </c>
      <c r="AD4">
        <v>1</v>
      </c>
      <c r="AE4">
        <v>0</v>
      </c>
      <c r="AF4" t="s">
        <v>3</v>
      </c>
      <c r="AG4">
        <v>1.55</v>
      </c>
      <c r="AH4">
        <v>2</v>
      </c>
      <c r="AI4">
        <v>50844356</v>
      </c>
      <c r="AJ4">
        <v>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5">
      <c r="A5">
        <f>ROW(Source!A31)</f>
        <v>31</v>
      </c>
      <c r="B5">
        <v>50844363</v>
      </c>
      <c r="C5">
        <v>50844361</v>
      </c>
      <c r="D5">
        <v>48872225</v>
      </c>
      <c r="E5">
        <v>27</v>
      </c>
      <c r="F5">
        <v>1</v>
      </c>
      <c r="G5">
        <v>27</v>
      </c>
      <c r="H5">
        <v>1</v>
      </c>
      <c r="I5" t="s">
        <v>173</v>
      </c>
      <c r="J5" t="s">
        <v>3</v>
      </c>
      <c r="K5" t="s">
        <v>174</v>
      </c>
      <c r="L5">
        <v>1191</v>
      </c>
      <c r="N5">
        <v>1013</v>
      </c>
      <c r="O5" t="s">
        <v>175</v>
      </c>
      <c r="P5" t="s">
        <v>175</v>
      </c>
      <c r="Q5">
        <v>1</v>
      </c>
      <c r="X5">
        <v>18.68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 t="s">
        <v>3</v>
      </c>
      <c r="AG5">
        <v>18.68</v>
      </c>
      <c r="AH5">
        <v>2</v>
      </c>
      <c r="AI5">
        <v>50844362</v>
      </c>
      <c r="AJ5">
        <v>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5">
      <c r="A6">
        <f>ROW(Source!A32)</f>
        <v>32</v>
      </c>
      <c r="B6">
        <v>50844366</v>
      </c>
      <c r="C6">
        <v>50844364</v>
      </c>
      <c r="D6">
        <v>48872225</v>
      </c>
      <c r="E6">
        <v>27</v>
      </c>
      <c r="F6">
        <v>1</v>
      </c>
      <c r="G6">
        <v>27</v>
      </c>
      <c r="H6">
        <v>1</v>
      </c>
      <c r="I6" t="s">
        <v>173</v>
      </c>
      <c r="J6" t="s">
        <v>3</v>
      </c>
      <c r="K6" t="s">
        <v>174</v>
      </c>
      <c r="L6">
        <v>1191</v>
      </c>
      <c r="N6">
        <v>1013</v>
      </c>
      <c r="O6" t="s">
        <v>175</v>
      </c>
      <c r="P6" t="s">
        <v>175</v>
      </c>
      <c r="Q6">
        <v>1</v>
      </c>
      <c r="X6">
        <v>76.7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 t="s">
        <v>3</v>
      </c>
      <c r="AG6">
        <v>76.7</v>
      </c>
      <c r="AH6">
        <v>2</v>
      </c>
      <c r="AI6">
        <v>50844365</v>
      </c>
      <c r="AJ6">
        <v>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5">
      <c r="A7">
        <f>ROW(Source!A33)</f>
        <v>33</v>
      </c>
      <c r="B7">
        <v>50844369</v>
      </c>
      <c r="C7">
        <v>50844367</v>
      </c>
      <c r="D7">
        <v>48884396</v>
      </c>
      <c r="E7">
        <v>1</v>
      </c>
      <c r="F7">
        <v>1</v>
      </c>
      <c r="G7">
        <v>27</v>
      </c>
      <c r="H7">
        <v>2</v>
      </c>
      <c r="I7" t="s">
        <v>186</v>
      </c>
      <c r="J7" t="s">
        <v>187</v>
      </c>
      <c r="K7" t="s">
        <v>188</v>
      </c>
      <c r="L7">
        <v>1368</v>
      </c>
      <c r="N7">
        <v>1011</v>
      </c>
      <c r="O7" t="s">
        <v>179</v>
      </c>
      <c r="P7" t="s">
        <v>179</v>
      </c>
      <c r="Q7">
        <v>1</v>
      </c>
      <c r="X7">
        <v>5.3699999999999998E-2</v>
      </c>
      <c r="Y7">
        <v>0</v>
      </c>
      <c r="Z7">
        <v>1494.43</v>
      </c>
      <c r="AA7">
        <v>481.21</v>
      </c>
      <c r="AB7">
        <v>0</v>
      </c>
      <c r="AC7">
        <v>0</v>
      </c>
      <c r="AD7">
        <v>1</v>
      </c>
      <c r="AE7">
        <v>0</v>
      </c>
      <c r="AF7" t="s">
        <v>3</v>
      </c>
      <c r="AG7">
        <v>5.3699999999999998E-2</v>
      </c>
      <c r="AH7">
        <v>2</v>
      </c>
      <c r="AI7">
        <v>50844368</v>
      </c>
      <c r="AJ7">
        <v>7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5">
      <c r="A8">
        <f>ROW(Source!A34)</f>
        <v>34</v>
      </c>
      <c r="B8">
        <v>50844373</v>
      </c>
      <c r="C8">
        <v>50844370</v>
      </c>
      <c r="D8">
        <v>48885194</v>
      </c>
      <c r="E8">
        <v>1</v>
      </c>
      <c r="F8">
        <v>1</v>
      </c>
      <c r="G8">
        <v>27</v>
      </c>
      <c r="H8">
        <v>2</v>
      </c>
      <c r="I8" t="s">
        <v>189</v>
      </c>
      <c r="J8" t="s">
        <v>190</v>
      </c>
      <c r="K8" t="s">
        <v>191</v>
      </c>
      <c r="L8">
        <v>1368</v>
      </c>
      <c r="N8">
        <v>1011</v>
      </c>
      <c r="O8" t="s">
        <v>179</v>
      </c>
      <c r="P8" t="s">
        <v>179</v>
      </c>
      <c r="Q8">
        <v>1</v>
      </c>
      <c r="X8">
        <v>0.02</v>
      </c>
      <c r="Y8">
        <v>0</v>
      </c>
      <c r="Z8">
        <v>1009.4</v>
      </c>
      <c r="AA8">
        <v>316.82</v>
      </c>
      <c r="AB8">
        <v>0</v>
      </c>
      <c r="AC8">
        <v>0</v>
      </c>
      <c r="AD8">
        <v>1</v>
      </c>
      <c r="AE8">
        <v>0</v>
      </c>
      <c r="AF8" t="s">
        <v>3</v>
      </c>
      <c r="AG8">
        <v>0.02</v>
      </c>
      <c r="AH8">
        <v>2</v>
      </c>
      <c r="AI8">
        <v>50844371</v>
      </c>
      <c r="AJ8">
        <v>8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5">
      <c r="A9">
        <f>ROW(Source!A34)</f>
        <v>34</v>
      </c>
      <c r="B9">
        <v>50844374</v>
      </c>
      <c r="C9">
        <v>50844370</v>
      </c>
      <c r="D9">
        <v>48885195</v>
      </c>
      <c r="E9">
        <v>1</v>
      </c>
      <c r="F9">
        <v>1</v>
      </c>
      <c r="G9">
        <v>27</v>
      </c>
      <c r="H9">
        <v>2</v>
      </c>
      <c r="I9" t="s">
        <v>192</v>
      </c>
      <c r="J9" t="s">
        <v>193</v>
      </c>
      <c r="K9" t="s">
        <v>194</v>
      </c>
      <c r="L9">
        <v>1368</v>
      </c>
      <c r="N9">
        <v>1011</v>
      </c>
      <c r="O9" t="s">
        <v>179</v>
      </c>
      <c r="P9" t="s">
        <v>179</v>
      </c>
      <c r="Q9">
        <v>1</v>
      </c>
      <c r="X9">
        <v>1.7999999999999999E-2</v>
      </c>
      <c r="Y9">
        <v>0</v>
      </c>
      <c r="Z9">
        <v>1014.12</v>
      </c>
      <c r="AA9">
        <v>317.13</v>
      </c>
      <c r="AB9">
        <v>0</v>
      </c>
      <c r="AC9">
        <v>0</v>
      </c>
      <c r="AD9">
        <v>1</v>
      </c>
      <c r="AE9">
        <v>0</v>
      </c>
      <c r="AF9" t="s">
        <v>3</v>
      </c>
      <c r="AG9">
        <v>1.7999999999999999E-2</v>
      </c>
      <c r="AH9">
        <v>2</v>
      </c>
      <c r="AI9">
        <v>50844372</v>
      </c>
      <c r="AJ9">
        <v>9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5">
      <c r="A10">
        <f>ROW(Source!A35)</f>
        <v>35</v>
      </c>
      <c r="B10">
        <v>50844378</v>
      </c>
      <c r="C10">
        <v>50844375</v>
      </c>
      <c r="D10">
        <v>48885194</v>
      </c>
      <c r="E10">
        <v>1</v>
      </c>
      <c r="F10">
        <v>1</v>
      </c>
      <c r="G10">
        <v>27</v>
      </c>
      <c r="H10">
        <v>2</v>
      </c>
      <c r="I10" t="s">
        <v>189</v>
      </c>
      <c r="J10" t="s">
        <v>190</v>
      </c>
      <c r="K10" t="s">
        <v>191</v>
      </c>
      <c r="L10">
        <v>1368</v>
      </c>
      <c r="N10">
        <v>1011</v>
      </c>
      <c r="O10" t="s">
        <v>179</v>
      </c>
      <c r="P10" t="s">
        <v>179</v>
      </c>
      <c r="Q10">
        <v>1</v>
      </c>
      <c r="X10">
        <v>0.01</v>
      </c>
      <c r="Y10">
        <v>0</v>
      </c>
      <c r="Z10">
        <v>1009.4</v>
      </c>
      <c r="AA10">
        <v>316.82</v>
      </c>
      <c r="AB10">
        <v>0</v>
      </c>
      <c r="AC10">
        <v>0</v>
      </c>
      <c r="AD10">
        <v>1</v>
      </c>
      <c r="AE10">
        <v>0</v>
      </c>
      <c r="AF10" t="s">
        <v>59</v>
      </c>
      <c r="AG10">
        <v>0.52</v>
      </c>
      <c r="AH10">
        <v>2</v>
      </c>
      <c r="AI10">
        <v>50844376</v>
      </c>
      <c r="AJ10">
        <v>10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5">
      <c r="A11">
        <f>ROW(Source!A35)</f>
        <v>35</v>
      </c>
      <c r="B11">
        <v>50844379</v>
      </c>
      <c r="C11">
        <v>50844375</v>
      </c>
      <c r="D11">
        <v>48885195</v>
      </c>
      <c r="E11">
        <v>1</v>
      </c>
      <c r="F11">
        <v>1</v>
      </c>
      <c r="G11">
        <v>27</v>
      </c>
      <c r="H11">
        <v>2</v>
      </c>
      <c r="I11" t="s">
        <v>192</v>
      </c>
      <c r="J11" t="s">
        <v>193</v>
      </c>
      <c r="K11" t="s">
        <v>194</v>
      </c>
      <c r="L11">
        <v>1368</v>
      </c>
      <c r="N11">
        <v>1011</v>
      </c>
      <c r="O11" t="s">
        <v>179</v>
      </c>
      <c r="P11" t="s">
        <v>179</v>
      </c>
      <c r="Q11">
        <v>1</v>
      </c>
      <c r="X11">
        <v>8.0000000000000002E-3</v>
      </c>
      <c r="Y11">
        <v>0</v>
      </c>
      <c r="Z11">
        <v>1014.12</v>
      </c>
      <c r="AA11">
        <v>317.13</v>
      </c>
      <c r="AB11">
        <v>0</v>
      </c>
      <c r="AC11">
        <v>0</v>
      </c>
      <c r="AD11">
        <v>1</v>
      </c>
      <c r="AE11">
        <v>0</v>
      </c>
      <c r="AF11" t="s">
        <v>59</v>
      </c>
      <c r="AG11">
        <v>0.41600000000000004</v>
      </c>
      <c r="AH11">
        <v>2</v>
      </c>
      <c r="AI11">
        <v>50844377</v>
      </c>
      <c r="AJ11">
        <v>11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5">
      <c r="A12">
        <f>ROW(Source!A37)</f>
        <v>37</v>
      </c>
      <c r="B12">
        <v>50844391</v>
      </c>
      <c r="C12">
        <v>50844381</v>
      </c>
      <c r="D12">
        <v>48872225</v>
      </c>
      <c r="E12">
        <v>27</v>
      </c>
      <c r="F12">
        <v>1</v>
      </c>
      <c r="G12">
        <v>27</v>
      </c>
      <c r="H12">
        <v>1</v>
      </c>
      <c r="I12" t="s">
        <v>173</v>
      </c>
      <c r="J12" t="s">
        <v>3</v>
      </c>
      <c r="K12" t="s">
        <v>174</v>
      </c>
      <c r="L12">
        <v>1191</v>
      </c>
      <c r="N12">
        <v>1013</v>
      </c>
      <c r="O12" t="s">
        <v>175</v>
      </c>
      <c r="P12" t="s">
        <v>175</v>
      </c>
      <c r="Q12">
        <v>1</v>
      </c>
      <c r="X12">
        <v>24.84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 t="s">
        <v>3</v>
      </c>
      <c r="AG12">
        <v>24.84</v>
      </c>
      <c r="AH12">
        <v>2</v>
      </c>
      <c r="AI12">
        <v>50844382</v>
      </c>
      <c r="AJ12">
        <v>12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5">
      <c r="A13">
        <f>ROW(Source!A37)</f>
        <v>37</v>
      </c>
      <c r="B13">
        <v>50844392</v>
      </c>
      <c r="C13">
        <v>50844381</v>
      </c>
      <c r="D13">
        <v>48884417</v>
      </c>
      <c r="E13">
        <v>1</v>
      </c>
      <c r="F13">
        <v>1</v>
      </c>
      <c r="G13">
        <v>27</v>
      </c>
      <c r="H13">
        <v>2</v>
      </c>
      <c r="I13" t="s">
        <v>195</v>
      </c>
      <c r="J13" t="s">
        <v>196</v>
      </c>
      <c r="K13" t="s">
        <v>197</v>
      </c>
      <c r="L13">
        <v>1368</v>
      </c>
      <c r="N13">
        <v>1011</v>
      </c>
      <c r="O13" t="s">
        <v>179</v>
      </c>
      <c r="P13" t="s">
        <v>179</v>
      </c>
      <c r="Q13">
        <v>1</v>
      </c>
      <c r="X13">
        <v>2.94</v>
      </c>
      <c r="Y13">
        <v>0</v>
      </c>
      <c r="Z13">
        <v>956.79</v>
      </c>
      <c r="AA13">
        <v>359.44</v>
      </c>
      <c r="AB13">
        <v>0</v>
      </c>
      <c r="AC13">
        <v>0</v>
      </c>
      <c r="AD13">
        <v>1</v>
      </c>
      <c r="AE13">
        <v>0</v>
      </c>
      <c r="AF13" t="s">
        <v>3</v>
      </c>
      <c r="AG13">
        <v>2.94</v>
      </c>
      <c r="AH13">
        <v>2</v>
      </c>
      <c r="AI13">
        <v>50844383</v>
      </c>
      <c r="AJ13">
        <v>13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5">
      <c r="A14">
        <f>ROW(Source!A37)</f>
        <v>37</v>
      </c>
      <c r="B14">
        <v>50844393</v>
      </c>
      <c r="C14">
        <v>50844381</v>
      </c>
      <c r="D14">
        <v>48884598</v>
      </c>
      <c r="E14">
        <v>1</v>
      </c>
      <c r="F14">
        <v>1</v>
      </c>
      <c r="G14">
        <v>27</v>
      </c>
      <c r="H14">
        <v>2</v>
      </c>
      <c r="I14" t="s">
        <v>198</v>
      </c>
      <c r="J14" t="s">
        <v>199</v>
      </c>
      <c r="K14" t="s">
        <v>200</v>
      </c>
      <c r="L14">
        <v>1368</v>
      </c>
      <c r="N14">
        <v>1011</v>
      </c>
      <c r="O14" t="s">
        <v>179</v>
      </c>
      <c r="P14" t="s">
        <v>179</v>
      </c>
      <c r="Q14">
        <v>1</v>
      </c>
      <c r="X14">
        <v>1.1399999999999999</v>
      </c>
      <c r="Y14">
        <v>0</v>
      </c>
      <c r="Z14">
        <v>2020.59</v>
      </c>
      <c r="AA14">
        <v>458.56</v>
      </c>
      <c r="AB14">
        <v>0</v>
      </c>
      <c r="AC14">
        <v>0</v>
      </c>
      <c r="AD14">
        <v>1</v>
      </c>
      <c r="AE14">
        <v>0</v>
      </c>
      <c r="AF14" t="s">
        <v>3</v>
      </c>
      <c r="AG14">
        <v>1.1399999999999999</v>
      </c>
      <c r="AH14">
        <v>2</v>
      </c>
      <c r="AI14">
        <v>50844384</v>
      </c>
      <c r="AJ14">
        <v>14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5">
      <c r="A15">
        <f>ROW(Source!A37)</f>
        <v>37</v>
      </c>
      <c r="B15">
        <v>50844394</v>
      </c>
      <c r="C15">
        <v>50844381</v>
      </c>
      <c r="D15">
        <v>48884583</v>
      </c>
      <c r="E15">
        <v>1</v>
      </c>
      <c r="F15">
        <v>1</v>
      </c>
      <c r="G15">
        <v>27</v>
      </c>
      <c r="H15">
        <v>2</v>
      </c>
      <c r="I15" t="s">
        <v>201</v>
      </c>
      <c r="J15" t="s">
        <v>202</v>
      </c>
      <c r="K15" t="s">
        <v>203</v>
      </c>
      <c r="L15">
        <v>1368</v>
      </c>
      <c r="N15">
        <v>1011</v>
      </c>
      <c r="O15" t="s">
        <v>179</v>
      </c>
      <c r="P15" t="s">
        <v>179</v>
      </c>
      <c r="Q15">
        <v>1</v>
      </c>
      <c r="X15">
        <v>8.9600000000000009</v>
      </c>
      <c r="Y15">
        <v>0</v>
      </c>
      <c r="Z15">
        <v>1261.8699999999999</v>
      </c>
      <c r="AA15">
        <v>530.02</v>
      </c>
      <c r="AB15">
        <v>0</v>
      </c>
      <c r="AC15">
        <v>0</v>
      </c>
      <c r="AD15">
        <v>1</v>
      </c>
      <c r="AE15">
        <v>0</v>
      </c>
      <c r="AF15" t="s">
        <v>3</v>
      </c>
      <c r="AG15">
        <v>8.9600000000000009</v>
      </c>
      <c r="AH15">
        <v>2</v>
      </c>
      <c r="AI15">
        <v>50844385</v>
      </c>
      <c r="AJ15">
        <v>15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5">
      <c r="A16">
        <f>ROW(Source!A37)</f>
        <v>37</v>
      </c>
      <c r="B16">
        <v>50844395</v>
      </c>
      <c r="C16">
        <v>50844381</v>
      </c>
      <c r="D16">
        <v>48884584</v>
      </c>
      <c r="E16">
        <v>1</v>
      </c>
      <c r="F16">
        <v>1</v>
      </c>
      <c r="G16">
        <v>27</v>
      </c>
      <c r="H16">
        <v>2</v>
      </c>
      <c r="I16" t="s">
        <v>204</v>
      </c>
      <c r="J16" t="s">
        <v>205</v>
      </c>
      <c r="K16" t="s">
        <v>206</v>
      </c>
      <c r="L16">
        <v>1368</v>
      </c>
      <c r="N16">
        <v>1011</v>
      </c>
      <c r="O16" t="s">
        <v>179</v>
      </c>
      <c r="P16" t="s">
        <v>179</v>
      </c>
      <c r="Q16">
        <v>1</v>
      </c>
      <c r="X16">
        <v>18.25</v>
      </c>
      <c r="Y16">
        <v>0</v>
      </c>
      <c r="Z16">
        <v>1827.95</v>
      </c>
      <c r="AA16">
        <v>720.55</v>
      </c>
      <c r="AB16">
        <v>0</v>
      </c>
      <c r="AC16">
        <v>0</v>
      </c>
      <c r="AD16">
        <v>1</v>
      </c>
      <c r="AE16">
        <v>0</v>
      </c>
      <c r="AF16" t="s">
        <v>3</v>
      </c>
      <c r="AG16">
        <v>18.25</v>
      </c>
      <c r="AH16">
        <v>2</v>
      </c>
      <c r="AI16">
        <v>50844386</v>
      </c>
      <c r="AJ16">
        <v>16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5">
      <c r="A17">
        <f>ROW(Source!A37)</f>
        <v>37</v>
      </c>
      <c r="B17">
        <v>50844396</v>
      </c>
      <c r="C17">
        <v>50844381</v>
      </c>
      <c r="D17">
        <v>48884622</v>
      </c>
      <c r="E17">
        <v>1</v>
      </c>
      <c r="F17">
        <v>1</v>
      </c>
      <c r="G17">
        <v>27</v>
      </c>
      <c r="H17">
        <v>2</v>
      </c>
      <c r="I17" t="s">
        <v>183</v>
      </c>
      <c r="J17" t="s">
        <v>184</v>
      </c>
      <c r="K17" t="s">
        <v>185</v>
      </c>
      <c r="L17">
        <v>1368</v>
      </c>
      <c r="N17">
        <v>1011</v>
      </c>
      <c r="O17" t="s">
        <v>179</v>
      </c>
      <c r="P17" t="s">
        <v>179</v>
      </c>
      <c r="Q17">
        <v>1</v>
      </c>
      <c r="X17">
        <v>2.2400000000000002</v>
      </c>
      <c r="Y17">
        <v>0</v>
      </c>
      <c r="Z17">
        <v>1412.71</v>
      </c>
      <c r="AA17">
        <v>641.32000000000005</v>
      </c>
      <c r="AB17">
        <v>0</v>
      </c>
      <c r="AC17">
        <v>0</v>
      </c>
      <c r="AD17">
        <v>1</v>
      </c>
      <c r="AE17">
        <v>0</v>
      </c>
      <c r="AF17" t="s">
        <v>3</v>
      </c>
      <c r="AG17">
        <v>2.2400000000000002</v>
      </c>
      <c r="AH17">
        <v>2</v>
      </c>
      <c r="AI17">
        <v>50844387</v>
      </c>
      <c r="AJ17">
        <v>17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5">
      <c r="A18">
        <f>ROW(Source!A37)</f>
        <v>37</v>
      </c>
      <c r="B18">
        <v>50844397</v>
      </c>
      <c r="C18">
        <v>50844381</v>
      </c>
      <c r="D18">
        <v>48884588</v>
      </c>
      <c r="E18">
        <v>1</v>
      </c>
      <c r="F18">
        <v>1</v>
      </c>
      <c r="G18">
        <v>27</v>
      </c>
      <c r="H18">
        <v>2</v>
      </c>
      <c r="I18" t="s">
        <v>207</v>
      </c>
      <c r="J18" t="s">
        <v>208</v>
      </c>
      <c r="K18" t="s">
        <v>209</v>
      </c>
      <c r="L18">
        <v>1368</v>
      </c>
      <c r="N18">
        <v>1011</v>
      </c>
      <c r="O18" t="s">
        <v>179</v>
      </c>
      <c r="P18" t="s">
        <v>179</v>
      </c>
      <c r="Q18">
        <v>1</v>
      </c>
      <c r="X18">
        <v>0.65</v>
      </c>
      <c r="Y18">
        <v>0</v>
      </c>
      <c r="Z18">
        <v>1213.3399999999999</v>
      </c>
      <c r="AA18">
        <v>461.6</v>
      </c>
      <c r="AB18">
        <v>0</v>
      </c>
      <c r="AC18">
        <v>0</v>
      </c>
      <c r="AD18">
        <v>1</v>
      </c>
      <c r="AE18">
        <v>0</v>
      </c>
      <c r="AF18" t="s">
        <v>3</v>
      </c>
      <c r="AG18">
        <v>0.65</v>
      </c>
      <c r="AH18">
        <v>2</v>
      </c>
      <c r="AI18">
        <v>50844388</v>
      </c>
      <c r="AJ18">
        <v>18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5">
      <c r="A19">
        <f>ROW(Source!A37)</f>
        <v>37</v>
      </c>
      <c r="B19">
        <v>50844398</v>
      </c>
      <c r="C19">
        <v>50844381</v>
      </c>
      <c r="D19">
        <v>48886576</v>
      </c>
      <c r="E19">
        <v>1</v>
      </c>
      <c r="F19">
        <v>1</v>
      </c>
      <c r="G19">
        <v>27</v>
      </c>
      <c r="H19">
        <v>3</v>
      </c>
      <c r="I19" t="s">
        <v>210</v>
      </c>
      <c r="J19" t="s">
        <v>211</v>
      </c>
      <c r="K19" t="s">
        <v>212</v>
      </c>
      <c r="L19">
        <v>1339</v>
      </c>
      <c r="N19">
        <v>1007</v>
      </c>
      <c r="O19" t="s">
        <v>84</v>
      </c>
      <c r="P19" t="s">
        <v>84</v>
      </c>
      <c r="Q19">
        <v>1</v>
      </c>
      <c r="X19">
        <v>126</v>
      </c>
      <c r="Y19">
        <v>1763.75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 t="s">
        <v>3</v>
      </c>
      <c r="AG19">
        <v>126</v>
      </c>
      <c r="AH19">
        <v>2</v>
      </c>
      <c r="AI19">
        <v>50844389</v>
      </c>
      <c r="AJ19">
        <v>19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5">
      <c r="A20">
        <f>ROW(Source!A37)</f>
        <v>37</v>
      </c>
      <c r="B20">
        <v>50844399</v>
      </c>
      <c r="C20">
        <v>50844381</v>
      </c>
      <c r="D20">
        <v>48887296</v>
      </c>
      <c r="E20">
        <v>1</v>
      </c>
      <c r="F20">
        <v>1</v>
      </c>
      <c r="G20">
        <v>27</v>
      </c>
      <c r="H20">
        <v>3</v>
      </c>
      <c r="I20" t="s">
        <v>213</v>
      </c>
      <c r="J20" t="s">
        <v>214</v>
      </c>
      <c r="K20" t="s">
        <v>215</v>
      </c>
      <c r="L20">
        <v>1339</v>
      </c>
      <c r="N20">
        <v>1007</v>
      </c>
      <c r="O20" t="s">
        <v>84</v>
      </c>
      <c r="P20" t="s">
        <v>84</v>
      </c>
      <c r="Q20">
        <v>1</v>
      </c>
      <c r="X20">
        <v>7</v>
      </c>
      <c r="Y20">
        <v>35.25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 t="s">
        <v>3</v>
      </c>
      <c r="AG20">
        <v>7</v>
      </c>
      <c r="AH20">
        <v>2</v>
      </c>
      <c r="AI20">
        <v>50844390</v>
      </c>
      <c r="AJ20">
        <v>20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5">
      <c r="A21">
        <f>ROW(Source!A38)</f>
        <v>38</v>
      </c>
      <c r="B21">
        <v>50844406</v>
      </c>
      <c r="C21">
        <v>50844400</v>
      </c>
      <c r="D21">
        <v>48872225</v>
      </c>
      <c r="E21">
        <v>27</v>
      </c>
      <c r="F21">
        <v>1</v>
      </c>
      <c r="G21">
        <v>27</v>
      </c>
      <c r="H21">
        <v>1</v>
      </c>
      <c r="I21" t="s">
        <v>173</v>
      </c>
      <c r="J21" t="s">
        <v>3</v>
      </c>
      <c r="K21" t="s">
        <v>174</v>
      </c>
      <c r="L21">
        <v>1191</v>
      </c>
      <c r="N21">
        <v>1013</v>
      </c>
      <c r="O21" t="s">
        <v>175</v>
      </c>
      <c r="P21" t="s">
        <v>175</v>
      </c>
      <c r="Q21">
        <v>1</v>
      </c>
      <c r="X21">
        <v>10.3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1</v>
      </c>
      <c r="AF21" t="s">
        <v>3</v>
      </c>
      <c r="AG21">
        <v>10.3</v>
      </c>
      <c r="AH21">
        <v>2</v>
      </c>
      <c r="AI21">
        <v>50844401</v>
      </c>
      <c r="AJ21">
        <v>21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5">
      <c r="A22">
        <f>ROW(Source!A38)</f>
        <v>38</v>
      </c>
      <c r="B22">
        <v>50844407</v>
      </c>
      <c r="C22">
        <v>50844400</v>
      </c>
      <c r="D22">
        <v>48884583</v>
      </c>
      <c r="E22">
        <v>1</v>
      </c>
      <c r="F22">
        <v>1</v>
      </c>
      <c r="G22">
        <v>27</v>
      </c>
      <c r="H22">
        <v>2</v>
      </c>
      <c r="I22" t="s">
        <v>201</v>
      </c>
      <c r="J22" t="s">
        <v>202</v>
      </c>
      <c r="K22" t="s">
        <v>203</v>
      </c>
      <c r="L22">
        <v>1368</v>
      </c>
      <c r="N22">
        <v>1011</v>
      </c>
      <c r="O22" t="s">
        <v>179</v>
      </c>
      <c r="P22" t="s">
        <v>179</v>
      </c>
      <c r="Q22">
        <v>1</v>
      </c>
      <c r="X22">
        <v>0.89</v>
      </c>
      <c r="Y22">
        <v>0</v>
      </c>
      <c r="Z22">
        <v>1261.8699999999999</v>
      </c>
      <c r="AA22">
        <v>530.02</v>
      </c>
      <c r="AB22">
        <v>0</v>
      </c>
      <c r="AC22">
        <v>0</v>
      </c>
      <c r="AD22">
        <v>1</v>
      </c>
      <c r="AE22">
        <v>0</v>
      </c>
      <c r="AF22" t="s">
        <v>3</v>
      </c>
      <c r="AG22">
        <v>0.89</v>
      </c>
      <c r="AH22">
        <v>2</v>
      </c>
      <c r="AI22">
        <v>50844402</v>
      </c>
      <c r="AJ22">
        <v>22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5">
      <c r="A23">
        <f>ROW(Source!A38)</f>
        <v>38</v>
      </c>
      <c r="B23">
        <v>50844408</v>
      </c>
      <c r="C23">
        <v>50844400</v>
      </c>
      <c r="D23">
        <v>48885389</v>
      </c>
      <c r="E23">
        <v>1</v>
      </c>
      <c r="F23">
        <v>1</v>
      </c>
      <c r="G23">
        <v>27</v>
      </c>
      <c r="H23">
        <v>3</v>
      </c>
      <c r="I23" t="s">
        <v>216</v>
      </c>
      <c r="J23" t="s">
        <v>217</v>
      </c>
      <c r="K23" t="s">
        <v>218</v>
      </c>
      <c r="L23">
        <v>1348</v>
      </c>
      <c r="N23">
        <v>1009</v>
      </c>
      <c r="O23" t="s">
        <v>48</v>
      </c>
      <c r="P23" t="s">
        <v>48</v>
      </c>
      <c r="Q23">
        <v>1000</v>
      </c>
      <c r="X23">
        <v>0.06</v>
      </c>
      <c r="Y23">
        <v>25888.1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 t="s">
        <v>3</v>
      </c>
      <c r="AG23">
        <v>0.06</v>
      </c>
      <c r="AH23">
        <v>2</v>
      </c>
      <c r="AI23">
        <v>50844403</v>
      </c>
      <c r="AJ23">
        <v>23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5">
      <c r="A24">
        <f>ROW(Source!A38)</f>
        <v>38</v>
      </c>
      <c r="B24">
        <v>50844409</v>
      </c>
      <c r="C24">
        <v>50844400</v>
      </c>
      <c r="D24">
        <v>48888494</v>
      </c>
      <c r="E24">
        <v>1</v>
      </c>
      <c r="F24">
        <v>1</v>
      </c>
      <c r="G24">
        <v>27</v>
      </c>
      <c r="H24">
        <v>3</v>
      </c>
      <c r="I24" t="s">
        <v>73</v>
      </c>
      <c r="J24" t="s">
        <v>75</v>
      </c>
      <c r="K24" t="s">
        <v>74</v>
      </c>
      <c r="L24">
        <v>1348</v>
      </c>
      <c r="N24">
        <v>1009</v>
      </c>
      <c r="O24" t="s">
        <v>48</v>
      </c>
      <c r="P24" t="s">
        <v>48</v>
      </c>
      <c r="Q24">
        <v>1000</v>
      </c>
      <c r="X24">
        <v>7.14</v>
      </c>
      <c r="Y24">
        <v>2652.04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 t="s">
        <v>3</v>
      </c>
      <c r="AG24">
        <v>7.14</v>
      </c>
      <c r="AH24">
        <v>2</v>
      </c>
      <c r="AI24">
        <v>50844404</v>
      </c>
      <c r="AJ24">
        <v>24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5">
      <c r="A25">
        <f>ROW(Source!A41)</f>
        <v>41</v>
      </c>
      <c r="B25">
        <v>50844718</v>
      </c>
      <c r="C25">
        <v>50844712</v>
      </c>
      <c r="D25">
        <v>48872225</v>
      </c>
      <c r="E25">
        <v>27</v>
      </c>
      <c r="F25">
        <v>1</v>
      </c>
      <c r="G25">
        <v>27</v>
      </c>
      <c r="H25">
        <v>1</v>
      </c>
      <c r="I25" t="s">
        <v>173</v>
      </c>
      <c r="J25" t="s">
        <v>3</v>
      </c>
      <c r="K25" t="s">
        <v>174</v>
      </c>
      <c r="L25">
        <v>1191</v>
      </c>
      <c r="N25">
        <v>1013</v>
      </c>
      <c r="O25" t="s">
        <v>175</v>
      </c>
      <c r="P25" t="s">
        <v>175</v>
      </c>
      <c r="Q25">
        <v>1</v>
      </c>
      <c r="X25">
        <v>80.27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  <c r="AF25" t="s">
        <v>3</v>
      </c>
      <c r="AG25">
        <v>80.27</v>
      </c>
      <c r="AH25">
        <v>2</v>
      </c>
      <c r="AI25">
        <v>50844713</v>
      </c>
      <c r="AJ25">
        <v>26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5">
      <c r="A26">
        <f>ROW(Source!A41)</f>
        <v>41</v>
      </c>
      <c r="B26">
        <v>50844719</v>
      </c>
      <c r="C26">
        <v>50844712</v>
      </c>
      <c r="D26">
        <v>48888265</v>
      </c>
      <c r="E26">
        <v>1</v>
      </c>
      <c r="F26">
        <v>1</v>
      </c>
      <c r="G26">
        <v>27</v>
      </c>
      <c r="H26">
        <v>3</v>
      </c>
      <c r="I26" t="s">
        <v>219</v>
      </c>
      <c r="J26" t="s">
        <v>220</v>
      </c>
      <c r="K26" t="s">
        <v>221</v>
      </c>
      <c r="L26">
        <v>1339</v>
      </c>
      <c r="N26">
        <v>1007</v>
      </c>
      <c r="O26" t="s">
        <v>84</v>
      </c>
      <c r="P26" t="s">
        <v>84</v>
      </c>
      <c r="Q26">
        <v>1</v>
      </c>
      <c r="X26">
        <v>5.9</v>
      </c>
      <c r="Y26">
        <v>3714.73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 t="s">
        <v>3</v>
      </c>
      <c r="AG26">
        <v>5.9</v>
      </c>
      <c r="AH26">
        <v>2</v>
      </c>
      <c r="AI26">
        <v>50844714</v>
      </c>
      <c r="AJ26">
        <v>27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5">
      <c r="A27">
        <f>ROW(Source!A41)</f>
        <v>41</v>
      </c>
      <c r="B27">
        <v>50844720</v>
      </c>
      <c r="C27">
        <v>50844712</v>
      </c>
      <c r="D27">
        <v>48888341</v>
      </c>
      <c r="E27">
        <v>1</v>
      </c>
      <c r="F27">
        <v>1</v>
      </c>
      <c r="G27">
        <v>27</v>
      </c>
      <c r="H27">
        <v>3</v>
      </c>
      <c r="I27" t="s">
        <v>222</v>
      </c>
      <c r="J27" t="s">
        <v>223</v>
      </c>
      <c r="K27" t="s">
        <v>224</v>
      </c>
      <c r="L27">
        <v>1339</v>
      </c>
      <c r="N27">
        <v>1007</v>
      </c>
      <c r="O27" t="s">
        <v>84</v>
      </c>
      <c r="P27" t="s">
        <v>84</v>
      </c>
      <c r="Q27">
        <v>1</v>
      </c>
      <c r="X27">
        <v>0.06</v>
      </c>
      <c r="Y27">
        <v>3392.59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 t="s">
        <v>3</v>
      </c>
      <c r="AG27">
        <v>0.06</v>
      </c>
      <c r="AH27">
        <v>2</v>
      </c>
      <c r="AI27">
        <v>50844715</v>
      </c>
      <c r="AJ27">
        <v>28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5">
      <c r="A28">
        <f>ROW(Source!A41)</f>
        <v>41</v>
      </c>
      <c r="B28">
        <v>50844721</v>
      </c>
      <c r="C28">
        <v>50844712</v>
      </c>
      <c r="D28">
        <v>48889079</v>
      </c>
      <c r="E28">
        <v>1</v>
      </c>
      <c r="F28">
        <v>1</v>
      </c>
      <c r="G28">
        <v>27</v>
      </c>
      <c r="H28">
        <v>3</v>
      </c>
      <c r="I28" t="s">
        <v>82</v>
      </c>
      <c r="J28" t="s">
        <v>85</v>
      </c>
      <c r="K28" t="s">
        <v>83</v>
      </c>
      <c r="L28">
        <v>1339</v>
      </c>
      <c r="N28">
        <v>1007</v>
      </c>
      <c r="O28" t="s">
        <v>84</v>
      </c>
      <c r="P28" t="s">
        <v>84</v>
      </c>
      <c r="Q28">
        <v>1</v>
      </c>
      <c r="X28">
        <v>4.3</v>
      </c>
      <c r="Y28">
        <v>7833.01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 t="s">
        <v>3</v>
      </c>
      <c r="AG28">
        <v>4.3</v>
      </c>
      <c r="AH28">
        <v>2</v>
      </c>
      <c r="AI28">
        <v>50844716</v>
      </c>
      <c r="AJ28">
        <v>29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5">
      <c r="A29">
        <f>ROW(Source!A88)</f>
        <v>88</v>
      </c>
      <c r="B29">
        <v>50844429</v>
      </c>
      <c r="C29">
        <v>50844424</v>
      </c>
      <c r="D29">
        <v>48872225</v>
      </c>
      <c r="E29">
        <v>27</v>
      </c>
      <c r="F29">
        <v>1</v>
      </c>
      <c r="G29">
        <v>27</v>
      </c>
      <c r="H29">
        <v>1</v>
      </c>
      <c r="I29" t="s">
        <v>173</v>
      </c>
      <c r="J29" t="s">
        <v>3</v>
      </c>
      <c r="K29" t="s">
        <v>174</v>
      </c>
      <c r="L29">
        <v>1191</v>
      </c>
      <c r="N29">
        <v>1013</v>
      </c>
      <c r="O29" t="s">
        <v>175</v>
      </c>
      <c r="P29" t="s">
        <v>175</v>
      </c>
      <c r="Q29">
        <v>1</v>
      </c>
      <c r="X29">
        <v>30.8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1</v>
      </c>
      <c r="AF29" t="s">
        <v>3</v>
      </c>
      <c r="AG29">
        <v>30.8</v>
      </c>
      <c r="AH29">
        <v>2</v>
      </c>
      <c r="AI29">
        <v>50844425</v>
      </c>
      <c r="AJ29">
        <v>31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5">
      <c r="A30">
        <f>ROW(Source!A88)</f>
        <v>88</v>
      </c>
      <c r="B30">
        <v>50844430</v>
      </c>
      <c r="C30">
        <v>50844424</v>
      </c>
      <c r="D30">
        <v>48884996</v>
      </c>
      <c r="E30">
        <v>1</v>
      </c>
      <c r="F30">
        <v>1</v>
      </c>
      <c r="G30">
        <v>27</v>
      </c>
      <c r="H30">
        <v>2</v>
      </c>
      <c r="I30" t="s">
        <v>225</v>
      </c>
      <c r="J30" t="s">
        <v>226</v>
      </c>
      <c r="K30" t="s">
        <v>227</v>
      </c>
      <c r="L30">
        <v>1368</v>
      </c>
      <c r="N30">
        <v>1011</v>
      </c>
      <c r="O30" t="s">
        <v>179</v>
      </c>
      <c r="P30" t="s">
        <v>179</v>
      </c>
      <c r="Q30">
        <v>1</v>
      </c>
      <c r="X30">
        <v>0.06</v>
      </c>
      <c r="Y30">
        <v>0</v>
      </c>
      <c r="Z30">
        <v>20.7</v>
      </c>
      <c r="AA30">
        <v>9.74</v>
      </c>
      <c r="AB30">
        <v>0</v>
      </c>
      <c r="AC30">
        <v>0</v>
      </c>
      <c r="AD30">
        <v>1</v>
      </c>
      <c r="AE30">
        <v>0</v>
      </c>
      <c r="AF30" t="s">
        <v>3</v>
      </c>
      <c r="AG30">
        <v>0.06</v>
      </c>
      <c r="AH30">
        <v>2</v>
      </c>
      <c r="AI30">
        <v>50844426</v>
      </c>
      <c r="AJ30">
        <v>32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25">
      <c r="A31">
        <f>ROW(Source!A88)</f>
        <v>88</v>
      </c>
      <c r="B31">
        <v>50844431</v>
      </c>
      <c r="C31">
        <v>50844424</v>
      </c>
      <c r="D31">
        <v>48884446</v>
      </c>
      <c r="E31">
        <v>1</v>
      </c>
      <c r="F31">
        <v>1</v>
      </c>
      <c r="G31">
        <v>27</v>
      </c>
      <c r="H31">
        <v>2</v>
      </c>
      <c r="I31" t="s">
        <v>228</v>
      </c>
      <c r="J31" t="s">
        <v>229</v>
      </c>
      <c r="K31" t="s">
        <v>230</v>
      </c>
      <c r="L31">
        <v>1368</v>
      </c>
      <c r="N31">
        <v>1011</v>
      </c>
      <c r="O31" t="s">
        <v>179</v>
      </c>
      <c r="P31" t="s">
        <v>179</v>
      </c>
      <c r="Q31">
        <v>1</v>
      </c>
      <c r="X31">
        <v>0.06</v>
      </c>
      <c r="Y31">
        <v>0</v>
      </c>
      <c r="Z31">
        <v>991.89</v>
      </c>
      <c r="AA31">
        <v>360.79</v>
      </c>
      <c r="AB31">
        <v>0</v>
      </c>
      <c r="AC31">
        <v>0</v>
      </c>
      <c r="AD31">
        <v>1</v>
      </c>
      <c r="AE31">
        <v>0</v>
      </c>
      <c r="AF31" t="s">
        <v>3</v>
      </c>
      <c r="AG31">
        <v>0.06</v>
      </c>
      <c r="AH31">
        <v>2</v>
      </c>
      <c r="AI31">
        <v>50844427</v>
      </c>
      <c r="AJ31">
        <v>33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5">
      <c r="A32">
        <f>ROW(Source!A88)</f>
        <v>88</v>
      </c>
      <c r="B32">
        <v>50844432</v>
      </c>
      <c r="C32">
        <v>50844424</v>
      </c>
      <c r="D32">
        <v>48889025</v>
      </c>
      <c r="E32">
        <v>1</v>
      </c>
      <c r="F32">
        <v>1</v>
      </c>
      <c r="G32">
        <v>27</v>
      </c>
      <c r="H32">
        <v>3</v>
      </c>
      <c r="I32" t="s">
        <v>231</v>
      </c>
      <c r="J32" t="s">
        <v>232</v>
      </c>
      <c r="K32" t="s">
        <v>233</v>
      </c>
      <c r="L32">
        <v>1339</v>
      </c>
      <c r="N32">
        <v>1007</v>
      </c>
      <c r="O32" t="s">
        <v>84</v>
      </c>
      <c r="P32" t="s">
        <v>84</v>
      </c>
      <c r="Q32">
        <v>1</v>
      </c>
      <c r="X32">
        <v>15</v>
      </c>
      <c r="Y32">
        <v>753.67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 t="s">
        <v>3</v>
      </c>
      <c r="AG32">
        <v>15</v>
      </c>
      <c r="AH32">
        <v>2</v>
      </c>
      <c r="AI32">
        <v>50844428</v>
      </c>
      <c r="AJ32">
        <v>34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5">
      <c r="A33">
        <f>ROW(Source!A89)</f>
        <v>89</v>
      </c>
      <c r="B33">
        <v>50844436</v>
      </c>
      <c r="C33">
        <v>50844433</v>
      </c>
      <c r="D33">
        <v>48872225</v>
      </c>
      <c r="E33">
        <v>27</v>
      </c>
      <c r="F33">
        <v>1</v>
      </c>
      <c r="G33">
        <v>27</v>
      </c>
      <c r="H33">
        <v>1</v>
      </c>
      <c r="I33" t="s">
        <v>173</v>
      </c>
      <c r="J33" t="s">
        <v>3</v>
      </c>
      <c r="K33" t="s">
        <v>174</v>
      </c>
      <c r="L33">
        <v>1191</v>
      </c>
      <c r="N33">
        <v>1013</v>
      </c>
      <c r="O33" t="s">
        <v>175</v>
      </c>
      <c r="P33" t="s">
        <v>175</v>
      </c>
      <c r="Q33">
        <v>1</v>
      </c>
      <c r="X33">
        <v>46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1</v>
      </c>
      <c r="AF33" t="s">
        <v>3</v>
      </c>
      <c r="AG33">
        <v>46</v>
      </c>
      <c r="AH33">
        <v>2</v>
      </c>
      <c r="AI33">
        <v>50844434</v>
      </c>
      <c r="AJ33">
        <v>35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5">
      <c r="A34">
        <f>ROW(Source!A89)</f>
        <v>89</v>
      </c>
      <c r="B34">
        <v>50844437</v>
      </c>
      <c r="C34">
        <v>50844433</v>
      </c>
      <c r="D34">
        <v>48889025</v>
      </c>
      <c r="E34">
        <v>1</v>
      </c>
      <c r="F34">
        <v>1</v>
      </c>
      <c r="G34">
        <v>27</v>
      </c>
      <c r="H34">
        <v>3</v>
      </c>
      <c r="I34" t="s">
        <v>231</v>
      </c>
      <c r="J34" t="s">
        <v>232</v>
      </c>
      <c r="K34" t="s">
        <v>233</v>
      </c>
      <c r="L34">
        <v>1339</v>
      </c>
      <c r="N34">
        <v>1007</v>
      </c>
      <c r="O34" t="s">
        <v>84</v>
      </c>
      <c r="P34" t="s">
        <v>84</v>
      </c>
      <c r="Q34">
        <v>1</v>
      </c>
      <c r="X34">
        <v>15</v>
      </c>
      <c r="Y34">
        <v>753.67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 t="s">
        <v>3</v>
      </c>
      <c r="AG34">
        <v>15</v>
      </c>
      <c r="AH34">
        <v>2</v>
      </c>
      <c r="AI34">
        <v>50844435</v>
      </c>
      <c r="AJ34">
        <v>36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5">
      <c r="A35">
        <f>ROW(Source!A90)</f>
        <v>90</v>
      </c>
      <c r="B35">
        <v>50844441</v>
      </c>
      <c r="C35">
        <v>50844438</v>
      </c>
      <c r="D35">
        <v>48872225</v>
      </c>
      <c r="E35">
        <v>27</v>
      </c>
      <c r="F35">
        <v>1</v>
      </c>
      <c r="G35">
        <v>27</v>
      </c>
      <c r="H35">
        <v>1</v>
      </c>
      <c r="I35" t="s">
        <v>173</v>
      </c>
      <c r="J35" t="s">
        <v>3</v>
      </c>
      <c r="K35" t="s">
        <v>174</v>
      </c>
      <c r="L35">
        <v>1191</v>
      </c>
      <c r="N35">
        <v>1013</v>
      </c>
      <c r="O35" t="s">
        <v>175</v>
      </c>
      <c r="P35" t="s">
        <v>175</v>
      </c>
      <c r="Q35">
        <v>1</v>
      </c>
      <c r="X35">
        <v>6.29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1</v>
      </c>
      <c r="AF35" t="s">
        <v>3</v>
      </c>
      <c r="AG35">
        <v>6.29</v>
      </c>
      <c r="AH35">
        <v>2</v>
      </c>
      <c r="AI35">
        <v>50844439</v>
      </c>
      <c r="AJ35">
        <v>37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5">
      <c r="A36">
        <f>ROW(Source!A90)</f>
        <v>90</v>
      </c>
      <c r="B36">
        <v>50844442</v>
      </c>
      <c r="C36">
        <v>50844438</v>
      </c>
      <c r="D36">
        <v>48889025</v>
      </c>
      <c r="E36">
        <v>1</v>
      </c>
      <c r="F36">
        <v>1</v>
      </c>
      <c r="G36">
        <v>27</v>
      </c>
      <c r="H36">
        <v>3</v>
      </c>
      <c r="I36" t="s">
        <v>231</v>
      </c>
      <c r="J36" t="s">
        <v>232</v>
      </c>
      <c r="K36" t="s">
        <v>233</v>
      </c>
      <c r="L36">
        <v>1339</v>
      </c>
      <c r="N36">
        <v>1007</v>
      </c>
      <c r="O36" t="s">
        <v>84</v>
      </c>
      <c r="P36" t="s">
        <v>84</v>
      </c>
      <c r="Q36">
        <v>1</v>
      </c>
      <c r="X36">
        <v>5</v>
      </c>
      <c r="Y36">
        <v>753.67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 t="s">
        <v>3</v>
      </c>
      <c r="AG36">
        <v>5</v>
      </c>
      <c r="AH36">
        <v>2</v>
      </c>
      <c r="AI36">
        <v>50844440</v>
      </c>
      <c r="AJ36">
        <v>38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5">
      <c r="A37">
        <f>ROW(Source!A91)</f>
        <v>91</v>
      </c>
      <c r="B37">
        <v>50844447</v>
      </c>
      <c r="C37">
        <v>50844443</v>
      </c>
      <c r="D37">
        <v>48872225</v>
      </c>
      <c r="E37">
        <v>27</v>
      </c>
      <c r="F37">
        <v>1</v>
      </c>
      <c r="G37">
        <v>27</v>
      </c>
      <c r="H37">
        <v>1</v>
      </c>
      <c r="I37" t="s">
        <v>173</v>
      </c>
      <c r="J37" t="s">
        <v>3</v>
      </c>
      <c r="K37" t="s">
        <v>174</v>
      </c>
      <c r="L37">
        <v>1191</v>
      </c>
      <c r="N37">
        <v>1013</v>
      </c>
      <c r="O37" t="s">
        <v>175</v>
      </c>
      <c r="P37" t="s">
        <v>175</v>
      </c>
      <c r="Q37">
        <v>1</v>
      </c>
      <c r="X37">
        <v>6.04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1</v>
      </c>
      <c r="AF37" t="s">
        <v>3</v>
      </c>
      <c r="AG37">
        <v>6.04</v>
      </c>
      <c r="AH37">
        <v>2</v>
      </c>
      <c r="AI37">
        <v>50844444</v>
      </c>
      <c r="AJ37">
        <v>39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5">
      <c r="A38">
        <f>ROW(Source!A91)</f>
        <v>91</v>
      </c>
      <c r="B38">
        <v>50844448</v>
      </c>
      <c r="C38">
        <v>50844443</v>
      </c>
      <c r="D38">
        <v>48887296</v>
      </c>
      <c r="E38">
        <v>1</v>
      </c>
      <c r="F38">
        <v>1</v>
      </c>
      <c r="G38">
        <v>27</v>
      </c>
      <c r="H38">
        <v>3</v>
      </c>
      <c r="I38" t="s">
        <v>213</v>
      </c>
      <c r="J38" t="s">
        <v>214</v>
      </c>
      <c r="K38" t="s">
        <v>215</v>
      </c>
      <c r="L38">
        <v>1339</v>
      </c>
      <c r="N38">
        <v>1007</v>
      </c>
      <c r="O38" t="s">
        <v>84</v>
      </c>
      <c r="P38" t="s">
        <v>84</v>
      </c>
      <c r="Q38">
        <v>1</v>
      </c>
      <c r="X38">
        <v>10</v>
      </c>
      <c r="Y38">
        <v>35.25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 t="s">
        <v>3</v>
      </c>
      <c r="AG38">
        <v>10</v>
      </c>
      <c r="AH38">
        <v>2</v>
      </c>
      <c r="AI38">
        <v>50844445</v>
      </c>
      <c r="AJ38">
        <v>40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5">
      <c r="A39">
        <f>ROW(Source!A91)</f>
        <v>91</v>
      </c>
      <c r="B39">
        <v>50844449</v>
      </c>
      <c r="C39">
        <v>50844443</v>
      </c>
      <c r="D39">
        <v>48889030</v>
      </c>
      <c r="E39">
        <v>1</v>
      </c>
      <c r="F39">
        <v>1</v>
      </c>
      <c r="G39">
        <v>27</v>
      </c>
      <c r="H39">
        <v>3</v>
      </c>
      <c r="I39" t="s">
        <v>234</v>
      </c>
      <c r="J39" t="s">
        <v>235</v>
      </c>
      <c r="K39" t="s">
        <v>236</v>
      </c>
      <c r="L39">
        <v>1346</v>
      </c>
      <c r="N39">
        <v>1009</v>
      </c>
      <c r="O39" t="s">
        <v>237</v>
      </c>
      <c r="P39" t="s">
        <v>237</v>
      </c>
      <c r="Q39">
        <v>1</v>
      </c>
      <c r="X39">
        <v>4</v>
      </c>
      <c r="Y39">
        <v>303.08999999999997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 t="s">
        <v>3</v>
      </c>
      <c r="AG39">
        <v>4</v>
      </c>
      <c r="AH39">
        <v>2</v>
      </c>
      <c r="AI39">
        <v>50844446</v>
      </c>
      <c r="AJ39">
        <v>41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7CAF-949C-41E9-B39D-CB27AC9DA324}">
  <dimension ref="A1:N3"/>
  <sheetViews>
    <sheetView workbookViewId="0">
      <selection activeCell="I33" sqref="I33"/>
    </sheetView>
  </sheetViews>
  <sheetFormatPr defaultRowHeight="13.2" x14ac:dyDescent="0.25"/>
  <cols>
    <col min="1" max="1" width="9.88671875" customWidth="1"/>
    <col min="2" max="2" width="19.44140625" customWidth="1"/>
    <col min="3" max="4" width="23.5546875" customWidth="1"/>
    <col min="5" max="5" width="6.77734375" customWidth="1"/>
    <col min="6" max="6" width="26.21875" customWidth="1"/>
    <col min="7" max="7" width="13.5546875" customWidth="1"/>
  </cols>
  <sheetData>
    <row r="1" spans="1:14" x14ac:dyDescent="0.25">
      <c r="A1" t="s">
        <v>361</v>
      </c>
      <c r="B1" t="s">
        <v>362</v>
      </c>
      <c r="C1" t="s">
        <v>363</v>
      </c>
      <c r="D1" t="s">
        <v>364</v>
      </c>
      <c r="E1" t="s">
        <v>349</v>
      </c>
      <c r="F1" t="s">
        <v>255</v>
      </c>
      <c r="G1" t="s">
        <v>365</v>
      </c>
      <c r="H1" s="94" t="s">
        <v>256</v>
      </c>
      <c r="I1" s="94" t="s">
        <v>257</v>
      </c>
      <c r="J1" s="94" t="s">
        <v>258</v>
      </c>
      <c r="K1" s="94" t="s">
        <v>259</v>
      </c>
      <c r="L1" s="94" t="s">
        <v>260</v>
      </c>
      <c r="M1" s="94" t="s">
        <v>261</v>
      </c>
      <c r="N1" s="94" t="s">
        <v>262</v>
      </c>
    </row>
    <row r="2" spans="1:14" x14ac:dyDescent="0.25">
      <c r="H2" s="95"/>
      <c r="I2" s="95"/>
      <c r="J2" s="95"/>
      <c r="K2" s="95"/>
      <c r="L2" s="95"/>
      <c r="M2" s="95"/>
      <c r="N2" s="95"/>
    </row>
    <row r="3" spans="1:14" x14ac:dyDescent="0.25">
      <c r="H3" s="95"/>
      <c r="I3" s="95"/>
      <c r="J3" s="95"/>
      <c r="K3" s="95"/>
      <c r="L3" s="95"/>
      <c r="M3" s="95"/>
      <c r="N3" s="95"/>
    </row>
  </sheetData>
  <mergeCells count="7">
    <mergeCell ref="N1:N3"/>
    <mergeCell ref="H1:H3"/>
    <mergeCell ref="I1:I3"/>
    <mergeCell ref="J1:J3"/>
    <mergeCell ref="K1:K3"/>
    <mergeCell ref="L1:L3"/>
    <mergeCell ref="M1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Смета СН-2012 по гл. 1-5</vt:lpstr>
      <vt:lpstr>RV_DATA</vt:lpstr>
      <vt:lpstr>Расчет стоимости ресурсов</vt:lpstr>
      <vt:lpstr>Source</vt:lpstr>
      <vt:lpstr>SourceObSm</vt:lpstr>
      <vt:lpstr>SmtRes</vt:lpstr>
      <vt:lpstr>EtalonRes</vt:lpstr>
      <vt:lpstr>dataset</vt:lpstr>
      <vt:lpstr>'Расчет стоимости ресурсов'!Заголовки_для_печати</vt:lpstr>
      <vt:lpstr>'Смета СН-2012 по гл. 1-5'!Заголовки_для_печати</vt:lpstr>
      <vt:lpstr>'Расчет стоимости ресурсов'!Область_печати</vt:lpstr>
      <vt:lpstr>'Смета СН-2012 по гл. 1-5'!Область_печати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Шулаев Антон Максимович</cp:lastModifiedBy>
  <cp:lastPrinted>2021-10-27T09:00:54Z</cp:lastPrinted>
  <dcterms:created xsi:type="dcterms:W3CDTF">2021-09-22T13:14:13Z</dcterms:created>
  <dcterms:modified xsi:type="dcterms:W3CDTF">2022-09-29T10:46:14Z</dcterms:modified>
</cp:coreProperties>
</file>