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sakinSA\Desktop\Тесты\"/>
    </mc:Choice>
  </mc:AlternateContent>
  <bookViews>
    <workbookView xWindow="0" yWindow="0" windowWidth="28800" windowHeight="12300"/>
  </bookViews>
  <sheets>
    <sheet name="Смета СН-2012 по гл. 1-5" sheetId="5" r:id="rId1"/>
    <sheet name="RV_DATA" sheetId="7" state="hidden" r:id="rId2"/>
    <sheet name="Source" sheetId="1" r:id="rId3"/>
    <sheet name="SourceObSm" sheetId="2" r:id="rId4"/>
    <sheet name="SmtRes" sheetId="3" r:id="rId5"/>
    <sheet name="EtalonRes" sheetId="4" r:id="rId6"/>
  </sheets>
  <definedNames>
    <definedName name="_xlnm.Print_Titles" localSheetId="0">'Смета СН-2012 по гл. 1-5'!$31:$31</definedName>
    <definedName name="_xlnm.Print_Area" localSheetId="0">'Смета СН-2012 по гл. 1-5'!$A$1:$K$453</definedName>
  </definedNames>
  <calcPr calcId="162913"/>
</workbook>
</file>

<file path=xl/calcChain.xml><?xml version="1.0" encoding="utf-8"?>
<calcChain xmlns="http://schemas.openxmlformats.org/spreadsheetml/2006/main">
  <c r="U78" i="7" l="1"/>
  <c r="H78" i="7"/>
  <c r="G78" i="7"/>
  <c r="F78" i="7"/>
  <c r="E78" i="7"/>
  <c r="D78" i="7"/>
  <c r="A78" i="7"/>
  <c r="U77" i="7"/>
  <c r="S77" i="7"/>
  <c r="P77" i="7"/>
  <c r="N77" i="7"/>
  <c r="K77" i="7"/>
  <c r="J77" i="7"/>
  <c r="H77" i="7"/>
  <c r="G77" i="7"/>
  <c r="F77" i="7"/>
  <c r="E77" i="7"/>
  <c r="U76" i="7"/>
  <c r="S76" i="7"/>
  <c r="P76" i="7"/>
  <c r="N76" i="7"/>
  <c r="K76" i="7"/>
  <c r="J76" i="7"/>
  <c r="H76" i="7"/>
  <c r="G76" i="7"/>
  <c r="F76" i="7"/>
  <c r="E76" i="7"/>
  <c r="U75" i="7"/>
  <c r="S75" i="7"/>
  <c r="P75" i="7"/>
  <c r="N75" i="7"/>
  <c r="K75" i="7"/>
  <c r="J75" i="7"/>
  <c r="H75" i="7"/>
  <c r="G75" i="7"/>
  <c r="F75" i="7"/>
  <c r="E75" i="7"/>
  <c r="U74" i="7"/>
  <c r="S74" i="7"/>
  <c r="P74" i="7"/>
  <c r="N74" i="7"/>
  <c r="K74" i="7"/>
  <c r="J74" i="7"/>
  <c r="H74" i="7"/>
  <c r="G74" i="7"/>
  <c r="F74" i="7"/>
  <c r="E74" i="7"/>
  <c r="U73" i="7"/>
  <c r="S73" i="7"/>
  <c r="P73" i="7"/>
  <c r="N73" i="7"/>
  <c r="K73" i="7"/>
  <c r="J73" i="7"/>
  <c r="H73" i="7"/>
  <c r="G73" i="7"/>
  <c r="F73" i="7"/>
  <c r="E73" i="7"/>
  <c r="U72" i="7"/>
  <c r="S72" i="7"/>
  <c r="P72" i="7"/>
  <c r="N72" i="7"/>
  <c r="K72" i="7"/>
  <c r="J72" i="7"/>
  <c r="H72" i="7"/>
  <c r="G72" i="7"/>
  <c r="F72" i="7"/>
  <c r="E72" i="7"/>
  <c r="U71" i="7"/>
  <c r="S71" i="7"/>
  <c r="P71" i="7"/>
  <c r="N71" i="7"/>
  <c r="K71" i="7"/>
  <c r="J71" i="7"/>
  <c r="H71" i="7"/>
  <c r="G71" i="7"/>
  <c r="F71" i="7"/>
  <c r="E71" i="7"/>
  <c r="U70" i="7"/>
  <c r="S70" i="7"/>
  <c r="P70" i="7"/>
  <c r="N70" i="7"/>
  <c r="K70" i="7"/>
  <c r="J70" i="7"/>
  <c r="H70" i="7"/>
  <c r="G70" i="7"/>
  <c r="F70" i="7"/>
  <c r="E70" i="7"/>
  <c r="U69" i="7"/>
  <c r="S69" i="7"/>
  <c r="P69" i="7"/>
  <c r="N69" i="7"/>
  <c r="K69" i="7"/>
  <c r="J69" i="7"/>
  <c r="H69" i="7"/>
  <c r="G69" i="7"/>
  <c r="F69" i="7"/>
  <c r="E69" i="7"/>
  <c r="U68" i="7"/>
  <c r="S68" i="7"/>
  <c r="P68" i="7"/>
  <c r="N68" i="7"/>
  <c r="K68" i="7"/>
  <c r="J68" i="7"/>
  <c r="H68" i="7"/>
  <c r="G68" i="7"/>
  <c r="F68" i="7"/>
  <c r="E68" i="7"/>
  <c r="G67" i="7"/>
  <c r="A67" i="7"/>
  <c r="U66" i="7"/>
  <c r="H66" i="7"/>
  <c r="G66" i="7"/>
  <c r="F66" i="7"/>
  <c r="E66" i="7"/>
  <c r="D66" i="7"/>
  <c r="A66" i="7"/>
  <c r="U65" i="7"/>
  <c r="S65" i="7"/>
  <c r="P65" i="7"/>
  <c r="N65" i="7"/>
  <c r="K65" i="7"/>
  <c r="J65" i="7"/>
  <c r="H65" i="7"/>
  <c r="G65" i="7"/>
  <c r="F65" i="7"/>
  <c r="E65" i="7"/>
  <c r="U64" i="7"/>
  <c r="S64" i="7"/>
  <c r="P64" i="7"/>
  <c r="N64" i="7"/>
  <c r="K64" i="7"/>
  <c r="J64" i="7"/>
  <c r="H64" i="7"/>
  <c r="G64" i="7"/>
  <c r="F64" i="7"/>
  <c r="E64" i="7"/>
  <c r="U63" i="7"/>
  <c r="S63" i="7"/>
  <c r="P63" i="7"/>
  <c r="N63" i="7"/>
  <c r="K63" i="7"/>
  <c r="J63" i="7"/>
  <c r="H63" i="7"/>
  <c r="G63" i="7"/>
  <c r="F63" i="7"/>
  <c r="E63" i="7"/>
  <c r="U62" i="7"/>
  <c r="S62" i="7"/>
  <c r="P62" i="7"/>
  <c r="N62" i="7"/>
  <c r="K62" i="7"/>
  <c r="J62" i="7"/>
  <c r="H62" i="7"/>
  <c r="G62" i="7"/>
  <c r="F62" i="7"/>
  <c r="E62" i="7"/>
  <c r="U61" i="7"/>
  <c r="S61" i="7"/>
  <c r="P61" i="7"/>
  <c r="N61" i="7"/>
  <c r="K61" i="7"/>
  <c r="J61" i="7"/>
  <c r="H61" i="7"/>
  <c r="G61" i="7"/>
  <c r="F61" i="7"/>
  <c r="E61" i="7"/>
  <c r="U60" i="7"/>
  <c r="S60" i="7"/>
  <c r="P60" i="7"/>
  <c r="N60" i="7"/>
  <c r="K60" i="7"/>
  <c r="J60" i="7"/>
  <c r="H60" i="7"/>
  <c r="G60" i="7"/>
  <c r="F60" i="7"/>
  <c r="E60" i="7"/>
  <c r="G59" i="7"/>
  <c r="A59" i="7"/>
  <c r="U58" i="7"/>
  <c r="H58" i="7"/>
  <c r="G58" i="7"/>
  <c r="F58" i="7"/>
  <c r="E58" i="7"/>
  <c r="D58" i="7"/>
  <c r="A58" i="7"/>
  <c r="U57" i="7"/>
  <c r="S57" i="7"/>
  <c r="P57" i="7"/>
  <c r="N57" i="7"/>
  <c r="K57" i="7"/>
  <c r="J57" i="7"/>
  <c r="H57" i="7"/>
  <c r="G57" i="7"/>
  <c r="F57" i="7"/>
  <c r="E57" i="7"/>
  <c r="U56" i="7"/>
  <c r="S56" i="7"/>
  <c r="P56" i="7"/>
  <c r="N56" i="7"/>
  <c r="K56" i="7"/>
  <c r="J56" i="7"/>
  <c r="H56" i="7"/>
  <c r="G56" i="7"/>
  <c r="F56" i="7"/>
  <c r="E56" i="7"/>
  <c r="U55" i="7"/>
  <c r="S55" i="7"/>
  <c r="P55" i="7"/>
  <c r="N55" i="7"/>
  <c r="K55" i="7"/>
  <c r="J55" i="7"/>
  <c r="H55" i="7"/>
  <c r="G55" i="7"/>
  <c r="F55" i="7"/>
  <c r="E55" i="7"/>
  <c r="U54" i="7"/>
  <c r="S54" i="7"/>
  <c r="P54" i="7"/>
  <c r="N54" i="7"/>
  <c r="K54" i="7"/>
  <c r="J54" i="7"/>
  <c r="H54" i="7"/>
  <c r="G54" i="7"/>
  <c r="F54" i="7"/>
  <c r="E54" i="7"/>
  <c r="U53" i="7"/>
  <c r="S53" i="7"/>
  <c r="P53" i="7"/>
  <c r="N53" i="7"/>
  <c r="K53" i="7"/>
  <c r="J53" i="7"/>
  <c r="H53" i="7"/>
  <c r="G53" i="7"/>
  <c r="F53" i="7"/>
  <c r="E53" i="7"/>
  <c r="U52" i="7"/>
  <c r="S52" i="7"/>
  <c r="P52" i="7"/>
  <c r="N52" i="7"/>
  <c r="K52" i="7"/>
  <c r="J52" i="7"/>
  <c r="H52" i="7"/>
  <c r="G52" i="7"/>
  <c r="F52" i="7"/>
  <c r="E52" i="7"/>
  <c r="G51" i="7"/>
  <c r="A51" i="7"/>
  <c r="U50" i="7"/>
  <c r="H50" i="7"/>
  <c r="G50" i="7"/>
  <c r="F50" i="7"/>
  <c r="E50" i="7"/>
  <c r="D50" i="7"/>
  <c r="A50" i="7"/>
  <c r="U49" i="7"/>
  <c r="H49" i="7"/>
  <c r="G49" i="7"/>
  <c r="F49" i="7"/>
  <c r="E49" i="7"/>
  <c r="D49" i="7"/>
  <c r="A49" i="7"/>
  <c r="U48" i="7"/>
  <c r="S48" i="7"/>
  <c r="P48" i="7"/>
  <c r="N48" i="7"/>
  <c r="K48" i="7"/>
  <c r="J48" i="7"/>
  <c r="H48" i="7"/>
  <c r="G48" i="7"/>
  <c r="F48" i="7"/>
  <c r="E48" i="7"/>
  <c r="U47" i="7"/>
  <c r="S47" i="7"/>
  <c r="P47" i="7"/>
  <c r="N47" i="7"/>
  <c r="K47" i="7"/>
  <c r="J47" i="7"/>
  <c r="H47" i="7"/>
  <c r="G47" i="7"/>
  <c r="F47" i="7"/>
  <c r="E47" i="7"/>
  <c r="U46" i="7"/>
  <c r="S46" i="7"/>
  <c r="P46" i="7"/>
  <c r="N46" i="7"/>
  <c r="K46" i="7"/>
  <c r="J46" i="7"/>
  <c r="H46" i="7"/>
  <c r="G46" i="7"/>
  <c r="F46" i="7"/>
  <c r="E46" i="7"/>
  <c r="U45" i="7"/>
  <c r="S45" i="7"/>
  <c r="P45" i="7"/>
  <c r="N45" i="7"/>
  <c r="K45" i="7"/>
  <c r="J45" i="7"/>
  <c r="H45" i="7"/>
  <c r="G45" i="7"/>
  <c r="F45" i="7"/>
  <c r="E45" i="7"/>
  <c r="U44" i="7"/>
  <c r="S44" i="7"/>
  <c r="P44" i="7"/>
  <c r="N44" i="7"/>
  <c r="K44" i="7"/>
  <c r="J44" i="7"/>
  <c r="H44" i="7"/>
  <c r="G44" i="7"/>
  <c r="F44" i="7"/>
  <c r="E44" i="7"/>
  <c r="U43" i="7"/>
  <c r="S43" i="7"/>
  <c r="P43" i="7"/>
  <c r="N43" i="7"/>
  <c r="K43" i="7"/>
  <c r="J43" i="7"/>
  <c r="H43" i="7"/>
  <c r="G43" i="7"/>
  <c r="F43" i="7"/>
  <c r="E43" i="7"/>
  <c r="U42" i="7"/>
  <c r="S42" i="7"/>
  <c r="P42" i="7"/>
  <c r="N42" i="7"/>
  <c r="K42" i="7"/>
  <c r="J42" i="7"/>
  <c r="H42" i="7"/>
  <c r="G42" i="7"/>
  <c r="F42" i="7"/>
  <c r="E42" i="7"/>
  <c r="U41" i="7"/>
  <c r="S41" i="7"/>
  <c r="P41" i="7"/>
  <c r="N41" i="7"/>
  <c r="K41" i="7"/>
  <c r="J41" i="7"/>
  <c r="H41" i="7"/>
  <c r="G41" i="7"/>
  <c r="F41" i="7"/>
  <c r="E41" i="7"/>
  <c r="U40" i="7"/>
  <c r="S40" i="7"/>
  <c r="P40" i="7"/>
  <c r="N40" i="7"/>
  <c r="K40" i="7"/>
  <c r="J40" i="7"/>
  <c r="H40" i="7"/>
  <c r="G40" i="7"/>
  <c r="F40" i="7"/>
  <c r="E40" i="7"/>
  <c r="U39" i="7"/>
  <c r="H39" i="7"/>
  <c r="G39" i="7"/>
  <c r="F39" i="7"/>
  <c r="E39" i="7"/>
  <c r="D39" i="7"/>
  <c r="A39" i="7"/>
  <c r="G38" i="7"/>
  <c r="A38" i="7"/>
  <c r="U37" i="7"/>
  <c r="H37" i="7"/>
  <c r="G37" i="7"/>
  <c r="F37" i="7"/>
  <c r="E37" i="7"/>
  <c r="D37" i="7"/>
  <c r="A37" i="7"/>
  <c r="U36" i="7"/>
  <c r="S36" i="7"/>
  <c r="P36" i="7"/>
  <c r="N36" i="7"/>
  <c r="K36" i="7"/>
  <c r="J36" i="7"/>
  <c r="H36" i="7"/>
  <c r="G36" i="7"/>
  <c r="F36" i="7"/>
  <c r="E36" i="7"/>
  <c r="U35" i="7"/>
  <c r="S35" i="7"/>
  <c r="P35" i="7"/>
  <c r="N35" i="7"/>
  <c r="K35" i="7"/>
  <c r="J35" i="7"/>
  <c r="H35" i="7"/>
  <c r="G35" i="7"/>
  <c r="F35" i="7"/>
  <c r="E35" i="7"/>
  <c r="U34" i="7"/>
  <c r="S34" i="7"/>
  <c r="P34" i="7"/>
  <c r="N34" i="7"/>
  <c r="K34" i="7"/>
  <c r="J34" i="7"/>
  <c r="H34" i="7"/>
  <c r="G34" i="7"/>
  <c r="F34" i="7"/>
  <c r="E34" i="7"/>
  <c r="U33" i="7"/>
  <c r="S33" i="7"/>
  <c r="P33" i="7"/>
  <c r="N33" i="7"/>
  <c r="K33" i="7"/>
  <c r="J33" i="7"/>
  <c r="H33" i="7"/>
  <c r="G33" i="7"/>
  <c r="F33" i="7"/>
  <c r="E33" i="7"/>
  <c r="U32" i="7"/>
  <c r="S32" i="7"/>
  <c r="P32" i="7"/>
  <c r="N32" i="7"/>
  <c r="K32" i="7"/>
  <c r="J32" i="7"/>
  <c r="H32" i="7"/>
  <c r="G32" i="7"/>
  <c r="F32" i="7"/>
  <c r="E32" i="7"/>
  <c r="U31" i="7"/>
  <c r="S31" i="7"/>
  <c r="P31" i="7"/>
  <c r="N31" i="7"/>
  <c r="K31" i="7"/>
  <c r="J31" i="7"/>
  <c r="H31" i="7"/>
  <c r="G31" i="7"/>
  <c r="F31" i="7"/>
  <c r="E31" i="7"/>
  <c r="U30" i="7"/>
  <c r="S30" i="7"/>
  <c r="P30" i="7"/>
  <c r="N30" i="7"/>
  <c r="K30" i="7"/>
  <c r="J30" i="7"/>
  <c r="H30" i="7"/>
  <c r="G30" i="7"/>
  <c r="F30" i="7"/>
  <c r="E30" i="7"/>
  <c r="U29" i="7"/>
  <c r="S29" i="7"/>
  <c r="P29" i="7"/>
  <c r="N29" i="7"/>
  <c r="K29" i="7"/>
  <c r="J29" i="7"/>
  <c r="H29" i="7"/>
  <c r="G29" i="7"/>
  <c r="F29" i="7"/>
  <c r="E29" i="7"/>
  <c r="U28" i="7"/>
  <c r="S28" i="7"/>
  <c r="P28" i="7"/>
  <c r="N28" i="7"/>
  <c r="K28" i="7"/>
  <c r="J28" i="7"/>
  <c r="H28" i="7"/>
  <c r="G28" i="7"/>
  <c r="F28" i="7"/>
  <c r="E28" i="7"/>
  <c r="U27" i="7"/>
  <c r="H27" i="7"/>
  <c r="G27" i="7"/>
  <c r="F27" i="7"/>
  <c r="E27" i="7"/>
  <c r="D27" i="7"/>
  <c r="A27" i="7"/>
  <c r="G26" i="7"/>
  <c r="A26" i="7"/>
  <c r="G25" i="7"/>
  <c r="A25" i="7"/>
  <c r="U24" i="7"/>
  <c r="S24" i="7"/>
  <c r="P24" i="7"/>
  <c r="N24" i="7"/>
  <c r="K24" i="7"/>
  <c r="J24" i="7"/>
  <c r="H24" i="7"/>
  <c r="G24" i="7"/>
  <c r="F24" i="7"/>
  <c r="E24" i="7"/>
  <c r="U23" i="7"/>
  <c r="S23" i="7"/>
  <c r="P23" i="7"/>
  <c r="N23" i="7"/>
  <c r="K23" i="7"/>
  <c r="J23" i="7"/>
  <c r="H23" i="7"/>
  <c r="G23" i="7"/>
  <c r="F23" i="7"/>
  <c r="E23" i="7"/>
  <c r="U22" i="7"/>
  <c r="S22" i="7"/>
  <c r="P22" i="7"/>
  <c r="N22" i="7"/>
  <c r="K22" i="7"/>
  <c r="J22" i="7"/>
  <c r="H22" i="7"/>
  <c r="G22" i="7"/>
  <c r="F22" i="7"/>
  <c r="E22" i="7"/>
  <c r="U21" i="7"/>
  <c r="S21" i="7"/>
  <c r="P21" i="7"/>
  <c r="N21" i="7"/>
  <c r="K21" i="7"/>
  <c r="J21" i="7"/>
  <c r="H21" i="7"/>
  <c r="G21" i="7"/>
  <c r="F21" i="7"/>
  <c r="E21" i="7"/>
  <c r="U20" i="7"/>
  <c r="S20" i="7"/>
  <c r="P20" i="7"/>
  <c r="N20" i="7"/>
  <c r="K20" i="7"/>
  <c r="J20" i="7"/>
  <c r="H20" i="7"/>
  <c r="G20" i="7"/>
  <c r="F20" i="7"/>
  <c r="E20" i="7"/>
  <c r="U19" i="7"/>
  <c r="S19" i="7"/>
  <c r="P19" i="7"/>
  <c r="N19" i="7"/>
  <c r="K19" i="7"/>
  <c r="J19" i="7"/>
  <c r="H19" i="7"/>
  <c r="G19" i="7"/>
  <c r="F19" i="7"/>
  <c r="E19" i="7"/>
  <c r="U18" i="7"/>
  <c r="S18" i="7"/>
  <c r="P18" i="7"/>
  <c r="N18" i="7"/>
  <c r="K18" i="7"/>
  <c r="J18" i="7"/>
  <c r="H18" i="7"/>
  <c r="G18" i="7"/>
  <c r="F18" i="7"/>
  <c r="E18" i="7"/>
  <c r="U17" i="7"/>
  <c r="S17" i="7"/>
  <c r="P17" i="7"/>
  <c r="N17" i="7"/>
  <c r="K17" i="7"/>
  <c r="J17" i="7"/>
  <c r="H17" i="7"/>
  <c r="G17" i="7"/>
  <c r="F17" i="7"/>
  <c r="E17" i="7"/>
  <c r="U16" i="7"/>
  <c r="S16" i="7"/>
  <c r="P16" i="7"/>
  <c r="N16" i="7"/>
  <c r="K16" i="7"/>
  <c r="J16" i="7"/>
  <c r="H16" i="7"/>
  <c r="G16" i="7"/>
  <c r="F16" i="7"/>
  <c r="E16" i="7"/>
  <c r="U15" i="7"/>
  <c r="S15" i="7"/>
  <c r="P15" i="7"/>
  <c r="N15" i="7"/>
  <c r="K15" i="7"/>
  <c r="J15" i="7"/>
  <c r="H15" i="7"/>
  <c r="G15" i="7"/>
  <c r="F15" i="7"/>
  <c r="E15" i="7"/>
  <c r="U14" i="7"/>
  <c r="S14" i="7"/>
  <c r="P14" i="7"/>
  <c r="N14" i="7"/>
  <c r="K14" i="7"/>
  <c r="J14" i="7"/>
  <c r="H14" i="7"/>
  <c r="G14" i="7"/>
  <c r="F14" i="7"/>
  <c r="E14" i="7"/>
  <c r="U13" i="7"/>
  <c r="H13" i="7"/>
  <c r="G13" i="7"/>
  <c r="F13" i="7"/>
  <c r="E13" i="7"/>
  <c r="D13" i="7"/>
  <c r="A13" i="7"/>
  <c r="U12" i="7"/>
  <c r="S12" i="7"/>
  <c r="P12" i="7"/>
  <c r="N12" i="7"/>
  <c r="K12" i="7"/>
  <c r="J12" i="7"/>
  <c r="H12" i="7"/>
  <c r="G12" i="7"/>
  <c r="F12" i="7"/>
  <c r="E12" i="7"/>
  <c r="U11" i="7"/>
  <c r="S11" i="7"/>
  <c r="P11" i="7"/>
  <c r="N11" i="7"/>
  <c r="K11" i="7"/>
  <c r="J11" i="7"/>
  <c r="H11" i="7"/>
  <c r="G11" i="7"/>
  <c r="F11" i="7"/>
  <c r="E11" i="7"/>
  <c r="U10" i="7"/>
  <c r="S10" i="7"/>
  <c r="P10" i="7"/>
  <c r="N10" i="7"/>
  <c r="K10" i="7"/>
  <c r="J10" i="7"/>
  <c r="H10" i="7"/>
  <c r="G10" i="7"/>
  <c r="F10" i="7"/>
  <c r="E10" i="7"/>
  <c r="U9" i="7"/>
  <c r="S9" i="7"/>
  <c r="P9" i="7"/>
  <c r="N9" i="7"/>
  <c r="K9" i="7"/>
  <c r="J9" i="7"/>
  <c r="H9" i="7"/>
  <c r="G9" i="7"/>
  <c r="F9" i="7"/>
  <c r="E9" i="7"/>
  <c r="U8" i="7"/>
  <c r="H8" i="7"/>
  <c r="G8" i="7"/>
  <c r="F8" i="7"/>
  <c r="E8" i="7"/>
  <c r="D8" i="7"/>
  <c r="A8" i="7"/>
  <c r="G7" i="7"/>
  <c r="A7" i="7"/>
  <c r="G6" i="7"/>
  <c r="A6" i="7"/>
  <c r="H451" i="5"/>
  <c r="H448" i="5"/>
  <c r="C451" i="5"/>
  <c r="C448" i="5"/>
  <c r="C445" i="5"/>
  <c r="C444" i="5"/>
  <c r="C443" i="5"/>
  <c r="H435" i="5"/>
  <c r="G435" i="5"/>
  <c r="E435" i="5"/>
  <c r="E434" i="5"/>
  <c r="E433" i="5"/>
  <c r="E432" i="5"/>
  <c r="I431" i="5"/>
  <c r="H431" i="5"/>
  <c r="F431" i="5"/>
  <c r="D431" i="5"/>
  <c r="B431" i="5"/>
  <c r="A431" i="5"/>
  <c r="I430" i="5"/>
  <c r="H430" i="5"/>
  <c r="G430" i="5"/>
  <c r="F430" i="5"/>
  <c r="I429" i="5"/>
  <c r="H429" i="5"/>
  <c r="G429" i="5"/>
  <c r="F429" i="5"/>
  <c r="I428" i="5"/>
  <c r="H428" i="5"/>
  <c r="G428" i="5"/>
  <c r="F428" i="5"/>
  <c r="I427" i="5"/>
  <c r="H427" i="5"/>
  <c r="G427" i="5"/>
  <c r="F427" i="5"/>
  <c r="D425" i="5"/>
  <c r="C425" i="5"/>
  <c r="B425" i="5"/>
  <c r="A425" i="5"/>
  <c r="H423" i="5"/>
  <c r="G423" i="5"/>
  <c r="E423" i="5"/>
  <c r="E422" i="5"/>
  <c r="E421" i="5"/>
  <c r="E420" i="5"/>
  <c r="I419" i="5"/>
  <c r="H419" i="5"/>
  <c r="G419" i="5"/>
  <c r="F419" i="5"/>
  <c r="I418" i="5"/>
  <c r="H418" i="5"/>
  <c r="G418" i="5"/>
  <c r="F418" i="5"/>
  <c r="I417" i="5"/>
  <c r="H417" i="5"/>
  <c r="G417" i="5"/>
  <c r="F417" i="5"/>
  <c r="I416" i="5"/>
  <c r="H416" i="5"/>
  <c r="G416" i="5"/>
  <c r="F416" i="5"/>
  <c r="D414" i="5"/>
  <c r="C414" i="5"/>
  <c r="B414" i="5"/>
  <c r="A414" i="5"/>
  <c r="H412" i="5"/>
  <c r="G412" i="5"/>
  <c r="E412" i="5"/>
  <c r="E411" i="5"/>
  <c r="E410" i="5"/>
  <c r="E409" i="5"/>
  <c r="I408" i="5"/>
  <c r="H408" i="5"/>
  <c r="G408" i="5"/>
  <c r="F408" i="5"/>
  <c r="I407" i="5"/>
  <c r="H407" i="5"/>
  <c r="G407" i="5"/>
  <c r="F407" i="5"/>
  <c r="I406" i="5"/>
  <c r="H406" i="5"/>
  <c r="G406" i="5"/>
  <c r="F406" i="5"/>
  <c r="I405" i="5"/>
  <c r="H405" i="5"/>
  <c r="G405" i="5"/>
  <c r="F405" i="5"/>
  <c r="D403" i="5"/>
  <c r="C403" i="5"/>
  <c r="B403" i="5"/>
  <c r="A403" i="5"/>
  <c r="A402" i="5"/>
  <c r="H397" i="5"/>
  <c r="G397" i="5"/>
  <c r="E397" i="5"/>
  <c r="E396" i="5"/>
  <c r="E395" i="5"/>
  <c r="E394" i="5"/>
  <c r="I393" i="5"/>
  <c r="H393" i="5"/>
  <c r="F393" i="5"/>
  <c r="D393" i="5"/>
  <c r="B393" i="5"/>
  <c r="A393" i="5"/>
  <c r="I392" i="5"/>
  <c r="H392" i="5"/>
  <c r="G392" i="5"/>
  <c r="F392" i="5"/>
  <c r="I391" i="5"/>
  <c r="H391" i="5"/>
  <c r="G391" i="5"/>
  <c r="F391" i="5"/>
  <c r="I390" i="5"/>
  <c r="H390" i="5"/>
  <c r="G390" i="5"/>
  <c r="F390" i="5"/>
  <c r="I389" i="5"/>
  <c r="H389" i="5"/>
  <c r="G389" i="5"/>
  <c r="F389" i="5"/>
  <c r="D388" i="5"/>
  <c r="C388" i="5"/>
  <c r="B388" i="5"/>
  <c r="A388" i="5"/>
  <c r="H386" i="5"/>
  <c r="G386" i="5"/>
  <c r="E386" i="5"/>
  <c r="E385" i="5"/>
  <c r="E384" i="5"/>
  <c r="I383" i="5"/>
  <c r="H383" i="5"/>
  <c r="G383" i="5"/>
  <c r="F383" i="5"/>
  <c r="I382" i="5"/>
  <c r="H382" i="5"/>
  <c r="G382" i="5"/>
  <c r="F382" i="5"/>
  <c r="D380" i="5"/>
  <c r="C380" i="5"/>
  <c r="B380" i="5"/>
  <c r="A380" i="5"/>
  <c r="H378" i="5"/>
  <c r="G378" i="5"/>
  <c r="E378" i="5"/>
  <c r="E377" i="5"/>
  <c r="E376" i="5"/>
  <c r="I375" i="5"/>
  <c r="H375" i="5"/>
  <c r="G375" i="5"/>
  <c r="F375" i="5"/>
  <c r="I374" i="5"/>
  <c r="H374" i="5"/>
  <c r="G374" i="5"/>
  <c r="F374" i="5"/>
  <c r="I373" i="5"/>
  <c r="H373" i="5"/>
  <c r="G373" i="5"/>
  <c r="F373" i="5"/>
  <c r="D371" i="5"/>
  <c r="C371" i="5"/>
  <c r="B371" i="5"/>
  <c r="A371" i="5"/>
  <c r="A370" i="5"/>
  <c r="H365" i="5"/>
  <c r="G365" i="5"/>
  <c r="E365" i="5"/>
  <c r="E364" i="5"/>
  <c r="E363" i="5"/>
  <c r="E362" i="5"/>
  <c r="I361" i="5"/>
  <c r="H361" i="5"/>
  <c r="F361" i="5"/>
  <c r="D361" i="5"/>
  <c r="B361" i="5"/>
  <c r="A361" i="5"/>
  <c r="I360" i="5"/>
  <c r="H360" i="5"/>
  <c r="G360" i="5"/>
  <c r="F360" i="5"/>
  <c r="I359" i="5"/>
  <c r="H359" i="5"/>
  <c r="G359" i="5"/>
  <c r="F359" i="5"/>
  <c r="I358" i="5"/>
  <c r="H358" i="5"/>
  <c r="G358" i="5"/>
  <c r="F358" i="5"/>
  <c r="I357" i="5"/>
  <c r="H357" i="5"/>
  <c r="G357" i="5"/>
  <c r="F357" i="5"/>
  <c r="D356" i="5"/>
  <c r="C356" i="5"/>
  <c r="B356" i="5"/>
  <c r="A356" i="5"/>
  <c r="H354" i="5"/>
  <c r="G354" i="5"/>
  <c r="E354" i="5"/>
  <c r="E353" i="5"/>
  <c r="E352" i="5"/>
  <c r="I351" i="5"/>
  <c r="H351" i="5"/>
  <c r="G351" i="5"/>
  <c r="F351" i="5"/>
  <c r="I350" i="5"/>
  <c r="H350" i="5"/>
  <c r="G350" i="5"/>
  <c r="F350" i="5"/>
  <c r="D348" i="5"/>
  <c r="C348" i="5"/>
  <c r="B348" i="5"/>
  <c r="A348" i="5"/>
  <c r="H346" i="5"/>
  <c r="G346" i="5"/>
  <c r="E346" i="5"/>
  <c r="E345" i="5"/>
  <c r="E344" i="5"/>
  <c r="E343" i="5"/>
  <c r="I342" i="5"/>
  <c r="H342" i="5"/>
  <c r="G342" i="5"/>
  <c r="F342" i="5"/>
  <c r="I341" i="5"/>
  <c r="H341" i="5"/>
  <c r="G341" i="5"/>
  <c r="F341" i="5"/>
  <c r="I340" i="5"/>
  <c r="H340" i="5"/>
  <c r="G340" i="5"/>
  <c r="F340" i="5"/>
  <c r="I339" i="5"/>
  <c r="H339" i="5"/>
  <c r="G339" i="5"/>
  <c r="F339" i="5"/>
  <c r="D337" i="5"/>
  <c r="C337" i="5"/>
  <c r="B337" i="5"/>
  <c r="A337" i="5"/>
  <c r="A336" i="5"/>
  <c r="H331" i="5"/>
  <c r="G331" i="5"/>
  <c r="E331" i="5"/>
  <c r="E330" i="5"/>
  <c r="E329" i="5"/>
  <c r="E328" i="5"/>
  <c r="I327" i="5"/>
  <c r="H327" i="5"/>
  <c r="F327" i="5"/>
  <c r="D327" i="5"/>
  <c r="B327" i="5"/>
  <c r="A327" i="5"/>
  <c r="I326" i="5"/>
  <c r="H326" i="5"/>
  <c r="F326" i="5"/>
  <c r="D326" i="5"/>
  <c r="B326" i="5"/>
  <c r="A326" i="5"/>
  <c r="I325" i="5"/>
  <c r="H325" i="5"/>
  <c r="G325" i="5"/>
  <c r="F325" i="5"/>
  <c r="I324" i="5"/>
  <c r="H324" i="5"/>
  <c r="G324" i="5"/>
  <c r="F324" i="5"/>
  <c r="I323" i="5"/>
  <c r="H323" i="5"/>
  <c r="G323" i="5"/>
  <c r="F323" i="5"/>
  <c r="I322" i="5"/>
  <c r="H322" i="5"/>
  <c r="G322" i="5"/>
  <c r="F322" i="5"/>
  <c r="D321" i="5"/>
  <c r="C321" i="5"/>
  <c r="B321" i="5"/>
  <c r="A321" i="5"/>
  <c r="H319" i="5"/>
  <c r="G319" i="5"/>
  <c r="E319" i="5"/>
  <c r="E318" i="5"/>
  <c r="E317" i="5"/>
  <c r="I316" i="5"/>
  <c r="H316" i="5"/>
  <c r="G316" i="5"/>
  <c r="F316" i="5"/>
  <c r="I315" i="5"/>
  <c r="H315" i="5"/>
  <c r="G315" i="5"/>
  <c r="F315" i="5"/>
  <c r="I314" i="5"/>
  <c r="H314" i="5"/>
  <c r="G314" i="5"/>
  <c r="F314" i="5"/>
  <c r="D312" i="5"/>
  <c r="C312" i="5"/>
  <c r="B312" i="5"/>
  <c r="A312" i="5"/>
  <c r="H310" i="5"/>
  <c r="G310" i="5"/>
  <c r="E310" i="5"/>
  <c r="E309" i="5"/>
  <c r="E308" i="5"/>
  <c r="E307" i="5"/>
  <c r="I306" i="5"/>
  <c r="H306" i="5"/>
  <c r="G306" i="5"/>
  <c r="F306" i="5"/>
  <c r="I305" i="5"/>
  <c r="H305" i="5"/>
  <c r="G305" i="5"/>
  <c r="F305" i="5"/>
  <c r="I304" i="5"/>
  <c r="H304" i="5"/>
  <c r="G304" i="5"/>
  <c r="F304" i="5"/>
  <c r="I303" i="5"/>
  <c r="H303" i="5"/>
  <c r="G303" i="5"/>
  <c r="F303" i="5"/>
  <c r="D301" i="5"/>
  <c r="C301" i="5"/>
  <c r="B301" i="5"/>
  <c r="A301" i="5"/>
  <c r="H299" i="5"/>
  <c r="G299" i="5"/>
  <c r="E299" i="5"/>
  <c r="E298" i="5"/>
  <c r="E297" i="5"/>
  <c r="E296" i="5"/>
  <c r="I295" i="5"/>
  <c r="H295" i="5"/>
  <c r="G295" i="5"/>
  <c r="F295" i="5"/>
  <c r="I294" i="5"/>
  <c r="H294" i="5"/>
  <c r="G294" i="5"/>
  <c r="F294" i="5"/>
  <c r="I293" i="5"/>
  <c r="H293" i="5"/>
  <c r="G293" i="5"/>
  <c r="F293" i="5"/>
  <c r="I292" i="5"/>
  <c r="H292" i="5"/>
  <c r="G292" i="5"/>
  <c r="F292" i="5"/>
  <c r="D290" i="5"/>
  <c r="C290" i="5"/>
  <c r="B290" i="5"/>
  <c r="A290" i="5"/>
  <c r="I287" i="5"/>
  <c r="H287" i="5"/>
  <c r="G287" i="5"/>
  <c r="F287" i="5"/>
  <c r="D287" i="5"/>
  <c r="B287" i="5"/>
  <c r="A287" i="5"/>
  <c r="I285" i="5"/>
  <c r="H285" i="5"/>
  <c r="G285" i="5"/>
  <c r="F285" i="5"/>
  <c r="I284" i="5"/>
  <c r="H284" i="5"/>
  <c r="G284" i="5"/>
  <c r="F284" i="5"/>
  <c r="D283" i="5"/>
  <c r="C283" i="5"/>
  <c r="B283" i="5"/>
  <c r="A283" i="5"/>
  <c r="I281" i="5"/>
  <c r="H281" i="5"/>
  <c r="G281" i="5"/>
  <c r="F281" i="5"/>
  <c r="I280" i="5"/>
  <c r="H280" i="5"/>
  <c r="G280" i="5"/>
  <c r="F280" i="5"/>
  <c r="D278" i="5"/>
  <c r="C278" i="5"/>
  <c r="B278" i="5"/>
  <c r="A278" i="5"/>
  <c r="H276" i="5"/>
  <c r="G276" i="5"/>
  <c r="E276" i="5"/>
  <c r="E275" i="5"/>
  <c r="E274" i="5"/>
  <c r="I273" i="5"/>
  <c r="H273" i="5"/>
  <c r="G273" i="5"/>
  <c r="F273" i="5"/>
  <c r="D271" i="5"/>
  <c r="C271" i="5"/>
  <c r="B271" i="5"/>
  <c r="A271" i="5"/>
  <c r="H269" i="5"/>
  <c r="G269" i="5"/>
  <c r="E269" i="5"/>
  <c r="E268" i="5"/>
  <c r="E267" i="5"/>
  <c r="I266" i="5"/>
  <c r="H266" i="5"/>
  <c r="G266" i="5"/>
  <c r="F266" i="5"/>
  <c r="D264" i="5"/>
  <c r="C264" i="5"/>
  <c r="B264" i="5"/>
  <c r="A264" i="5"/>
  <c r="A263" i="5"/>
  <c r="H258" i="5"/>
  <c r="G258" i="5"/>
  <c r="E258" i="5"/>
  <c r="E257" i="5"/>
  <c r="E256" i="5"/>
  <c r="E255" i="5"/>
  <c r="I254" i="5"/>
  <c r="H254" i="5"/>
  <c r="F254" i="5"/>
  <c r="D254" i="5"/>
  <c r="B254" i="5"/>
  <c r="A254" i="5"/>
  <c r="I253" i="5"/>
  <c r="H253" i="5"/>
  <c r="G253" i="5"/>
  <c r="F253" i="5"/>
  <c r="I252" i="5"/>
  <c r="H252" i="5"/>
  <c r="G252" i="5"/>
  <c r="F252" i="5"/>
  <c r="I251" i="5"/>
  <c r="H251" i="5"/>
  <c r="G251" i="5"/>
  <c r="F251" i="5"/>
  <c r="I250" i="5"/>
  <c r="H250" i="5"/>
  <c r="G250" i="5"/>
  <c r="F250" i="5"/>
  <c r="D249" i="5"/>
  <c r="C249" i="5"/>
  <c r="B249" i="5"/>
  <c r="A249" i="5"/>
  <c r="H247" i="5"/>
  <c r="G247" i="5"/>
  <c r="E247" i="5"/>
  <c r="E246" i="5"/>
  <c r="E245" i="5"/>
  <c r="I244" i="5"/>
  <c r="H244" i="5"/>
  <c r="G244" i="5"/>
  <c r="F244" i="5"/>
  <c r="I243" i="5"/>
  <c r="H243" i="5"/>
  <c r="G243" i="5"/>
  <c r="F243" i="5"/>
  <c r="I242" i="5"/>
  <c r="H242" i="5"/>
  <c r="G242" i="5"/>
  <c r="F242" i="5"/>
  <c r="D240" i="5"/>
  <c r="C240" i="5"/>
  <c r="B240" i="5"/>
  <c r="A240" i="5"/>
  <c r="H238" i="5"/>
  <c r="G238" i="5"/>
  <c r="E238" i="5"/>
  <c r="E237" i="5"/>
  <c r="E236" i="5"/>
  <c r="E235" i="5"/>
  <c r="I234" i="5"/>
  <c r="H234" i="5"/>
  <c r="G234" i="5"/>
  <c r="F234" i="5"/>
  <c r="I233" i="5"/>
  <c r="H233" i="5"/>
  <c r="G233" i="5"/>
  <c r="F233" i="5"/>
  <c r="I232" i="5"/>
  <c r="H232" i="5"/>
  <c r="G232" i="5"/>
  <c r="F232" i="5"/>
  <c r="I231" i="5"/>
  <c r="H231" i="5"/>
  <c r="G231" i="5"/>
  <c r="F231" i="5"/>
  <c r="D229" i="5"/>
  <c r="C229" i="5"/>
  <c r="B229" i="5"/>
  <c r="A229" i="5"/>
  <c r="H227" i="5"/>
  <c r="G227" i="5"/>
  <c r="E227" i="5"/>
  <c r="E226" i="5"/>
  <c r="E225" i="5"/>
  <c r="E224" i="5"/>
  <c r="I223" i="5"/>
  <c r="H223" i="5"/>
  <c r="G223" i="5"/>
  <c r="F223" i="5"/>
  <c r="I222" i="5"/>
  <c r="H222" i="5"/>
  <c r="G222" i="5"/>
  <c r="F222" i="5"/>
  <c r="I221" i="5"/>
  <c r="H221" i="5"/>
  <c r="G221" i="5"/>
  <c r="F221" i="5"/>
  <c r="I220" i="5"/>
  <c r="H220" i="5"/>
  <c r="G220" i="5"/>
  <c r="F220" i="5"/>
  <c r="D218" i="5"/>
  <c r="C218" i="5"/>
  <c r="B218" i="5"/>
  <c r="A218" i="5"/>
  <c r="I215" i="5"/>
  <c r="H215" i="5"/>
  <c r="G215" i="5"/>
  <c r="F215" i="5"/>
  <c r="D215" i="5"/>
  <c r="B215" i="5"/>
  <c r="A215" i="5"/>
  <c r="I213" i="5"/>
  <c r="H213" i="5"/>
  <c r="G213" i="5"/>
  <c r="F213" i="5"/>
  <c r="I212" i="5"/>
  <c r="H212" i="5"/>
  <c r="G212" i="5"/>
  <c r="F212" i="5"/>
  <c r="D211" i="5"/>
  <c r="C211" i="5"/>
  <c r="B211" i="5"/>
  <c r="A211" i="5"/>
  <c r="I209" i="5"/>
  <c r="H209" i="5"/>
  <c r="G209" i="5"/>
  <c r="F209" i="5"/>
  <c r="I208" i="5"/>
  <c r="H208" i="5"/>
  <c r="G208" i="5"/>
  <c r="F208" i="5"/>
  <c r="D206" i="5"/>
  <c r="C206" i="5"/>
  <c r="B206" i="5"/>
  <c r="A206" i="5"/>
  <c r="H204" i="5"/>
  <c r="G204" i="5"/>
  <c r="E204" i="5"/>
  <c r="E203" i="5"/>
  <c r="E202" i="5"/>
  <c r="I201" i="5"/>
  <c r="H201" i="5"/>
  <c r="G201" i="5"/>
  <c r="F201" i="5"/>
  <c r="D199" i="5"/>
  <c r="C199" i="5"/>
  <c r="B199" i="5"/>
  <c r="A199" i="5"/>
  <c r="H197" i="5"/>
  <c r="G197" i="5"/>
  <c r="E197" i="5"/>
  <c r="E196" i="5"/>
  <c r="E195" i="5"/>
  <c r="I194" i="5"/>
  <c r="H194" i="5"/>
  <c r="G194" i="5"/>
  <c r="F194" i="5"/>
  <c r="D192" i="5"/>
  <c r="C192" i="5"/>
  <c r="B192" i="5"/>
  <c r="A192" i="5"/>
  <c r="A191" i="5"/>
  <c r="I186" i="5"/>
  <c r="H186" i="5"/>
  <c r="G186" i="5"/>
  <c r="F186" i="5"/>
  <c r="I185" i="5"/>
  <c r="H185" i="5"/>
  <c r="G185" i="5"/>
  <c r="F185" i="5"/>
  <c r="E184" i="5"/>
  <c r="D184" i="5"/>
  <c r="C184" i="5"/>
  <c r="B184" i="5"/>
  <c r="A184" i="5"/>
  <c r="I182" i="5"/>
  <c r="H182" i="5"/>
  <c r="G182" i="5"/>
  <c r="F182" i="5"/>
  <c r="I181" i="5"/>
  <c r="H181" i="5"/>
  <c r="G181" i="5"/>
  <c r="F181" i="5"/>
  <c r="E180" i="5"/>
  <c r="D180" i="5"/>
  <c r="C180" i="5"/>
  <c r="B180" i="5"/>
  <c r="A180" i="5"/>
  <c r="I178" i="5"/>
  <c r="H178" i="5"/>
  <c r="G178" i="5"/>
  <c r="F178" i="5"/>
  <c r="I177" i="5"/>
  <c r="H177" i="5"/>
  <c r="G177" i="5"/>
  <c r="F177" i="5"/>
  <c r="E176" i="5"/>
  <c r="D176" i="5"/>
  <c r="C176" i="5"/>
  <c r="B176" i="5"/>
  <c r="A176" i="5"/>
  <c r="H174" i="5"/>
  <c r="G174" i="5"/>
  <c r="E174" i="5"/>
  <c r="E173" i="5"/>
  <c r="E172" i="5"/>
  <c r="I171" i="5"/>
  <c r="H171" i="5"/>
  <c r="G171" i="5"/>
  <c r="F171" i="5"/>
  <c r="D169" i="5"/>
  <c r="C169" i="5"/>
  <c r="B169" i="5"/>
  <c r="A169" i="5"/>
  <c r="E167" i="5"/>
  <c r="I166" i="5"/>
  <c r="H166" i="5"/>
  <c r="G166" i="5"/>
  <c r="F166" i="5"/>
  <c r="I165" i="5"/>
  <c r="H165" i="5"/>
  <c r="G165" i="5"/>
  <c r="F165" i="5"/>
  <c r="D163" i="5"/>
  <c r="C163" i="5"/>
  <c r="B163" i="5"/>
  <c r="A163" i="5"/>
  <c r="H161" i="5"/>
  <c r="G161" i="5"/>
  <c r="E161" i="5"/>
  <c r="E160" i="5"/>
  <c r="E159" i="5"/>
  <c r="E158" i="5"/>
  <c r="I157" i="5"/>
  <c r="H157" i="5"/>
  <c r="G157" i="5"/>
  <c r="F157" i="5"/>
  <c r="I156" i="5"/>
  <c r="H156" i="5"/>
  <c r="G156" i="5"/>
  <c r="F156" i="5"/>
  <c r="I155" i="5"/>
  <c r="H155" i="5"/>
  <c r="G155" i="5"/>
  <c r="F155" i="5"/>
  <c r="D153" i="5"/>
  <c r="C153" i="5"/>
  <c r="B153" i="5"/>
  <c r="A153" i="5"/>
  <c r="H151" i="5"/>
  <c r="G151" i="5"/>
  <c r="E151" i="5"/>
  <c r="E150" i="5"/>
  <c r="E149" i="5"/>
  <c r="E148" i="5"/>
  <c r="I147" i="5"/>
  <c r="H147" i="5"/>
  <c r="G147" i="5"/>
  <c r="F147" i="5"/>
  <c r="I146" i="5"/>
  <c r="H146" i="5"/>
  <c r="G146" i="5"/>
  <c r="F146" i="5"/>
  <c r="I145" i="5"/>
  <c r="H145" i="5"/>
  <c r="G145" i="5"/>
  <c r="F145" i="5"/>
  <c r="D143" i="5"/>
  <c r="C143" i="5"/>
  <c r="B143" i="5"/>
  <c r="A143" i="5"/>
  <c r="A142" i="5"/>
  <c r="H137" i="5"/>
  <c r="G137" i="5"/>
  <c r="E137" i="5"/>
  <c r="E136" i="5"/>
  <c r="E135" i="5"/>
  <c r="I134" i="5"/>
  <c r="H134" i="5"/>
  <c r="F134" i="5"/>
  <c r="D134" i="5"/>
  <c r="C134" i="5"/>
  <c r="B134" i="5"/>
  <c r="A134" i="5"/>
  <c r="I133" i="5"/>
  <c r="H133" i="5"/>
  <c r="G133" i="5"/>
  <c r="F133" i="5"/>
  <c r="I132" i="5"/>
  <c r="H132" i="5"/>
  <c r="G132" i="5"/>
  <c r="F132" i="5"/>
  <c r="D130" i="5"/>
  <c r="C130" i="5"/>
  <c r="B130" i="5"/>
  <c r="A130" i="5"/>
  <c r="H128" i="5"/>
  <c r="G128" i="5"/>
  <c r="E128" i="5"/>
  <c r="E127" i="5"/>
  <c r="E126" i="5"/>
  <c r="E125" i="5"/>
  <c r="I124" i="5"/>
  <c r="H124" i="5"/>
  <c r="G124" i="5"/>
  <c r="F124" i="5"/>
  <c r="I123" i="5"/>
  <c r="H123" i="5"/>
  <c r="G123" i="5"/>
  <c r="F123" i="5"/>
  <c r="I122" i="5"/>
  <c r="H122" i="5"/>
  <c r="G122" i="5"/>
  <c r="F122" i="5"/>
  <c r="I121" i="5"/>
  <c r="H121" i="5"/>
  <c r="G121" i="5"/>
  <c r="F121" i="5"/>
  <c r="D119" i="5"/>
  <c r="C119" i="5"/>
  <c r="B119" i="5"/>
  <c r="A119" i="5"/>
  <c r="H117" i="5"/>
  <c r="G117" i="5"/>
  <c r="E117" i="5"/>
  <c r="E116" i="5"/>
  <c r="E115" i="5"/>
  <c r="E114" i="5"/>
  <c r="I113" i="5"/>
  <c r="H113" i="5"/>
  <c r="F113" i="5"/>
  <c r="D113" i="5"/>
  <c r="C113" i="5"/>
  <c r="B113" i="5"/>
  <c r="A113" i="5"/>
  <c r="I112" i="5"/>
  <c r="H112" i="5"/>
  <c r="G112" i="5"/>
  <c r="F112" i="5"/>
  <c r="I111" i="5"/>
  <c r="H111" i="5"/>
  <c r="G111" i="5"/>
  <c r="F111" i="5"/>
  <c r="I110" i="5"/>
  <c r="H110" i="5"/>
  <c r="G110" i="5"/>
  <c r="F110" i="5"/>
  <c r="I109" i="5"/>
  <c r="H109" i="5"/>
  <c r="G109" i="5"/>
  <c r="F109" i="5"/>
  <c r="D107" i="5"/>
  <c r="C107" i="5"/>
  <c r="B107" i="5"/>
  <c r="A107" i="5"/>
  <c r="H105" i="5"/>
  <c r="G105" i="5"/>
  <c r="E105" i="5"/>
  <c r="E104" i="5"/>
  <c r="E103" i="5"/>
  <c r="E102" i="5"/>
  <c r="I101" i="5"/>
  <c r="H101" i="5"/>
  <c r="F101" i="5"/>
  <c r="D101" i="5"/>
  <c r="C101" i="5"/>
  <c r="B101" i="5"/>
  <c r="A101" i="5"/>
  <c r="I100" i="5"/>
  <c r="H100" i="5"/>
  <c r="F100" i="5"/>
  <c r="D100" i="5"/>
  <c r="C100" i="5"/>
  <c r="B100" i="5"/>
  <c r="A100" i="5"/>
  <c r="I99" i="5"/>
  <c r="H99" i="5"/>
  <c r="G99" i="5"/>
  <c r="F99" i="5"/>
  <c r="I98" i="5"/>
  <c r="H98" i="5"/>
  <c r="G98" i="5"/>
  <c r="F98" i="5"/>
  <c r="I97" i="5"/>
  <c r="H97" i="5"/>
  <c r="G97" i="5"/>
  <c r="F97" i="5"/>
  <c r="I96" i="5"/>
  <c r="H96" i="5"/>
  <c r="G96" i="5"/>
  <c r="F96" i="5"/>
  <c r="D94" i="5"/>
  <c r="C94" i="5"/>
  <c r="B94" i="5"/>
  <c r="A94" i="5"/>
  <c r="H92" i="5"/>
  <c r="G92" i="5"/>
  <c r="E92" i="5"/>
  <c r="E91" i="5"/>
  <c r="E90" i="5"/>
  <c r="E89" i="5"/>
  <c r="I88" i="5"/>
  <c r="H88" i="5"/>
  <c r="G88" i="5"/>
  <c r="F88" i="5"/>
  <c r="I87" i="5"/>
  <c r="H87" i="5"/>
  <c r="G87" i="5"/>
  <c r="F87" i="5"/>
  <c r="I86" i="5"/>
  <c r="H86" i="5"/>
  <c r="G86" i="5"/>
  <c r="F86" i="5"/>
  <c r="I85" i="5"/>
  <c r="H85" i="5"/>
  <c r="G85" i="5"/>
  <c r="F85" i="5"/>
  <c r="D83" i="5"/>
  <c r="C83" i="5"/>
  <c r="B83" i="5"/>
  <c r="A83" i="5"/>
  <c r="H81" i="5"/>
  <c r="G81" i="5"/>
  <c r="E81" i="5"/>
  <c r="E80" i="5"/>
  <c r="E79" i="5"/>
  <c r="E78" i="5"/>
  <c r="I77" i="5"/>
  <c r="H77" i="5"/>
  <c r="G77" i="5"/>
  <c r="F77" i="5"/>
  <c r="I76" i="5"/>
  <c r="H76" i="5"/>
  <c r="G76" i="5"/>
  <c r="F76" i="5"/>
  <c r="I75" i="5"/>
  <c r="H75" i="5"/>
  <c r="G75" i="5"/>
  <c r="F75" i="5"/>
  <c r="I74" i="5"/>
  <c r="H74" i="5"/>
  <c r="G74" i="5"/>
  <c r="F74" i="5"/>
  <c r="D72" i="5"/>
  <c r="C72" i="5"/>
  <c r="B72" i="5"/>
  <c r="A72" i="5"/>
  <c r="I69" i="5"/>
  <c r="H69" i="5"/>
  <c r="G69" i="5"/>
  <c r="F69" i="5"/>
  <c r="D69" i="5"/>
  <c r="B69" i="5"/>
  <c r="A69" i="5"/>
  <c r="I67" i="5"/>
  <c r="H67" i="5"/>
  <c r="G67" i="5"/>
  <c r="F67" i="5"/>
  <c r="I66" i="5"/>
  <c r="H66" i="5"/>
  <c r="G66" i="5"/>
  <c r="F66" i="5"/>
  <c r="D65" i="5"/>
  <c r="C65" i="5"/>
  <c r="B65" i="5"/>
  <c r="A65" i="5"/>
  <c r="I63" i="5"/>
  <c r="H63" i="5"/>
  <c r="G63" i="5"/>
  <c r="F63" i="5"/>
  <c r="I62" i="5"/>
  <c r="H62" i="5"/>
  <c r="G62" i="5"/>
  <c r="F62" i="5"/>
  <c r="D60" i="5"/>
  <c r="C60" i="5"/>
  <c r="B60" i="5"/>
  <c r="A60" i="5"/>
  <c r="H58" i="5"/>
  <c r="G58" i="5"/>
  <c r="E58" i="5"/>
  <c r="E57" i="5"/>
  <c r="E56" i="5"/>
  <c r="I55" i="5"/>
  <c r="H55" i="5"/>
  <c r="G55" i="5"/>
  <c r="F55" i="5"/>
  <c r="D53" i="5"/>
  <c r="C53" i="5"/>
  <c r="B53" i="5"/>
  <c r="A53" i="5"/>
  <c r="H51" i="5"/>
  <c r="G51" i="5"/>
  <c r="E51" i="5"/>
  <c r="E50" i="5"/>
  <c r="E49" i="5"/>
  <c r="I48" i="5"/>
  <c r="H48" i="5"/>
  <c r="G48" i="5"/>
  <c r="F48" i="5"/>
  <c r="D46" i="5"/>
  <c r="C46" i="5"/>
  <c r="B46" i="5"/>
  <c r="A46" i="5"/>
  <c r="H44" i="5"/>
  <c r="G44" i="5"/>
  <c r="E44" i="5"/>
  <c r="E43" i="5"/>
  <c r="E42" i="5"/>
  <c r="E41" i="5"/>
  <c r="I40" i="5"/>
  <c r="H40" i="5"/>
  <c r="G40" i="5"/>
  <c r="F40" i="5"/>
  <c r="I39" i="5"/>
  <c r="H39" i="5"/>
  <c r="G39" i="5"/>
  <c r="F39" i="5"/>
  <c r="I38" i="5"/>
  <c r="H38" i="5"/>
  <c r="G38" i="5"/>
  <c r="F38" i="5"/>
  <c r="D36" i="5"/>
  <c r="C36" i="5"/>
  <c r="B36" i="5"/>
  <c r="A36" i="5"/>
  <c r="A35" i="5"/>
  <c r="A33" i="5"/>
  <c r="A19" i="5"/>
  <c r="AE16" i="5"/>
  <c r="A1" i="5"/>
  <c r="A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" i="3"/>
  <c r="CY1" i="3"/>
  <c r="CZ1" i="3"/>
  <c r="DB1" i="3" s="1"/>
  <c r="DA1" i="3"/>
  <c r="DC1" i="3"/>
  <c r="A2" i="3"/>
  <c r="CY2" i="3"/>
  <c r="CZ2" i="3"/>
  <c r="DB2" i="3" s="1"/>
  <c r="DA2" i="3"/>
  <c r="DC2" i="3"/>
  <c r="A3" i="3"/>
  <c r="CY3" i="3"/>
  <c r="CZ3" i="3"/>
  <c r="DA3" i="3"/>
  <c r="DB3" i="3"/>
  <c r="DC3" i="3"/>
  <c r="A4" i="3"/>
  <c r="CY4" i="3"/>
  <c r="CZ4" i="3"/>
  <c r="DB4" i="3" s="1"/>
  <c r="DA4" i="3"/>
  <c r="DC4" i="3"/>
  <c r="A5" i="3"/>
  <c r="CY5" i="3"/>
  <c r="CZ5" i="3"/>
  <c r="DA5" i="3"/>
  <c r="DB5" i="3"/>
  <c r="DC5" i="3"/>
  <c r="A6" i="3"/>
  <c r="CY6" i="3"/>
  <c r="CZ6" i="3"/>
  <c r="DB6" i="3" s="1"/>
  <c r="DA6" i="3"/>
  <c r="DC6" i="3"/>
  <c r="A7" i="3"/>
  <c r="CY7" i="3"/>
  <c r="CZ7" i="3"/>
  <c r="DB7" i="3" s="1"/>
  <c r="DA7" i="3"/>
  <c r="DC7" i="3"/>
  <c r="A8" i="3"/>
  <c r="CY8" i="3"/>
  <c r="CZ8" i="3"/>
  <c r="DB8" i="3" s="1"/>
  <c r="DA8" i="3"/>
  <c r="DC8" i="3"/>
  <c r="A9" i="3"/>
  <c r="CY9" i="3"/>
  <c r="CZ9" i="3"/>
  <c r="DB9" i="3" s="1"/>
  <c r="DA9" i="3"/>
  <c r="DC9" i="3"/>
  <c r="A10" i="3"/>
  <c r="CY10" i="3"/>
  <c r="CZ10" i="3"/>
  <c r="DA10" i="3"/>
  <c r="DB10" i="3"/>
  <c r="DC10" i="3"/>
  <c r="A11" i="3"/>
  <c r="CY11" i="3"/>
  <c r="CZ11" i="3"/>
  <c r="DB11" i="3" s="1"/>
  <c r="DA11" i="3"/>
  <c r="DC11" i="3"/>
  <c r="A12" i="3"/>
  <c r="CY12" i="3"/>
  <c r="CZ12" i="3"/>
  <c r="DB12" i="3" s="1"/>
  <c r="DA12" i="3"/>
  <c r="DC12" i="3"/>
  <c r="A13" i="3"/>
  <c r="CY13" i="3"/>
  <c r="CZ13" i="3"/>
  <c r="DB13" i="3" s="1"/>
  <c r="DA13" i="3"/>
  <c r="DC13" i="3"/>
  <c r="A14" i="3"/>
  <c r="CY14" i="3"/>
  <c r="CZ14" i="3"/>
  <c r="DB14" i="3" s="1"/>
  <c r="DA14" i="3"/>
  <c r="DC14" i="3"/>
  <c r="A15" i="3"/>
  <c r="CY15" i="3"/>
  <c r="CZ15" i="3"/>
  <c r="DB15" i="3" s="1"/>
  <c r="L10" i="7" s="1"/>
  <c r="DA15" i="3"/>
  <c r="DC15" i="3"/>
  <c r="Q10" i="7" s="1"/>
  <c r="A16" i="3"/>
  <c r="CY16" i="3"/>
  <c r="CZ16" i="3"/>
  <c r="DB16" i="3" s="1"/>
  <c r="L9" i="7" s="1"/>
  <c r="DA16" i="3"/>
  <c r="DC16" i="3"/>
  <c r="Q9" i="7" s="1"/>
  <c r="A17" i="3"/>
  <c r="CY17" i="3"/>
  <c r="CZ17" i="3"/>
  <c r="DB17" i="3" s="1"/>
  <c r="DA17" i="3"/>
  <c r="DC17" i="3"/>
  <c r="A18" i="3"/>
  <c r="CY18" i="3"/>
  <c r="CZ18" i="3"/>
  <c r="DB18" i="3" s="1"/>
  <c r="DA18" i="3"/>
  <c r="DC18" i="3"/>
  <c r="A19" i="3"/>
  <c r="CY19" i="3"/>
  <c r="CZ19" i="3"/>
  <c r="DA19" i="3"/>
  <c r="DB19" i="3"/>
  <c r="DC19" i="3"/>
  <c r="A20" i="3"/>
  <c r="CY20" i="3"/>
  <c r="CZ20" i="3"/>
  <c r="DB20" i="3" s="1"/>
  <c r="DA20" i="3"/>
  <c r="DC20" i="3"/>
  <c r="A21" i="3"/>
  <c r="CY21" i="3"/>
  <c r="CZ21" i="3"/>
  <c r="DA21" i="3"/>
  <c r="DB21" i="3"/>
  <c r="DC21" i="3"/>
  <c r="A22" i="3"/>
  <c r="CY22" i="3"/>
  <c r="CZ22" i="3"/>
  <c r="DB22" i="3" s="1"/>
  <c r="DA22" i="3"/>
  <c r="DC22" i="3"/>
  <c r="A23" i="3"/>
  <c r="CY23" i="3"/>
  <c r="CZ23" i="3"/>
  <c r="DB23" i="3" s="1"/>
  <c r="DA23" i="3"/>
  <c r="DC23" i="3"/>
  <c r="A24" i="3"/>
  <c r="CY24" i="3"/>
  <c r="CZ24" i="3"/>
  <c r="DB24" i="3" s="1"/>
  <c r="L12" i="7" s="1"/>
  <c r="DA24" i="3"/>
  <c r="DC24" i="3"/>
  <c r="Q12" i="7" s="1"/>
  <c r="A25" i="3"/>
  <c r="CY25" i="3"/>
  <c r="CZ25" i="3"/>
  <c r="DA25" i="3"/>
  <c r="DB25" i="3"/>
  <c r="L11" i="7" s="1"/>
  <c r="DC25" i="3"/>
  <c r="Q11" i="7" s="1"/>
  <c r="A26" i="3"/>
  <c r="CY26" i="3"/>
  <c r="CZ26" i="3"/>
  <c r="DA26" i="3"/>
  <c r="DB26" i="3"/>
  <c r="DC26" i="3"/>
  <c r="A27" i="3"/>
  <c r="CY27" i="3"/>
  <c r="CZ27" i="3"/>
  <c r="DB27" i="3" s="1"/>
  <c r="DA27" i="3"/>
  <c r="DC27" i="3"/>
  <c r="A28" i="3"/>
  <c r="CY28" i="3"/>
  <c r="CZ28" i="3"/>
  <c r="DB28" i="3" s="1"/>
  <c r="DA28" i="3"/>
  <c r="DC28" i="3"/>
  <c r="A29" i="3"/>
  <c r="CY29" i="3"/>
  <c r="CZ29" i="3"/>
  <c r="DB29" i="3" s="1"/>
  <c r="DA29" i="3"/>
  <c r="DC29" i="3"/>
  <c r="A30" i="3"/>
  <c r="CY30" i="3"/>
  <c r="CZ30" i="3"/>
  <c r="DB30" i="3" s="1"/>
  <c r="DA30" i="3"/>
  <c r="DC30" i="3"/>
  <c r="A31" i="3"/>
  <c r="CY31" i="3"/>
  <c r="CZ31" i="3"/>
  <c r="DA31" i="3"/>
  <c r="DB31" i="3"/>
  <c r="DC31" i="3"/>
  <c r="A32" i="3"/>
  <c r="CY32" i="3"/>
  <c r="CZ32" i="3"/>
  <c r="DB32" i="3" s="1"/>
  <c r="DA32" i="3"/>
  <c r="DC32" i="3"/>
  <c r="A33" i="3"/>
  <c r="CY33" i="3"/>
  <c r="CZ33" i="3"/>
  <c r="DA33" i="3"/>
  <c r="DB33" i="3"/>
  <c r="DC33" i="3"/>
  <c r="A34" i="3"/>
  <c r="CY34" i="3"/>
  <c r="CZ34" i="3"/>
  <c r="DB34" i="3" s="1"/>
  <c r="DA34" i="3"/>
  <c r="DC34" i="3"/>
  <c r="A35" i="3"/>
  <c r="CY35" i="3"/>
  <c r="CZ35" i="3"/>
  <c r="DB35" i="3" s="1"/>
  <c r="DA35" i="3"/>
  <c r="DC35" i="3"/>
  <c r="A36" i="3"/>
  <c r="CY36" i="3"/>
  <c r="CZ36" i="3"/>
  <c r="DB36" i="3" s="1"/>
  <c r="L17" i="7" s="1"/>
  <c r="DA36" i="3"/>
  <c r="DC36" i="3"/>
  <c r="Q17" i="7" s="1"/>
  <c r="A37" i="3"/>
  <c r="CY37" i="3"/>
  <c r="CZ37" i="3"/>
  <c r="DB37" i="3" s="1"/>
  <c r="L16" i="7" s="1"/>
  <c r="DA37" i="3"/>
  <c r="DC37" i="3"/>
  <c r="Q16" i="7" s="1"/>
  <c r="A38" i="3"/>
  <c r="CY38" i="3"/>
  <c r="CZ38" i="3"/>
  <c r="DB38" i="3" s="1"/>
  <c r="L15" i="7" s="1"/>
  <c r="DA38" i="3"/>
  <c r="DC38" i="3"/>
  <c r="Q15" i="7" s="1"/>
  <c r="A39" i="3"/>
  <c r="CY39" i="3"/>
  <c r="CZ39" i="3"/>
  <c r="DB39" i="3" s="1"/>
  <c r="L14" i="7" s="1"/>
  <c r="DA39" i="3"/>
  <c r="DC39" i="3"/>
  <c r="Q14" i="7" s="1"/>
  <c r="A40" i="3"/>
  <c r="CY40" i="3"/>
  <c r="CZ40" i="3"/>
  <c r="DB40" i="3" s="1"/>
  <c r="DA40" i="3"/>
  <c r="DC40" i="3"/>
  <c r="A41" i="3"/>
  <c r="CY41" i="3"/>
  <c r="CZ41" i="3"/>
  <c r="DB41" i="3" s="1"/>
  <c r="DA41" i="3"/>
  <c r="DC41" i="3"/>
  <c r="A42" i="3"/>
  <c r="CY42" i="3"/>
  <c r="CZ42" i="3"/>
  <c r="DB42" i="3" s="1"/>
  <c r="DA42" i="3"/>
  <c r="DC42" i="3"/>
  <c r="A43" i="3"/>
  <c r="CY43" i="3"/>
  <c r="CZ43" i="3"/>
  <c r="DA43" i="3"/>
  <c r="DB43" i="3"/>
  <c r="DC43" i="3"/>
  <c r="A44" i="3"/>
  <c r="CY44" i="3"/>
  <c r="CZ44" i="3"/>
  <c r="DB44" i="3" s="1"/>
  <c r="DA44" i="3"/>
  <c r="DC44" i="3"/>
  <c r="A45" i="3"/>
  <c r="CY45" i="3"/>
  <c r="CZ45" i="3"/>
  <c r="DA45" i="3"/>
  <c r="DB45" i="3"/>
  <c r="DC45" i="3"/>
  <c r="A46" i="3"/>
  <c r="CY46" i="3"/>
  <c r="CZ46" i="3"/>
  <c r="DA46" i="3"/>
  <c r="DB46" i="3"/>
  <c r="L22" i="7" s="1"/>
  <c r="DC46" i="3"/>
  <c r="Q22" i="7" s="1"/>
  <c r="A47" i="3"/>
  <c r="CY47" i="3"/>
  <c r="CZ47" i="3"/>
  <c r="DB47" i="3" s="1"/>
  <c r="L21" i="7" s="1"/>
  <c r="DA47" i="3"/>
  <c r="DC47" i="3"/>
  <c r="Q21" i="7" s="1"/>
  <c r="A48" i="3"/>
  <c r="CY48" i="3"/>
  <c r="CZ48" i="3"/>
  <c r="DB48" i="3" s="1"/>
  <c r="L20" i="7" s="1"/>
  <c r="DA48" i="3"/>
  <c r="DC48" i="3"/>
  <c r="Q20" i="7" s="1"/>
  <c r="A49" i="3"/>
  <c r="CY49" i="3"/>
  <c r="CZ49" i="3"/>
  <c r="DB49" i="3" s="1"/>
  <c r="L19" i="7" s="1"/>
  <c r="DA49" i="3"/>
  <c r="DC49" i="3"/>
  <c r="Q19" i="7" s="1"/>
  <c r="A50" i="3"/>
  <c r="CY50" i="3"/>
  <c r="CZ50" i="3"/>
  <c r="DA50" i="3"/>
  <c r="DB50" i="3"/>
  <c r="L18" i="7" s="1"/>
  <c r="DC50" i="3"/>
  <c r="Q18" i="7" s="1"/>
  <c r="A51" i="3"/>
  <c r="CY51" i="3"/>
  <c r="CZ51" i="3"/>
  <c r="DB51" i="3" s="1"/>
  <c r="DA51" i="3"/>
  <c r="DC51" i="3"/>
  <c r="A52" i="3"/>
  <c r="CY52" i="3"/>
  <c r="CZ52" i="3"/>
  <c r="DB52" i="3" s="1"/>
  <c r="L24" i="7" s="1"/>
  <c r="DA52" i="3"/>
  <c r="DC52" i="3"/>
  <c r="Q24" i="7" s="1"/>
  <c r="A53" i="3"/>
  <c r="CY53" i="3"/>
  <c r="CZ53" i="3"/>
  <c r="DB53" i="3" s="1"/>
  <c r="L23" i="7" s="1"/>
  <c r="DA53" i="3"/>
  <c r="DC53" i="3"/>
  <c r="Q23" i="7" s="1"/>
  <c r="A54" i="3"/>
  <c r="CY54" i="3"/>
  <c r="CZ54" i="3"/>
  <c r="DB54" i="3" s="1"/>
  <c r="DA54" i="3"/>
  <c r="DC54" i="3"/>
  <c r="A55" i="3"/>
  <c r="CY55" i="3"/>
  <c r="CZ55" i="3"/>
  <c r="DB55" i="3" s="1"/>
  <c r="DA55" i="3"/>
  <c r="DC55" i="3"/>
  <c r="A56" i="3"/>
  <c r="CY56" i="3"/>
  <c r="CZ56" i="3"/>
  <c r="DB56" i="3" s="1"/>
  <c r="DA56" i="3"/>
  <c r="DC56" i="3"/>
  <c r="A57" i="3"/>
  <c r="CY57" i="3"/>
  <c r="CZ57" i="3"/>
  <c r="DB57" i="3" s="1"/>
  <c r="DA57" i="3"/>
  <c r="DC57" i="3"/>
  <c r="A58" i="3"/>
  <c r="CY58" i="3"/>
  <c r="CZ58" i="3"/>
  <c r="DB58" i="3" s="1"/>
  <c r="DA58" i="3"/>
  <c r="DC58" i="3"/>
  <c r="A59" i="3"/>
  <c r="CY59" i="3"/>
  <c r="CZ59" i="3"/>
  <c r="DA59" i="3"/>
  <c r="DB59" i="3"/>
  <c r="DC59" i="3"/>
  <c r="A60" i="3"/>
  <c r="CY60" i="3"/>
  <c r="CZ60" i="3"/>
  <c r="DB60" i="3" s="1"/>
  <c r="DA60" i="3"/>
  <c r="DC60" i="3"/>
  <c r="A61" i="3"/>
  <c r="CY61" i="3"/>
  <c r="CZ61" i="3"/>
  <c r="DA61" i="3"/>
  <c r="DB61" i="3"/>
  <c r="DC61" i="3"/>
  <c r="A62" i="3"/>
  <c r="CY62" i="3"/>
  <c r="CZ62" i="3"/>
  <c r="DB62" i="3" s="1"/>
  <c r="DA62" i="3"/>
  <c r="DC62" i="3"/>
  <c r="A63" i="3"/>
  <c r="CY63" i="3"/>
  <c r="CZ63" i="3"/>
  <c r="DB63" i="3" s="1"/>
  <c r="DA63" i="3"/>
  <c r="DC63" i="3"/>
  <c r="A64" i="3"/>
  <c r="CY64" i="3"/>
  <c r="CZ64" i="3"/>
  <c r="DB64" i="3" s="1"/>
  <c r="DA64" i="3"/>
  <c r="DC64" i="3"/>
  <c r="A65" i="3"/>
  <c r="CY65" i="3"/>
  <c r="CZ65" i="3"/>
  <c r="DB65" i="3" s="1"/>
  <c r="DA65" i="3"/>
  <c r="DC65" i="3"/>
  <c r="A66" i="3"/>
  <c r="CY66" i="3"/>
  <c r="CZ66" i="3"/>
  <c r="DA66" i="3"/>
  <c r="DB66" i="3"/>
  <c r="DC66" i="3"/>
  <c r="A67" i="3"/>
  <c r="CY67" i="3"/>
  <c r="CZ67" i="3"/>
  <c r="DB67" i="3" s="1"/>
  <c r="DA67" i="3"/>
  <c r="DC67" i="3"/>
  <c r="A68" i="3"/>
  <c r="CX68" i="3"/>
  <c r="CY68" i="3"/>
  <c r="CZ68" i="3"/>
  <c r="DB68" i="3" s="1"/>
  <c r="DA68" i="3"/>
  <c r="DC68" i="3"/>
  <c r="A69" i="3"/>
  <c r="CX69" i="3"/>
  <c r="CY69" i="3"/>
  <c r="CZ69" i="3"/>
  <c r="DA69" i="3"/>
  <c r="DB69" i="3"/>
  <c r="DC69" i="3"/>
  <c r="A70" i="3"/>
  <c r="CX70" i="3"/>
  <c r="CY70" i="3"/>
  <c r="CZ70" i="3"/>
  <c r="DB70" i="3" s="1"/>
  <c r="DA70" i="3"/>
  <c r="DC70" i="3"/>
  <c r="A71" i="3"/>
  <c r="CX71" i="3"/>
  <c r="CY71" i="3"/>
  <c r="CZ71" i="3"/>
  <c r="DB71" i="3" s="1"/>
  <c r="DA71" i="3"/>
  <c r="DC71" i="3"/>
  <c r="A72" i="3"/>
  <c r="CX72" i="3"/>
  <c r="CY72" i="3"/>
  <c r="CZ72" i="3"/>
  <c r="DB72" i="3" s="1"/>
  <c r="DA72" i="3"/>
  <c r="DC72" i="3"/>
  <c r="A73" i="3"/>
  <c r="CX73" i="3"/>
  <c r="CY73" i="3"/>
  <c r="CZ73" i="3"/>
  <c r="DB73" i="3" s="1"/>
  <c r="DA73" i="3"/>
  <c r="DC73" i="3"/>
  <c r="A74" i="3"/>
  <c r="CY74" i="3"/>
  <c r="CZ74" i="3"/>
  <c r="DB74" i="3" s="1"/>
  <c r="DA74" i="3"/>
  <c r="DC74" i="3"/>
  <c r="A75" i="3"/>
  <c r="CY75" i="3"/>
  <c r="CZ75" i="3"/>
  <c r="DB75" i="3" s="1"/>
  <c r="DA75" i="3"/>
  <c r="DC75" i="3"/>
  <c r="A76" i="3"/>
  <c r="CY76" i="3"/>
  <c r="CZ76" i="3"/>
  <c r="DB76" i="3" s="1"/>
  <c r="DA76" i="3"/>
  <c r="DC76" i="3"/>
  <c r="A77" i="3"/>
  <c r="CY77" i="3"/>
  <c r="CZ77" i="3"/>
  <c r="DB77" i="3" s="1"/>
  <c r="DA77" i="3"/>
  <c r="DC77" i="3"/>
  <c r="A78" i="3"/>
  <c r="CY78" i="3"/>
  <c r="CZ78" i="3"/>
  <c r="DA78" i="3"/>
  <c r="DB78" i="3"/>
  <c r="DC78" i="3"/>
  <c r="A79" i="3"/>
  <c r="CY79" i="3"/>
  <c r="CZ79" i="3"/>
  <c r="DB79" i="3" s="1"/>
  <c r="DA79" i="3"/>
  <c r="DC79" i="3"/>
  <c r="A80" i="3"/>
  <c r="CY80" i="3"/>
  <c r="CZ80" i="3"/>
  <c r="DB80" i="3" s="1"/>
  <c r="DA80" i="3"/>
  <c r="DC80" i="3"/>
  <c r="A81" i="3"/>
  <c r="CY81" i="3"/>
  <c r="CZ81" i="3"/>
  <c r="DA81" i="3"/>
  <c r="DB81" i="3"/>
  <c r="DC81" i="3"/>
  <c r="A82" i="3"/>
  <c r="CY82" i="3"/>
  <c r="CZ82" i="3"/>
  <c r="DB82" i="3" s="1"/>
  <c r="DA82" i="3"/>
  <c r="DC82" i="3"/>
  <c r="A83" i="3"/>
  <c r="CY83" i="3"/>
  <c r="CZ83" i="3"/>
  <c r="DA83" i="3"/>
  <c r="DB83" i="3"/>
  <c r="L29" i="7" s="1"/>
  <c r="DC83" i="3"/>
  <c r="Q29" i="7" s="1"/>
  <c r="A84" i="3"/>
  <c r="CY84" i="3"/>
  <c r="CZ84" i="3"/>
  <c r="DB84" i="3" s="1"/>
  <c r="L28" i="7" s="1"/>
  <c r="DA84" i="3"/>
  <c r="DC84" i="3"/>
  <c r="Q28" i="7" s="1"/>
  <c r="A85" i="3"/>
  <c r="CY85" i="3"/>
  <c r="CZ85" i="3"/>
  <c r="DA85" i="3"/>
  <c r="DB85" i="3"/>
  <c r="DC85" i="3"/>
  <c r="A86" i="3"/>
  <c r="CY86" i="3"/>
  <c r="CZ86" i="3"/>
  <c r="DB86" i="3" s="1"/>
  <c r="DA86" i="3"/>
  <c r="DC86" i="3"/>
  <c r="A87" i="3"/>
  <c r="CY87" i="3"/>
  <c r="CZ87" i="3"/>
  <c r="DB87" i="3" s="1"/>
  <c r="DA87" i="3"/>
  <c r="DC87" i="3"/>
  <c r="A88" i="3"/>
  <c r="CY88" i="3"/>
  <c r="CZ88" i="3"/>
  <c r="DB88" i="3" s="1"/>
  <c r="DA88" i="3"/>
  <c r="DC88" i="3"/>
  <c r="A89" i="3"/>
  <c r="CY89" i="3"/>
  <c r="CZ89" i="3"/>
  <c r="DB89" i="3" s="1"/>
  <c r="L31" i="7" s="1"/>
  <c r="DA89" i="3"/>
  <c r="DC89" i="3"/>
  <c r="Q31" i="7" s="1"/>
  <c r="A90" i="3"/>
  <c r="CY90" i="3"/>
  <c r="CZ90" i="3"/>
  <c r="DB90" i="3" s="1"/>
  <c r="L30" i="7" s="1"/>
  <c r="DA90" i="3"/>
  <c r="DC90" i="3"/>
  <c r="Q30" i="7" s="1"/>
  <c r="A91" i="3"/>
  <c r="CY91" i="3"/>
  <c r="CZ91" i="3"/>
  <c r="DB91" i="3" s="1"/>
  <c r="DA91" i="3"/>
  <c r="DC91" i="3"/>
  <c r="A92" i="3"/>
  <c r="CY92" i="3"/>
  <c r="CZ92" i="3"/>
  <c r="DB92" i="3" s="1"/>
  <c r="DA92" i="3"/>
  <c r="DC92" i="3"/>
  <c r="A93" i="3"/>
  <c r="CY93" i="3"/>
  <c r="CZ93" i="3"/>
  <c r="DB93" i="3" s="1"/>
  <c r="L34" i="7" s="1"/>
  <c r="DA93" i="3"/>
  <c r="DC93" i="3"/>
  <c r="Q34" i="7" s="1"/>
  <c r="A94" i="3"/>
  <c r="CY94" i="3"/>
  <c r="CZ94" i="3"/>
  <c r="DA94" i="3"/>
  <c r="DB94" i="3"/>
  <c r="L33" i="7" s="1"/>
  <c r="DC94" i="3"/>
  <c r="Q33" i="7" s="1"/>
  <c r="A95" i="3"/>
  <c r="CY95" i="3"/>
  <c r="CZ95" i="3"/>
  <c r="DB95" i="3" s="1"/>
  <c r="L32" i="7" s="1"/>
  <c r="M32" i="7" s="1"/>
  <c r="DA95" i="3"/>
  <c r="DC95" i="3"/>
  <c r="Q32" i="7" s="1"/>
  <c r="A96" i="3"/>
  <c r="CY96" i="3"/>
  <c r="CZ96" i="3"/>
  <c r="DB96" i="3" s="1"/>
  <c r="DA96" i="3"/>
  <c r="DC96" i="3"/>
  <c r="A97" i="3"/>
  <c r="CY97" i="3"/>
  <c r="CZ97" i="3"/>
  <c r="DA97" i="3"/>
  <c r="DB97" i="3"/>
  <c r="DC97" i="3"/>
  <c r="A98" i="3"/>
  <c r="CY98" i="3"/>
  <c r="CZ98" i="3"/>
  <c r="DB98" i="3" s="1"/>
  <c r="L36" i="7" s="1"/>
  <c r="M36" i="7" s="1"/>
  <c r="DA98" i="3"/>
  <c r="DC98" i="3"/>
  <c r="Q36" i="7" s="1"/>
  <c r="A99" i="3"/>
  <c r="CY99" i="3"/>
  <c r="CZ99" i="3"/>
  <c r="DB99" i="3" s="1"/>
  <c r="L35" i="7" s="1"/>
  <c r="DA99" i="3"/>
  <c r="DC99" i="3"/>
  <c r="Q35" i="7" s="1"/>
  <c r="A100" i="3"/>
  <c r="CY100" i="3"/>
  <c r="CZ100" i="3"/>
  <c r="DB100" i="3" s="1"/>
  <c r="DA100" i="3"/>
  <c r="DC100" i="3"/>
  <c r="A101" i="3"/>
  <c r="CY101" i="3"/>
  <c r="CZ101" i="3"/>
  <c r="DB101" i="3" s="1"/>
  <c r="DA101" i="3"/>
  <c r="DC101" i="3"/>
  <c r="A102" i="3"/>
  <c r="CY102" i="3"/>
  <c r="CZ102" i="3"/>
  <c r="DA102" i="3"/>
  <c r="DB102" i="3"/>
  <c r="DC102" i="3"/>
  <c r="A103" i="3"/>
  <c r="CY103" i="3"/>
  <c r="CZ103" i="3"/>
  <c r="DB103" i="3" s="1"/>
  <c r="DA103" i="3"/>
  <c r="DC103" i="3"/>
  <c r="A104" i="3"/>
  <c r="CY104" i="3"/>
  <c r="CZ104" i="3"/>
  <c r="DB104" i="3" s="1"/>
  <c r="DA104" i="3"/>
  <c r="DC104" i="3"/>
  <c r="A105" i="3"/>
  <c r="CY105" i="3"/>
  <c r="CZ105" i="3"/>
  <c r="DB105" i="3" s="1"/>
  <c r="DA105" i="3"/>
  <c r="DC105" i="3"/>
  <c r="A106" i="3"/>
  <c r="CY106" i="3"/>
  <c r="CZ106" i="3"/>
  <c r="DB106" i="3" s="1"/>
  <c r="DA106" i="3"/>
  <c r="DC106" i="3"/>
  <c r="A107" i="3"/>
  <c r="CY107" i="3"/>
  <c r="CZ107" i="3"/>
  <c r="DB107" i="3" s="1"/>
  <c r="DA107" i="3"/>
  <c r="DC107" i="3"/>
  <c r="A108" i="3"/>
  <c r="CY108" i="3"/>
  <c r="CZ108" i="3"/>
  <c r="DB108" i="3" s="1"/>
  <c r="DA108" i="3"/>
  <c r="DC108" i="3"/>
  <c r="A109" i="3"/>
  <c r="CY109" i="3"/>
  <c r="CZ109" i="3"/>
  <c r="DB109" i="3" s="1"/>
  <c r="DA109" i="3"/>
  <c r="DC109" i="3"/>
  <c r="A110" i="3"/>
  <c r="CY110" i="3"/>
  <c r="CZ110" i="3"/>
  <c r="DB110" i="3" s="1"/>
  <c r="L41" i="7" s="1"/>
  <c r="M41" i="7" s="1"/>
  <c r="DA110" i="3"/>
  <c r="DC110" i="3"/>
  <c r="Q41" i="7" s="1"/>
  <c r="A111" i="3"/>
  <c r="CY111" i="3"/>
  <c r="CZ111" i="3"/>
  <c r="DA111" i="3"/>
  <c r="DB111" i="3"/>
  <c r="L40" i="7" s="1"/>
  <c r="DC111" i="3"/>
  <c r="Q40" i="7" s="1"/>
  <c r="A112" i="3"/>
  <c r="CY112" i="3"/>
  <c r="CZ112" i="3"/>
  <c r="DB112" i="3" s="1"/>
  <c r="DA112" i="3"/>
  <c r="DC112" i="3"/>
  <c r="A113" i="3"/>
  <c r="CY113" i="3"/>
  <c r="CZ113" i="3"/>
  <c r="DA113" i="3"/>
  <c r="DB113" i="3"/>
  <c r="DC113" i="3"/>
  <c r="A114" i="3"/>
  <c r="CY114" i="3"/>
  <c r="CZ114" i="3"/>
  <c r="DB114" i="3" s="1"/>
  <c r="DA114" i="3"/>
  <c r="DC114" i="3"/>
  <c r="A115" i="3"/>
  <c r="CY115" i="3"/>
  <c r="CZ115" i="3"/>
  <c r="DB115" i="3" s="1"/>
  <c r="DA115" i="3"/>
  <c r="DC115" i="3"/>
  <c r="A116" i="3"/>
  <c r="CY116" i="3"/>
  <c r="CZ116" i="3"/>
  <c r="DB116" i="3" s="1"/>
  <c r="L43" i="7" s="1"/>
  <c r="DA116" i="3"/>
  <c r="DC116" i="3"/>
  <c r="Q43" i="7" s="1"/>
  <c r="A117" i="3"/>
  <c r="CY117" i="3"/>
  <c r="CZ117" i="3"/>
  <c r="DB117" i="3" s="1"/>
  <c r="L42" i="7" s="1"/>
  <c r="DA117" i="3"/>
  <c r="DC117" i="3"/>
  <c r="Q42" i="7" s="1"/>
  <c r="A118" i="3"/>
  <c r="CY118" i="3"/>
  <c r="CZ118" i="3"/>
  <c r="DA118" i="3"/>
  <c r="DB118" i="3"/>
  <c r="DC118" i="3"/>
  <c r="A119" i="3"/>
  <c r="CY119" i="3"/>
  <c r="CZ119" i="3"/>
  <c r="DB119" i="3" s="1"/>
  <c r="DA119" i="3"/>
  <c r="DC119" i="3"/>
  <c r="A120" i="3"/>
  <c r="CY120" i="3"/>
  <c r="CZ120" i="3"/>
  <c r="DB120" i="3" s="1"/>
  <c r="L46" i="7" s="1"/>
  <c r="DA120" i="3"/>
  <c r="DC120" i="3"/>
  <c r="Q46" i="7" s="1"/>
  <c r="A121" i="3"/>
  <c r="CY121" i="3"/>
  <c r="CZ121" i="3"/>
  <c r="DB121" i="3" s="1"/>
  <c r="L45" i="7" s="1"/>
  <c r="DA121" i="3"/>
  <c r="DC121" i="3"/>
  <c r="Q45" i="7" s="1"/>
  <c r="A122" i="3"/>
  <c r="CY122" i="3"/>
  <c r="CZ122" i="3"/>
  <c r="DA122" i="3"/>
  <c r="DB122" i="3"/>
  <c r="L44" i="7" s="1"/>
  <c r="DC122" i="3"/>
  <c r="Q44" i="7" s="1"/>
  <c r="A123" i="3"/>
  <c r="CY123" i="3"/>
  <c r="CZ123" i="3"/>
  <c r="DB123" i="3" s="1"/>
  <c r="DA123" i="3"/>
  <c r="DC123" i="3"/>
  <c r="A124" i="3"/>
  <c r="CY124" i="3"/>
  <c r="CZ124" i="3"/>
  <c r="DB124" i="3" s="1"/>
  <c r="DA124" i="3"/>
  <c r="DC124" i="3"/>
  <c r="A125" i="3"/>
  <c r="CY125" i="3"/>
  <c r="CZ125" i="3"/>
  <c r="DB125" i="3" s="1"/>
  <c r="L48" i="7" s="1"/>
  <c r="DA125" i="3"/>
  <c r="DC125" i="3"/>
  <c r="Q48" i="7" s="1"/>
  <c r="A126" i="3"/>
  <c r="CY126" i="3"/>
  <c r="CZ126" i="3"/>
  <c r="DA126" i="3"/>
  <c r="DB126" i="3"/>
  <c r="L47" i="7" s="1"/>
  <c r="DC126" i="3"/>
  <c r="Q47" i="7" s="1"/>
  <c r="A127" i="3"/>
  <c r="CY127" i="3"/>
  <c r="CZ127" i="3"/>
  <c r="DB127" i="3" s="1"/>
  <c r="DA127" i="3"/>
  <c r="DC127" i="3"/>
  <c r="A128" i="3"/>
  <c r="CY128" i="3"/>
  <c r="CZ128" i="3"/>
  <c r="DB128" i="3" s="1"/>
  <c r="DA128" i="3"/>
  <c r="DC128" i="3"/>
  <c r="A129" i="3"/>
  <c r="CY129" i="3"/>
  <c r="CZ129" i="3"/>
  <c r="DB129" i="3" s="1"/>
  <c r="DA129" i="3"/>
  <c r="DC129" i="3"/>
  <c r="A130" i="3"/>
  <c r="CY130" i="3"/>
  <c r="CZ130" i="3"/>
  <c r="DA130" i="3"/>
  <c r="DB130" i="3"/>
  <c r="DC130" i="3"/>
  <c r="A131" i="3"/>
  <c r="CY131" i="3"/>
  <c r="CZ131" i="3"/>
  <c r="DA131" i="3"/>
  <c r="DB131" i="3"/>
  <c r="L52" i="7" s="1"/>
  <c r="DC131" i="3"/>
  <c r="Q52" i="7" s="1"/>
  <c r="A132" i="3"/>
  <c r="CY132" i="3"/>
  <c r="CZ132" i="3"/>
  <c r="DB132" i="3" s="1"/>
  <c r="DA132" i="3"/>
  <c r="DC132" i="3"/>
  <c r="A133" i="3"/>
  <c r="CY133" i="3"/>
  <c r="CZ133" i="3"/>
  <c r="DA133" i="3"/>
  <c r="DB133" i="3"/>
  <c r="L55" i="7" s="1"/>
  <c r="DC133" i="3"/>
  <c r="Q55" i="7" s="1"/>
  <c r="A134" i="3"/>
  <c r="CY134" i="3"/>
  <c r="CZ134" i="3"/>
  <c r="DB134" i="3" s="1"/>
  <c r="L54" i="7" s="1"/>
  <c r="M54" i="7" s="1"/>
  <c r="DA134" i="3"/>
  <c r="DC134" i="3"/>
  <c r="Q54" i="7" s="1"/>
  <c r="A135" i="3"/>
  <c r="CY135" i="3"/>
  <c r="CZ135" i="3"/>
  <c r="DB135" i="3" s="1"/>
  <c r="L53" i="7" s="1"/>
  <c r="DA135" i="3"/>
  <c r="DC135" i="3"/>
  <c r="Q53" i="7" s="1"/>
  <c r="A136" i="3"/>
  <c r="CY136" i="3"/>
  <c r="CZ136" i="3"/>
  <c r="DB136" i="3" s="1"/>
  <c r="DA136" i="3"/>
  <c r="DC136" i="3"/>
  <c r="A137" i="3"/>
  <c r="CY137" i="3"/>
  <c r="CZ137" i="3"/>
  <c r="DB137" i="3" s="1"/>
  <c r="DA137" i="3"/>
  <c r="DC137" i="3"/>
  <c r="A138" i="3"/>
  <c r="CY138" i="3"/>
  <c r="CZ138" i="3"/>
  <c r="DA138" i="3"/>
  <c r="DB138" i="3"/>
  <c r="L57" i="7" s="1"/>
  <c r="DC138" i="3"/>
  <c r="Q57" i="7" s="1"/>
  <c r="A139" i="3"/>
  <c r="CY139" i="3"/>
  <c r="CZ139" i="3"/>
  <c r="DA139" i="3"/>
  <c r="DB139" i="3"/>
  <c r="L56" i="7" s="1"/>
  <c r="DC139" i="3"/>
  <c r="Q56" i="7" s="1"/>
  <c r="A140" i="3"/>
  <c r="CY140" i="3"/>
  <c r="CZ140" i="3"/>
  <c r="DB140" i="3" s="1"/>
  <c r="DA140" i="3"/>
  <c r="DC140" i="3"/>
  <c r="A141" i="3"/>
  <c r="CY141" i="3"/>
  <c r="CZ141" i="3"/>
  <c r="DB141" i="3" s="1"/>
  <c r="DA141" i="3"/>
  <c r="DC141" i="3"/>
  <c r="A142" i="3"/>
  <c r="CY142" i="3"/>
  <c r="CZ142" i="3"/>
  <c r="DA142" i="3"/>
  <c r="DB142" i="3"/>
  <c r="DC142" i="3"/>
  <c r="A143" i="3"/>
  <c r="CY143" i="3"/>
  <c r="CZ143" i="3"/>
  <c r="DB143" i="3" s="1"/>
  <c r="L60" i="7" s="1"/>
  <c r="DA143" i="3"/>
  <c r="DC143" i="3"/>
  <c r="Q60" i="7" s="1"/>
  <c r="A144" i="3"/>
  <c r="CY144" i="3"/>
  <c r="CZ144" i="3"/>
  <c r="DB144" i="3" s="1"/>
  <c r="DA144" i="3"/>
  <c r="DC144" i="3"/>
  <c r="A145" i="3"/>
  <c r="CY145" i="3"/>
  <c r="CZ145" i="3"/>
  <c r="DB145" i="3" s="1"/>
  <c r="L63" i="7" s="1"/>
  <c r="DA145" i="3"/>
  <c r="DC145" i="3"/>
  <c r="Q63" i="7" s="1"/>
  <c r="A146" i="3"/>
  <c r="CY146" i="3"/>
  <c r="CZ146" i="3"/>
  <c r="DA146" i="3"/>
  <c r="DB146" i="3"/>
  <c r="L62" i="7" s="1"/>
  <c r="DC146" i="3"/>
  <c r="Q62" i="7" s="1"/>
  <c r="A147" i="3"/>
  <c r="CY147" i="3"/>
  <c r="CZ147" i="3"/>
  <c r="DB147" i="3" s="1"/>
  <c r="L61" i="7" s="1"/>
  <c r="DA147" i="3"/>
  <c r="DC147" i="3"/>
  <c r="Q61" i="7" s="1"/>
  <c r="A148" i="3"/>
  <c r="CY148" i="3"/>
  <c r="CZ148" i="3"/>
  <c r="DB148" i="3" s="1"/>
  <c r="DA148" i="3"/>
  <c r="DC148" i="3"/>
  <c r="A149" i="3"/>
  <c r="CY149" i="3"/>
  <c r="CZ149" i="3"/>
  <c r="DA149" i="3"/>
  <c r="DB149" i="3"/>
  <c r="DC149" i="3"/>
  <c r="A150" i="3"/>
  <c r="CY150" i="3"/>
  <c r="CZ150" i="3"/>
  <c r="DB150" i="3" s="1"/>
  <c r="L65" i="7" s="1"/>
  <c r="DA150" i="3"/>
  <c r="DC150" i="3"/>
  <c r="Q65" i="7" s="1"/>
  <c r="A151" i="3"/>
  <c r="CY151" i="3"/>
  <c r="CZ151" i="3"/>
  <c r="DB151" i="3" s="1"/>
  <c r="L64" i="7" s="1"/>
  <c r="DA151" i="3"/>
  <c r="DC151" i="3"/>
  <c r="Q64" i="7" s="1"/>
  <c r="A152" i="3"/>
  <c r="CY152" i="3"/>
  <c r="CZ152" i="3"/>
  <c r="DB152" i="3" s="1"/>
  <c r="DA152" i="3"/>
  <c r="DC152" i="3"/>
  <c r="A153" i="3"/>
  <c r="CY153" i="3"/>
  <c r="CZ153" i="3"/>
  <c r="DB153" i="3" s="1"/>
  <c r="DA153" i="3"/>
  <c r="DC153" i="3"/>
  <c r="A154" i="3"/>
  <c r="CY154" i="3"/>
  <c r="CZ154" i="3"/>
  <c r="DA154" i="3"/>
  <c r="DB154" i="3"/>
  <c r="DC154" i="3"/>
  <c r="A155" i="3"/>
  <c r="CY155" i="3"/>
  <c r="CZ155" i="3"/>
  <c r="DB155" i="3" s="1"/>
  <c r="DA155" i="3"/>
  <c r="DC155" i="3"/>
  <c r="A156" i="3"/>
  <c r="CY156" i="3"/>
  <c r="CZ156" i="3"/>
  <c r="DB156" i="3" s="1"/>
  <c r="L71" i="7" s="1"/>
  <c r="DA156" i="3"/>
  <c r="DC156" i="3"/>
  <c r="Q71" i="7" s="1"/>
  <c r="A157" i="3"/>
  <c r="CY157" i="3"/>
  <c r="CZ157" i="3"/>
  <c r="DB157" i="3" s="1"/>
  <c r="L70" i="7" s="1"/>
  <c r="DA157" i="3"/>
  <c r="DC157" i="3"/>
  <c r="Q70" i="7" s="1"/>
  <c r="A158" i="3"/>
  <c r="CY158" i="3"/>
  <c r="CZ158" i="3"/>
  <c r="DA158" i="3"/>
  <c r="DB158" i="3"/>
  <c r="L69" i="7" s="1"/>
  <c r="DC158" i="3"/>
  <c r="Q69" i="7" s="1"/>
  <c r="A159" i="3"/>
  <c r="CY159" i="3"/>
  <c r="CZ159" i="3"/>
  <c r="DB159" i="3" s="1"/>
  <c r="L68" i="7" s="1"/>
  <c r="DA159" i="3"/>
  <c r="DC159" i="3"/>
  <c r="Q68" i="7" s="1"/>
  <c r="A160" i="3"/>
  <c r="CY160" i="3"/>
  <c r="CZ160" i="3"/>
  <c r="DB160" i="3" s="1"/>
  <c r="DA160" i="3"/>
  <c r="DC160" i="3"/>
  <c r="A161" i="3"/>
  <c r="CY161" i="3"/>
  <c r="CZ161" i="3"/>
  <c r="DB161" i="3" s="1"/>
  <c r="DA161" i="3"/>
  <c r="DC161" i="3"/>
  <c r="A162" i="3"/>
  <c r="CY162" i="3"/>
  <c r="CZ162" i="3"/>
  <c r="DA162" i="3"/>
  <c r="DB162" i="3"/>
  <c r="DC162" i="3"/>
  <c r="A163" i="3"/>
  <c r="CY163" i="3"/>
  <c r="CZ163" i="3"/>
  <c r="DB163" i="3" s="1"/>
  <c r="L75" i="7" s="1"/>
  <c r="DA163" i="3"/>
  <c r="DC163" i="3"/>
  <c r="Q75" i="7" s="1"/>
  <c r="A164" i="3"/>
  <c r="CY164" i="3"/>
  <c r="CZ164" i="3"/>
  <c r="DB164" i="3" s="1"/>
  <c r="L74" i="7" s="1"/>
  <c r="DA164" i="3"/>
  <c r="DC164" i="3"/>
  <c r="Q74" i="7" s="1"/>
  <c r="A165" i="3"/>
  <c r="CY165" i="3"/>
  <c r="CZ165" i="3"/>
  <c r="DB165" i="3" s="1"/>
  <c r="L73" i="7" s="1"/>
  <c r="DA165" i="3"/>
  <c r="DC165" i="3"/>
  <c r="Q73" i="7" s="1"/>
  <c r="A166" i="3"/>
  <c r="CY166" i="3"/>
  <c r="CZ166" i="3"/>
  <c r="DA166" i="3"/>
  <c r="DB166" i="3"/>
  <c r="L72" i="7" s="1"/>
  <c r="DC166" i="3"/>
  <c r="Q72" i="7" s="1"/>
  <c r="A167" i="3"/>
  <c r="CY167" i="3"/>
  <c r="CZ167" i="3"/>
  <c r="DB167" i="3" s="1"/>
  <c r="DA167" i="3"/>
  <c r="DC167" i="3"/>
  <c r="A168" i="3"/>
  <c r="CY168" i="3"/>
  <c r="CZ168" i="3"/>
  <c r="DB168" i="3" s="1"/>
  <c r="DA168" i="3"/>
  <c r="DC168" i="3"/>
  <c r="A169" i="3"/>
  <c r="CY169" i="3"/>
  <c r="CZ169" i="3"/>
  <c r="DB169" i="3" s="1"/>
  <c r="L77" i="7" s="1"/>
  <c r="DA169" i="3"/>
  <c r="DC169" i="3"/>
  <c r="Q77" i="7" s="1"/>
  <c r="A170" i="3"/>
  <c r="CY170" i="3"/>
  <c r="CZ170" i="3"/>
  <c r="DB170" i="3" s="1"/>
  <c r="L76" i="7" s="1"/>
  <c r="DA170" i="3"/>
  <c r="DC170" i="3"/>
  <c r="Q76" i="7" s="1"/>
  <c r="A171" i="3"/>
  <c r="CY171" i="3"/>
  <c r="CZ171" i="3"/>
  <c r="DA171" i="3"/>
  <c r="DB171" i="3"/>
  <c r="DC171" i="3"/>
  <c r="D12" i="1"/>
  <c r="E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EQ18" i="1"/>
  <c r="ER18" i="1"/>
  <c r="ES18" i="1"/>
  <c r="ET18" i="1"/>
  <c r="EU18" i="1"/>
  <c r="EV18" i="1"/>
  <c r="EW18" i="1"/>
  <c r="EX18" i="1"/>
  <c r="EY18" i="1"/>
  <c r="EZ18" i="1"/>
  <c r="FA18" i="1"/>
  <c r="FB18" i="1"/>
  <c r="FC18" i="1"/>
  <c r="FD18" i="1"/>
  <c r="FE18" i="1"/>
  <c r="FF18" i="1"/>
  <c r="FG18" i="1"/>
  <c r="FH18" i="1"/>
  <c r="FI18" i="1"/>
  <c r="FJ18" i="1"/>
  <c r="FK18" i="1"/>
  <c r="FL18" i="1"/>
  <c r="FM18" i="1"/>
  <c r="FN18" i="1"/>
  <c r="FO18" i="1"/>
  <c r="FP18" i="1"/>
  <c r="FQ18" i="1"/>
  <c r="FR18" i="1"/>
  <c r="FS18" i="1"/>
  <c r="FT18" i="1"/>
  <c r="FU18" i="1"/>
  <c r="FV18" i="1"/>
  <c r="FW18" i="1"/>
  <c r="FX18" i="1"/>
  <c r="FY18" i="1"/>
  <c r="FZ18" i="1"/>
  <c r="GA18" i="1"/>
  <c r="GB18" i="1"/>
  <c r="GC18" i="1"/>
  <c r="GD18" i="1"/>
  <c r="GE18" i="1"/>
  <c r="GF18" i="1"/>
  <c r="GG18" i="1"/>
  <c r="GH18" i="1"/>
  <c r="GI18" i="1"/>
  <c r="GJ18" i="1"/>
  <c r="GK18" i="1"/>
  <c r="GL18" i="1"/>
  <c r="GM18" i="1"/>
  <c r="GN18" i="1"/>
  <c r="GO18" i="1"/>
  <c r="GP18" i="1"/>
  <c r="GQ18" i="1"/>
  <c r="GR18" i="1"/>
  <c r="GS18" i="1"/>
  <c r="GT18" i="1"/>
  <c r="GU18" i="1"/>
  <c r="GV18" i="1"/>
  <c r="GW18" i="1"/>
  <c r="GX18" i="1"/>
  <c r="D20" i="1"/>
  <c r="E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D24" i="1"/>
  <c r="E26" i="1"/>
  <c r="Z26" i="1"/>
  <c r="AA26" i="1"/>
  <c r="AM26" i="1"/>
  <c r="AN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C28" i="1"/>
  <c r="D28" i="1"/>
  <c r="I28" i="1"/>
  <c r="E36" i="5" s="1"/>
  <c r="AC28" i="1"/>
  <c r="AE28" i="1"/>
  <c r="AD28" i="1" s="1"/>
  <c r="AF28" i="1"/>
  <c r="Q36" i="5" s="1"/>
  <c r="AG28" i="1"/>
  <c r="CU28" i="1" s="1"/>
  <c r="AH28" i="1"/>
  <c r="CV28" i="1" s="1"/>
  <c r="AI28" i="1"/>
  <c r="CW28" i="1" s="1"/>
  <c r="V28" i="1" s="1"/>
  <c r="AJ28" i="1"/>
  <c r="CX28" i="1" s="1"/>
  <c r="CS28" i="1"/>
  <c r="V36" i="5" s="1"/>
  <c r="J43" i="5" s="1"/>
  <c r="CT28" i="1"/>
  <c r="S28" i="1" s="1"/>
  <c r="J38" i="5" s="1"/>
  <c r="FR28" i="1"/>
  <c r="GL28" i="1"/>
  <c r="GN28" i="1"/>
  <c r="GO28" i="1"/>
  <c r="GV28" i="1"/>
  <c r="HC28" i="1" s="1"/>
  <c r="C29" i="1"/>
  <c r="D29" i="1"/>
  <c r="I29" i="1"/>
  <c r="E46" i="5" s="1"/>
  <c r="AC29" i="1"/>
  <c r="AE29" i="1"/>
  <c r="AF29" i="1"/>
  <c r="CT29" i="1" s="1"/>
  <c r="S29" i="1" s="1"/>
  <c r="AG29" i="1"/>
  <c r="CU29" i="1" s="1"/>
  <c r="AH29" i="1"/>
  <c r="AI29" i="1"/>
  <c r="AJ29" i="1"/>
  <c r="CX29" i="1" s="1"/>
  <c r="W29" i="1" s="1"/>
  <c r="CV29" i="1"/>
  <c r="U29" i="1" s="1"/>
  <c r="K51" i="5" s="1"/>
  <c r="CW29" i="1"/>
  <c r="V29" i="1" s="1"/>
  <c r="FR29" i="1"/>
  <c r="GL29" i="1"/>
  <c r="GN29" i="1"/>
  <c r="GO29" i="1"/>
  <c r="GV29" i="1"/>
  <c r="HC29" i="1" s="1"/>
  <c r="GX29" i="1" s="1"/>
  <c r="C30" i="1"/>
  <c r="D30" i="1"/>
  <c r="I30" i="1"/>
  <c r="AC30" i="1"/>
  <c r="AE30" i="1"/>
  <c r="AF30" i="1"/>
  <c r="S53" i="5" s="1"/>
  <c r="AG30" i="1"/>
  <c r="CU30" i="1" s="1"/>
  <c r="AH30" i="1"/>
  <c r="AI30" i="1"/>
  <c r="AJ30" i="1"/>
  <c r="CX30" i="1" s="1"/>
  <c r="CR30" i="1"/>
  <c r="Q30" i="1" s="1"/>
  <c r="CV30" i="1"/>
  <c r="CW30" i="1"/>
  <c r="V30" i="1" s="1"/>
  <c r="FR30" i="1"/>
  <c r="GL30" i="1"/>
  <c r="GN30" i="1"/>
  <c r="GO30" i="1"/>
  <c r="GV30" i="1"/>
  <c r="HC30" i="1"/>
  <c r="C31" i="1"/>
  <c r="D31" i="1"/>
  <c r="AC31" i="1"/>
  <c r="AE31" i="1"/>
  <c r="AF31" i="1"/>
  <c r="AG31" i="1"/>
  <c r="CU31" i="1" s="1"/>
  <c r="AH31" i="1"/>
  <c r="AI31" i="1"/>
  <c r="AJ31" i="1"/>
  <c r="CX31" i="1" s="1"/>
  <c r="CR31" i="1"/>
  <c r="CV31" i="1"/>
  <c r="CW31" i="1"/>
  <c r="FR31" i="1"/>
  <c r="GL31" i="1"/>
  <c r="GN31" i="1"/>
  <c r="GO31" i="1"/>
  <c r="GV31" i="1"/>
  <c r="HC31" i="1" s="1"/>
  <c r="C32" i="1"/>
  <c r="D32" i="1"/>
  <c r="AC32" i="1"/>
  <c r="AE32" i="1"/>
  <c r="AF32" i="1"/>
  <c r="AG32" i="1"/>
  <c r="CU32" i="1" s="1"/>
  <c r="AH32" i="1"/>
  <c r="CV32" i="1" s="1"/>
  <c r="AI32" i="1"/>
  <c r="AJ32" i="1"/>
  <c r="CX32" i="1" s="1"/>
  <c r="CQ32" i="1"/>
  <c r="CS32" i="1"/>
  <c r="CW32" i="1"/>
  <c r="FR32" i="1"/>
  <c r="GL32" i="1"/>
  <c r="GN32" i="1"/>
  <c r="GO32" i="1"/>
  <c r="GV32" i="1"/>
  <c r="HC32" i="1" s="1"/>
  <c r="AC33" i="1"/>
  <c r="AE33" i="1"/>
  <c r="AF33" i="1"/>
  <c r="AG33" i="1"/>
  <c r="CU33" i="1" s="1"/>
  <c r="AH33" i="1"/>
  <c r="AI33" i="1"/>
  <c r="CW33" i="1" s="1"/>
  <c r="AJ33" i="1"/>
  <c r="CX33" i="1" s="1"/>
  <c r="CV33" i="1"/>
  <c r="FR33" i="1"/>
  <c r="GL33" i="1"/>
  <c r="GO33" i="1"/>
  <c r="GP33" i="1"/>
  <c r="GV33" i="1"/>
  <c r="HC33" i="1" s="1"/>
  <c r="C34" i="1"/>
  <c r="D34" i="1"/>
  <c r="I34" i="1"/>
  <c r="CX13" i="3" s="1"/>
  <c r="W34" i="1"/>
  <c r="AC34" i="1"/>
  <c r="CQ34" i="1" s="1"/>
  <c r="P34" i="1" s="1"/>
  <c r="J77" i="5" s="1"/>
  <c r="AE34" i="1"/>
  <c r="U72" i="5" s="1"/>
  <c r="AF34" i="1"/>
  <c r="AG34" i="1"/>
  <c r="CU34" i="1" s="1"/>
  <c r="T34" i="1" s="1"/>
  <c r="AH34" i="1"/>
  <c r="AI34" i="1"/>
  <c r="CW34" i="1" s="1"/>
  <c r="V34" i="1" s="1"/>
  <c r="AJ34" i="1"/>
  <c r="CT34" i="1"/>
  <c r="S34" i="1" s="1"/>
  <c r="J74" i="5" s="1"/>
  <c r="CV34" i="1"/>
  <c r="U34" i="1" s="1"/>
  <c r="K81" i="5" s="1"/>
  <c r="CX34" i="1"/>
  <c r="FR34" i="1"/>
  <c r="GL34" i="1"/>
  <c r="GN34" i="1"/>
  <c r="GO34" i="1"/>
  <c r="GV34" i="1"/>
  <c r="HC34" i="1" s="1"/>
  <c r="GX34" i="1" s="1"/>
  <c r="C35" i="1"/>
  <c r="D35" i="1"/>
  <c r="I35" i="1"/>
  <c r="CX17" i="3" s="1"/>
  <c r="W35" i="1"/>
  <c r="AC35" i="1"/>
  <c r="CQ35" i="1" s="1"/>
  <c r="P35" i="1" s="1"/>
  <c r="J88" i="5" s="1"/>
  <c r="AE35" i="1"/>
  <c r="U83" i="5" s="1"/>
  <c r="AF35" i="1"/>
  <c r="AG35" i="1"/>
  <c r="CU35" i="1" s="1"/>
  <c r="T35" i="1" s="1"/>
  <c r="AH35" i="1"/>
  <c r="CV35" i="1" s="1"/>
  <c r="U35" i="1" s="1"/>
  <c r="K92" i="5" s="1"/>
  <c r="AI35" i="1"/>
  <c r="CW35" i="1" s="1"/>
  <c r="V35" i="1" s="1"/>
  <c r="AJ35" i="1"/>
  <c r="CS35" i="1"/>
  <c r="V83" i="5" s="1"/>
  <c r="J91" i="5" s="1"/>
  <c r="CT35" i="1"/>
  <c r="S35" i="1" s="1"/>
  <c r="J85" i="5" s="1"/>
  <c r="CX35" i="1"/>
  <c r="FR35" i="1"/>
  <c r="GL35" i="1"/>
  <c r="GN35" i="1"/>
  <c r="GO35" i="1"/>
  <c r="GV35" i="1"/>
  <c r="HC35" i="1" s="1"/>
  <c r="GX35" i="1" s="1"/>
  <c r="C36" i="1"/>
  <c r="D36" i="1"/>
  <c r="I36" i="1"/>
  <c r="CX26" i="3" s="1"/>
  <c r="W36" i="1"/>
  <c r="AC36" i="1"/>
  <c r="CQ36" i="1" s="1"/>
  <c r="P36" i="1" s="1"/>
  <c r="J99" i="5" s="1"/>
  <c r="AE36" i="1"/>
  <c r="AF36" i="1"/>
  <c r="AG36" i="1"/>
  <c r="CU36" i="1" s="1"/>
  <c r="T36" i="1" s="1"/>
  <c r="AH36" i="1"/>
  <c r="CV36" i="1" s="1"/>
  <c r="U36" i="1" s="1"/>
  <c r="K105" i="5" s="1"/>
  <c r="AI36" i="1"/>
  <c r="CW36" i="1" s="1"/>
  <c r="AJ36" i="1"/>
  <c r="CS36" i="1"/>
  <c r="CT36" i="1"/>
  <c r="S36" i="1" s="1"/>
  <c r="J96" i="5" s="1"/>
  <c r="CX36" i="1"/>
  <c r="FR36" i="1"/>
  <c r="GL36" i="1"/>
  <c r="GN36" i="1"/>
  <c r="GO36" i="1"/>
  <c r="GV36" i="1"/>
  <c r="HC36" i="1" s="1"/>
  <c r="GX36" i="1" s="1"/>
  <c r="AC37" i="1"/>
  <c r="AE37" i="1"/>
  <c r="AF37" i="1"/>
  <c r="AG37" i="1"/>
  <c r="CU37" i="1" s="1"/>
  <c r="AH37" i="1"/>
  <c r="CV37" i="1" s="1"/>
  <c r="AI37" i="1"/>
  <c r="CW37" i="1" s="1"/>
  <c r="AJ37" i="1"/>
  <c r="CR37" i="1"/>
  <c r="CT37" i="1"/>
  <c r="CX37" i="1"/>
  <c r="FR37" i="1"/>
  <c r="GL37" i="1"/>
  <c r="GN37" i="1"/>
  <c r="GO37" i="1"/>
  <c r="GV37" i="1"/>
  <c r="HC37" i="1" s="1"/>
  <c r="AC38" i="1"/>
  <c r="AE38" i="1"/>
  <c r="AF38" i="1"/>
  <c r="AG38" i="1"/>
  <c r="CU38" i="1" s="1"/>
  <c r="AH38" i="1"/>
  <c r="CV38" i="1" s="1"/>
  <c r="AI38" i="1"/>
  <c r="AJ38" i="1"/>
  <c r="CX38" i="1" s="1"/>
  <c r="CR38" i="1"/>
  <c r="CS38" i="1"/>
  <c r="CW38" i="1"/>
  <c r="FR38" i="1"/>
  <c r="GL38" i="1"/>
  <c r="GN38" i="1"/>
  <c r="GO38" i="1"/>
  <c r="GV38" i="1"/>
  <c r="HC38" i="1"/>
  <c r="C39" i="1"/>
  <c r="D39" i="1"/>
  <c r="I39" i="1"/>
  <c r="AC39" i="1"/>
  <c r="AE39" i="1"/>
  <c r="AF39" i="1"/>
  <c r="AG39" i="1"/>
  <c r="CU39" i="1" s="1"/>
  <c r="AH39" i="1"/>
  <c r="CV39" i="1" s="1"/>
  <c r="AI39" i="1"/>
  <c r="CW39" i="1" s="1"/>
  <c r="AJ39" i="1"/>
  <c r="CX39" i="1" s="1"/>
  <c r="CT39" i="1"/>
  <c r="S39" i="1" s="1"/>
  <c r="J109" i="5" s="1"/>
  <c r="FR39" i="1"/>
  <c r="GL39" i="1"/>
  <c r="GN39" i="1"/>
  <c r="GO39" i="1"/>
  <c r="GV39" i="1"/>
  <c r="HC39" i="1"/>
  <c r="AC40" i="1"/>
  <c r="AE40" i="1"/>
  <c r="AF40" i="1"/>
  <c r="AG40" i="1"/>
  <c r="AH40" i="1"/>
  <c r="CV40" i="1" s="1"/>
  <c r="AI40" i="1"/>
  <c r="CW40" i="1" s="1"/>
  <c r="AJ40" i="1"/>
  <c r="CX40" i="1" s="1"/>
  <c r="CQ40" i="1"/>
  <c r="CU40" i="1"/>
  <c r="FR40" i="1"/>
  <c r="GL40" i="1"/>
  <c r="GN40" i="1"/>
  <c r="GO40" i="1"/>
  <c r="GV40" i="1"/>
  <c r="HC40" i="1"/>
  <c r="C41" i="1"/>
  <c r="D41" i="1"/>
  <c r="I41" i="1"/>
  <c r="CX43" i="3" s="1"/>
  <c r="AC41" i="1"/>
  <c r="AD41" i="1"/>
  <c r="AE41" i="1"/>
  <c r="AF41" i="1"/>
  <c r="AG41" i="1"/>
  <c r="CU41" i="1" s="1"/>
  <c r="T41" i="1" s="1"/>
  <c r="AH41" i="1"/>
  <c r="CV41" i="1" s="1"/>
  <c r="U41" i="1" s="1"/>
  <c r="K128" i="5" s="1"/>
  <c r="AI41" i="1"/>
  <c r="CW41" i="1" s="1"/>
  <c r="AJ41" i="1"/>
  <c r="CQ41" i="1"/>
  <c r="P41" i="1" s="1"/>
  <c r="J124" i="5" s="1"/>
  <c r="CR41" i="1"/>
  <c r="Q41" i="1" s="1"/>
  <c r="J122" i="5" s="1"/>
  <c r="CX41" i="1"/>
  <c r="W41" i="1" s="1"/>
  <c r="FR41" i="1"/>
  <c r="GL41" i="1"/>
  <c r="GN41" i="1"/>
  <c r="GO41" i="1"/>
  <c r="GV41" i="1"/>
  <c r="HC41" i="1"/>
  <c r="GX41" i="1" s="1"/>
  <c r="C42" i="1"/>
  <c r="D42" i="1"/>
  <c r="I42" i="1"/>
  <c r="CX55" i="3" s="1"/>
  <c r="AC42" i="1"/>
  <c r="AE42" i="1"/>
  <c r="AF42" i="1"/>
  <c r="AG42" i="1"/>
  <c r="AH42" i="1"/>
  <c r="CV42" i="1" s="1"/>
  <c r="AI42" i="1"/>
  <c r="CW42" i="1" s="1"/>
  <c r="V42" i="1" s="1"/>
  <c r="AJ42" i="1"/>
  <c r="CX42" i="1" s="1"/>
  <c r="W42" i="1" s="1"/>
  <c r="CQ42" i="1"/>
  <c r="CU42" i="1"/>
  <c r="T42" i="1" s="1"/>
  <c r="FR42" i="1"/>
  <c r="GL42" i="1"/>
  <c r="GN42" i="1"/>
  <c r="GO42" i="1"/>
  <c r="GV42" i="1"/>
  <c r="HC42" i="1" s="1"/>
  <c r="GX42" i="1" s="1"/>
  <c r="AC43" i="1"/>
  <c r="CQ43" i="1" s="1"/>
  <c r="AE43" i="1"/>
  <c r="AF43" i="1"/>
  <c r="AG43" i="1"/>
  <c r="CU43" i="1" s="1"/>
  <c r="AH43" i="1"/>
  <c r="CV43" i="1" s="1"/>
  <c r="AI43" i="1"/>
  <c r="CW43" i="1" s="1"/>
  <c r="AJ43" i="1"/>
  <c r="CS43" i="1"/>
  <c r="CT43" i="1"/>
  <c r="CX43" i="1"/>
  <c r="FR43" i="1"/>
  <c r="GL43" i="1"/>
  <c r="GN43" i="1"/>
  <c r="GO43" i="1"/>
  <c r="GV43" i="1"/>
  <c r="HC43" i="1" s="1"/>
  <c r="I44" i="1"/>
  <c r="E134" i="5" s="1"/>
  <c r="AC44" i="1"/>
  <c r="AE44" i="1"/>
  <c r="AF44" i="1"/>
  <c r="AG44" i="1"/>
  <c r="CU44" i="1" s="1"/>
  <c r="T44" i="1" s="1"/>
  <c r="AH44" i="1"/>
  <c r="AI44" i="1"/>
  <c r="CW44" i="1" s="1"/>
  <c r="AJ44" i="1"/>
  <c r="CX44" i="1" s="1"/>
  <c r="W44" i="1" s="1"/>
  <c r="CQ44" i="1"/>
  <c r="P44" i="1" s="1"/>
  <c r="CV44" i="1"/>
  <c r="U44" i="1" s="1"/>
  <c r="FR44" i="1"/>
  <c r="GL44" i="1"/>
  <c r="GN44" i="1"/>
  <c r="GO44" i="1"/>
  <c r="GV44" i="1"/>
  <c r="HC44" i="1" s="1"/>
  <c r="GX44" i="1" s="1"/>
  <c r="B46" i="1"/>
  <c r="B26" i="1" s="1"/>
  <c r="C46" i="1"/>
  <c r="C26" i="1" s="1"/>
  <c r="D46" i="1"/>
  <c r="D26" i="1" s="1"/>
  <c r="F46" i="1"/>
  <c r="F26" i="1" s="1"/>
  <c r="G46" i="1"/>
  <c r="G26" i="1" s="1"/>
  <c r="BX46" i="1"/>
  <c r="CK46" i="1"/>
  <c r="CK26" i="1" s="1"/>
  <c r="CL46" i="1"/>
  <c r="BC46" i="1" s="1"/>
  <c r="CM46" i="1"/>
  <c r="CM26" i="1" s="1"/>
  <c r="D79" i="1"/>
  <c r="E81" i="1"/>
  <c r="Z81" i="1"/>
  <c r="AA81" i="1"/>
  <c r="AM81" i="1"/>
  <c r="AN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L81" i="1"/>
  <c r="FM81" i="1"/>
  <c r="FN81" i="1"/>
  <c r="FO81" i="1"/>
  <c r="FP81" i="1"/>
  <c r="FQ81" i="1"/>
  <c r="FR81" i="1"/>
  <c r="FS81" i="1"/>
  <c r="FT81" i="1"/>
  <c r="FU81" i="1"/>
  <c r="FV81" i="1"/>
  <c r="FW81" i="1"/>
  <c r="FX81" i="1"/>
  <c r="FY81" i="1"/>
  <c r="FZ81" i="1"/>
  <c r="GA81" i="1"/>
  <c r="GB81" i="1"/>
  <c r="GC81" i="1"/>
  <c r="GD81" i="1"/>
  <c r="GE81" i="1"/>
  <c r="GF81" i="1"/>
  <c r="GG81" i="1"/>
  <c r="GH81" i="1"/>
  <c r="GI81" i="1"/>
  <c r="GJ81" i="1"/>
  <c r="GK81" i="1"/>
  <c r="GL81" i="1"/>
  <c r="GM81" i="1"/>
  <c r="GN81" i="1"/>
  <c r="GO81" i="1"/>
  <c r="GP81" i="1"/>
  <c r="GQ81" i="1"/>
  <c r="GR81" i="1"/>
  <c r="GS81" i="1"/>
  <c r="GT81" i="1"/>
  <c r="GU81" i="1"/>
  <c r="GV81" i="1"/>
  <c r="GW81" i="1"/>
  <c r="GX81" i="1"/>
  <c r="C83" i="1"/>
  <c r="D83" i="1"/>
  <c r="I83" i="1"/>
  <c r="CX59" i="3" s="1"/>
  <c r="AC83" i="1"/>
  <c r="AE83" i="1"/>
  <c r="U143" i="5" s="1"/>
  <c r="AF83" i="1"/>
  <c r="AG83" i="1"/>
  <c r="CU83" i="1" s="1"/>
  <c r="AH83" i="1"/>
  <c r="AI83" i="1"/>
  <c r="CW83" i="1" s="1"/>
  <c r="V83" i="1" s="1"/>
  <c r="AJ83" i="1"/>
  <c r="CX83" i="1" s="1"/>
  <c r="W83" i="1" s="1"/>
  <c r="CV83" i="1"/>
  <c r="U83" i="1" s="1"/>
  <c r="K151" i="5" s="1"/>
  <c r="FR83" i="1"/>
  <c r="GL83" i="1"/>
  <c r="GN83" i="1"/>
  <c r="CB91" i="1" s="1"/>
  <c r="GO83" i="1"/>
  <c r="GV83" i="1"/>
  <c r="HC83" i="1"/>
  <c r="GX83" i="1" s="1"/>
  <c r="C84" i="1"/>
  <c r="D84" i="1"/>
  <c r="I84" i="1"/>
  <c r="CX61" i="3" s="1"/>
  <c r="W84" i="1"/>
  <c r="AC84" i="1"/>
  <c r="AE84" i="1"/>
  <c r="U153" i="5" s="1"/>
  <c r="AF84" i="1"/>
  <c r="AG84" i="1"/>
  <c r="CU84" i="1" s="1"/>
  <c r="T84" i="1" s="1"/>
  <c r="AH84" i="1"/>
  <c r="AI84" i="1"/>
  <c r="CW84" i="1" s="1"/>
  <c r="V84" i="1" s="1"/>
  <c r="AJ84" i="1"/>
  <c r="CR84" i="1"/>
  <c r="Q84" i="1" s="1"/>
  <c r="J156" i="5" s="1"/>
  <c r="CV84" i="1"/>
  <c r="U84" i="1" s="1"/>
  <c r="K161" i="5" s="1"/>
  <c r="CX84" i="1"/>
  <c r="FR84" i="1"/>
  <c r="GL84" i="1"/>
  <c r="GN84" i="1"/>
  <c r="GO84" i="1"/>
  <c r="GV84" i="1"/>
  <c r="HC84" i="1"/>
  <c r="GX84" i="1" s="1"/>
  <c r="C85" i="1"/>
  <c r="D85" i="1"/>
  <c r="I85" i="1"/>
  <c r="CX66" i="3" s="1"/>
  <c r="W85" i="1"/>
  <c r="AC85" i="1"/>
  <c r="AE85" i="1"/>
  <c r="U163" i="5" s="1"/>
  <c r="AF85" i="1"/>
  <c r="AG85" i="1"/>
  <c r="CU85" i="1" s="1"/>
  <c r="T85" i="1" s="1"/>
  <c r="AH85" i="1"/>
  <c r="CV85" i="1" s="1"/>
  <c r="U85" i="1" s="1"/>
  <c r="AI85" i="1"/>
  <c r="CW85" i="1" s="1"/>
  <c r="V85" i="1" s="1"/>
  <c r="AJ85" i="1"/>
  <c r="CR85" i="1"/>
  <c r="Q85" i="1" s="1"/>
  <c r="J165" i="5" s="1"/>
  <c r="CT85" i="1"/>
  <c r="S85" i="1" s="1"/>
  <c r="CX85" i="1"/>
  <c r="FR85" i="1"/>
  <c r="GL85" i="1"/>
  <c r="GN85" i="1"/>
  <c r="GO85" i="1"/>
  <c r="GV85" i="1"/>
  <c r="HC85" i="1" s="1"/>
  <c r="GX85" i="1" s="1"/>
  <c r="C86" i="1"/>
  <c r="D86" i="1"/>
  <c r="I86" i="1"/>
  <c r="AC86" i="1"/>
  <c r="AE86" i="1"/>
  <c r="AF86" i="1"/>
  <c r="AG86" i="1"/>
  <c r="CU86" i="1" s="1"/>
  <c r="AH86" i="1"/>
  <c r="AI86" i="1"/>
  <c r="CW86" i="1" s="1"/>
  <c r="V86" i="1" s="1"/>
  <c r="AJ86" i="1"/>
  <c r="CT86" i="1"/>
  <c r="S86" i="1" s="1"/>
  <c r="CV86" i="1"/>
  <c r="U86" i="1" s="1"/>
  <c r="K174" i="5" s="1"/>
  <c r="CX86" i="1"/>
  <c r="FR86" i="1"/>
  <c r="GL86" i="1"/>
  <c r="GN86" i="1"/>
  <c r="GO86" i="1"/>
  <c r="GV86" i="1"/>
  <c r="HC86" i="1"/>
  <c r="GX86" i="1" s="1"/>
  <c r="C87" i="1"/>
  <c r="D87" i="1"/>
  <c r="AC87" i="1"/>
  <c r="AE87" i="1"/>
  <c r="U176" i="5" s="1"/>
  <c r="AF87" i="1"/>
  <c r="AG87" i="1"/>
  <c r="AH87" i="1"/>
  <c r="CV87" i="1" s="1"/>
  <c r="U87" i="1" s="1"/>
  <c r="AI87" i="1"/>
  <c r="CW87" i="1" s="1"/>
  <c r="V87" i="1" s="1"/>
  <c r="AJ87" i="1"/>
  <c r="CX87" i="1" s="1"/>
  <c r="W87" i="1" s="1"/>
  <c r="CQ87" i="1"/>
  <c r="P87" i="1" s="1"/>
  <c r="CS87" i="1"/>
  <c r="V176" i="5" s="1"/>
  <c r="CU87" i="1"/>
  <c r="T87" i="1" s="1"/>
  <c r="FR87" i="1"/>
  <c r="GL87" i="1"/>
  <c r="GN87" i="1"/>
  <c r="GO87" i="1"/>
  <c r="GV87" i="1"/>
  <c r="HC87" i="1" s="1"/>
  <c r="GX87" i="1" s="1"/>
  <c r="C88" i="1"/>
  <c r="D88" i="1"/>
  <c r="AC88" i="1"/>
  <c r="AE88" i="1"/>
  <c r="AF88" i="1"/>
  <c r="AG88" i="1"/>
  <c r="CU88" i="1" s="1"/>
  <c r="T88" i="1" s="1"/>
  <c r="AH88" i="1"/>
  <c r="CV88" i="1" s="1"/>
  <c r="U88" i="1" s="1"/>
  <c r="AI88" i="1"/>
  <c r="CW88" i="1" s="1"/>
  <c r="V88" i="1" s="1"/>
  <c r="AJ88" i="1"/>
  <c r="CX88" i="1" s="1"/>
  <c r="W88" i="1" s="1"/>
  <c r="CQ88" i="1"/>
  <c r="P88" i="1" s="1"/>
  <c r="FR88" i="1"/>
  <c r="GL88" i="1"/>
  <c r="GN88" i="1"/>
  <c r="GO88" i="1"/>
  <c r="GV88" i="1"/>
  <c r="HC88" i="1"/>
  <c r="GX88" i="1" s="1"/>
  <c r="C89" i="1"/>
  <c r="D89" i="1"/>
  <c r="P89" i="1"/>
  <c r="AC89" i="1"/>
  <c r="AE89" i="1"/>
  <c r="AF89" i="1"/>
  <c r="AG89" i="1"/>
  <c r="CU89" i="1" s="1"/>
  <c r="T89" i="1" s="1"/>
  <c r="AH89" i="1"/>
  <c r="CV89" i="1" s="1"/>
  <c r="U89" i="1" s="1"/>
  <c r="AI89" i="1"/>
  <c r="CW89" i="1" s="1"/>
  <c r="V89" i="1" s="1"/>
  <c r="AJ89" i="1"/>
  <c r="CX89" i="1" s="1"/>
  <c r="W89" i="1" s="1"/>
  <c r="CQ89" i="1"/>
  <c r="FR89" i="1"/>
  <c r="GL89" i="1"/>
  <c r="GN89" i="1"/>
  <c r="GO89" i="1"/>
  <c r="GV89" i="1"/>
  <c r="HC89" i="1" s="1"/>
  <c r="GX89" i="1" s="1"/>
  <c r="B91" i="1"/>
  <c r="B81" i="1" s="1"/>
  <c r="C91" i="1"/>
  <c r="C81" i="1" s="1"/>
  <c r="D91" i="1"/>
  <c r="D81" i="1" s="1"/>
  <c r="F91" i="1"/>
  <c r="F81" i="1" s="1"/>
  <c r="G91" i="1"/>
  <c r="A189" i="5" s="1"/>
  <c r="BX91" i="1"/>
  <c r="BZ91" i="1"/>
  <c r="BZ81" i="1" s="1"/>
  <c r="CK91" i="1"/>
  <c r="CK81" i="1" s="1"/>
  <c r="CL91" i="1"/>
  <c r="CM91" i="1"/>
  <c r="CM81" i="1" s="1"/>
  <c r="D124" i="1"/>
  <c r="E126" i="1"/>
  <c r="G126" i="1"/>
  <c r="Z126" i="1"/>
  <c r="AA126" i="1"/>
  <c r="AM126" i="1"/>
  <c r="AN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CL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L126" i="1"/>
  <c r="FM126" i="1"/>
  <c r="FN126" i="1"/>
  <c r="FO126" i="1"/>
  <c r="FP126" i="1"/>
  <c r="FQ126" i="1"/>
  <c r="FR126" i="1"/>
  <c r="FS126" i="1"/>
  <c r="FT126" i="1"/>
  <c r="FU126" i="1"/>
  <c r="FV126" i="1"/>
  <c r="FW126" i="1"/>
  <c r="FX126" i="1"/>
  <c r="FY126" i="1"/>
  <c r="FZ126" i="1"/>
  <c r="GA126" i="1"/>
  <c r="GB126" i="1"/>
  <c r="GC126" i="1"/>
  <c r="GD126" i="1"/>
  <c r="GE126" i="1"/>
  <c r="GF126" i="1"/>
  <c r="GG126" i="1"/>
  <c r="GH126" i="1"/>
  <c r="GI126" i="1"/>
  <c r="GJ126" i="1"/>
  <c r="GK126" i="1"/>
  <c r="GL126" i="1"/>
  <c r="GM126" i="1"/>
  <c r="GN126" i="1"/>
  <c r="GO126" i="1"/>
  <c r="GP126" i="1"/>
  <c r="GQ126" i="1"/>
  <c r="GR126" i="1"/>
  <c r="GS126" i="1"/>
  <c r="GT126" i="1"/>
  <c r="GU126" i="1"/>
  <c r="GV126" i="1"/>
  <c r="GW126" i="1"/>
  <c r="GX126" i="1"/>
  <c r="C128" i="1"/>
  <c r="D128" i="1"/>
  <c r="I128" i="1"/>
  <c r="CX74" i="3" s="1"/>
  <c r="AC128" i="1"/>
  <c r="AE128" i="1"/>
  <c r="AF128" i="1"/>
  <c r="AG128" i="1"/>
  <c r="CU128" i="1" s="1"/>
  <c r="T128" i="1" s="1"/>
  <c r="AH128" i="1"/>
  <c r="AI128" i="1"/>
  <c r="CW128" i="1" s="1"/>
  <c r="AJ128" i="1"/>
  <c r="CX128" i="1" s="1"/>
  <c r="W128" i="1" s="1"/>
  <c r="CT128" i="1"/>
  <c r="S128" i="1" s="1"/>
  <c r="CV128" i="1"/>
  <c r="U128" i="1" s="1"/>
  <c r="FR128" i="1"/>
  <c r="GL128" i="1"/>
  <c r="GN128" i="1"/>
  <c r="GO128" i="1"/>
  <c r="GV128" i="1"/>
  <c r="HC128" i="1" s="1"/>
  <c r="GX128" i="1" s="1"/>
  <c r="C129" i="1"/>
  <c r="D129" i="1"/>
  <c r="I129" i="1"/>
  <c r="AC129" i="1"/>
  <c r="AE129" i="1"/>
  <c r="AF129" i="1"/>
  <c r="AG129" i="1"/>
  <c r="CU129" i="1" s="1"/>
  <c r="T129" i="1" s="1"/>
  <c r="AH129" i="1"/>
  <c r="AI129" i="1"/>
  <c r="CW129" i="1" s="1"/>
  <c r="V129" i="1" s="1"/>
  <c r="AJ129" i="1"/>
  <c r="CT129" i="1"/>
  <c r="S129" i="1" s="1"/>
  <c r="CV129" i="1"/>
  <c r="U129" i="1" s="1"/>
  <c r="K197" i="5" s="1"/>
  <c r="CX129" i="1"/>
  <c r="W129" i="1" s="1"/>
  <c r="FR129" i="1"/>
  <c r="GL129" i="1"/>
  <c r="GN129" i="1"/>
  <c r="GO129" i="1"/>
  <c r="GV129" i="1"/>
  <c r="HC129" i="1"/>
  <c r="GX129" i="1" s="1"/>
  <c r="C130" i="1"/>
  <c r="D130" i="1"/>
  <c r="I130" i="1"/>
  <c r="AC130" i="1"/>
  <c r="CQ130" i="1" s="1"/>
  <c r="P130" i="1" s="1"/>
  <c r="AE130" i="1"/>
  <c r="U199" i="5" s="1"/>
  <c r="AF130" i="1"/>
  <c r="AG130" i="1"/>
  <c r="CU130" i="1" s="1"/>
  <c r="T130" i="1" s="1"/>
  <c r="AH130" i="1"/>
  <c r="AI130" i="1"/>
  <c r="CW130" i="1" s="1"/>
  <c r="V130" i="1" s="1"/>
  <c r="AJ130" i="1"/>
  <c r="CT130" i="1"/>
  <c r="S130" i="1" s="1"/>
  <c r="J201" i="5" s="1"/>
  <c r="CV130" i="1"/>
  <c r="U130" i="1" s="1"/>
  <c r="K204" i="5" s="1"/>
  <c r="CX130" i="1"/>
  <c r="W130" i="1" s="1"/>
  <c r="FR130" i="1"/>
  <c r="GL130" i="1"/>
  <c r="GN130" i="1"/>
  <c r="GO130" i="1"/>
  <c r="GV130" i="1"/>
  <c r="HC130" i="1"/>
  <c r="GX130" i="1" s="1"/>
  <c r="C131" i="1"/>
  <c r="D131" i="1"/>
  <c r="I131" i="1"/>
  <c r="AC131" i="1"/>
  <c r="CQ131" i="1" s="1"/>
  <c r="P131" i="1" s="1"/>
  <c r="AE131" i="1"/>
  <c r="AF131" i="1"/>
  <c r="AG131" i="1"/>
  <c r="CU131" i="1" s="1"/>
  <c r="T131" i="1" s="1"/>
  <c r="AH131" i="1"/>
  <c r="AI131" i="1"/>
  <c r="CW131" i="1" s="1"/>
  <c r="V131" i="1" s="1"/>
  <c r="AJ131" i="1"/>
  <c r="CT131" i="1"/>
  <c r="S131" i="1" s="1"/>
  <c r="CV131" i="1"/>
  <c r="U131" i="1" s="1"/>
  <c r="CX131" i="1"/>
  <c r="W131" i="1" s="1"/>
  <c r="FR131" i="1"/>
  <c r="GL131" i="1"/>
  <c r="GN131" i="1"/>
  <c r="GO131" i="1"/>
  <c r="GV131" i="1"/>
  <c r="HC131" i="1"/>
  <c r="GX131" i="1" s="1"/>
  <c r="C132" i="1"/>
  <c r="D132" i="1"/>
  <c r="I132" i="1"/>
  <c r="E211" i="5" s="1"/>
  <c r="AC132" i="1"/>
  <c r="AE132" i="1"/>
  <c r="U211" i="5" s="1"/>
  <c r="AF132" i="1"/>
  <c r="AG132" i="1"/>
  <c r="CU132" i="1" s="1"/>
  <c r="AH132" i="1"/>
  <c r="CV132" i="1" s="1"/>
  <c r="AI132" i="1"/>
  <c r="AJ132" i="1"/>
  <c r="CX132" i="1" s="1"/>
  <c r="CW132" i="1"/>
  <c r="V132" i="1" s="1"/>
  <c r="FR132" i="1"/>
  <c r="BY140" i="1" s="1"/>
  <c r="AP140" i="1" s="1"/>
  <c r="F149" i="1" s="1"/>
  <c r="GL132" i="1"/>
  <c r="BZ140" i="1" s="1"/>
  <c r="AQ140" i="1" s="1"/>
  <c r="GN132" i="1"/>
  <c r="GO132" i="1"/>
  <c r="GV132" i="1"/>
  <c r="HC132" i="1"/>
  <c r="GX132" i="1" s="1"/>
  <c r="AC133" i="1"/>
  <c r="AE133" i="1"/>
  <c r="AF133" i="1"/>
  <c r="AG133" i="1"/>
  <c r="CU133" i="1" s="1"/>
  <c r="AH133" i="1"/>
  <c r="AI133" i="1"/>
  <c r="CW133" i="1" s="1"/>
  <c r="AJ133" i="1"/>
  <c r="CX133" i="1" s="1"/>
  <c r="CT133" i="1"/>
  <c r="CV133" i="1"/>
  <c r="FR133" i="1"/>
  <c r="GL133" i="1"/>
  <c r="GO133" i="1"/>
  <c r="GP133" i="1"/>
  <c r="GV133" i="1"/>
  <c r="HC133" i="1" s="1"/>
  <c r="C134" i="1"/>
  <c r="D134" i="1"/>
  <c r="I134" i="1"/>
  <c r="AC134" i="1"/>
  <c r="AE134" i="1"/>
  <c r="AF134" i="1"/>
  <c r="AG134" i="1"/>
  <c r="CU134" i="1" s="1"/>
  <c r="AH134" i="1"/>
  <c r="CV134" i="1" s="1"/>
  <c r="AI134" i="1"/>
  <c r="CW134" i="1" s="1"/>
  <c r="V134" i="1" s="1"/>
  <c r="AJ134" i="1"/>
  <c r="CX134" i="1" s="1"/>
  <c r="CT134" i="1"/>
  <c r="S134" i="1" s="1"/>
  <c r="J220" i="5" s="1"/>
  <c r="FR134" i="1"/>
  <c r="GL134" i="1"/>
  <c r="GN134" i="1"/>
  <c r="GO134" i="1"/>
  <c r="GV134" i="1"/>
  <c r="HC134" i="1" s="1"/>
  <c r="GX134" i="1" s="1"/>
  <c r="C135" i="1"/>
  <c r="D135" i="1"/>
  <c r="I135" i="1"/>
  <c r="AC135" i="1"/>
  <c r="AE135" i="1"/>
  <c r="AF135" i="1"/>
  <c r="AG135" i="1"/>
  <c r="CU135" i="1" s="1"/>
  <c r="AH135" i="1"/>
  <c r="CV135" i="1" s="1"/>
  <c r="AI135" i="1"/>
  <c r="CW135" i="1" s="1"/>
  <c r="V135" i="1" s="1"/>
  <c r="AJ135" i="1"/>
  <c r="CX135" i="1" s="1"/>
  <c r="CT135" i="1"/>
  <c r="S135" i="1" s="1"/>
  <c r="J231" i="5" s="1"/>
  <c r="FR135" i="1"/>
  <c r="GL135" i="1"/>
  <c r="GN135" i="1"/>
  <c r="GO135" i="1"/>
  <c r="GV135" i="1"/>
  <c r="HC135" i="1" s="1"/>
  <c r="GX135" i="1" s="1"/>
  <c r="C136" i="1"/>
  <c r="D136" i="1"/>
  <c r="I136" i="1"/>
  <c r="AC136" i="1"/>
  <c r="AE136" i="1"/>
  <c r="AF136" i="1"/>
  <c r="AG136" i="1"/>
  <c r="CU136" i="1" s="1"/>
  <c r="AH136" i="1"/>
  <c r="CV136" i="1" s="1"/>
  <c r="AI136" i="1"/>
  <c r="CW136" i="1" s="1"/>
  <c r="V136" i="1" s="1"/>
  <c r="AJ136" i="1"/>
  <c r="CX136" i="1" s="1"/>
  <c r="CT136" i="1"/>
  <c r="S136" i="1" s="1"/>
  <c r="J242" i="5" s="1"/>
  <c r="FR136" i="1"/>
  <c r="GL136" i="1"/>
  <c r="GN136" i="1"/>
  <c r="GO136" i="1"/>
  <c r="GV136" i="1"/>
  <c r="HC136" i="1" s="1"/>
  <c r="GX136" i="1" s="1"/>
  <c r="C137" i="1"/>
  <c r="D137" i="1"/>
  <c r="I137" i="1"/>
  <c r="AC137" i="1"/>
  <c r="AE137" i="1"/>
  <c r="AF137" i="1"/>
  <c r="AG137" i="1"/>
  <c r="CU137" i="1" s="1"/>
  <c r="AH137" i="1"/>
  <c r="CV137" i="1" s="1"/>
  <c r="AI137" i="1"/>
  <c r="CW137" i="1" s="1"/>
  <c r="V137" i="1" s="1"/>
  <c r="AJ137" i="1"/>
  <c r="CX137" i="1" s="1"/>
  <c r="CT137" i="1"/>
  <c r="S137" i="1" s="1"/>
  <c r="J250" i="5" s="1"/>
  <c r="FR137" i="1"/>
  <c r="GL137" i="1"/>
  <c r="GN137" i="1"/>
  <c r="GO137" i="1"/>
  <c r="GV137" i="1"/>
  <c r="HC137" i="1" s="1"/>
  <c r="GX137" i="1" s="1"/>
  <c r="AC138" i="1"/>
  <c r="AE138" i="1"/>
  <c r="AF138" i="1"/>
  <c r="AG138" i="1"/>
  <c r="CU138" i="1" s="1"/>
  <c r="AH138" i="1"/>
  <c r="CV138" i="1" s="1"/>
  <c r="AI138" i="1"/>
  <c r="CW138" i="1" s="1"/>
  <c r="AJ138" i="1"/>
  <c r="CX138" i="1"/>
  <c r="FR138" i="1"/>
  <c r="GL138" i="1"/>
  <c r="GO138" i="1"/>
  <c r="GP138" i="1"/>
  <c r="GV138" i="1"/>
  <c r="HC138" i="1" s="1"/>
  <c r="B140" i="1"/>
  <c r="B126" i="1" s="1"/>
  <c r="C140" i="1"/>
  <c r="C126" i="1" s="1"/>
  <c r="D140" i="1"/>
  <c r="D126" i="1" s="1"/>
  <c r="F140" i="1"/>
  <c r="F126" i="1" s="1"/>
  <c r="G140" i="1"/>
  <c r="A261" i="5" s="1"/>
  <c r="BX140" i="1"/>
  <c r="CK140" i="1"/>
  <c r="CK126" i="1" s="1"/>
  <c r="CL140" i="1"/>
  <c r="BC140" i="1" s="1"/>
  <c r="CM140" i="1"/>
  <c r="CM126" i="1" s="1"/>
  <c r="D173" i="1"/>
  <c r="E175" i="1"/>
  <c r="Z175" i="1"/>
  <c r="AA175" i="1"/>
  <c r="AM175" i="1"/>
  <c r="AN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L175" i="1"/>
  <c r="FM175" i="1"/>
  <c r="FN175" i="1"/>
  <c r="FO175" i="1"/>
  <c r="FP175" i="1"/>
  <c r="FQ175" i="1"/>
  <c r="FR175" i="1"/>
  <c r="FS175" i="1"/>
  <c r="FT175" i="1"/>
  <c r="FU175" i="1"/>
  <c r="FV175" i="1"/>
  <c r="FW175" i="1"/>
  <c r="FX175" i="1"/>
  <c r="FY175" i="1"/>
  <c r="FZ175" i="1"/>
  <c r="GA175" i="1"/>
  <c r="GB175" i="1"/>
  <c r="GC175" i="1"/>
  <c r="GD175" i="1"/>
  <c r="GE175" i="1"/>
  <c r="GF175" i="1"/>
  <c r="GG175" i="1"/>
  <c r="GH175" i="1"/>
  <c r="GI175" i="1"/>
  <c r="GJ175" i="1"/>
  <c r="GK175" i="1"/>
  <c r="GL175" i="1"/>
  <c r="GM175" i="1"/>
  <c r="GN175" i="1"/>
  <c r="GO175" i="1"/>
  <c r="GP175" i="1"/>
  <c r="GQ175" i="1"/>
  <c r="GR175" i="1"/>
  <c r="GS175" i="1"/>
  <c r="GT175" i="1"/>
  <c r="GU175" i="1"/>
  <c r="GV175" i="1"/>
  <c r="GW175" i="1"/>
  <c r="GX175" i="1"/>
  <c r="C177" i="1"/>
  <c r="D177" i="1"/>
  <c r="I177" i="1"/>
  <c r="CX101" i="3" s="1"/>
  <c r="AC177" i="1"/>
  <c r="AE177" i="1"/>
  <c r="CR177" i="1" s="1"/>
  <c r="AF177" i="1"/>
  <c r="AG177" i="1"/>
  <c r="AH177" i="1"/>
  <c r="CV177" i="1" s="1"/>
  <c r="AI177" i="1"/>
  <c r="CW177" i="1" s="1"/>
  <c r="AJ177" i="1"/>
  <c r="CT177" i="1"/>
  <c r="CU177" i="1"/>
  <c r="CX177" i="1"/>
  <c r="FR177" i="1"/>
  <c r="GL177" i="1"/>
  <c r="GN177" i="1"/>
  <c r="GO177" i="1"/>
  <c r="GV177" i="1"/>
  <c r="HC177" i="1" s="1"/>
  <c r="C178" i="1"/>
  <c r="D178" i="1"/>
  <c r="I178" i="1"/>
  <c r="AC178" i="1"/>
  <c r="AE178" i="1"/>
  <c r="U264" i="5" s="1"/>
  <c r="AF178" i="1"/>
  <c r="AG178" i="1"/>
  <c r="AH178" i="1"/>
  <c r="AI178" i="1"/>
  <c r="CW178" i="1" s="1"/>
  <c r="V178" i="1" s="1"/>
  <c r="AJ178" i="1"/>
  <c r="CX178" i="1" s="1"/>
  <c r="W178" i="1" s="1"/>
  <c r="CU178" i="1"/>
  <c r="T178" i="1" s="1"/>
  <c r="CV178" i="1"/>
  <c r="U178" i="1" s="1"/>
  <c r="K269" i="5" s="1"/>
  <c r="FR178" i="1"/>
  <c r="GL178" i="1"/>
  <c r="GN178" i="1"/>
  <c r="GO178" i="1"/>
  <c r="GV178" i="1"/>
  <c r="HC178" i="1" s="1"/>
  <c r="GX178" i="1" s="1"/>
  <c r="C179" i="1"/>
  <c r="D179" i="1"/>
  <c r="I179" i="1"/>
  <c r="CX103" i="3" s="1"/>
  <c r="U179" i="1"/>
  <c r="K276" i="5" s="1"/>
  <c r="AC179" i="1"/>
  <c r="AE179" i="1"/>
  <c r="U271" i="5" s="1"/>
  <c r="AF179" i="1"/>
  <c r="AG179" i="1"/>
  <c r="CU179" i="1" s="1"/>
  <c r="T179" i="1" s="1"/>
  <c r="AH179" i="1"/>
  <c r="AI179" i="1"/>
  <c r="CW179" i="1" s="1"/>
  <c r="V179" i="1" s="1"/>
  <c r="AJ179" i="1"/>
  <c r="CR179" i="1"/>
  <c r="Q179" i="1" s="1"/>
  <c r="CV179" i="1"/>
  <c r="CX179" i="1"/>
  <c r="W179" i="1" s="1"/>
  <c r="FR179" i="1"/>
  <c r="GL179" i="1"/>
  <c r="GN179" i="1"/>
  <c r="GO179" i="1"/>
  <c r="GV179" i="1"/>
  <c r="HC179" i="1" s="1"/>
  <c r="GX179" i="1" s="1"/>
  <c r="C180" i="1"/>
  <c r="D180" i="1"/>
  <c r="AC180" i="1"/>
  <c r="AE180" i="1"/>
  <c r="AF180" i="1"/>
  <c r="AG180" i="1"/>
  <c r="CU180" i="1" s="1"/>
  <c r="AH180" i="1"/>
  <c r="CV180" i="1" s="1"/>
  <c r="AI180" i="1"/>
  <c r="CW180" i="1" s="1"/>
  <c r="AJ180" i="1"/>
  <c r="CR180" i="1"/>
  <c r="CT180" i="1"/>
  <c r="CX180" i="1"/>
  <c r="FR180" i="1"/>
  <c r="GL180" i="1"/>
  <c r="GN180" i="1"/>
  <c r="GO180" i="1"/>
  <c r="GV180" i="1"/>
  <c r="HC180" i="1" s="1"/>
  <c r="C181" i="1"/>
  <c r="D181" i="1"/>
  <c r="AC181" i="1"/>
  <c r="AE181" i="1"/>
  <c r="AF181" i="1"/>
  <c r="AG181" i="1"/>
  <c r="CU181" i="1" s="1"/>
  <c r="AH181" i="1"/>
  <c r="CV181" i="1" s="1"/>
  <c r="AI181" i="1"/>
  <c r="AJ181" i="1"/>
  <c r="CX181" i="1" s="1"/>
  <c r="CQ181" i="1"/>
  <c r="CS181" i="1"/>
  <c r="CW181" i="1"/>
  <c r="FR181" i="1"/>
  <c r="GL181" i="1"/>
  <c r="GN181" i="1"/>
  <c r="GO181" i="1"/>
  <c r="GV181" i="1"/>
  <c r="HC181" i="1" s="1"/>
  <c r="AC182" i="1"/>
  <c r="AE182" i="1"/>
  <c r="AF182" i="1"/>
  <c r="AG182" i="1"/>
  <c r="CU182" i="1" s="1"/>
  <c r="AH182" i="1"/>
  <c r="AI182" i="1"/>
  <c r="CW182" i="1" s="1"/>
  <c r="AJ182" i="1"/>
  <c r="CX182" i="1" s="1"/>
  <c r="CV182" i="1"/>
  <c r="FR182" i="1"/>
  <c r="BY190" i="1" s="1"/>
  <c r="GL182" i="1"/>
  <c r="GO182" i="1"/>
  <c r="GP182" i="1"/>
  <c r="GV182" i="1"/>
  <c r="HC182" i="1" s="1"/>
  <c r="C183" i="1"/>
  <c r="D183" i="1"/>
  <c r="I183" i="1"/>
  <c r="CX109" i="3" s="1"/>
  <c r="AC183" i="1"/>
  <c r="AE183" i="1"/>
  <c r="AF183" i="1"/>
  <c r="AG183" i="1"/>
  <c r="CU183" i="1" s="1"/>
  <c r="T183" i="1" s="1"/>
  <c r="AH183" i="1"/>
  <c r="AI183" i="1"/>
  <c r="CW183" i="1" s="1"/>
  <c r="AJ183" i="1"/>
  <c r="CX183" i="1" s="1"/>
  <c r="W183" i="1" s="1"/>
  <c r="CQ183" i="1"/>
  <c r="P183" i="1" s="1"/>
  <c r="J295" i="5" s="1"/>
  <c r="CV183" i="1"/>
  <c r="U183" i="1" s="1"/>
  <c r="K299" i="5" s="1"/>
  <c r="FR183" i="1"/>
  <c r="GL183" i="1"/>
  <c r="GN183" i="1"/>
  <c r="GO183" i="1"/>
  <c r="GV183" i="1"/>
  <c r="HC183" i="1"/>
  <c r="GX183" i="1" s="1"/>
  <c r="C184" i="1"/>
  <c r="D184" i="1"/>
  <c r="I184" i="1"/>
  <c r="CX113" i="3" s="1"/>
  <c r="AC184" i="1"/>
  <c r="AE184" i="1"/>
  <c r="AF184" i="1"/>
  <c r="AG184" i="1"/>
  <c r="AH184" i="1"/>
  <c r="CV184" i="1" s="1"/>
  <c r="U184" i="1" s="1"/>
  <c r="K310" i="5" s="1"/>
  <c r="AI184" i="1"/>
  <c r="CW184" i="1" s="1"/>
  <c r="V184" i="1" s="1"/>
  <c r="AJ184" i="1"/>
  <c r="CX184" i="1" s="1"/>
  <c r="W184" i="1" s="1"/>
  <c r="CQ184" i="1"/>
  <c r="CU184" i="1"/>
  <c r="T184" i="1" s="1"/>
  <c r="FR184" i="1"/>
  <c r="GL184" i="1"/>
  <c r="GN184" i="1"/>
  <c r="GO184" i="1"/>
  <c r="GV184" i="1"/>
  <c r="HC184" i="1"/>
  <c r="GX184" i="1" s="1"/>
  <c r="C185" i="1"/>
  <c r="D185" i="1"/>
  <c r="AC185" i="1"/>
  <c r="AE185" i="1"/>
  <c r="AF185" i="1"/>
  <c r="AG185" i="1"/>
  <c r="CU185" i="1" s="1"/>
  <c r="AH185" i="1"/>
  <c r="AI185" i="1"/>
  <c r="CW185" i="1" s="1"/>
  <c r="AJ185" i="1"/>
  <c r="CX185" i="1" s="1"/>
  <c r="CR185" i="1"/>
  <c r="CV185" i="1"/>
  <c r="FR185" i="1"/>
  <c r="GL185" i="1"/>
  <c r="GN185" i="1"/>
  <c r="GO185" i="1"/>
  <c r="GV185" i="1"/>
  <c r="HC185" i="1" s="1"/>
  <c r="C186" i="1"/>
  <c r="D186" i="1"/>
  <c r="I186" i="1"/>
  <c r="AC186" i="1"/>
  <c r="AE186" i="1"/>
  <c r="AF186" i="1"/>
  <c r="AG186" i="1"/>
  <c r="AH186" i="1"/>
  <c r="CV186" i="1" s="1"/>
  <c r="U186" i="1" s="1"/>
  <c r="K331" i="5" s="1"/>
  <c r="AI186" i="1"/>
  <c r="CW186" i="1" s="1"/>
  <c r="V186" i="1" s="1"/>
  <c r="AJ186" i="1"/>
  <c r="CT186" i="1"/>
  <c r="S186" i="1" s="1"/>
  <c r="CU186" i="1"/>
  <c r="T186" i="1" s="1"/>
  <c r="CX186" i="1"/>
  <c r="FR186" i="1"/>
  <c r="GL186" i="1"/>
  <c r="GN186" i="1"/>
  <c r="GO186" i="1"/>
  <c r="GV186" i="1"/>
  <c r="HC186" i="1" s="1"/>
  <c r="GX186" i="1" s="1"/>
  <c r="Y187" i="1"/>
  <c r="T326" i="5" s="1"/>
  <c r="AC187" i="1"/>
  <c r="AD187" i="1"/>
  <c r="AE187" i="1"/>
  <c r="AF187" i="1"/>
  <c r="AG187" i="1"/>
  <c r="CU187" i="1" s="1"/>
  <c r="AH187" i="1"/>
  <c r="AI187" i="1"/>
  <c r="CW187" i="1" s="1"/>
  <c r="AJ187" i="1"/>
  <c r="CX187" i="1" s="1"/>
  <c r="CR187" i="1"/>
  <c r="CV187" i="1"/>
  <c r="CY187" i="1"/>
  <c r="X187" i="1" s="1"/>
  <c r="R326" i="5" s="1"/>
  <c r="CZ187" i="1"/>
  <c r="FR187" i="1"/>
  <c r="GL187" i="1"/>
  <c r="GO187" i="1"/>
  <c r="GP187" i="1"/>
  <c r="GV187" i="1"/>
  <c r="HC187" i="1"/>
  <c r="Y188" i="1"/>
  <c r="T327" i="5" s="1"/>
  <c r="AC188" i="1"/>
  <c r="AD188" i="1"/>
  <c r="CR188" i="1" s="1"/>
  <c r="AE188" i="1"/>
  <c r="AF188" i="1"/>
  <c r="AG188" i="1"/>
  <c r="AH188" i="1"/>
  <c r="AI188" i="1"/>
  <c r="CW188" i="1" s="1"/>
  <c r="AJ188" i="1"/>
  <c r="CX188" i="1" s="1"/>
  <c r="CQ188" i="1"/>
  <c r="CU188" i="1"/>
  <c r="CV188" i="1"/>
  <c r="CY188" i="1"/>
  <c r="X188" i="1" s="1"/>
  <c r="R327" i="5" s="1"/>
  <c r="CZ188" i="1"/>
  <c r="FR188" i="1"/>
  <c r="GL188" i="1"/>
  <c r="GO188" i="1"/>
  <c r="GP188" i="1"/>
  <c r="GV188" i="1"/>
  <c r="HC188" i="1" s="1"/>
  <c r="B190" i="1"/>
  <c r="B175" i="1" s="1"/>
  <c r="C190" i="1"/>
  <c r="C175" i="1" s="1"/>
  <c r="D190" i="1"/>
  <c r="D175" i="1" s="1"/>
  <c r="F190" i="1"/>
  <c r="F175" i="1" s="1"/>
  <c r="G190" i="1"/>
  <c r="BX190" i="1"/>
  <c r="BX175" i="1" s="1"/>
  <c r="CK190" i="1"/>
  <c r="CK175" i="1" s="1"/>
  <c r="CL190" i="1"/>
  <c r="CL175" i="1" s="1"/>
  <c r="CM190" i="1"/>
  <c r="D223" i="1"/>
  <c r="E225" i="1"/>
  <c r="Z225" i="1"/>
  <c r="AA225" i="1"/>
  <c r="AM225" i="1"/>
  <c r="AN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L225" i="1"/>
  <c r="FM225" i="1"/>
  <c r="FN225" i="1"/>
  <c r="FO225" i="1"/>
  <c r="FP225" i="1"/>
  <c r="FQ225" i="1"/>
  <c r="FR225" i="1"/>
  <c r="FS225" i="1"/>
  <c r="FT225" i="1"/>
  <c r="FU225" i="1"/>
  <c r="FV225" i="1"/>
  <c r="FW225" i="1"/>
  <c r="FX225" i="1"/>
  <c r="FY225" i="1"/>
  <c r="FZ225" i="1"/>
  <c r="GA225" i="1"/>
  <c r="GB225" i="1"/>
  <c r="GC225" i="1"/>
  <c r="GD225" i="1"/>
  <c r="GE225" i="1"/>
  <c r="GF225" i="1"/>
  <c r="GG225" i="1"/>
  <c r="GH225" i="1"/>
  <c r="GI225" i="1"/>
  <c r="GJ225" i="1"/>
  <c r="GK225" i="1"/>
  <c r="GL225" i="1"/>
  <c r="GM225" i="1"/>
  <c r="GN225" i="1"/>
  <c r="GO225" i="1"/>
  <c r="GP225" i="1"/>
  <c r="GQ225" i="1"/>
  <c r="GR225" i="1"/>
  <c r="GS225" i="1"/>
  <c r="GT225" i="1"/>
  <c r="GU225" i="1"/>
  <c r="GV225" i="1"/>
  <c r="GW225" i="1"/>
  <c r="GX225" i="1"/>
  <c r="C227" i="1"/>
  <c r="D227" i="1"/>
  <c r="I227" i="1"/>
  <c r="CX129" i="3" s="1"/>
  <c r="AC227" i="1"/>
  <c r="AE227" i="1"/>
  <c r="AF227" i="1"/>
  <c r="AG227" i="1"/>
  <c r="CU227" i="1" s="1"/>
  <c r="T227" i="1" s="1"/>
  <c r="AH227" i="1"/>
  <c r="AI227" i="1"/>
  <c r="CW227" i="1" s="1"/>
  <c r="V227" i="1" s="1"/>
  <c r="AJ227" i="1"/>
  <c r="CR227" i="1"/>
  <c r="Q227" i="1" s="1"/>
  <c r="J340" i="5" s="1"/>
  <c r="CT227" i="1"/>
  <c r="S227" i="1" s="1"/>
  <c r="CV227" i="1"/>
  <c r="U227" i="1" s="1"/>
  <c r="K346" i="5" s="1"/>
  <c r="CX227" i="1"/>
  <c r="W227" i="1" s="1"/>
  <c r="FR227" i="1"/>
  <c r="GL227" i="1"/>
  <c r="GN227" i="1"/>
  <c r="GO227" i="1"/>
  <c r="GV227" i="1"/>
  <c r="HC227" i="1" s="1"/>
  <c r="GX227" i="1" s="1"/>
  <c r="C228" i="1"/>
  <c r="D228" i="1"/>
  <c r="I228" i="1"/>
  <c r="CX133" i="3" s="1"/>
  <c r="AC228" i="1"/>
  <c r="AE228" i="1"/>
  <c r="AF228" i="1"/>
  <c r="AG228" i="1"/>
  <c r="CU228" i="1" s="1"/>
  <c r="T228" i="1" s="1"/>
  <c r="AH228" i="1"/>
  <c r="AI228" i="1"/>
  <c r="CW228" i="1" s="1"/>
  <c r="V228" i="1" s="1"/>
  <c r="AJ228" i="1"/>
  <c r="CR228" i="1"/>
  <c r="Q228" i="1" s="1"/>
  <c r="CV228" i="1"/>
  <c r="U228" i="1" s="1"/>
  <c r="K354" i="5" s="1"/>
  <c r="CX228" i="1"/>
  <c r="W228" i="1" s="1"/>
  <c r="FR228" i="1"/>
  <c r="GL228" i="1"/>
  <c r="GN228" i="1"/>
  <c r="GO228" i="1"/>
  <c r="GV228" i="1"/>
  <c r="HC228" i="1" s="1"/>
  <c r="GX228" i="1" s="1"/>
  <c r="C229" i="1"/>
  <c r="D229" i="1"/>
  <c r="I229" i="1"/>
  <c r="AC229" i="1"/>
  <c r="AE229" i="1"/>
  <c r="AF229" i="1"/>
  <c r="AG229" i="1"/>
  <c r="AH229" i="1"/>
  <c r="CV229" i="1" s="1"/>
  <c r="U229" i="1" s="1"/>
  <c r="K365" i="5" s="1"/>
  <c r="AI229" i="1"/>
  <c r="CW229" i="1" s="1"/>
  <c r="AJ229" i="1"/>
  <c r="CT229" i="1"/>
  <c r="S229" i="1" s="1"/>
  <c r="CU229" i="1"/>
  <c r="T229" i="1" s="1"/>
  <c r="CX229" i="1"/>
  <c r="FR229" i="1"/>
  <c r="GL229" i="1"/>
  <c r="GN229" i="1"/>
  <c r="GO229" i="1"/>
  <c r="GV229" i="1"/>
  <c r="HC229" i="1" s="1"/>
  <c r="AC230" i="1"/>
  <c r="AE230" i="1"/>
  <c r="AF230" i="1"/>
  <c r="AG230" i="1"/>
  <c r="CU230" i="1" s="1"/>
  <c r="AH230" i="1"/>
  <c r="CV230" i="1" s="1"/>
  <c r="AI230" i="1"/>
  <c r="CW230" i="1" s="1"/>
  <c r="AJ230" i="1"/>
  <c r="CX230" i="1" s="1"/>
  <c r="CT230" i="1"/>
  <c r="FR230" i="1"/>
  <c r="GL230" i="1"/>
  <c r="GO230" i="1"/>
  <c r="GP230" i="1"/>
  <c r="GV230" i="1"/>
  <c r="HC230" i="1"/>
  <c r="B232" i="1"/>
  <c r="B225" i="1" s="1"/>
  <c r="C232" i="1"/>
  <c r="C225" i="1" s="1"/>
  <c r="D232" i="1"/>
  <c r="D225" i="1" s="1"/>
  <c r="F232" i="1"/>
  <c r="F225" i="1" s="1"/>
  <c r="G232" i="1"/>
  <c r="BX232" i="1"/>
  <c r="BX225" i="1" s="1"/>
  <c r="BZ232" i="1"/>
  <c r="CK232" i="1"/>
  <c r="CK225" i="1" s="1"/>
  <c r="CL232" i="1"/>
  <c r="CL225" i="1" s="1"/>
  <c r="CM232" i="1"/>
  <c r="CM225" i="1" s="1"/>
  <c r="D265" i="1"/>
  <c r="E267" i="1"/>
  <c r="Z267" i="1"/>
  <c r="AA267" i="1"/>
  <c r="AM267" i="1"/>
  <c r="AN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L267" i="1"/>
  <c r="FM267" i="1"/>
  <c r="FN267" i="1"/>
  <c r="FO267" i="1"/>
  <c r="FP267" i="1"/>
  <c r="FQ267" i="1"/>
  <c r="FR267" i="1"/>
  <c r="FS267" i="1"/>
  <c r="FT267" i="1"/>
  <c r="FU267" i="1"/>
  <c r="FV267" i="1"/>
  <c r="FW267" i="1"/>
  <c r="FX267" i="1"/>
  <c r="FY267" i="1"/>
  <c r="FZ267" i="1"/>
  <c r="GA267" i="1"/>
  <c r="GB267" i="1"/>
  <c r="GC267" i="1"/>
  <c r="GD267" i="1"/>
  <c r="GE267" i="1"/>
  <c r="GF267" i="1"/>
  <c r="GG267" i="1"/>
  <c r="GH267" i="1"/>
  <c r="GI267" i="1"/>
  <c r="GJ267" i="1"/>
  <c r="GK267" i="1"/>
  <c r="GL267" i="1"/>
  <c r="GM267" i="1"/>
  <c r="GN267" i="1"/>
  <c r="GO267" i="1"/>
  <c r="GP267" i="1"/>
  <c r="GQ267" i="1"/>
  <c r="GR267" i="1"/>
  <c r="GS267" i="1"/>
  <c r="GT267" i="1"/>
  <c r="GU267" i="1"/>
  <c r="GV267" i="1"/>
  <c r="GW267" i="1"/>
  <c r="GX267" i="1"/>
  <c r="C269" i="1"/>
  <c r="D269" i="1"/>
  <c r="I269" i="1"/>
  <c r="AC269" i="1"/>
  <c r="AE269" i="1"/>
  <c r="U371" i="5" s="1"/>
  <c r="AF269" i="1"/>
  <c r="AG269" i="1"/>
  <c r="CU269" i="1" s="1"/>
  <c r="T269" i="1" s="1"/>
  <c r="AH269" i="1"/>
  <c r="CV269" i="1" s="1"/>
  <c r="AI269" i="1"/>
  <c r="CW269" i="1" s="1"/>
  <c r="V269" i="1" s="1"/>
  <c r="AJ269" i="1"/>
  <c r="CX269" i="1" s="1"/>
  <c r="CQ269" i="1"/>
  <c r="FR269" i="1"/>
  <c r="GL269" i="1"/>
  <c r="GN269" i="1"/>
  <c r="GO269" i="1"/>
  <c r="CC274" i="1" s="1"/>
  <c r="GV269" i="1"/>
  <c r="HC269" i="1" s="1"/>
  <c r="GX269" i="1" s="1"/>
  <c r="C270" i="1"/>
  <c r="D270" i="1"/>
  <c r="I270" i="1"/>
  <c r="AC270" i="1"/>
  <c r="AE270" i="1"/>
  <c r="U380" i="5" s="1"/>
  <c r="AF270" i="1"/>
  <c r="AG270" i="1"/>
  <c r="AH270" i="1"/>
  <c r="CV270" i="1" s="1"/>
  <c r="AI270" i="1"/>
  <c r="CW270" i="1" s="1"/>
  <c r="V270" i="1" s="1"/>
  <c r="AJ270" i="1"/>
  <c r="CX270" i="1" s="1"/>
  <c r="W270" i="1" s="1"/>
  <c r="CQ270" i="1"/>
  <c r="CS270" i="1"/>
  <c r="CU270" i="1"/>
  <c r="T270" i="1" s="1"/>
  <c r="FR270" i="1"/>
  <c r="GL270" i="1"/>
  <c r="GN270" i="1"/>
  <c r="GO270" i="1"/>
  <c r="GV270" i="1"/>
  <c r="HC270" i="1" s="1"/>
  <c r="C271" i="1"/>
  <c r="D271" i="1"/>
  <c r="I271" i="1"/>
  <c r="AC271" i="1"/>
  <c r="AD271" i="1"/>
  <c r="AE271" i="1"/>
  <c r="U388" i="5" s="1"/>
  <c r="AF271" i="1"/>
  <c r="AG271" i="1"/>
  <c r="CU271" i="1" s="1"/>
  <c r="T271" i="1" s="1"/>
  <c r="AH271" i="1"/>
  <c r="CV271" i="1" s="1"/>
  <c r="U271" i="1" s="1"/>
  <c r="K397" i="5" s="1"/>
  <c r="AI271" i="1"/>
  <c r="AJ271" i="1"/>
  <c r="CX271" i="1" s="1"/>
  <c r="W271" i="1" s="1"/>
  <c r="CQ271" i="1"/>
  <c r="P271" i="1" s="1"/>
  <c r="J392" i="5" s="1"/>
  <c r="CR271" i="1"/>
  <c r="Q271" i="1" s="1"/>
  <c r="J390" i="5" s="1"/>
  <c r="CS271" i="1"/>
  <c r="CW271" i="1"/>
  <c r="V271" i="1" s="1"/>
  <c r="FR271" i="1"/>
  <c r="GL271" i="1"/>
  <c r="GN271" i="1"/>
  <c r="GO271" i="1"/>
  <c r="GV271" i="1"/>
  <c r="HC271" i="1" s="1"/>
  <c r="GX271" i="1" s="1"/>
  <c r="I272" i="1"/>
  <c r="AC272" i="1"/>
  <c r="AD272" i="1"/>
  <c r="AE272" i="1"/>
  <c r="AF272" i="1"/>
  <c r="AG272" i="1"/>
  <c r="CU272" i="1" s="1"/>
  <c r="T272" i="1" s="1"/>
  <c r="AH272" i="1"/>
  <c r="CV272" i="1" s="1"/>
  <c r="U272" i="1" s="1"/>
  <c r="AI272" i="1"/>
  <c r="AJ272" i="1"/>
  <c r="CX272" i="1" s="1"/>
  <c r="W272" i="1" s="1"/>
  <c r="CQ272" i="1"/>
  <c r="P272" i="1" s="1"/>
  <c r="CR272" i="1"/>
  <c r="Q272" i="1" s="1"/>
  <c r="CS272" i="1"/>
  <c r="CW272" i="1"/>
  <c r="V272" i="1" s="1"/>
  <c r="FR272" i="1"/>
  <c r="GL272" i="1"/>
  <c r="GO272" i="1"/>
  <c r="GP272" i="1"/>
  <c r="GV272" i="1"/>
  <c r="HC272" i="1" s="1"/>
  <c r="GX272" i="1" s="1"/>
  <c r="B274" i="1"/>
  <c r="B267" i="1" s="1"/>
  <c r="C274" i="1"/>
  <c r="C267" i="1" s="1"/>
  <c r="D274" i="1"/>
  <c r="D267" i="1" s="1"/>
  <c r="F274" i="1"/>
  <c r="F267" i="1" s="1"/>
  <c r="G274" i="1"/>
  <c r="BB274" i="1"/>
  <c r="BB267" i="1" s="1"/>
  <c r="BX274" i="1"/>
  <c r="BX267" i="1" s="1"/>
  <c r="CK274" i="1"/>
  <c r="CK267" i="1" s="1"/>
  <c r="CL274" i="1"/>
  <c r="CL267" i="1" s="1"/>
  <c r="CM274" i="1"/>
  <c r="CM267" i="1" s="1"/>
  <c r="D307" i="1"/>
  <c r="E309" i="1"/>
  <c r="Z309" i="1"/>
  <c r="AA309" i="1"/>
  <c r="AM309" i="1"/>
  <c r="AN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DN309" i="1"/>
  <c r="DO309" i="1"/>
  <c r="DP309" i="1"/>
  <c r="DQ309" i="1"/>
  <c r="DR309" i="1"/>
  <c r="DS309" i="1"/>
  <c r="DT309" i="1"/>
  <c r="DU309" i="1"/>
  <c r="DV309" i="1"/>
  <c r="DW309" i="1"/>
  <c r="DX309" i="1"/>
  <c r="DY309" i="1"/>
  <c r="DZ309" i="1"/>
  <c r="EA309" i="1"/>
  <c r="EB309" i="1"/>
  <c r="EC309" i="1"/>
  <c r="ED309" i="1"/>
  <c r="EE309" i="1"/>
  <c r="EF309" i="1"/>
  <c r="EG309" i="1"/>
  <c r="EH309" i="1"/>
  <c r="EI309" i="1"/>
  <c r="EJ309" i="1"/>
  <c r="EK309" i="1"/>
  <c r="EL309" i="1"/>
  <c r="EM309" i="1"/>
  <c r="EN309" i="1"/>
  <c r="EO309" i="1"/>
  <c r="EP309" i="1"/>
  <c r="EQ309" i="1"/>
  <c r="ER309" i="1"/>
  <c r="ES309" i="1"/>
  <c r="ET309" i="1"/>
  <c r="EU309" i="1"/>
  <c r="EV309" i="1"/>
  <c r="EW309" i="1"/>
  <c r="EX309" i="1"/>
  <c r="EY309" i="1"/>
  <c r="EZ309" i="1"/>
  <c r="FA309" i="1"/>
  <c r="FB309" i="1"/>
  <c r="FC309" i="1"/>
  <c r="FD309" i="1"/>
  <c r="FE309" i="1"/>
  <c r="FF309" i="1"/>
  <c r="FG309" i="1"/>
  <c r="FH309" i="1"/>
  <c r="FI309" i="1"/>
  <c r="FJ309" i="1"/>
  <c r="FK309" i="1"/>
  <c r="FL309" i="1"/>
  <c r="FM309" i="1"/>
  <c r="FN309" i="1"/>
  <c r="FO309" i="1"/>
  <c r="FP309" i="1"/>
  <c r="FQ309" i="1"/>
  <c r="FR309" i="1"/>
  <c r="FS309" i="1"/>
  <c r="FT309" i="1"/>
  <c r="FU309" i="1"/>
  <c r="FV309" i="1"/>
  <c r="FW309" i="1"/>
  <c r="FX309" i="1"/>
  <c r="FY309" i="1"/>
  <c r="FZ309" i="1"/>
  <c r="GA309" i="1"/>
  <c r="GB309" i="1"/>
  <c r="GC309" i="1"/>
  <c r="GD309" i="1"/>
  <c r="GE309" i="1"/>
  <c r="GF309" i="1"/>
  <c r="GG309" i="1"/>
  <c r="GH309" i="1"/>
  <c r="GI309" i="1"/>
  <c r="GJ309" i="1"/>
  <c r="GK309" i="1"/>
  <c r="GL309" i="1"/>
  <c r="GM309" i="1"/>
  <c r="GN309" i="1"/>
  <c r="GO309" i="1"/>
  <c r="GP309" i="1"/>
  <c r="GQ309" i="1"/>
  <c r="GR309" i="1"/>
  <c r="GS309" i="1"/>
  <c r="GT309" i="1"/>
  <c r="GU309" i="1"/>
  <c r="GV309" i="1"/>
  <c r="GW309" i="1"/>
  <c r="GX309" i="1"/>
  <c r="C311" i="1"/>
  <c r="D311" i="1"/>
  <c r="I311" i="1"/>
  <c r="AC311" i="1"/>
  <c r="CQ311" i="1" s="1"/>
  <c r="P311" i="1" s="1"/>
  <c r="J408" i="5" s="1"/>
  <c r="AE311" i="1"/>
  <c r="U403" i="5" s="1"/>
  <c r="AF311" i="1"/>
  <c r="AG311" i="1"/>
  <c r="CU311" i="1" s="1"/>
  <c r="T311" i="1" s="1"/>
  <c r="AH311" i="1"/>
  <c r="CV311" i="1" s="1"/>
  <c r="AI311" i="1"/>
  <c r="CW311" i="1" s="1"/>
  <c r="V311" i="1" s="1"/>
  <c r="AJ311" i="1"/>
  <c r="CX311" i="1" s="1"/>
  <c r="FR311" i="1"/>
  <c r="GL311" i="1"/>
  <c r="GN311" i="1"/>
  <c r="GO311" i="1"/>
  <c r="GV311" i="1"/>
  <c r="HC311" i="1" s="1"/>
  <c r="GX311" i="1" s="1"/>
  <c r="C312" i="1"/>
  <c r="D312" i="1"/>
  <c r="I312" i="1"/>
  <c r="AC312" i="1"/>
  <c r="AE312" i="1"/>
  <c r="AF312" i="1"/>
  <c r="AG312" i="1"/>
  <c r="AH312" i="1"/>
  <c r="CV312" i="1" s="1"/>
  <c r="AI312" i="1"/>
  <c r="CW312" i="1" s="1"/>
  <c r="AJ312" i="1"/>
  <c r="CX312" i="1" s="1"/>
  <c r="CQ312" i="1"/>
  <c r="CS312" i="1"/>
  <c r="CU312" i="1"/>
  <c r="T312" i="1" s="1"/>
  <c r="FR312" i="1"/>
  <c r="GL312" i="1"/>
  <c r="GN312" i="1"/>
  <c r="GO312" i="1"/>
  <c r="GV312" i="1"/>
  <c r="HC312" i="1"/>
  <c r="C313" i="1"/>
  <c r="D313" i="1"/>
  <c r="I313" i="1"/>
  <c r="AC313" i="1"/>
  <c r="AE313" i="1"/>
  <c r="U425" i="5" s="1"/>
  <c r="AF313" i="1"/>
  <c r="AG313" i="1"/>
  <c r="CU313" i="1" s="1"/>
  <c r="T313" i="1" s="1"/>
  <c r="AH313" i="1"/>
  <c r="CV313" i="1" s="1"/>
  <c r="AI313" i="1"/>
  <c r="AJ313" i="1"/>
  <c r="CX313" i="1" s="1"/>
  <c r="W313" i="1" s="1"/>
  <c r="CQ313" i="1"/>
  <c r="P313" i="1" s="1"/>
  <c r="CS313" i="1"/>
  <c r="CW313" i="1"/>
  <c r="V313" i="1" s="1"/>
  <c r="FR313" i="1"/>
  <c r="GL313" i="1"/>
  <c r="GN313" i="1"/>
  <c r="GO313" i="1"/>
  <c r="CC316" i="1" s="1"/>
  <c r="GV313" i="1"/>
  <c r="HC313" i="1"/>
  <c r="GX313" i="1" s="1"/>
  <c r="I314" i="1"/>
  <c r="AC314" i="1"/>
  <c r="AE314" i="1"/>
  <c r="AF314" i="1"/>
  <c r="AG314" i="1"/>
  <c r="AH314" i="1"/>
  <c r="CV314" i="1" s="1"/>
  <c r="AI314" i="1"/>
  <c r="CW314" i="1" s="1"/>
  <c r="AJ314" i="1"/>
  <c r="CX314" i="1" s="1"/>
  <c r="CQ314" i="1"/>
  <c r="CS314" i="1"/>
  <c r="CU314" i="1"/>
  <c r="T314" i="1" s="1"/>
  <c r="FR314" i="1"/>
  <c r="GL314" i="1"/>
  <c r="GN314" i="1"/>
  <c r="GO314" i="1"/>
  <c r="GV314" i="1"/>
  <c r="HC314" i="1" s="1"/>
  <c r="B316" i="1"/>
  <c r="B309" i="1" s="1"/>
  <c r="C316" i="1"/>
  <c r="C309" i="1" s="1"/>
  <c r="D316" i="1"/>
  <c r="D309" i="1" s="1"/>
  <c r="F316" i="1"/>
  <c r="F309" i="1" s="1"/>
  <c r="G316" i="1"/>
  <c r="BX316" i="1"/>
  <c r="BX309" i="1" s="1"/>
  <c r="CK316" i="1"/>
  <c r="CK309" i="1" s="1"/>
  <c r="CL316" i="1"/>
  <c r="CL309" i="1" s="1"/>
  <c r="CM316" i="1"/>
  <c r="CM309" i="1" s="1"/>
  <c r="B349" i="1"/>
  <c r="B22" i="1" s="1"/>
  <c r="C349" i="1"/>
  <c r="C22" i="1" s="1"/>
  <c r="D349" i="1"/>
  <c r="D22" i="1" s="1"/>
  <c r="F349" i="1"/>
  <c r="F22" i="1" s="1"/>
  <c r="G349" i="1"/>
  <c r="B382" i="1"/>
  <c r="B18" i="1" s="1"/>
  <c r="C382" i="1"/>
  <c r="C18" i="1" s="1"/>
  <c r="D382" i="1"/>
  <c r="D18" i="1" s="1"/>
  <c r="F382" i="1"/>
  <c r="F18" i="1" s="1"/>
  <c r="G382" i="1"/>
  <c r="J430" i="5" l="1"/>
  <c r="CC267" i="1"/>
  <c r="AT274" i="1"/>
  <c r="CC309" i="1"/>
  <c r="AT316" i="1"/>
  <c r="U230" i="1"/>
  <c r="CY229" i="1"/>
  <c r="X229" i="1" s="1"/>
  <c r="R356" i="5" s="1"/>
  <c r="J357" i="5"/>
  <c r="CZ229" i="1"/>
  <c r="Y229" i="1" s="1"/>
  <c r="T356" i="5" s="1"/>
  <c r="J339" i="5"/>
  <c r="CZ227" i="1"/>
  <c r="Y227" i="1" s="1"/>
  <c r="T337" i="5" s="1"/>
  <c r="J344" i="5" s="1"/>
  <c r="CT314" i="1"/>
  <c r="Q431" i="5"/>
  <c r="S431" i="5"/>
  <c r="CT312" i="1"/>
  <c r="S414" i="5"/>
  <c r="Q414" i="5"/>
  <c r="I70" i="7"/>
  <c r="I69" i="7"/>
  <c r="I68" i="7"/>
  <c r="I71" i="7"/>
  <c r="C404" i="5"/>
  <c r="E403" i="5"/>
  <c r="AD230" i="1"/>
  <c r="P58" i="7"/>
  <c r="S58" i="7"/>
  <c r="CS229" i="1"/>
  <c r="U356" i="5"/>
  <c r="S348" i="5"/>
  <c r="Q348" i="5"/>
  <c r="S211" i="5"/>
  <c r="Q211" i="5"/>
  <c r="CT132" i="1"/>
  <c r="S132" i="1" s="1"/>
  <c r="AI91" i="1"/>
  <c r="U180" i="5"/>
  <c r="AD88" i="1"/>
  <c r="CR88" i="1"/>
  <c r="Q88" i="1" s="1"/>
  <c r="J181" i="5" s="1"/>
  <c r="I183" i="5" s="1"/>
  <c r="P183" i="5" s="1"/>
  <c r="CT87" i="1"/>
  <c r="S87" i="1" s="1"/>
  <c r="CZ87" i="1" s="1"/>
  <c r="Y87" i="1" s="1"/>
  <c r="T176" i="5" s="1"/>
  <c r="S176" i="5"/>
  <c r="Q176" i="5"/>
  <c r="U169" i="5"/>
  <c r="CR86" i="1"/>
  <c r="Q86" i="1" s="1"/>
  <c r="CB81" i="1"/>
  <c r="AS91" i="1"/>
  <c r="O15" i="7"/>
  <c r="M15" i="7"/>
  <c r="G18" i="1"/>
  <c r="AF442" i="5"/>
  <c r="AJ274" i="1"/>
  <c r="CS269" i="1"/>
  <c r="I57" i="7"/>
  <c r="I56" i="7"/>
  <c r="E356" i="5"/>
  <c r="CX137" i="3"/>
  <c r="CX139" i="3"/>
  <c r="Q327" i="5"/>
  <c r="CT188" i="1"/>
  <c r="Q301" i="5"/>
  <c r="S301" i="5"/>
  <c r="S177" i="1"/>
  <c r="G309" i="1"/>
  <c r="A438" i="5"/>
  <c r="R314" i="1"/>
  <c r="GK314" i="1" s="1"/>
  <c r="V431" i="5"/>
  <c r="CT313" i="1"/>
  <c r="S313" i="1" s="1"/>
  <c r="Q425" i="5"/>
  <c r="S425" i="5"/>
  <c r="R312" i="1"/>
  <c r="V414" i="5"/>
  <c r="J422" i="5" s="1"/>
  <c r="AD311" i="1"/>
  <c r="AB311" i="1" s="1"/>
  <c r="G267" i="1"/>
  <c r="A400" i="5"/>
  <c r="N66" i="7"/>
  <c r="K66" i="7"/>
  <c r="R270" i="1"/>
  <c r="GK270" i="1" s="1"/>
  <c r="V380" i="5"/>
  <c r="CX147" i="3"/>
  <c r="I62" i="7"/>
  <c r="I63" i="7"/>
  <c r="I61" i="7"/>
  <c r="E380" i="5"/>
  <c r="C381" i="5"/>
  <c r="CR269" i="1"/>
  <c r="Q269" i="1" s="1"/>
  <c r="U269" i="1"/>
  <c r="AD269" i="1"/>
  <c r="AB269" i="1" s="1"/>
  <c r="BY232" i="1"/>
  <c r="CI232" i="1" s="1"/>
  <c r="CS230" i="1"/>
  <c r="CQ230" i="1"/>
  <c r="P230" i="1" s="1"/>
  <c r="N58" i="7"/>
  <c r="K58" i="7"/>
  <c r="V188" i="1"/>
  <c r="CS188" i="1"/>
  <c r="S50" i="7"/>
  <c r="P50" i="7"/>
  <c r="U327" i="5"/>
  <c r="CT187" i="1"/>
  <c r="CT185" i="1"/>
  <c r="CS184" i="1"/>
  <c r="U301" i="5"/>
  <c r="AD184" i="1"/>
  <c r="CR184" i="1"/>
  <c r="Q184" i="1" s="1"/>
  <c r="J304" i="5" s="1"/>
  <c r="S290" i="5"/>
  <c r="Q290" i="5"/>
  <c r="CT183" i="1"/>
  <c r="S183" i="1" s="1"/>
  <c r="J292" i="5" s="1"/>
  <c r="GX177" i="1"/>
  <c r="AQ126" i="1"/>
  <c r="F150" i="1"/>
  <c r="CS131" i="1"/>
  <c r="U206" i="5"/>
  <c r="CY129" i="1"/>
  <c r="X129" i="1" s="1"/>
  <c r="R192" i="5" s="1"/>
  <c r="J195" i="5" s="1"/>
  <c r="J194" i="5"/>
  <c r="U184" i="5"/>
  <c r="AD89" i="1"/>
  <c r="AB89" i="1" s="1"/>
  <c r="CR89" i="1"/>
  <c r="Q89" i="1" s="1"/>
  <c r="J185" i="5" s="1"/>
  <c r="I187" i="5" s="1"/>
  <c r="P187" i="5" s="1"/>
  <c r="CS88" i="1"/>
  <c r="S143" i="5"/>
  <c r="Q143" i="5"/>
  <c r="CT83" i="1"/>
  <c r="S83" i="1" s="1"/>
  <c r="M63" i="7"/>
  <c r="O63" i="7"/>
  <c r="O23" i="7"/>
  <c r="M23" i="7"/>
  <c r="P314" i="1"/>
  <c r="I78" i="7"/>
  <c r="E431" i="5"/>
  <c r="CT270" i="1"/>
  <c r="S270" i="1" s="1"/>
  <c r="S380" i="5"/>
  <c r="Q380" i="5"/>
  <c r="CX141" i="3"/>
  <c r="E371" i="5"/>
  <c r="C372" i="5"/>
  <c r="I60" i="7"/>
  <c r="GX230" i="1"/>
  <c r="BD190" i="1"/>
  <c r="CM175" i="1"/>
  <c r="CQ187" i="1"/>
  <c r="N49" i="7"/>
  <c r="K49" i="7"/>
  <c r="CR311" i="1"/>
  <c r="Q311" i="1" s="1"/>
  <c r="U314" i="1"/>
  <c r="U312" i="1"/>
  <c r="CT272" i="1"/>
  <c r="S272" i="1" s="1"/>
  <c r="CZ272" i="1" s="1"/>
  <c r="Y272" i="1" s="1"/>
  <c r="T393" i="5" s="1"/>
  <c r="S393" i="5"/>
  <c r="Q393" i="5"/>
  <c r="CT271" i="1"/>
  <c r="S271" i="1" s="1"/>
  <c r="S388" i="5"/>
  <c r="Q388" i="5"/>
  <c r="GX270" i="1"/>
  <c r="CR270" i="1"/>
  <c r="Q270" i="1" s="1"/>
  <c r="U270" i="1"/>
  <c r="K386" i="5" s="1"/>
  <c r="AD270" i="1"/>
  <c r="AB270" i="1" s="1"/>
  <c r="P269" i="1"/>
  <c r="J375" i="5" s="1"/>
  <c r="BD232" i="1"/>
  <c r="BD225" i="1" s="1"/>
  <c r="CR230" i="1"/>
  <c r="I230" i="1"/>
  <c r="S230" i="1" s="1"/>
  <c r="W229" i="1"/>
  <c r="CR229" i="1"/>
  <c r="Q229" i="1" s="1"/>
  <c r="J358" i="5" s="1"/>
  <c r="CT228" i="1"/>
  <c r="S228" i="1" s="1"/>
  <c r="GX187" i="1"/>
  <c r="CZ186" i="1"/>
  <c r="Y186" i="1" s="1"/>
  <c r="T321" i="5" s="1"/>
  <c r="J329" i="5" s="1"/>
  <c r="J322" i="5"/>
  <c r="I48" i="7"/>
  <c r="I47" i="7"/>
  <c r="E321" i="5"/>
  <c r="I187" i="1"/>
  <c r="S326" i="5" s="1"/>
  <c r="I188" i="1"/>
  <c r="S327" i="5" s="1"/>
  <c r="CX125" i="3"/>
  <c r="CX127" i="3"/>
  <c r="CX123" i="3"/>
  <c r="CC190" i="1"/>
  <c r="CT184" i="1"/>
  <c r="S184" i="1" s="1"/>
  <c r="CT182" i="1"/>
  <c r="S264" i="5"/>
  <c r="Q264" i="5"/>
  <c r="CT178" i="1"/>
  <c r="S178" i="1" s="1"/>
  <c r="V177" i="1"/>
  <c r="Q177" i="1"/>
  <c r="N37" i="7"/>
  <c r="K37" i="7"/>
  <c r="AD137" i="1"/>
  <c r="U249" i="5"/>
  <c r="CR137" i="1"/>
  <c r="Q137" i="1" s="1"/>
  <c r="J251" i="5" s="1"/>
  <c r="CS137" i="1"/>
  <c r="V249" i="5" s="1"/>
  <c r="AD136" i="1"/>
  <c r="U240" i="5"/>
  <c r="CR136" i="1"/>
  <c r="Q136" i="1" s="1"/>
  <c r="J243" i="5" s="1"/>
  <c r="CS136" i="1"/>
  <c r="V240" i="5" s="1"/>
  <c r="AD135" i="1"/>
  <c r="U229" i="5"/>
  <c r="CR135" i="1"/>
  <c r="Q135" i="1" s="1"/>
  <c r="J232" i="5" s="1"/>
  <c r="CS135" i="1"/>
  <c r="V229" i="5" s="1"/>
  <c r="J237" i="5" s="1"/>
  <c r="AD134" i="1"/>
  <c r="U218" i="5"/>
  <c r="CR134" i="1"/>
  <c r="Q134" i="1" s="1"/>
  <c r="J221" i="5" s="1"/>
  <c r="CS134" i="1"/>
  <c r="V218" i="5" s="1"/>
  <c r="J226" i="5" s="1"/>
  <c r="CS89" i="1"/>
  <c r="CY86" i="1"/>
  <c r="X86" i="1" s="1"/>
  <c r="R169" i="5" s="1"/>
  <c r="J172" i="5" s="1"/>
  <c r="J171" i="5"/>
  <c r="CZ86" i="1"/>
  <c r="Y86" i="1" s="1"/>
  <c r="T169" i="5" s="1"/>
  <c r="J173" i="5" s="1"/>
  <c r="E169" i="5"/>
  <c r="C170" i="5"/>
  <c r="W86" i="1"/>
  <c r="CX67" i="3"/>
  <c r="O76" i="7"/>
  <c r="M76" i="7"/>
  <c r="O65" i="7"/>
  <c r="M65" i="7"/>
  <c r="O61" i="7"/>
  <c r="M61" i="7"/>
  <c r="M42" i="7"/>
  <c r="O42" i="7"/>
  <c r="O30" i="7"/>
  <c r="M30" i="7"/>
  <c r="I74" i="7"/>
  <c r="I73" i="7"/>
  <c r="I72" i="7"/>
  <c r="I75" i="7"/>
  <c r="C415" i="5"/>
  <c r="E414" i="5"/>
  <c r="CS311" i="1"/>
  <c r="BY274" i="1"/>
  <c r="V229" i="1"/>
  <c r="CS186" i="1"/>
  <c r="U321" i="5"/>
  <c r="CR186" i="1"/>
  <c r="Q186" i="1" s="1"/>
  <c r="J323" i="5" s="1"/>
  <c r="G22" i="1"/>
  <c r="A440" i="5"/>
  <c r="S78" i="7"/>
  <c r="T78" i="7" s="1"/>
  <c r="P78" i="7"/>
  <c r="R78" i="7" s="1"/>
  <c r="U431" i="5"/>
  <c r="U414" i="5"/>
  <c r="U311" i="1"/>
  <c r="K412" i="5" s="1"/>
  <c r="GX314" i="1"/>
  <c r="CR314" i="1"/>
  <c r="Q314" i="1" s="1"/>
  <c r="AD314" i="1"/>
  <c r="AB314" i="1" s="1"/>
  <c r="R313" i="1"/>
  <c r="V425" i="5"/>
  <c r="I77" i="7"/>
  <c r="I76" i="7"/>
  <c r="E425" i="5"/>
  <c r="C426" i="5"/>
  <c r="CR312" i="1"/>
  <c r="Q312" i="1" s="1"/>
  <c r="J417" i="5" s="1"/>
  <c r="AD312" i="1"/>
  <c r="AB312" i="1" s="1"/>
  <c r="BB316" i="1"/>
  <c r="BB309" i="1" s="1"/>
  <c r="K78" i="7"/>
  <c r="M78" i="7" s="1"/>
  <c r="N78" i="7"/>
  <c r="BY316" i="1"/>
  <c r="CR313" i="1"/>
  <c r="Q313" i="1" s="1"/>
  <c r="J428" i="5" s="1"/>
  <c r="U313" i="1"/>
  <c r="K435" i="5" s="1"/>
  <c r="AD313" i="1"/>
  <c r="CB316" i="1"/>
  <c r="CT311" i="1"/>
  <c r="S403" i="5"/>
  <c r="Q403" i="5"/>
  <c r="R272" i="1"/>
  <c r="GK272" i="1" s="1"/>
  <c r="V393" i="5"/>
  <c r="P66" i="7"/>
  <c r="R66" i="7" s="1"/>
  <c r="S66" i="7"/>
  <c r="T66" i="7" s="1"/>
  <c r="U393" i="5"/>
  <c r="I66" i="7"/>
  <c r="E393" i="5"/>
  <c r="R271" i="1"/>
  <c r="V388" i="5"/>
  <c r="CX149" i="3"/>
  <c r="I65" i="7"/>
  <c r="I64" i="7"/>
  <c r="E388" i="5"/>
  <c r="P270" i="1"/>
  <c r="W269" i="1"/>
  <c r="CT269" i="1"/>
  <c r="S269" i="1" s="1"/>
  <c r="S371" i="5"/>
  <c r="Q371" i="5"/>
  <c r="A368" i="5"/>
  <c r="G225" i="1"/>
  <c r="W230" i="1"/>
  <c r="Q361" i="5"/>
  <c r="S361" i="5"/>
  <c r="GX229" i="1"/>
  <c r="S356" i="5"/>
  <c r="Q356" i="5"/>
  <c r="S337" i="5"/>
  <c r="Q337" i="5"/>
  <c r="U187" i="1"/>
  <c r="T177" i="1"/>
  <c r="U177" i="1"/>
  <c r="BX126" i="1"/>
  <c r="CG140" i="1"/>
  <c r="CG126" i="1" s="1"/>
  <c r="CQ138" i="1"/>
  <c r="CS129" i="1"/>
  <c r="U192" i="5"/>
  <c r="CY85" i="1"/>
  <c r="X85" i="1" s="1"/>
  <c r="R163" i="5" s="1"/>
  <c r="CZ85" i="1"/>
  <c r="Y85" i="1" s="1"/>
  <c r="T163" i="5" s="1"/>
  <c r="O68" i="7"/>
  <c r="M68" i="7"/>
  <c r="O60" i="7"/>
  <c r="M60" i="7"/>
  <c r="Q130" i="5"/>
  <c r="S130" i="5"/>
  <c r="AD39" i="1"/>
  <c r="U107" i="5"/>
  <c r="N13" i="7"/>
  <c r="K13" i="7"/>
  <c r="C54" i="5"/>
  <c r="E53" i="5"/>
  <c r="CY29" i="1"/>
  <c r="X29" i="1" s="1"/>
  <c r="R46" i="5" s="1"/>
  <c r="J49" i="5" s="1"/>
  <c r="J48" i="5"/>
  <c r="R77" i="7"/>
  <c r="O72" i="7"/>
  <c r="M72" i="7"/>
  <c r="M74" i="7"/>
  <c r="O69" i="7"/>
  <c r="M69" i="7"/>
  <c r="M71" i="7"/>
  <c r="O71" i="7"/>
  <c r="T64" i="7"/>
  <c r="R64" i="7"/>
  <c r="R62" i="7"/>
  <c r="T62" i="7"/>
  <c r="T56" i="7"/>
  <c r="R56" i="7"/>
  <c r="O57" i="7"/>
  <c r="M57" i="7"/>
  <c r="R53" i="7"/>
  <c r="CX135" i="3"/>
  <c r="R55" i="7"/>
  <c r="T55" i="7"/>
  <c r="T52" i="7"/>
  <c r="R52" i="7"/>
  <c r="T47" i="7"/>
  <c r="R47" i="7"/>
  <c r="O48" i="7"/>
  <c r="M48" i="7"/>
  <c r="O40" i="7"/>
  <c r="M40" i="7"/>
  <c r="CX111" i="3"/>
  <c r="R35" i="7"/>
  <c r="R33" i="7"/>
  <c r="T33" i="7"/>
  <c r="O34" i="7"/>
  <c r="M34" i="7"/>
  <c r="M28" i="7"/>
  <c r="O29" i="7"/>
  <c r="M29" i="7"/>
  <c r="R24" i="7"/>
  <c r="T18" i="7"/>
  <c r="R18" i="7"/>
  <c r="M21" i="7"/>
  <c r="T22" i="7"/>
  <c r="R22" i="7"/>
  <c r="CX45" i="3"/>
  <c r="T14" i="7"/>
  <c r="R14" i="7"/>
  <c r="R17" i="7"/>
  <c r="T17" i="7"/>
  <c r="O11" i="7"/>
  <c r="M11" i="7"/>
  <c r="CX25" i="3"/>
  <c r="M12" i="7"/>
  <c r="CX23" i="3"/>
  <c r="T10" i="7"/>
  <c r="R10" i="7"/>
  <c r="CX15" i="3"/>
  <c r="CX1" i="3"/>
  <c r="S36" i="5"/>
  <c r="CX108" i="3"/>
  <c r="I40" i="7"/>
  <c r="I41" i="7"/>
  <c r="E290" i="5"/>
  <c r="C291" i="5"/>
  <c r="P39" i="7"/>
  <c r="S39" i="7"/>
  <c r="CT181" i="1"/>
  <c r="Q180" i="1"/>
  <c r="J280" i="5" s="1"/>
  <c r="I282" i="5" s="1"/>
  <c r="P282" i="5" s="1"/>
  <c r="Q271" i="5"/>
  <c r="S271" i="5"/>
  <c r="CX102" i="3"/>
  <c r="E264" i="5"/>
  <c r="C265" i="5"/>
  <c r="CG91" i="1"/>
  <c r="R87" i="1"/>
  <c r="J178" i="5" s="1"/>
  <c r="S153" i="5"/>
  <c r="Q153" i="5"/>
  <c r="CJ91" i="1"/>
  <c r="E143" i="5"/>
  <c r="C144" i="5"/>
  <c r="S134" i="5"/>
  <c r="Q134" i="5"/>
  <c r="GX43" i="1"/>
  <c r="CT42" i="1"/>
  <c r="S42" i="1" s="1"/>
  <c r="CS42" i="1"/>
  <c r="U130" i="5"/>
  <c r="CX52" i="3"/>
  <c r="I24" i="7"/>
  <c r="I23" i="7"/>
  <c r="E130" i="5"/>
  <c r="C131" i="5"/>
  <c r="CX44" i="3"/>
  <c r="I21" i="7"/>
  <c r="I22" i="7"/>
  <c r="I20" i="7"/>
  <c r="I19" i="7"/>
  <c r="I18" i="7"/>
  <c r="E119" i="5"/>
  <c r="C120" i="5"/>
  <c r="CT40" i="1"/>
  <c r="CS40" i="1"/>
  <c r="CS39" i="1"/>
  <c r="V107" i="5" s="1"/>
  <c r="R36" i="1"/>
  <c r="V94" i="5"/>
  <c r="CT33" i="1"/>
  <c r="AD33" i="1"/>
  <c r="S8" i="7"/>
  <c r="P8" i="7"/>
  <c r="CT32" i="1"/>
  <c r="CT31" i="1"/>
  <c r="Q53" i="5"/>
  <c r="AD29" i="1"/>
  <c r="AB29" i="1" s="1"/>
  <c r="U46" i="5"/>
  <c r="CX4" i="3"/>
  <c r="C47" i="5"/>
  <c r="CL26" i="1"/>
  <c r="R73" i="7"/>
  <c r="M75" i="7"/>
  <c r="O75" i="7"/>
  <c r="T68" i="7"/>
  <c r="R68" i="7"/>
  <c r="R70" i="7"/>
  <c r="T70" i="7"/>
  <c r="R65" i="7"/>
  <c r="M62" i="7"/>
  <c r="T60" i="7"/>
  <c r="R60" i="7"/>
  <c r="O56" i="7"/>
  <c r="M56" i="7"/>
  <c r="M55" i="7"/>
  <c r="O55" i="7"/>
  <c r="O52" i="7"/>
  <c r="M52" i="7"/>
  <c r="CX131" i="3"/>
  <c r="O47" i="7"/>
  <c r="M47" i="7"/>
  <c r="T43" i="7"/>
  <c r="R43" i="7"/>
  <c r="R36" i="7"/>
  <c r="T36" i="7"/>
  <c r="O33" i="7"/>
  <c r="M33" i="7"/>
  <c r="T30" i="7"/>
  <c r="R30" i="7"/>
  <c r="O31" i="7"/>
  <c r="M31" i="7"/>
  <c r="CX57" i="3"/>
  <c r="T23" i="7"/>
  <c r="R23" i="7"/>
  <c r="M18" i="7"/>
  <c r="O18" i="7"/>
  <c r="CX50" i="3"/>
  <c r="O19" i="7"/>
  <c r="M19" i="7"/>
  <c r="R20" i="7"/>
  <c r="M22" i="7"/>
  <c r="O22" i="7"/>
  <c r="CX46" i="3"/>
  <c r="CX41" i="3"/>
  <c r="T15" i="7"/>
  <c r="R15" i="7"/>
  <c r="O16" i="7"/>
  <c r="M16" i="7"/>
  <c r="CX21" i="3"/>
  <c r="CX19" i="3"/>
  <c r="O9" i="7"/>
  <c r="M9" i="7"/>
  <c r="U36" i="5"/>
  <c r="C37" i="5"/>
  <c r="Q46" i="5"/>
  <c r="G175" i="1"/>
  <c r="A334" i="5"/>
  <c r="Q188" i="1"/>
  <c r="V187" i="1"/>
  <c r="P49" i="7"/>
  <c r="S49" i="7"/>
  <c r="U326" i="5"/>
  <c r="W186" i="1"/>
  <c r="I43" i="7"/>
  <c r="I42" i="7"/>
  <c r="E301" i="5"/>
  <c r="C302" i="5"/>
  <c r="V183" i="1"/>
  <c r="CS183" i="1"/>
  <c r="U290" i="5"/>
  <c r="K39" i="7"/>
  <c r="N39" i="7"/>
  <c r="E271" i="5"/>
  <c r="C272" i="5"/>
  <c r="W177" i="1"/>
  <c r="CT138" i="1"/>
  <c r="CS138" i="1"/>
  <c r="P37" i="7"/>
  <c r="S37" i="7"/>
  <c r="I36" i="7"/>
  <c r="I35" i="7"/>
  <c r="E249" i="5"/>
  <c r="I32" i="7"/>
  <c r="I33" i="7"/>
  <c r="I34" i="7"/>
  <c r="C241" i="5"/>
  <c r="E240" i="5"/>
  <c r="I31" i="7"/>
  <c r="I30" i="7"/>
  <c r="E229" i="5"/>
  <c r="C230" i="5"/>
  <c r="I28" i="7"/>
  <c r="I29" i="7"/>
  <c r="E218" i="5"/>
  <c r="C219" i="5"/>
  <c r="S27" i="7"/>
  <c r="P27" i="7"/>
  <c r="CS132" i="1"/>
  <c r="V211" i="5" s="1"/>
  <c r="AD132" i="1"/>
  <c r="CP88" i="1"/>
  <c r="O88" i="1" s="1"/>
  <c r="CR87" i="1"/>
  <c r="Q87" i="1" s="1"/>
  <c r="J177" i="5" s="1"/>
  <c r="I179" i="5" s="1"/>
  <c r="P179" i="5" s="1"/>
  <c r="AD87" i="1"/>
  <c r="T86" i="1"/>
  <c r="S163" i="5"/>
  <c r="Q163" i="5"/>
  <c r="CX64" i="3"/>
  <c r="E153" i="5"/>
  <c r="C154" i="5"/>
  <c r="AF140" i="5"/>
  <c r="A140" i="5"/>
  <c r="CT44" i="1"/>
  <c r="S44" i="1" s="1"/>
  <c r="V44" i="1"/>
  <c r="CS44" i="1"/>
  <c r="U134" i="5"/>
  <c r="I43" i="1"/>
  <c r="W43" i="1" s="1"/>
  <c r="CR42" i="1"/>
  <c r="Q42" i="1" s="1"/>
  <c r="U42" i="1"/>
  <c r="K137" i="5" s="1"/>
  <c r="AD42" i="1"/>
  <c r="S119" i="5"/>
  <c r="Q119" i="5"/>
  <c r="CR40" i="1"/>
  <c r="AD40" i="1"/>
  <c r="CR39" i="1"/>
  <c r="CX35" i="3"/>
  <c r="I17" i="7"/>
  <c r="I16" i="7"/>
  <c r="I15" i="7"/>
  <c r="I14" i="7"/>
  <c r="E107" i="5"/>
  <c r="C108" i="5"/>
  <c r="CT38" i="1"/>
  <c r="S94" i="5"/>
  <c r="Q94" i="5"/>
  <c r="C95" i="5"/>
  <c r="E94" i="5"/>
  <c r="S83" i="5"/>
  <c r="Q83" i="5"/>
  <c r="R35" i="1"/>
  <c r="CS34" i="1"/>
  <c r="CS33" i="1"/>
  <c r="K8" i="7"/>
  <c r="N8" i="7"/>
  <c r="AD31" i="1"/>
  <c r="CT30" i="1"/>
  <c r="S30" i="1" s="1"/>
  <c r="J55" i="5" s="1"/>
  <c r="AD30" i="1"/>
  <c r="U53" i="5"/>
  <c r="CC46" i="1"/>
  <c r="CS29" i="1"/>
  <c r="CR28" i="1"/>
  <c r="Q28" i="1" s="1"/>
  <c r="J39" i="5" s="1"/>
  <c r="T76" i="7"/>
  <c r="R76" i="7"/>
  <c r="O77" i="7"/>
  <c r="M77" i="7"/>
  <c r="R74" i="7"/>
  <c r="T74" i="7"/>
  <c r="T71" i="7"/>
  <c r="R71" i="7"/>
  <c r="O64" i="7"/>
  <c r="M64" i="7"/>
  <c r="R61" i="7"/>
  <c r="T63" i="7"/>
  <c r="R63" i="7"/>
  <c r="O53" i="7"/>
  <c r="M53" i="7"/>
  <c r="R54" i="7"/>
  <c r="T54" i="7"/>
  <c r="R48" i="7"/>
  <c r="R42" i="7"/>
  <c r="T42" i="7"/>
  <c r="R41" i="7"/>
  <c r="T41" i="7"/>
  <c r="O35" i="7"/>
  <c r="M35" i="7"/>
  <c r="R32" i="7"/>
  <c r="T32" i="7"/>
  <c r="T34" i="7"/>
  <c r="R34" i="7"/>
  <c r="T28" i="7"/>
  <c r="R28" i="7"/>
  <c r="CX53" i="3"/>
  <c r="O24" i="7"/>
  <c r="M24" i="7"/>
  <c r="CX51" i="3"/>
  <c r="R21" i="7"/>
  <c r="T21" i="7"/>
  <c r="CX47" i="3"/>
  <c r="M14" i="7"/>
  <c r="O14" i="7"/>
  <c r="M17" i="7"/>
  <c r="CX27" i="3"/>
  <c r="R12" i="7"/>
  <c r="T12" i="7"/>
  <c r="O10" i="7"/>
  <c r="M10" i="7"/>
  <c r="S46" i="5"/>
  <c r="CS228" i="1"/>
  <c r="U348" i="5"/>
  <c r="CX132" i="3"/>
  <c r="I55" i="7"/>
  <c r="I53" i="7"/>
  <c r="I54" i="7"/>
  <c r="C349" i="5"/>
  <c r="E348" i="5"/>
  <c r="CS227" i="1"/>
  <c r="U337" i="5"/>
  <c r="CX130" i="3"/>
  <c r="I52" i="7"/>
  <c r="C338" i="5"/>
  <c r="E337" i="5"/>
  <c r="GX188" i="1"/>
  <c r="P188" i="1"/>
  <c r="K50" i="7"/>
  <c r="N50" i="7"/>
  <c r="CS187" i="1"/>
  <c r="S321" i="5"/>
  <c r="Q321" i="5"/>
  <c r="P184" i="1"/>
  <c r="BZ190" i="1"/>
  <c r="AQ190" i="1" s="1"/>
  <c r="CR181" i="1"/>
  <c r="AD181" i="1"/>
  <c r="AB181" i="1" s="1"/>
  <c r="V180" i="1"/>
  <c r="I180" i="1"/>
  <c r="U180" i="1" s="1"/>
  <c r="CT179" i="1"/>
  <c r="S179" i="1" s="1"/>
  <c r="CR178" i="1"/>
  <c r="Q178" i="1" s="1"/>
  <c r="CR138" i="1"/>
  <c r="AD138" i="1"/>
  <c r="S249" i="5"/>
  <c r="Q249" i="5"/>
  <c r="S240" i="5"/>
  <c r="Q240" i="5"/>
  <c r="S229" i="5"/>
  <c r="Q229" i="5"/>
  <c r="S218" i="5"/>
  <c r="Q218" i="5"/>
  <c r="CQ133" i="1"/>
  <c r="K27" i="7"/>
  <c r="N27" i="7"/>
  <c r="CR132" i="1"/>
  <c r="Q132" i="1" s="1"/>
  <c r="J212" i="5" s="1"/>
  <c r="I214" i="5" s="1"/>
  <c r="P214" i="5" s="1"/>
  <c r="T132" i="1"/>
  <c r="S206" i="5"/>
  <c r="Q206" i="5"/>
  <c r="C207" i="5"/>
  <c r="E206" i="5"/>
  <c r="S199" i="5"/>
  <c r="Q199" i="5"/>
  <c r="CX76" i="3"/>
  <c r="C200" i="5"/>
  <c r="E199" i="5"/>
  <c r="S192" i="5"/>
  <c r="Q192" i="5"/>
  <c r="C193" i="5"/>
  <c r="E192" i="5"/>
  <c r="V128" i="1"/>
  <c r="CT89" i="1"/>
  <c r="S89" i="1" s="1"/>
  <c r="S184" i="5"/>
  <c r="Q184" i="5"/>
  <c r="CT88" i="1"/>
  <c r="S88" i="1" s="1"/>
  <c r="CZ88" i="1" s="1"/>
  <c r="Y88" i="1" s="1"/>
  <c r="T180" i="5" s="1"/>
  <c r="Q180" i="5"/>
  <c r="S180" i="5"/>
  <c r="CP87" i="1"/>
  <c r="O87" i="1" s="1"/>
  <c r="S169" i="5"/>
  <c r="Q169" i="5"/>
  <c r="E163" i="5"/>
  <c r="C164" i="5"/>
  <c r="CT84" i="1"/>
  <c r="S84" i="1" s="1"/>
  <c r="CR83" i="1"/>
  <c r="Q83" i="1" s="1"/>
  <c r="J146" i="5" s="1"/>
  <c r="T83" i="1"/>
  <c r="BX81" i="1"/>
  <c r="G81" i="1"/>
  <c r="CR44" i="1"/>
  <c r="Q44" i="1" s="1"/>
  <c r="AD44" i="1"/>
  <c r="V43" i="1"/>
  <c r="P42" i="1"/>
  <c r="CT41" i="1"/>
  <c r="S41" i="1" s="1"/>
  <c r="V41" i="1"/>
  <c r="CS41" i="1"/>
  <c r="U119" i="5"/>
  <c r="Q107" i="5"/>
  <c r="S107" i="5"/>
  <c r="AD38" i="1"/>
  <c r="AB38" i="1" s="1"/>
  <c r="S13" i="7"/>
  <c r="P13" i="7"/>
  <c r="I38" i="1"/>
  <c r="V36" i="1"/>
  <c r="U94" i="5"/>
  <c r="I12" i="7"/>
  <c r="I11" i="7"/>
  <c r="E83" i="5"/>
  <c r="C84" i="5"/>
  <c r="S72" i="5"/>
  <c r="Q72" i="5"/>
  <c r="I10" i="7"/>
  <c r="I9" i="7"/>
  <c r="E72" i="5"/>
  <c r="C73" i="5"/>
  <c r="CR33" i="1"/>
  <c r="CR32" i="1"/>
  <c r="AD32" i="1"/>
  <c r="AB32" i="1" s="1"/>
  <c r="BZ46" i="1"/>
  <c r="CS31" i="1"/>
  <c r="CS30" i="1"/>
  <c r="V53" i="5" s="1"/>
  <c r="CZ29" i="1"/>
  <c r="Y29" i="1" s="1"/>
  <c r="T46" i="5" s="1"/>
  <c r="J50" i="5" s="1"/>
  <c r="I52" i="5" s="1"/>
  <c r="CR29" i="1"/>
  <c r="Q29" i="1" s="1"/>
  <c r="T72" i="7"/>
  <c r="R72" i="7"/>
  <c r="O73" i="7"/>
  <c r="M73" i="7"/>
  <c r="T75" i="7"/>
  <c r="R75" i="7"/>
  <c r="R69" i="7"/>
  <c r="M70" i="7"/>
  <c r="R57" i="7"/>
  <c r="CX117" i="3"/>
  <c r="M43" i="7"/>
  <c r="O43" i="7"/>
  <c r="CX115" i="3"/>
  <c r="R40" i="7"/>
  <c r="CX107" i="3"/>
  <c r="R31" i="7"/>
  <c r="T29" i="7"/>
  <c r="R29" i="7"/>
  <c r="CX77" i="3"/>
  <c r="CX75" i="3"/>
  <c r="CX65" i="3"/>
  <c r="CX63" i="3"/>
  <c r="CX58" i="3"/>
  <c r="CX54" i="3"/>
  <c r="T19" i="7"/>
  <c r="R19" i="7"/>
  <c r="CX49" i="3"/>
  <c r="O20" i="7"/>
  <c r="M20" i="7"/>
  <c r="CX42" i="3"/>
  <c r="R16" i="7"/>
  <c r="CX29" i="3"/>
  <c r="R11" i="7"/>
  <c r="T9" i="7"/>
  <c r="R9" i="7"/>
  <c r="CX11" i="3"/>
  <c r="CX9" i="3"/>
  <c r="K282" i="5"/>
  <c r="K183" i="5"/>
  <c r="K187" i="5"/>
  <c r="K214" i="5"/>
  <c r="T11" i="7"/>
  <c r="O12" i="7"/>
  <c r="T16" i="7"/>
  <c r="O17" i="7"/>
  <c r="T20" i="7"/>
  <c r="O21" i="7"/>
  <c r="T24" i="7"/>
  <c r="O28" i="7"/>
  <c r="T31" i="7"/>
  <c r="O32" i="7"/>
  <c r="T35" i="7"/>
  <c r="O36" i="7"/>
  <c r="T40" i="7"/>
  <c r="O41" i="7"/>
  <c r="T48" i="7"/>
  <c r="T53" i="7"/>
  <c r="O54" i="7"/>
  <c r="T57" i="7"/>
  <c r="T61" i="7"/>
  <c r="O62" i="7"/>
  <c r="T65" i="7"/>
  <c r="O66" i="7"/>
  <c r="T69" i="7"/>
  <c r="O70" i="7"/>
  <c r="T73" i="7"/>
  <c r="O74" i="7"/>
  <c r="T77" i="7"/>
  <c r="AP316" i="1"/>
  <c r="BY309" i="1"/>
  <c r="CP269" i="1"/>
  <c r="O269" i="1" s="1"/>
  <c r="AC274" i="1"/>
  <c r="BY267" i="1"/>
  <c r="AP274" i="1"/>
  <c r="W274" i="1"/>
  <c r="AJ267" i="1"/>
  <c r="CX160" i="3"/>
  <c r="CX164" i="3"/>
  <c r="CX166" i="3"/>
  <c r="CX162" i="3"/>
  <c r="CX161" i="3"/>
  <c r="CX163" i="3"/>
  <c r="CX165" i="3"/>
  <c r="CB309" i="1"/>
  <c r="AS316" i="1"/>
  <c r="CC175" i="1"/>
  <c r="AT190" i="1"/>
  <c r="BC126" i="1"/>
  <c r="F156" i="1"/>
  <c r="CY136" i="1"/>
  <c r="X136" i="1" s="1"/>
  <c r="R240" i="5" s="1"/>
  <c r="J245" i="5" s="1"/>
  <c r="CZ136" i="1"/>
  <c r="Y136" i="1" s="1"/>
  <c r="T240" i="5" s="1"/>
  <c r="J246" i="5" s="1"/>
  <c r="CY134" i="1"/>
  <c r="X134" i="1" s="1"/>
  <c r="R218" i="5" s="1"/>
  <c r="J224" i="5" s="1"/>
  <c r="CZ134" i="1"/>
  <c r="Y134" i="1" s="1"/>
  <c r="T218" i="5" s="1"/>
  <c r="J225" i="5" s="1"/>
  <c r="CX156" i="3"/>
  <c r="CX158" i="3"/>
  <c r="CX154" i="3"/>
  <c r="CX153" i="3"/>
  <c r="CX159" i="3"/>
  <c r="CX155" i="3"/>
  <c r="CX157" i="3"/>
  <c r="BZ175" i="1"/>
  <c r="CG190" i="1"/>
  <c r="F334" i="1"/>
  <c r="AT309" i="1"/>
  <c r="AT267" i="1"/>
  <c r="F292" i="1"/>
  <c r="AI81" i="1"/>
  <c r="V91" i="1"/>
  <c r="CY30" i="1"/>
  <c r="X30" i="1" s="1"/>
  <c r="R53" i="5" s="1"/>
  <c r="J56" i="5" s="1"/>
  <c r="CZ30" i="1"/>
  <c r="Y30" i="1" s="1"/>
  <c r="T53" i="5" s="1"/>
  <c r="J57" i="5" s="1"/>
  <c r="CC26" i="1"/>
  <c r="AT46" i="1"/>
  <c r="V314" i="1"/>
  <c r="AI274" i="1"/>
  <c r="P312" i="1"/>
  <c r="AB272" i="1"/>
  <c r="CP271" i="1"/>
  <c r="O271" i="1" s="1"/>
  <c r="W314" i="1"/>
  <c r="S314" i="1"/>
  <c r="W312" i="1"/>
  <c r="S312" i="1"/>
  <c r="J416" i="5" s="1"/>
  <c r="AG274" i="1"/>
  <c r="CJ232" i="1"/>
  <c r="CY137" i="1"/>
  <c r="X137" i="1" s="1"/>
  <c r="R249" i="5" s="1"/>
  <c r="CZ137" i="1"/>
  <c r="Y137" i="1" s="1"/>
  <c r="T249" i="5" s="1"/>
  <c r="CY135" i="1"/>
  <c r="X135" i="1" s="1"/>
  <c r="R229" i="5" s="1"/>
  <c r="J235" i="5" s="1"/>
  <c r="CZ135" i="1"/>
  <c r="Y135" i="1" s="1"/>
  <c r="T229" i="5" s="1"/>
  <c r="J236" i="5" s="1"/>
  <c r="CY39" i="1"/>
  <c r="X39" i="1" s="1"/>
  <c r="R107" i="5" s="1"/>
  <c r="CZ39" i="1"/>
  <c r="Y39" i="1" s="1"/>
  <c r="T107" i="5" s="1"/>
  <c r="CZ183" i="1"/>
  <c r="Y183" i="1" s="1"/>
  <c r="T290" i="5" s="1"/>
  <c r="J297" i="5" s="1"/>
  <c r="CY183" i="1"/>
  <c r="X183" i="1" s="1"/>
  <c r="R290" i="5" s="1"/>
  <c r="J296" i="5" s="1"/>
  <c r="CX168" i="3"/>
  <c r="CX170" i="3"/>
  <c r="CX167" i="3"/>
  <c r="CX169" i="3"/>
  <c r="CX171" i="3"/>
  <c r="CJ81" i="1"/>
  <c r="BA91" i="1"/>
  <c r="V312" i="1"/>
  <c r="AI316" i="1" s="1"/>
  <c r="AG316" i="1"/>
  <c r="AB313" i="1"/>
  <c r="AB271" i="1"/>
  <c r="F329" i="1"/>
  <c r="BD316" i="1"/>
  <c r="CY313" i="1"/>
  <c r="X313" i="1" s="1"/>
  <c r="GX312" i="1"/>
  <c r="CJ316" i="1" s="1"/>
  <c r="BZ316" i="1"/>
  <c r="CI316" i="1" s="1"/>
  <c r="W311" i="1"/>
  <c r="AJ316" i="1" s="1"/>
  <c r="S311" i="1"/>
  <c r="J405" i="5" s="1"/>
  <c r="F287" i="1"/>
  <c r="BD274" i="1"/>
  <c r="CY272" i="1"/>
  <c r="X272" i="1" s="1"/>
  <c r="CY271" i="1"/>
  <c r="X271" i="1" s="1"/>
  <c r="R388" i="5" s="1"/>
  <c r="CY270" i="1"/>
  <c r="X270" i="1" s="1"/>
  <c r="CJ274" i="1"/>
  <c r="BZ274" i="1"/>
  <c r="AJ232" i="1"/>
  <c r="AH232" i="1"/>
  <c r="CQ185" i="1"/>
  <c r="CS182" i="1"/>
  <c r="AD182" i="1"/>
  <c r="AB182" i="1" s="1"/>
  <c r="CQ180" i="1"/>
  <c r="P180" i="1" s="1"/>
  <c r="CQ179" i="1"/>
  <c r="P179" i="1" s="1"/>
  <c r="CP179" i="1" s="1"/>
  <c r="O179" i="1" s="1"/>
  <c r="CQ178" i="1"/>
  <c r="P178" i="1" s="1"/>
  <c r="CQ177" i="1"/>
  <c r="P177" i="1" s="1"/>
  <c r="CP177" i="1" s="1"/>
  <c r="O177" i="1" s="1"/>
  <c r="CX96" i="3"/>
  <c r="CX100" i="3"/>
  <c r="CX98" i="3"/>
  <c r="I138" i="1"/>
  <c r="S254" i="5" s="1"/>
  <c r="CX97" i="3"/>
  <c r="CX92" i="3"/>
  <c r="CX94" i="3"/>
  <c r="CX95" i="3"/>
  <c r="CX88" i="3"/>
  <c r="CX86" i="3"/>
  <c r="CX90" i="3"/>
  <c r="CX87" i="3"/>
  <c r="CX89" i="3"/>
  <c r="CX80" i="3"/>
  <c r="CX84" i="3"/>
  <c r="CX82" i="3"/>
  <c r="CX79" i="3"/>
  <c r="CX81" i="3"/>
  <c r="AD133" i="1"/>
  <c r="AB133" i="1" s="1"/>
  <c r="CR133" i="1"/>
  <c r="AB132" i="1"/>
  <c r="CQ132" i="1"/>
  <c r="P132" i="1" s="1"/>
  <c r="CP132" i="1" s="1"/>
  <c r="O132" i="1" s="1"/>
  <c r="CY130" i="1"/>
  <c r="X130" i="1" s="1"/>
  <c r="R199" i="5" s="1"/>
  <c r="J202" i="5" s="1"/>
  <c r="CZ130" i="1"/>
  <c r="Y130" i="1" s="1"/>
  <c r="T199" i="5" s="1"/>
  <c r="J203" i="5" s="1"/>
  <c r="AD130" i="1"/>
  <c r="AB130" i="1" s="1"/>
  <c r="CR130" i="1"/>
  <c r="Q130" i="1" s="1"/>
  <c r="CP130" i="1" s="1"/>
  <c r="O130" i="1" s="1"/>
  <c r="CX6" i="3"/>
  <c r="GX30" i="1"/>
  <c r="CX5" i="3"/>
  <c r="CY28" i="1"/>
  <c r="X28" i="1" s="1"/>
  <c r="R36" i="5" s="1"/>
  <c r="J41" i="5" s="1"/>
  <c r="CZ28" i="1"/>
  <c r="Y28" i="1" s="1"/>
  <c r="T36" i="5" s="1"/>
  <c r="J42" i="5" s="1"/>
  <c r="F215" i="1"/>
  <c r="BD175" i="1"/>
  <c r="CS185" i="1"/>
  <c r="AD185" i="1"/>
  <c r="AB185" i="1" s="1"/>
  <c r="CS180" i="1"/>
  <c r="AD180" i="1"/>
  <c r="AB180" i="1" s="1"/>
  <c r="CS179" i="1"/>
  <c r="AD179" i="1"/>
  <c r="AB179" i="1" s="1"/>
  <c r="CS178" i="1"/>
  <c r="AD178" i="1"/>
  <c r="AB178" i="1" s="1"/>
  <c r="CS177" i="1"/>
  <c r="R177" i="1" s="1"/>
  <c r="GK177" i="1" s="1"/>
  <c r="AD177" i="1"/>
  <c r="AB177" i="1" s="1"/>
  <c r="CQ137" i="1"/>
  <c r="P137" i="1" s="1"/>
  <c r="AB137" i="1"/>
  <c r="CQ136" i="1"/>
  <c r="P136" i="1" s="1"/>
  <c r="AB136" i="1"/>
  <c r="CQ135" i="1"/>
  <c r="P135" i="1" s="1"/>
  <c r="AB135" i="1"/>
  <c r="CQ134" i="1"/>
  <c r="P134" i="1" s="1"/>
  <c r="AB134" i="1"/>
  <c r="CG81" i="1"/>
  <c r="AX91" i="1"/>
  <c r="CQ86" i="1"/>
  <c r="P86" i="1" s="1"/>
  <c r="CP86" i="1" s="1"/>
  <c r="O86" i="1" s="1"/>
  <c r="CQ84" i="1"/>
  <c r="P84" i="1" s="1"/>
  <c r="CP84" i="1" s="1"/>
  <c r="O84" i="1" s="1"/>
  <c r="CY83" i="1"/>
  <c r="X83" i="1" s="1"/>
  <c r="R143" i="5" s="1"/>
  <c r="J148" i="5" s="1"/>
  <c r="AF91" i="1"/>
  <c r="CQ31" i="1"/>
  <c r="AB31" i="1"/>
  <c r="CQ29" i="1"/>
  <c r="P29" i="1" s="1"/>
  <c r="CP29" i="1" s="1"/>
  <c r="O29" i="1" s="1"/>
  <c r="AQ232" i="1"/>
  <c r="BC190" i="1"/>
  <c r="CC91" i="1"/>
  <c r="AH91" i="1"/>
  <c r="CP41" i="1"/>
  <c r="O41" i="1" s="1"/>
  <c r="V39" i="1"/>
  <c r="Q39" i="1"/>
  <c r="J110" i="5" s="1"/>
  <c r="BY46" i="1"/>
  <c r="CX99" i="3"/>
  <c r="CX93" i="3"/>
  <c r="CX91" i="3"/>
  <c r="CX37" i="3"/>
  <c r="BC316" i="1"/>
  <c r="AO274" i="1"/>
  <c r="F257" i="1"/>
  <c r="BC232" i="1"/>
  <c r="CQ229" i="1"/>
  <c r="P229" i="1" s="1"/>
  <c r="AD229" i="1"/>
  <c r="AB229" i="1" s="1"/>
  <c r="CY228" i="1"/>
  <c r="X228" i="1" s="1"/>
  <c r="R348" i="5" s="1"/>
  <c r="J352" i="5" s="1"/>
  <c r="CQ227" i="1"/>
  <c r="P227" i="1" s="1"/>
  <c r="J342" i="5" s="1"/>
  <c r="AD227" i="1"/>
  <c r="AB227" i="1" s="1"/>
  <c r="AO190" i="1"/>
  <c r="AB187" i="1"/>
  <c r="CY186" i="1"/>
  <c r="X186" i="1" s="1"/>
  <c r="R321" i="5" s="1"/>
  <c r="J328" i="5" s="1"/>
  <c r="AB184" i="1"/>
  <c r="CR183" i="1"/>
  <c r="Q183" i="1" s="1"/>
  <c r="AD183" i="1"/>
  <c r="R137" i="1"/>
  <c r="R136" i="1"/>
  <c r="GK136" i="1" s="1"/>
  <c r="R135" i="1"/>
  <c r="R134" i="1"/>
  <c r="BZ126" i="1"/>
  <c r="AO91" i="1"/>
  <c r="AG91" i="1"/>
  <c r="AB87" i="1"/>
  <c r="CX148" i="3"/>
  <c r="CX152" i="3"/>
  <c r="CX150" i="3"/>
  <c r="CX151" i="3"/>
  <c r="CX144" i="3"/>
  <c r="CX146" i="3"/>
  <c r="CX145" i="3"/>
  <c r="CX142" i="3"/>
  <c r="CX143" i="3"/>
  <c r="BY175" i="1"/>
  <c r="CI190" i="1"/>
  <c r="CY131" i="1"/>
  <c r="X131" i="1" s="1"/>
  <c r="R206" i="5" s="1"/>
  <c r="CZ131" i="1"/>
  <c r="Y131" i="1" s="1"/>
  <c r="T206" i="5" s="1"/>
  <c r="AD131" i="1"/>
  <c r="AB131" i="1" s="1"/>
  <c r="CR131" i="1"/>
  <c r="Q131" i="1" s="1"/>
  <c r="AD129" i="1"/>
  <c r="CR129" i="1"/>
  <c r="Q129" i="1" s="1"/>
  <c r="CY128" i="1"/>
  <c r="X128" i="1" s="1"/>
  <c r="CZ128" i="1"/>
  <c r="Y128" i="1" s="1"/>
  <c r="F108" i="1"/>
  <c r="AS81" i="1"/>
  <c r="BC26" i="1"/>
  <c r="F62" i="1"/>
  <c r="BX26" i="1"/>
  <c r="CG46" i="1"/>
  <c r="CX32" i="3"/>
  <c r="CX36" i="3"/>
  <c r="CX40" i="3"/>
  <c r="I40" i="1"/>
  <c r="E113" i="5" s="1"/>
  <c r="CX34" i="3"/>
  <c r="CX38" i="3"/>
  <c r="CX39" i="3"/>
  <c r="CX31" i="3"/>
  <c r="CX33" i="3"/>
  <c r="GX39" i="1"/>
  <c r="BZ26" i="1"/>
  <c r="AQ46" i="1"/>
  <c r="BY225" i="1"/>
  <c r="AP232" i="1"/>
  <c r="CQ182" i="1"/>
  <c r="BY126" i="1"/>
  <c r="CI140" i="1"/>
  <c r="CX78" i="3"/>
  <c r="R132" i="1"/>
  <c r="W132" i="1"/>
  <c r="I133" i="1"/>
  <c r="S215" i="5" s="1"/>
  <c r="CS128" i="1"/>
  <c r="R128" i="1" s="1"/>
  <c r="GK128" i="1" s="1"/>
  <c r="AD128" i="1"/>
  <c r="CR128" i="1"/>
  <c r="Q128" i="1" s="1"/>
  <c r="BC91" i="1"/>
  <c r="CL81" i="1"/>
  <c r="CQ85" i="1"/>
  <c r="P85" i="1" s="1"/>
  <c r="CP85" i="1" s="1"/>
  <c r="O85" i="1" s="1"/>
  <c r="CQ83" i="1"/>
  <c r="P83" i="1" s="1"/>
  <c r="CQ38" i="1"/>
  <c r="AB37" i="1"/>
  <c r="CQ37" i="1"/>
  <c r="CX2" i="3"/>
  <c r="I31" i="1"/>
  <c r="CX3" i="3"/>
  <c r="GX28" i="1"/>
  <c r="CC232" i="1"/>
  <c r="BZ225" i="1"/>
  <c r="AP190" i="1"/>
  <c r="T187" i="1"/>
  <c r="P187" i="1"/>
  <c r="AP126" i="1"/>
  <c r="AD91" i="1"/>
  <c r="AJ91" i="1"/>
  <c r="U31" i="1"/>
  <c r="CX85" i="3"/>
  <c r="CX83" i="3"/>
  <c r="AO316" i="1"/>
  <c r="BC274" i="1"/>
  <c r="CG232" i="1"/>
  <c r="AO232" i="1"/>
  <c r="T230" i="1"/>
  <c r="AG232" i="1" s="1"/>
  <c r="AB230" i="1"/>
  <c r="CQ228" i="1"/>
  <c r="P228" i="1" s="1"/>
  <c r="AD228" i="1"/>
  <c r="AB228" i="1" s="1"/>
  <c r="CY227" i="1"/>
  <c r="X227" i="1" s="1"/>
  <c r="BB190" i="1"/>
  <c r="AB188" i="1"/>
  <c r="CQ186" i="1"/>
  <c r="P186" i="1" s="1"/>
  <c r="AD186" i="1"/>
  <c r="AB186" i="1" s="1"/>
  <c r="CR182" i="1"/>
  <c r="AX140" i="1"/>
  <c r="U137" i="1"/>
  <c r="K258" i="5" s="1"/>
  <c r="W137" i="1"/>
  <c r="U136" i="1"/>
  <c r="K247" i="5" s="1"/>
  <c r="W136" i="1"/>
  <c r="U135" i="1"/>
  <c r="K238" i="5" s="1"/>
  <c r="W135" i="1"/>
  <c r="CC140" i="1"/>
  <c r="U134" i="1"/>
  <c r="K227" i="5" s="1"/>
  <c r="W134" i="1"/>
  <c r="CS133" i="1"/>
  <c r="CS130" i="1"/>
  <c r="CY87" i="1"/>
  <c r="X87" i="1" s="1"/>
  <c r="AO46" i="1"/>
  <c r="CP44" i="1"/>
  <c r="O44" i="1" s="1"/>
  <c r="J134" i="5" s="1"/>
  <c r="S31" i="1"/>
  <c r="AB129" i="1"/>
  <c r="CQ129" i="1"/>
  <c r="P129" i="1" s="1"/>
  <c r="AD86" i="1"/>
  <c r="AB86" i="1" s="1"/>
  <c r="CS86" i="1"/>
  <c r="AD84" i="1"/>
  <c r="AB84" i="1" s="1"/>
  <c r="CS84" i="1"/>
  <c r="CQ39" i="1"/>
  <c r="P39" i="1" s="1"/>
  <c r="AB39" i="1"/>
  <c r="CY36" i="1"/>
  <c r="X36" i="1" s="1"/>
  <c r="R94" i="5" s="1"/>
  <c r="CZ36" i="1"/>
  <c r="Y36" i="1" s="1"/>
  <c r="T94" i="5" s="1"/>
  <c r="AD36" i="1"/>
  <c r="AB36" i="1" s="1"/>
  <c r="CR36" i="1"/>
  <c r="Q36" i="1" s="1"/>
  <c r="CY34" i="1"/>
  <c r="X34" i="1" s="1"/>
  <c r="R72" i="5" s="1"/>
  <c r="J78" i="5" s="1"/>
  <c r="CZ34" i="1"/>
  <c r="Y34" i="1" s="1"/>
  <c r="T72" i="5" s="1"/>
  <c r="J79" i="5" s="1"/>
  <c r="AD34" i="1"/>
  <c r="AB34" i="1" s="1"/>
  <c r="CR34" i="1"/>
  <c r="Q34" i="1" s="1"/>
  <c r="CQ28" i="1"/>
  <c r="P28" i="1" s="1"/>
  <c r="AB28" i="1"/>
  <c r="BB140" i="1"/>
  <c r="AB138" i="1"/>
  <c r="U132" i="1"/>
  <c r="AQ91" i="1"/>
  <c r="CP89" i="1"/>
  <c r="O89" i="1" s="1"/>
  <c r="AB88" i="1"/>
  <c r="GX40" i="1"/>
  <c r="R39" i="1"/>
  <c r="U30" i="1"/>
  <c r="K58" i="5" s="1"/>
  <c r="W30" i="1"/>
  <c r="R28" i="1"/>
  <c r="J40" i="5" s="1"/>
  <c r="AB128" i="1"/>
  <c r="CQ128" i="1"/>
  <c r="P128" i="1" s="1"/>
  <c r="CP128" i="1" s="1"/>
  <c r="O128" i="1" s="1"/>
  <c r="AD85" i="1"/>
  <c r="AB85" i="1" s="1"/>
  <c r="CS85" i="1"/>
  <c r="AD83" i="1"/>
  <c r="AB83" i="1" s="1"/>
  <c r="CS83" i="1"/>
  <c r="AD43" i="1"/>
  <c r="AB43" i="1" s="1"/>
  <c r="CR43" i="1"/>
  <c r="Q43" i="1" s="1"/>
  <c r="CS37" i="1"/>
  <c r="AD37" i="1"/>
  <c r="CY35" i="1"/>
  <c r="X35" i="1" s="1"/>
  <c r="R83" i="5" s="1"/>
  <c r="J89" i="5" s="1"/>
  <c r="CZ35" i="1"/>
  <c r="Y35" i="1" s="1"/>
  <c r="T83" i="5" s="1"/>
  <c r="J90" i="5" s="1"/>
  <c r="AD35" i="1"/>
  <c r="AB35" i="1" s="1"/>
  <c r="CR35" i="1"/>
  <c r="Q35" i="1" s="1"/>
  <c r="CQ33" i="1"/>
  <c r="AB33" i="1"/>
  <c r="CQ30" i="1"/>
  <c r="P30" i="1" s="1"/>
  <c r="CP30" i="1" s="1"/>
  <c r="O30" i="1" s="1"/>
  <c r="AB30" i="1"/>
  <c r="AB183" i="1"/>
  <c r="AO140" i="1"/>
  <c r="T137" i="1"/>
  <c r="T136" i="1"/>
  <c r="T135" i="1"/>
  <c r="T134" i="1"/>
  <c r="P133" i="1"/>
  <c r="J215" i="5" s="1"/>
  <c r="I217" i="5" s="1"/>
  <c r="CZ129" i="1"/>
  <c r="Y129" i="1" s="1"/>
  <c r="T192" i="5" s="1"/>
  <c r="J196" i="5" s="1"/>
  <c r="CY88" i="1"/>
  <c r="X88" i="1" s="1"/>
  <c r="BY91" i="1"/>
  <c r="BB46" i="1"/>
  <c r="U39" i="1"/>
  <c r="K117" i="5" s="1"/>
  <c r="W39" i="1"/>
  <c r="R30" i="1"/>
  <c r="GK30" i="1" s="1"/>
  <c r="U28" i="1"/>
  <c r="K44" i="5" s="1"/>
  <c r="W28" i="1"/>
  <c r="CX136" i="3"/>
  <c r="CX140" i="3"/>
  <c r="CX124" i="3"/>
  <c r="CX128" i="3"/>
  <c r="CX112" i="3"/>
  <c r="CX116" i="3"/>
  <c r="CX56" i="3"/>
  <c r="CX60" i="3"/>
  <c r="CX28" i="3"/>
  <c r="I37" i="1"/>
  <c r="S100" i="5" s="1"/>
  <c r="CX20" i="3"/>
  <c r="CX24" i="3"/>
  <c r="CX12" i="3"/>
  <c r="CX16" i="3"/>
  <c r="BB232" i="1"/>
  <c r="BD140" i="1"/>
  <c r="BB91" i="1"/>
  <c r="P43" i="1"/>
  <c r="AB42" i="1"/>
  <c r="AB40" i="1"/>
  <c r="CX138" i="3"/>
  <c r="CX114" i="3"/>
  <c r="CX106" i="3"/>
  <c r="CX62" i="3"/>
  <c r="CX30" i="3"/>
  <c r="CX22" i="3"/>
  <c r="CX14" i="3"/>
  <c r="BD91" i="1"/>
  <c r="AB44" i="1"/>
  <c r="AB41" i="1"/>
  <c r="T39" i="1"/>
  <c r="T38" i="1"/>
  <c r="T31" i="1"/>
  <c r="T30" i="1"/>
  <c r="T29" i="1"/>
  <c r="T28" i="1"/>
  <c r="CX134" i="3"/>
  <c r="CX126" i="3"/>
  <c r="CX110" i="3"/>
  <c r="CX18" i="3"/>
  <c r="CX10" i="3"/>
  <c r="BD46" i="1"/>
  <c r="CX48" i="3"/>
  <c r="I198" i="5" l="1"/>
  <c r="I205" i="5"/>
  <c r="P205" i="5" s="1"/>
  <c r="I45" i="5"/>
  <c r="P45" i="5" s="1"/>
  <c r="I59" i="5"/>
  <c r="K59" i="5" s="1"/>
  <c r="K179" i="5"/>
  <c r="J396" i="5"/>
  <c r="AZ232" i="1"/>
  <c r="CI225" i="1"/>
  <c r="CZ230" i="1"/>
  <c r="Y230" i="1" s="1"/>
  <c r="CY230" i="1"/>
  <c r="X230" i="1" s="1"/>
  <c r="R361" i="5" s="1"/>
  <c r="AF232" i="1"/>
  <c r="R133" i="1"/>
  <c r="GK133" i="1" s="1"/>
  <c r="V215" i="5"/>
  <c r="R393" i="5"/>
  <c r="I13" i="7"/>
  <c r="E101" i="5"/>
  <c r="V38" i="1"/>
  <c r="R41" i="1"/>
  <c r="V119" i="5"/>
  <c r="J127" i="5" s="1"/>
  <c r="R34" i="1"/>
  <c r="V72" i="5"/>
  <c r="J80" i="5" s="1"/>
  <c r="Q100" i="5"/>
  <c r="S38" i="1"/>
  <c r="V113" i="5"/>
  <c r="J116" i="5" s="1"/>
  <c r="R42" i="1"/>
  <c r="GK42" i="1" s="1"/>
  <c r="V130" i="5"/>
  <c r="U43" i="1"/>
  <c r="V184" i="5"/>
  <c r="R89" i="1"/>
  <c r="J186" i="5" s="1"/>
  <c r="T180" i="1"/>
  <c r="CZ271" i="1"/>
  <c r="Y271" i="1" s="1"/>
  <c r="T388" i="5" s="1"/>
  <c r="J395" i="5" s="1"/>
  <c r="J389" i="5"/>
  <c r="AH316" i="1"/>
  <c r="K423" i="5"/>
  <c r="K378" i="5"/>
  <c r="AH274" i="1"/>
  <c r="GK312" i="1"/>
  <c r="J418" i="5"/>
  <c r="CY177" i="1"/>
  <c r="X177" i="1" s="1"/>
  <c r="CZ177" i="1"/>
  <c r="Y177" i="1" s="1"/>
  <c r="GX38" i="1"/>
  <c r="CZ132" i="1"/>
  <c r="Y132" i="1" s="1"/>
  <c r="T211" i="5" s="1"/>
  <c r="CY132" i="1"/>
  <c r="X132" i="1" s="1"/>
  <c r="R211" i="5" s="1"/>
  <c r="R229" i="1"/>
  <c r="V356" i="5"/>
  <c r="K217" i="5"/>
  <c r="P217" i="5"/>
  <c r="GK135" i="1"/>
  <c r="J233" i="5"/>
  <c r="CP135" i="1"/>
  <c r="O135" i="1" s="1"/>
  <c r="J234" i="5"/>
  <c r="I239" i="5" s="1"/>
  <c r="R178" i="1"/>
  <c r="V264" i="5"/>
  <c r="R85" i="1"/>
  <c r="V163" i="5"/>
  <c r="J167" i="5" s="1"/>
  <c r="I168" i="5" s="1"/>
  <c r="U101" i="5"/>
  <c r="CY179" i="1"/>
  <c r="X179" i="1" s="1"/>
  <c r="R271" i="5" s="1"/>
  <c r="J274" i="5" s="1"/>
  <c r="J273" i="5"/>
  <c r="CZ179" i="1"/>
  <c r="Y179" i="1" s="1"/>
  <c r="T271" i="5" s="1"/>
  <c r="J275" i="5" s="1"/>
  <c r="R187" i="1"/>
  <c r="GK187" i="1" s="1"/>
  <c r="V326" i="5"/>
  <c r="R29" i="1"/>
  <c r="GK29" i="1" s="1"/>
  <c r="V46" i="5"/>
  <c r="GK35" i="1"/>
  <c r="J87" i="5"/>
  <c r="W38" i="1"/>
  <c r="CZ44" i="1"/>
  <c r="Y44" i="1" s="1"/>
  <c r="T134" i="5" s="1"/>
  <c r="CY44" i="1"/>
  <c r="X44" i="1" s="1"/>
  <c r="R134" i="5" s="1"/>
  <c r="V254" i="5"/>
  <c r="J257" i="5" s="1"/>
  <c r="R183" i="1"/>
  <c r="V290" i="5"/>
  <c r="J298" i="5" s="1"/>
  <c r="GK36" i="1"/>
  <c r="J98" i="5"/>
  <c r="CZ42" i="1"/>
  <c r="Y42" i="1" s="1"/>
  <c r="T130" i="5" s="1"/>
  <c r="J136" i="5" s="1"/>
  <c r="J132" i="5"/>
  <c r="CY42" i="1"/>
  <c r="X42" i="1" s="1"/>
  <c r="R130" i="5" s="1"/>
  <c r="J135" i="5" s="1"/>
  <c r="Q254" i="5"/>
  <c r="W180" i="1"/>
  <c r="V101" i="5"/>
  <c r="S113" i="5"/>
  <c r="S43" i="1"/>
  <c r="CZ269" i="1"/>
  <c r="Y269" i="1" s="1"/>
  <c r="T371" i="5" s="1"/>
  <c r="J377" i="5" s="1"/>
  <c r="J373" i="5"/>
  <c r="CY269" i="1"/>
  <c r="X269" i="1" s="1"/>
  <c r="R371" i="5" s="1"/>
  <c r="J376" i="5" s="1"/>
  <c r="AF274" i="1"/>
  <c r="GK271" i="1"/>
  <c r="J391" i="5"/>
  <c r="O78" i="7"/>
  <c r="R311" i="1"/>
  <c r="V403" i="5"/>
  <c r="J411" i="5" s="1"/>
  <c r="CY178" i="1"/>
  <c r="X178" i="1" s="1"/>
  <c r="R264" i="5" s="1"/>
  <c r="J267" i="5" s="1"/>
  <c r="J266" i="5"/>
  <c r="CZ178" i="1"/>
  <c r="Y178" i="1" s="1"/>
  <c r="T264" i="5" s="1"/>
  <c r="J268" i="5" s="1"/>
  <c r="CZ184" i="1"/>
  <c r="Y184" i="1" s="1"/>
  <c r="T301" i="5" s="1"/>
  <c r="J308" i="5" s="1"/>
  <c r="J303" i="5"/>
  <c r="CY184" i="1"/>
  <c r="X184" i="1" s="1"/>
  <c r="R301" i="5" s="1"/>
  <c r="J307" i="5" s="1"/>
  <c r="R131" i="1"/>
  <c r="J209" i="5" s="1"/>
  <c r="V206" i="5"/>
  <c r="R184" i="1"/>
  <c r="V301" i="5"/>
  <c r="J309" i="5" s="1"/>
  <c r="S187" i="1"/>
  <c r="U188" i="1"/>
  <c r="R230" i="1"/>
  <c r="GK230" i="1" s="1"/>
  <c r="V361" i="5"/>
  <c r="AD274" i="1"/>
  <c r="J374" i="5"/>
  <c r="U361" i="5"/>
  <c r="W187" i="1"/>
  <c r="CP35" i="1"/>
  <c r="O35" i="1" s="1"/>
  <c r="J86" i="5"/>
  <c r="I93" i="5" s="1"/>
  <c r="CP36" i="1"/>
  <c r="O36" i="1" s="1"/>
  <c r="J97" i="5"/>
  <c r="C61" i="5"/>
  <c r="E60" i="5"/>
  <c r="CP39" i="1"/>
  <c r="O39" i="1" s="1"/>
  <c r="J112" i="5"/>
  <c r="CP186" i="1"/>
  <c r="O186" i="1" s="1"/>
  <c r="J325" i="5"/>
  <c r="P38" i="1"/>
  <c r="GK137" i="1"/>
  <c r="J252" i="5"/>
  <c r="CP136" i="1"/>
  <c r="O136" i="1" s="1"/>
  <c r="J244" i="5"/>
  <c r="I248" i="5" s="1"/>
  <c r="K248" i="5" s="1"/>
  <c r="V60" i="5"/>
  <c r="R13" i="7"/>
  <c r="CZ41" i="1"/>
  <c r="Y41" i="1" s="1"/>
  <c r="T119" i="5" s="1"/>
  <c r="J126" i="5" s="1"/>
  <c r="J121" i="5"/>
  <c r="CY41" i="1"/>
  <c r="X41" i="1" s="1"/>
  <c r="R119" i="5" s="1"/>
  <c r="J125" i="5" s="1"/>
  <c r="CZ89" i="1"/>
  <c r="Y89" i="1" s="1"/>
  <c r="T184" i="5" s="1"/>
  <c r="CY89" i="1"/>
  <c r="X89" i="1" s="1"/>
  <c r="R184" i="5" s="1"/>
  <c r="CX104" i="3"/>
  <c r="E278" i="5"/>
  <c r="C279" i="5"/>
  <c r="I181" i="1"/>
  <c r="GX180" i="1"/>
  <c r="CP184" i="1"/>
  <c r="O184" i="1" s="1"/>
  <c r="J306" i="5"/>
  <c r="O50" i="7"/>
  <c r="U60" i="5"/>
  <c r="Q101" i="5"/>
  <c r="U254" i="5"/>
  <c r="Q278" i="5"/>
  <c r="Q60" i="5"/>
  <c r="T43" i="1"/>
  <c r="R38" i="1"/>
  <c r="GK38" i="1" s="1"/>
  <c r="Q113" i="5"/>
  <c r="U38" i="1"/>
  <c r="R129" i="1"/>
  <c r="GK129" i="1" s="1"/>
  <c r="V192" i="5"/>
  <c r="J434" i="5"/>
  <c r="R186" i="1"/>
  <c r="V321" i="5"/>
  <c r="S60" i="5"/>
  <c r="I50" i="7"/>
  <c r="E327" i="5"/>
  <c r="T188" i="1"/>
  <c r="I58" i="7"/>
  <c r="E361" i="5"/>
  <c r="AD316" i="1"/>
  <c r="J406" i="5"/>
  <c r="R88" i="1"/>
  <c r="J182" i="5" s="1"/>
  <c r="V180" i="5"/>
  <c r="S180" i="1"/>
  <c r="CP180" i="1" s="1"/>
  <c r="O180" i="1" s="1"/>
  <c r="T50" i="7"/>
  <c r="M58" i="7"/>
  <c r="M66" i="7"/>
  <c r="CP272" i="1"/>
  <c r="O272" i="1" s="1"/>
  <c r="J393" i="5" s="1"/>
  <c r="CP43" i="1"/>
  <c r="O43" i="1" s="1"/>
  <c r="T37" i="1"/>
  <c r="E100" i="5"/>
  <c r="J213" i="5"/>
  <c r="CP131" i="1"/>
  <c r="O131" i="1" s="1"/>
  <c r="J208" i="5"/>
  <c r="I210" i="5" s="1"/>
  <c r="CP229" i="1"/>
  <c r="O229" i="1" s="1"/>
  <c r="J360" i="5"/>
  <c r="CP137" i="1"/>
  <c r="O137" i="1" s="1"/>
  <c r="J253" i="5"/>
  <c r="R180" i="1"/>
  <c r="J281" i="5" s="1"/>
  <c r="V278" i="5"/>
  <c r="I37" i="7"/>
  <c r="E254" i="5"/>
  <c r="CP312" i="1"/>
  <c r="O312" i="1" s="1"/>
  <c r="J419" i="5"/>
  <c r="R138" i="1"/>
  <c r="GK138" i="1" s="1"/>
  <c r="CP34" i="1"/>
  <c r="O34" i="1" s="1"/>
  <c r="J75" i="5"/>
  <c r="I82" i="5" s="1"/>
  <c r="R86" i="1"/>
  <c r="GK86" i="1" s="1"/>
  <c r="V169" i="5"/>
  <c r="AK232" i="1"/>
  <c r="R337" i="5"/>
  <c r="J343" i="5" s="1"/>
  <c r="I347" i="5" s="1"/>
  <c r="W37" i="1"/>
  <c r="GP88" i="1"/>
  <c r="R180" i="5"/>
  <c r="V138" i="1"/>
  <c r="R37" i="1"/>
  <c r="GK37" i="1" s="1"/>
  <c r="V100" i="5"/>
  <c r="J104" i="5" s="1"/>
  <c r="W31" i="1"/>
  <c r="GM87" i="1"/>
  <c r="R176" i="5"/>
  <c r="P138" i="1"/>
  <c r="GX138" i="1"/>
  <c r="U133" i="1"/>
  <c r="I27" i="7"/>
  <c r="C216" i="5"/>
  <c r="E215" i="5"/>
  <c r="CP183" i="1"/>
  <c r="O183" i="1" s="1"/>
  <c r="J293" i="5"/>
  <c r="I300" i="5" s="1"/>
  <c r="P300" i="5" s="1"/>
  <c r="P31" i="1"/>
  <c r="CP134" i="1"/>
  <c r="O134" i="1" s="1"/>
  <c r="J223" i="5"/>
  <c r="I228" i="5" s="1"/>
  <c r="R179" i="1"/>
  <c r="GK179" i="1" s="1"/>
  <c r="V271" i="5"/>
  <c r="AK274" i="1"/>
  <c r="R380" i="5"/>
  <c r="J384" i="5" s="1"/>
  <c r="V40" i="1"/>
  <c r="R83" i="1"/>
  <c r="J147" i="5" s="1"/>
  <c r="V143" i="5"/>
  <c r="J150" i="5" s="1"/>
  <c r="GK39" i="1"/>
  <c r="J111" i="5"/>
  <c r="R84" i="1"/>
  <c r="V153" i="5"/>
  <c r="J160" i="5" s="1"/>
  <c r="GX37" i="1"/>
  <c r="R130" i="1"/>
  <c r="GK130" i="1" s="1"/>
  <c r="V199" i="5"/>
  <c r="CP228" i="1"/>
  <c r="O228" i="1" s="1"/>
  <c r="J351" i="5"/>
  <c r="GK134" i="1"/>
  <c r="J222" i="5"/>
  <c r="S138" i="1"/>
  <c r="J394" i="5"/>
  <c r="R425" i="5"/>
  <c r="U100" i="5"/>
  <c r="CP42" i="1"/>
  <c r="O42" i="1" s="1"/>
  <c r="J133" i="5"/>
  <c r="CY84" i="1"/>
  <c r="X84" i="1" s="1"/>
  <c r="R153" i="5" s="1"/>
  <c r="J158" i="5" s="1"/>
  <c r="J155" i="5"/>
  <c r="CZ84" i="1"/>
  <c r="Y84" i="1" s="1"/>
  <c r="T153" i="5" s="1"/>
  <c r="J159" i="5" s="1"/>
  <c r="O27" i="7"/>
  <c r="U278" i="5"/>
  <c r="Q181" i="1"/>
  <c r="J284" i="5" s="1"/>
  <c r="I286" i="5" s="1"/>
  <c r="P286" i="5" s="1"/>
  <c r="M50" i="7"/>
  <c r="R227" i="1"/>
  <c r="V337" i="5"/>
  <c r="J345" i="5" s="1"/>
  <c r="R228" i="1"/>
  <c r="GK228" i="1" s="1"/>
  <c r="V348" i="5"/>
  <c r="S101" i="5"/>
  <c r="R44" i="1"/>
  <c r="GK44" i="1" s="1"/>
  <c r="V134" i="5"/>
  <c r="U215" i="5"/>
  <c r="S278" i="5"/>
  <c r="U113" i="5"/>
  <c r="R43" i="1"/>
  <c r="GK43" i="1" s="1"/>
  <c r="Q215" i="5"/>
  <c r="M13" i="7"/>
  <c r="CP270" i="1"/>
  <c r="O270" i="1" s="1"/>
  <c r="J383" i="5"/>
  <c r="GK313" i="1"/>
  <c r="J429" i="5"/>
  <c r="I175" i="5"/>
  <c r="Q187" i="1"/>
  <c r="CP187" i="1" s="1"/>
  <c r="O187" i="1" s="1"/>
  <c r="I49" i="7"/>
  <c r="E326" i="5"/>
  <c r="CZ228" i="1"/>
  <c r="Y228" i="1" s="1"/>
  <c r="T348" i="5" s="1"/>
  <c r="J353" i="5" s="1"/>
  <c r="J350" i="5"/>
  <c r="Q230" i="1"/>
  <c r="CZ270" i="1"/>
  <c r="Y270" i="1" s="1"/>
  <c r="J382" i="5"/>
  <c r="J145" i="5"/>
  <c r="CZ83" i="1"/>
  <c r="Y83" i="1" s="1"/>
  <c r="Q326" i="5"/>
  <c r="R188" i="1"/>
  <c r="GK188" i="1" s="1"/>
  <c r="V327" i="5"/>
  <c r="CZ313" i="1"/>
  <c r="Y313" i="1" s="1"/>
  <c r="T425" i="5" s="1"/>
  <c r="J427" i="5"/>
  <c r="S188" i="1"/>
  <c r="CP188" i="1" s="1"/>
  <c r="O188" i="1" s="1"/>
  <c r="R269" i="1"/>
  <c r="V371" i="5"/>
  <c r="Q38" i="1"/>
  <c r="R58" i="7"/>
  <c r="J362" i="5"/>
  <c r="V230" i="1"/>
  <c r="AI232" i="1" s="1"/>
  <c r="W188" i="1"/>
  <c r="CP313" i="1"/>
  <c r="O313" i="1" s="1"/>
  <c r="GP313" i="1" s="1"/>
  <c r="K198" i="5"/>
  <c r="P198" i="5"/>
  <c r="K45" i="5"/>
  <c r="K205" i="5"/>
  <c r="K52" i="5"/>
  <c r="P52" i="5"/>
  <c r="AG225" i="1"/>
  <c r="T232" i="1"/>
  <c r="AK267" i="1"/>
  <c r="X274" i="1"/>
  <c r="CJ309" i="1"/>
  <c r="BA316" i="1"/>
  <c r="F104" i="1"/>
  <c r="BB81" i="1"/>
  <c r="BB225" i="1"/>
  <c r="F245" i="1"/>
  <c r="F59" i="1"/>
  <c r="BB26" i="1"/>
  <c r="BB349" i="1"/>
  <c r="CP28" i="1"/>
  <c r="O28" i="1" s="1"/>
  <c r="AK225" i="1"/>
  <c r="X232" i="1"/>
  <c r="F320" i="1"/>
  <c r="AO309" i="1"/>
  <c r="F199" i="1"/>
  <c r="AP175" i="1"/>
  <c r="AQ26" i="1"/>
  <c r="F56" i="1"/>
  <c r="T40" i="1"/>
  <c r="Q40" i="1"/>
  <c r="W40" i="1"/>
  <c r="T91" i="1"/>
  <c r="AG81" i="1"/>
  <c r="CI46" i="1"/>
  <c r="AP46" i="1"/>
  <c r="BY26" i="1"/>
  <c r="CC81" i="1"/>
  <c r="AT91" i="1"/>
  <c r="AT349" i="1" s="1"/>
  <c r="GP29" i="1"/>
  <c r="GM29" i="1"/>
  <c r="GP86" i="1"/>
  <c r="GM86" i="1"/>
  <c r="GP134" i="1"/>
  <c r="GM134" i="1"/>
  <c r="GP136" i="1"/>
  <c r="GM136" i="1"/>
  <c r="U232" i="1"/>
  <c r="AH225" i="1"/>
  <c r="BZ267" i="1"/>
  <c r="AQ274" i="1"/>
  <c r="AQ349" i="1" s="1"/>
  <c r="CG274" i="1"/>
  <c r="AJ309" i="1"/>
  <c r="W316" i="1"/>
  <c r="BD309" i="1"/>
  <c r="F341" i="1"/>
  <c r="GM271" i="1"/>
  <c r="GP271" i="1"/>
  <c r="F64" i="1"/>
  <c r="AT26" i="1"/>
  <c r="CG175" i="1"/>
  <c r="AX190" i="1"/>
  <c r="AT175" i="1"/>
  <c r="F208" i="1"/>
  <c r="AS309" i="1"/>
  <c r="F333" i="1"/>
  <c r="V316" i="1"/>
  <c r="AI309" i="1"/>
  <c r="F165" i="1"/>
  <c r="BD126" i="1"/>
  <c r="AO126" i="1"/>
  <c r="F144" i="1"/>
  <c r="AE91" i="1"/>
  <c r="GK83" i="1"/>
  <c r="GP128" i="1"/>
  <c r="GM128" i="1"/>
  <c r="GK28" i="1"/>
  <c r="AQ81" i="1"/>
  <c r="F101" i="1"/>
  <c r="CP129" i="1"/>
  <c r="O129" i="1" s="1"/>
  <c r="AC140" i="1"/>
  <c r="F50" i="1"/>
  <c r="AO26" i="1"/>
  <c r="AO349" i="1"/>
  <c r="F203" i="1"/>
  <c r="BB175" i="1"/>
  <c r="F290" i="1"/>
  <c r="BC267" i="1"/>
  <c r="CC225" i="1"/>
  <c r="AT232" i="1"/>
  <c r="I32" i="1"/>
  <c r="Q31" i="1"/>
  <c r="J62" i="5" s="1"/>
  <c r="I64" i="5" s="1"/>
  <c r="P64" i="5" s="1"/>
  <c r="CX7" i="3"/>
  <c r="V31" i="1"/>
  <c r="CZ138" i="1"/>
  <c r="Y138" i="1" s="1"/>
  <c r="T254" i="5" s="1"/>
  <c r="J256" i="5" s="1"/>
  <c r="CY138" i="1"/>
  <c r="X138" i="1" s="1"/>
  <c r="R254" i="5" s="1"/>
  <c r="J255" i="5" s="1"/>
  <c r="AC232" i="1"/>
  <c r="CP227" i="1"/>
  <c r="O227" i="1" s="1"/>
  <c r="F248" i="1"/>
  <c r="BC225" i="1"/>
  <c r="AH81" i="1"/>
  <c r="U91" i="1"/>
  <c r="F206" i="1"/>
  <c r="BC175" i="1"/>
  <c r="S91" i="1"/>
  <c r="AF81" i="1"/>
  <c r="Q138" i="1"/>
  <c r="W138" i="1"/>
  <c r="T138" i="1"/>
  <c r="GP177" i="1"/>
  <c r="GM177" i="1"/>
  <c r="GP179" i="1"/>
  <c r="GM179" i="1"/>
  <c r="CZ311" i="1"/>
  <c r="Y311" i="1" s="1"/>
  <c r="T403" i="5" s="1"/>
  <c r="J410" i="5" s="1"/>
  <c r="AF316" i="1"/>
  <c r="CY311" i="1"/>
  <c r="X311" i="1" s="1"/>
  <c r="R403" i="5" s="1"/>
  <c r="J409" i="5" s="1"/>
  <c r="CZ312" i="1"/>
  <c r="Y312" i="1" s="1"/>
  <c r="CY312" i="1"/>
  <c r="X312" i="1" s="1"/>
  <c r="R414" i="5" s="1"/>
  <c r="J420" i="5" s="1"/>
  <c r="AB274" i="1"/>
  <c r="CP138" i="1"/>
  <c r="O138" i="1" s="1"/>
  <c r="J254" i="5" s="1"/>
  <c r="S133" i="1"/>
  <c r="AK91" i="1"/>
  <c r="GM272" i="1"/>
  <c r="W133" i="1"/>
  <c r="AJ140" i="1" s="1"/>
  <c r="GM88" i="1"/>
  <c r="AC316" i="1"/>
  <c r="Q37" i="1"/>
  <c r="GP87" i="1"/>
  <c r="R31" i="1"/>
  <c r="J63" i="5" s="1"/>
  <c r="V133" i="1"/>
  <c r="AI140" i="1" s="1"/>
  <c r="Q133" i="1"/>
  <c r="U138" i="1"/>
  <c r="AH140" i="1" s="1"/>
  <c r="CI274" i="1"/>
  <c r="GM270" i="1"/>
  <c r="GP30" i="1"/>
  <c r="GM30" i="1"/>
  <c r="GP89" i="1"/>
  <c r="GM89" i="1"/>
  <c r="F153" i="1"/>
  <c r="BB126" i="1"/>
  <c r="GP39" i="1"/>
  <c r="GM39" i="1"/>
  <c r="GM44" i="1"/>
  <c r="GP44" i="1"/>
  <c r="GM228" i="1"/>
  <c r="GP228" i="1"/>
  <c r="CG225" i="1"/>
  <c r="AX232" i="1"/>
  <c r="AD81" i="1"/>
  <c r="Q91" i="1"/>
  <c r="AF225" i="1"/>
  <c r="S232" i="1"/>
  <c r="AC91" i="1"/>
  <c r="CP83" i="1"/>
  <c r="O83" i="1" s="1"/>
  <c r="BC81" i="1"/>
  <c r="F107" i="1"/>
  <c r="CI126" i="1"/>
  <c r="AZ140" i="1"/>
  <c r="AP225" i="1"/>
  <c r="F241" i="1"/>
  <c r="AX46" i="1"/>
  <c r="CG26" i="1"/>
  <c r="GM131" i="1"/>
  <c r="GP131" i="1"/>
  <c r="AZ190" i="1"/>
  <c r="CI175" i="1"/>
  <c r="F332" i="1"/>
  <c r="BC309" i="1"/>
  <c r="AQ225" i="1"/>
  <c r="F242" i="1"/>
  <c r="GP135" i="1"/>
  <c r="GM135" i="1"/>
  <c r="GP137" i="1"/>
  <c r="GM137" i="1"/>
  <c r="GK178" i="1"/>
  <c r="AJ225" i="1"/>
  <c r="W232" i="1"/>
  <c r="AG267" i="1"/>
  <c r="T274" i="1"/>
  <c r="GM312" i="1"/>
  <c r="AI267" i="1"/>
  <c r="V274" i="1"/>
  <c r="F114" i="1"/>
  <c r="V81" i="1"/>
  <c r="AQ175" i="1"/>
  <c r="F200" i="1"/>
  <c r="AP267" i="1"/>
  <c r="F283" i="1"/>
  <c r="AC267" i="1"/>
  <c r="CH274" i="1"/>
  <c r="CF274" i="1"/>
  <c r="P274" i="1"/>
  <c r="CE274" i="1"/>
  <c r="CI309" i="1"/>
  <c r="AZ316" i="1"/>
  <c r="BD26" i="1"/>
  <c r="F71" i="1"/>
  <c r="BD349" i="1"/>
  <c r="F116" i="1"/>
  <c r="BD81" i="1"/>
  <c r="S37" i="1"/>
  <c r="U37" i="1"/>
  <c r="CI91" i="1"/>
  <c r="BY81" i="1"/>
  <c r="AP91" i="1"/>
  <c r="GP35" i="1"/>
  <c r="GM35" i="1"/>
  <c r="GP36" i="1"/>
  <c r="GM36" i="1"/>
  <c r="CY31" i="1"/>
  <c r="X31" i="1" s="1"/>
  <c r="R60" i="5" s="1"/>
  <c r="CZ31" i="1"/>
  <c r="Y31" i="1" s="1"/>
  <c r="T60" i="5" s="1"/>
  <c r="CC126" i="1"/>
  <c r="AT140" i="1"/>
  <c r="F147" i="1"/>
  <c r="AX126" i="1"/>
  <c r="AO225" i="1"/>
  <c r="F236" i="1"/>
  <c r="AJ81" i="1"/>
  <c r="W91" i="1"/>
  <c r="AO81" i="1"/>
  <c r="F95" i="1"/>
  <c r="AO175" i="1"/>
  <c r="F194" i="1"/>
  <c r="F278" i="1"/>
  <c r="AO267" i="1"/>
  <c r="F98" i="1"/>
  <c r="AX81" i="1"/>
  <c r="GP130" i="1"/>
  <c r="GM130" i="1"/>
  <c r="GM132" i="1"/>
  <c r="GP132" i="1"/>
  <c r="CP178" i="1"/>
  <c r="O178" i="1" s="1"/>
  <c r="CJ267" i="1"/>
  <c r="BA274" i="1"/>
  <c r="BD267" i="1"/>
  <c r="F299" i="1"/>
  <c r="BZ309" i="1"/>
  <c r="AQ316" i="1"/>
  <c r="CG316" i="1"/>
  <c r="T316" i="1"/>
  <c r="AG309" i="1"/>
  <c r="BA81" i="1"/>
  <c r="F111" i="1"/>
  <c r="F243" i="1"/>
  <c r="AZ225" i="1"/>
  <c r="CJ225" i="1"/>
  <c r="BA232" i="1"/>
  <c r="CZ314" i="1"/>
  <c r="Y314" i="1" s="1"/>
  <c r="T431" i="5" s="1"/>
  <c r="CY314" i="1"/>
  <c r="X314" i="1" s="1"/>
  <c r="R431" i="5" s="1"/>
  <c r="W267" i="1"/>
  <c r="F298" i="1"/>
  <c r="AP309" i="1"/>
  <c r="F325" i="1"/>
  <c r="U40" i="1"/>
  <c r="GX133" i="1"/>
  <c r="CJ140" i="1" s="1"/>
  <c r="GP270" i="1"/>
  <c r="R40" i="1"/>
  <c r="GK40" i="1" s="1"/>
  <c r="V37" i="1"/>
  <c r="S40" i="1"/>
  <c r="BC349" i="1"/>
  <c r="GX31" i="1"/>
  <c r="T133" i="1"/>
  <c r="P37" i="1"/>
  <c r="CP37" i="1" s="1"/>
  <c r="O37" i="1" s="1"/>
  <c r="J100" i="5" s="1"/>
  <c r="P40" i="1"/>
  <c r="CP314" i="1"/>
  <c r="O314" i="1" s="1"/>
  <c r="J431" i="5" s="1"/>
  <c r="CP311" i="1"/>
  <c r="O311" i="1" s="1"/>
  <c r="K300" i="5" l="1"/>
  <c r="I413" i="5"/>
  <c r="P59" i="5"/>
  <c r="P248" i="5"/>
  <c r="I277" i="5"/>
  <c r="I162" i="5"/>
  <c r="J326" i="5"/>
  <c r="GN187" i="1"/>
  <c r="GM187" i="1"/>
  <c r="J327" i="5"/>
  <c r="GM188" i="1"/>
  <c r="GN188" i="1"/>
  <c r="K239" i="5"/>
  <c r="P239" i="5"/>
  <c r="K228" i="5"/>
  <c r="P228" i="5"/>
  <c r="K413" i="5"/>
  <c r="P413" i="5"/>
  <c r="CP31" i="1"/>
  <c r="O31" i="1" s="1"/>
  <c r="GP312" i="1"/>
  <c r="T414" i="5"/>
  <c r="J421" i="5" s="1"/>
  <c r="I424" i="5" s="1"/>
  <c r="E65" i="5"/>
  <c r="U65" i="5"/>
  <c r="S65" i="5"/>
  <c r="Q65" i="5"/>
  <c r="V65" i="5"/>
  <c r="V232" i="1"/>
  <c r="AI225" i="1"/>
  <c r="I355" i="5"/>
  <c r="AE232" i="1"/>
  <c r="J341" i="5"/>
  <c r="GK227" i="1"/>
  <c r="T37" i="7"/>
  <c r="O37" i="7"/>
  <c r="I129" i="5"/>
  <c r="P93" i="5"/>
  <c r="K93" i="5"/>
  <c r="I138" i="5"/>
  <c r="T27" i="7"/>
  <c r="J330" i="5"/>
  <c r="GK85" i="1"/>
  <c r="J166" i="5"/>
  <c r="U316" i="1"/>
  <c r="AH309" i="1"/>
  <c r="R27" i="7"/>
  <c r="GK34" i="1"/>
  <c r="J76" i="5"/>
  <c r="J123" i="5"/>
  <c r="GK41" i="1"/>
  <c r="AL274" i="1"/>
  <c r="T380" i="5"/>
  <c r="J385" i="5" s="1"/>
  <c r="I387" i="5" s="1"/>
  <c r="P175" i="5"/>
  <c r="K175" i="5"/>
  <c r="R49" i="7"/>
  <c r="K64" i="5"/>
  <c r="P82" i="5"/>
  <c r="K82" i="5"/>
  <c r="O58" i="7"/>
  <c r="T49" i="7"/>
  <c r="E283" i="5"/>
  <c r="R181" i="1"/>
  <c r="J285" i="5" s="1"/>
  <c r="T181" i="1"/>
  <c r="S283" i="5"/>
  <c r="I182" i="1"/>
  <c r="I185" i="1"/>
  <c r="Q283" i="5"/>
  <c r="U181" i="1"/>
  <c r="K286" i="5"/>
  <c r="CX105" i="3"/>
  <c r="V181" i="1"/>
  <c r="W181" i="1"/>
  <c r="V283" i="5"/>
  <c r="P181" i="1"/>
  <c r="U283" i="5"/>
  <c r="GX181" i="1"/>
  <c r="CP38" i="1"/>
  <c r="O38" i="1" s="1"/>
  <c r="J305" i="5"/>
  <c r="GK184" i="1"/>
  <c r="I311" i="5"/>
  <c r="I270" i="5"/>
  <c r="J407" i="5"/>
  <c r="GK311" i="1"/>
  <c r="AE316" i="1"/>
  <c r="J294" i="5"/>
  <c r="GK183" i="1"/>
  <c r="I398" i="5"/>
  <c r="S181" i="1"/>
  <c r="CY38" i="1"/>
  <c r="X38" i="1" s="1"/>
  <c r="R101" i="5" s="1"/>
  <c r="CZ38" i="1"/>
  <c r="Y38" i="1" s="1"/>
  <c r="T101" i="5" s="1"/>
  <c r="GN272" i="1"/>
  <c r="CB274" i="1" s="1"/>
  <c r="CP40" i="1"/>
  <c r="O40" i="1" s="1"/>
  <c r="J113" i="5" s="1"/>
  <c r="CP133" i="1"/>
  <c r="O133" i="1" s="1"/>
  <c r="GM313" i="1"/>
  <c r="K347" i="5"/>
  <c r="P347" i="5"/>
  <c r="J433" i="5"/>
  <c r="T143" i="5"/>
  <c r="J149" i="5" s="1"/>
  <c r="I152" i="5" s="1"/>
  <c r="AL91" i="1"/>
  <c r="M49" i="7"/>
  <c r="GM42" i="1"/>
  <c r="GP42" i="1"/>
  <c r="AE140" i="1"/>
  <c r="T58" i="7"/>
  <c r="Q274" i="1"/>
  <c r="AD267" i="1"/>
  <c r="R50" i="7"/>
  <c r="M37" i="7"/>
  <c r="AF267" i="1"/>
  <c r="S274" i="1"/>
  <c r="CY43" i="1"/>
  <c r="X43" i="1" s="1"/>
  <c r="CZ43" i="1"/>
  <c r="Y43" i="1" s="1"/>
  <c r="J364" i="5"/>
  <c r="O49" i="7"/>
  <c r="M27" i="7"/>
  <c r="AL232" i="1"/>
  <c r="T361" i="5"/>
  <c r="J363" i="5" s="1"/>
  <c r="AE274" i="1"/>
  <c r="GK269" i="1"/>
  <c r="CP230" i="1"/>
  <c r="O230" i="1" s="1"/>
  <c r="AD232" i="1"/>
  <c r="J432" i="5"/>
  <c r="GK84" i="1"/>
  <c r="J157" i="5"/>
  <c r="I259" i="5"/>
  <c r="P210" i="5"/>
  <c r="K210" i="5"/>
  <c r="CY180" i="1"/>
  <c r="X180" i="1" s="1"/>
  <c r="R278" i="5" s="1"/>
  <c r="CZ180" i="1"/>
  <c r="Y180" i="1" s="1"/>
  <c r="T278" i="5" s="1"/>
  <c r="Q316" i="1"/>
  <c r="AD309" i="1"/>
  <c r="J324" i="5"/>
  <c r="GK186" i="1"/>
  <c r="GP184" i="1"/>
  <c r="GM184" i="1"/>
  <c r="I379" i="5"/>
  <c r="P168" i="5"/>
  <c r="K168" i="5"/>
  <c r="J359" i="5"/>
  <c r="GK229" i="1"/>
  <c r="AH267" i="1"/>
  <c r="U274" i="1"/>
  <c r="R37" i="7"/>
  <c r="T13" i="7"/>
  <c r="O13" i="7"/>
  <c r="BC22" i="1"/>
  <c r="F365" i="1"/>
  <c r="BC382" i="1"/>
  <c r="CG309" i="1"/>
  <c r="AX316" i="1"/>
  <c r="GP178" i="1"/>
  <c r="GM178" i="1"/>
  <c r="CI81" i="1"/>
  <c r="AZ91" i="1"/>
  <c r="CE267" i="1"/>
  <c r="AV274" i="1"/>
  <c r="AZ175" i="1"/>
  <c r="F201" i="1"/>
  <c r="F53" i="1"/>
  <c r="AX26" i="1"/>
  <c r="P91" i="1"/>
  <c r="CE91" i="1"/>
  <c r="AC81" i="1"/>
  <c r="CH91" i="1"/>
  <c r="CF91" i="1"/>
  <c r="O274" i="1"/>
  <c r="AB267" i="1"/>
  <c r="AF309" i="1"/>
  <c r="S316" i="1"/>
  <c r="S81" i="1"/>
  <c r="F106" i="1"/>
  <c r="AC225" i="1"/>
  <c r="P232" i="1"/>
  <c r="CH232" i="1"/>
  <c r="CF232" i="1"/>
  <c r="CE232" i="1"/>
  <c r="AT22" i="1"/>
  <c r="F367" i="1"/>
  <c r="F16" i="2" s="1"/>
  <c r="F18" i="2" s="1"/>
  <c r="AT382" i="1"/>
  <c r="F112" i="1"/>
  <c r="T81" i="1"/>
  <c r="F359" i="1"/>
  <c r="AQ382" i="1"/>
  <c r="AQ22" i="1"/>
  <c r="AH126" i="1"/>
  <c r="U140" i="1"/>
  <c r="GM31" i="1"/>
  <c r="GP31" i="1"/>
  <c r="T309" i="1"/>
  <c r="F337" i="1"/>
  <c r="BD22" i="1"/>
  <c r="F374" i="1"/>
  <c r="BD382" i="1"/>
  <c r="CH267" i="1"/>
  <c r="AY274" i="1"/>
  <c r="V267" i="1"/>
  <c r="F297" i="1"/>
  <c r="W225" i="1"/>
  <c r="F256" i="1"/>
  <c r="F151" i="1"/>
  <c r="AZ126" i="1"/>
  <c r="GP83" i="1"/>
  <c r="AB91" i="1"/>
  <c r="GM83" i="1"/>
  <c r="F239" i="1"/>
  <c r="AX225" i="1"/>
  <c r="AI126" i="1"/>
  <c r="V140" i="1"/>
  <c r="CY133" i="1"/>
  <c r="X133" i="1" s="1"/>
  <c r="CZ133" i="1"/>
  <c r="Y133" i="1" s="1"/>
  <c r="AF140" i="1"/>
  <c r="U81" i="1"/>
  <c r="F113" i="1"/>
  <c r="AB232" i="1"/>
  <c r="GP227" i="1"/>
  <c r="GM227" i="1"/>
  <c r="AT225" i="1"/>
  <c r="F250" i="1"/>
  <c r="AO22" i="1"/>
  <c r="F353" i="1"/>
  <c r="AO382" i="1"/>
  <c r="GP129" i="1"/>
  <c r="CD140" i="1" s="1"/>
  <c r="GM129" i="1"/>
  <c r="AB140" i="1"/>
  <c r="AE81" i="1"/>
  <c r="R91" i="1"/>
  <c r="F340" i="1"/>
  <c r="W309" i="1"/>
  <c r="F258" i="1"/>
  <c r="X225" i="1"/>
  <c r="BB22" i="1"/>
  <c r="F362" i="1"/>
  <c r="BB382" i="1"/>
  <c r="X267" i="1"/>
  <c r="F300" i="1"/>
  <c r="GM314" i="1"/>
  <c r="GP314" i="1"/>
  <c r="CJ126" i="1"/>
  <c r="BA140" i="1"/>
  <c r="BA225" i="1"/>
  <c r="F252" i="1"/>
  <c r="F100" i="1"/>
  <c r="AP81" i="1"/>
  <c r="CY37" i="1"/>
  <c r="X37" i="1" s="1"/>
  <c r="CZ37" i="1"/>
  <c r="Y37" i="1" s="1"/>
  <c r="AZ309" i="1"/>
  <c r="F327" i="1"/>
  <c r="CF267" i="1"/>
  <c r="AW274" i="1"/>
  <c r="CI267" i="1"/>
  <c r="AZ274" i="1"/>
  <c r="CF316" i="1"/>
  <c r="CH316" i="1"/>
  <c r="CE316" i="1"/>
  <c r="AC309" i="1"/>
  <c r="P316" i="1"/>
  <c r="W140" i="1"/>
  <c r="AJ126" i="1"/>
  <c r="X91" i="1"/>
  <c r="AK81" i="1"/>
  <c r="GN138" i="1"/>
  <c r="GM138" i="1"/>
  <c r="CX8" i="3"/>
  <c r="V32" i="1"/>
  <c r="I33" i="1"/>
  <c r="Q32" i="1"/>
  <c r="J66" i="5" s="1"/>
  <c r="I68" i="5" s="1"/>
  <c r="P68" i="5" s="1"/>
  <c r="R32" i="1"/>
  <c r="J67" i="5" s="1"/>
  <c r="T32" i="1"/>
  <c r="W32" i="1"/>
  <c r="P32" i="1"/>
  <c r="S32" i="1"/>
  <c r="U32" i="1"/>
  <c r="GX32" i="1"/>
  <c r="AC126" i="1"/>
  <c r="P140" i="1"/>
  <c r="CE140" i="1"/>
  <c r="CH140" i="1"/>
  <c r="CF140" i="1"/>
  <c r="AX175" i="1"/>
  <c r="F197" i="1"/>
  <c r="AQ267" i="1"/>
  <c r="F284" i="1"/>
  <c r="AT81" i="1"/>
  <c r="F109" i="1"/>
  <c r="CI26" i="1"/>
  <c r="AZ46" i="1"/>
  <c r="GP28" i="1"/>
  <c r="GM28" i="1"/>
  <c r="GM311" i="1"/>
  <c r="GP311" i="1"/>
  <c r="AB316" i="1"/>
  <c r="CZ40" i="1"/>
  <c r="Y40" i="1" s="1"/>
  <c r="CY40" i="1"/>
  <c r="X40" i="1" s="1"/>
  <c r="F326" i="1"/>
  <c r="AQ309" i="1"/>
  <c r="F294" i="1"/>
  <c r="BA267" i="1"/>
  <c r="W81" i="1"/>
  <c r="F115" i="1"/>
  <c r="AT126" i="1"/>
  <c r="F158" i="1"/>
  <c r="P267" i="1"/>
  <c r="F277" i="1"/>
  <c r="T267" i="1"/>
  <c r="F295" i="1"/>
  <c r="F247" i="1"/>
  <c r="S225" i="1"/>
  <c r="Q81" i="1"/>
  <c r="F103" i="1"/>
  <c r="V309" i="1"/>
  <c r="F339" i="1"/>
  <c r="CG267" i="1"/>
  <c r="AX274" i="1"/>
  <c r="AX349" i="1" s="1"/>
  <c r="U225" i="1"/>
  <c r="F254" i="1"/>
  <c r="F55" i="1"/>
  <c r="AP26" i="1"/>
  <c r="AP349" i="1"/>
  <c r="F336" i="1"/>
  <c r="BA309" i="1"/>
  <c r="T225" i="1"/>
  <c r="F253" i="1"/>
  <c r="AD140" i="1"/>
  <c r="AK316" i="1"/>
  <c r="AG140" i="1"/>
  <c r="AL316" i="1"/>
  <c r="I332" i="5" l="1"/>
  <c r="K162" i="5"/>
  <c r="P162" i="5"/>
  <c r="I436" i="5"/>
  <c r="P436" i="5" s="1"/>
  <c r="I438" i="5" s="1"/>
  <c r="P277" i="5"/>
  <c r="K277" i="5"/>
  <c r="P332" i="5"/>
  <c r="K332" i="5"/>
  <c r="P424" i="5"/>
  <c r="K424" i="5"/>
  <c r="K436" i="5"/>
  <c r="K387" i="5"/>
  <c r="P387" i="5"/>
  <c r="GM37" i="1"/>
  <c r="R100" i="5"/>
  <c r="J102" i="5" s="1"/>
  <c r="GP40" i="1"/>
  <c r="R113" i="5"/>
  <c r="J114" i="5" s="1"/>
  <c r="CA316" i="1"/>
  <c r="GP37" i="1"/>
  <c r="T100" i="5"/>
  <c r="J103" i="5" s="1"/>
  <c r="F296" i="1"/>
  <c r="U267" i="1"/>
  <c r="Q309" i="1"/>
  <c r="F328" i="1"/>
  <c r="GM269" i="1"/>
  <c r="CA274" i="1" s="1"/>
  <c r="GP269" i="1"/>
  <c r="CD274" i="1" s="1"/>
  <c r="GM43" i="1"/>
  <c r="GP43" i="1"/>
  <c r="CY181" i="1"/>
  <c r="X181" i="1" s="1"/>
  <c r="R283" i="5" s="1"/>
  <c r="CZ181" i="1"/>
  <c r="Y181" i="1" s="1"/>
  <c r="T283" i="5" s="1"/>
  <c r="AE309" i="1"/>
  <c r="R316" i="1"/>
  <c r="P311" i="5"/>
  <c r="K311" i="5"/>
  <c r="GM41" i="1"/>
  <c r="GP41" i="1"/>
  <c r="GP85" i="1"/>
  <c r="GM85" i="1"/>
  <c r="R232" i="1"/>
  <c r="AE225" i="1"/>
  <c r="F255" i="1"/>
  <c r="V225" i="1"/>
  <c r="K68" i="5"/>
  <c r="S267" i="1"/>
  <c r="F289" i="1"/>
  <c r="AE126" i="1"/>
  <c r="R140" i="1"/>
  <c r="AL81" i="1"/>
  <c r="Y91" i="1"/>
  <c r="AS274" i="1"/>
  <c r="CB267" i="1"/>
  <c r="K398" i="5"/>
  <c r="P398" i="5"/>
  <c r="K355" i="5"/>
  <c r="P355" i="5"/>
  <c r="GM40" i="1"/>
  <c r="T113" i="5"/>
  <c r="J115" i="5" s="1"/>
  <c r="GM186" i="1"/>
  <c r="GP186" i="1"/>
  <c r="P259" i="5"/>
  <c r="I261" i="5" s="1"/>
  <c r="K259" i="5"/>
  <c r="Q232" i="1"/>
  <c r="AD225" i="1"/>
  <c r="R274" i="1"/>
  <c r="AE267" i="1"/>
  <c r="I8" i="7"/>
  <c r="C70" i="5"/>
  <c r="E69" i="5"/>
  <c r="U69" i="5"/>
  <c r="S69" i="5"/>
  <c r="Q69" i="5"/>
  <c r="V69" i="5"/>
  <c r="AK140" i="1"/>
  <c r="R215" i="5"/>
  <c r="GM229" i="1"/>
  <c r="CA232" i="1" s="1"/>
  <c r="GP229" i="1"/>
  <c r="CD232" i="1" s="1"/>
  <c r="P379" i="5"/>
  <c r="K379" i="5"/>
  <c r="J361" i="5"/>
  <c r="I366" i="5" s="1"/>
  <c r="GN230" i="1"/>
  <c r="CB232" i="1" s="1"/>
  <c r="GM230" i="1"/>
  <c r="Q267" i="1"/>
  <c r="F286" i="1"/>
  <c r="GP183" i="1"/>
  <c r="GM183" i="1"/>
  <c r="CP181" i="1"/>
  <c r="O181" i="1" s="1"/>
  <c r="I46" i="7"/>
  <c r="I44" i="7"/>
  <c r="I45" i="7"/>
  <c r="E312" i="5"/>
  <c r="C313" i="5"/>
  <c r="S312" i="5"/>
  <c r="M46" i="7"/>
  <c r="T45" i="7"/>
  <c r="U312" i="5"/>
  <c r="GX185" i="1"/>
  <c r="S185" i="1"/>
  <c r="O46" i="7"/>
  <c r="R45" i="7"/>
  <c r="W185" i="1"/>
  <c r="O44" i="7"/>
  <c r="R46" i="7"/>
  <c r="R44" i="7"/>
  <c r="T44" i="7"/>
  <c r="O45" i="7"/>
  <c r="V185" i="1"/>
  <c r="Q312" i="5"/>
  <c r="M44" i="7"/>
  <c r="T46" i="7"/>
  <c r="M45" i="7"/>
  <c r="R185" i="1"/>
  <c r="GK185" i="1" s="1"/>
  <c r="CX120" i="3"/>
  <c r="Q185" i="1"/>
  <c r="J315" i="5" s="1"/>
  <c r="V312" i="5"/>
  <c r="CX118" i="3"/>
  <c r="U185" i="1"/>
  <c r="CX122" i="3"/>
  <c r="T185" i="1"/>
  <c r="CX119" i="3"/>
  <c r="P185" i="1"/>
  <c r="CX121" i="3"/>
  <c r="AL267" i="1"/>
  <c r="Y274" i="1"/>
  <c r="F338" i="1"/>
  <c r="U309" i="1"/>
  <c r="P129" i="5"/>
  <c r="K129" i="5"/>
  <c r="GM180" i="1"/>
  <c r="AL140" i="1"/>
  <c r="T215" i="5"/>
  <c r="GP84" i="1"/>
  <c r="CD91" i="1" s="1"/>
  <c r="GM84" i="1"/>
  <c r="CA91" i="1" s="1"/>
  <c r="P152" i="5"/>
  <c r="I189" i="5" s="1"/>
  <c r="K152" i="5"/>
  <c r="AL225" i="1"/>
  <c r="Y232" i="1"/>
  <c r="K270" i="5"/>
  <c r="P270" i="5"/>
  <c r="J101" i="5"/>
  <c r="GP38" i="1"/>
  <c r="GM38" i="1"/>
  <c r="U182" i="1"/>
  <c r="I39" i="7"/>
  <c r="C288" i="5"/>
  <c r="E287" i="5"/>
  <c r="Q287" i="5"/>
  <c r="U287" i="5"/>
  <c r="S287" i="5"/>
  <c r="V287" i="5"/>
  <c r="P182" i="1"/>
  <c r="Q182" i="1"/>
  <c r="AD190" i="1" s="1"/>
  <c r="Q190" i="1" s="1"/>
  <c r="T182" i="1"/>
  <c r="AG190" i="1" s="1"/>
  <c r="W182" i="1"/>
  <c r="AJ190" i="1" s="1"/>
  <c r="R182" i="1"/>
  <c r="GX182" i="1"/>
  <c r="CJ190" i="1" s="1"/>
  <c r="V182" i="1"/>
  <c r="AI190" i="1" s="1"/>
  <c r="S182" i="1"/>
  <c r="GM34" i="1"/>
  <c r="GP34" i="1"/>
  <c r="P138" i="5"/>
  <c r="K138" i="5"/>
  <c r="GP180" i="1"/>
  <c r="CA267" i="1"/>
  <c r="AR274" i="1"/>
  <c r="AP22" i="1"/>
  <c r="F358" i="1"/>
  <c r="G16" i="2" s="1"/>
  <c r="G18" i="2" s="1"/>
  <c r="AP382" i="1"/>
  <c r="AY140" i="1"/>
  <c r="CH126" i="1"/>
  <c r="CZ32" i="1"/>
  <c r="Y32" i="1" s="1"/>
  <c r="T65" i="5" s="1"/>
  <c r="CY32" i="1"/>
  <c r="X32" i="1" s="1"/>
  <c r="R65" i="5" s="1"/>
  <c r="X81" i="1"/>
  <c r="F117" i="1"/>
  <c r="AW267" i="1"/>
  <c r="F280" i="1"/>
  <c r="BB18" i="1"/>
  <c r="F395" i="1"/>
  <c r="AO18" i="1"/>
  <c r="F386" i="1"/>
  <c r="AF126" i="1"/>
  <c r="S140" i="1"/>
  <c r="AY267" i="1"/>
  <c r="F282" i="1"/>
  <c r="U126" i="1"/>
  <c r="F162" i="1"/>
  <c r="AY232" i="1"/>
  <c r="CH225" i="1"/>
  <c r="O267" i="1"/>
  <c r="F276" i="1"/>
  <c r="CH81" i="1"/>
  <c r="AY91" i="1"/>
  <c r="AX22" i="1"/>
  <c r="AX382" i="1"/>
  <c r="F356" i="1"/>
  <c r="AX309" i="1"/>
  <c r="F323" i="1"/>
  <c r="CD267" i="1"/>
  <c r="AU274" i="1"/>
  <c r="AD175" i="1"/>
  <c r="X316" i="1"/>
  <c r="AK309" i="1"/>
  <c r="CA309" i="1"/>
  <c r="AR316" i="1"/>
  <c r="F57" i="1"/>
  <c r="AZ26" i="1"/>
  <c r="AZ349" i="1"/>
  <c r="CF126" i="1"/>
  <c r="AW140" i="1"/>
  <c r="P309" i="1"/>
  <c r="F319" i="1"/>
  <c r="CF309" i="1"/>
  <c r="AW316" i="1"/>
  <c r="R81" i="1"/>
  <c r="F105" i="1"/>
  <c r="CD126" i="1"/>
  <c r="AU140" i="1"/>
  <c r="O232" i="1"/>
  <c r="AB225" i="1"/>
  <c r="AQ18" i="1"/>
  <c r="F392" i="1"/>
  <c r="AT18" i="1"/>
  <c r="F400" i="1"/>
  <c r="I23" i="5" s="1"/>
  <c r="CF225" i="1"/>
  <c r="AW232" i="1"/>
  <c r="AW91" i="1"/>
  <c r="CF81" i="1"/>
  <c r="F94" i="1"/>
  <c r="P81" i="1"/>
  <c r="F102" i="1"/>
  <c r="AZ81" i="1"/>
  <c r="Y316" i="1"/>
  <c r="AL309" i="1"/>
  <c r="P126" i="1"/>
  <c r="F143" i="1"/>
  <c r="Q33" i="1"/>
  <c r="AD46" i="1" s="1"/>
  <c r="W33" i="1"/>
  <c r="V33" i="1"/>
  <c r="AI46" i="1" s="1"/>
  <c r="U33" i="1"/>
  <c r="AH46" i="1" s="1"/>
  <c r="T33" i="1"/>
  <c r="S33" i="1"/>
  <c r="AF46" i="1" s="1"/>
  <c r="GX33" i="1"/>
  <c r="CJ46" i="1" s="1"/>
  <c r="R33" i="1"/>
  <c r="GK33" i="1" s="1"/>
  <c r="P33" i="1"/>
  <c r="J69" i="5" s="1"/>
  <c r="I71" i="5" s="1"/>
  <c r="W126" i="1"/>
  <c r="F164" i="1"/>
  <c r="CH309" i="1"/>
  <c r="AY316" i="1"/>
  <c r="AZ267" i="1"/>
  <c r="F285" i="1"/>
  <c r="BA126" i="1"/>
  <c r="F160" i="1"/>
  <c r="AK126" i="1"/>
  <c r="X140" i="1"/>
  <c r="AB81" i="1"/>
  <c r="O91" i="1"/>
  <c r="BD18" i="1"/>
  <c r="F407" i="1"/>
  <c r="CE225" i="1"/>
  <c r="AV232" i="1"/>
  <c r="CE81" i="1"/>
  <c r="AV91" i="1"/>
  <c r="F398" i="1"/>
  <c r="BC18" i="1"/>
  <c r="AG175" i="1"/>
  <c r="T190" i="1"/>
  <c r="AG126" i="1"/>
  <c r="T140" i="1"/>
  <c r="AD126" i="1"/>
  <c r="Q140" i="1"/>
  <c r="AX267" i="1"/>
  <c r="F281" i="1"/>
  <c r="AB309" i="1"/>
  <c r="O316" i="1"/>
  <c r="CE126" i="1"/>
  <c r="AV140" i="1"/>
  <c r="CP32" i="1"/>
  <c r="O32" i="1" s="1"/>
  <c r="AC46" i="1"/>
  <c r="CE309" i="1"/>
  <c r="AV316" i="1"/>
  <c r="O140" i="1"/>
  <c r="AB126" i="1"/>
  <c r="AL126" i="1"/>
  <c r="Y140" i="1"/>
  <c r="F163" i="1"/>
  <c r="V126" i="1"/>
  <c r="F235" i="1"/>
  <c r="P225" i="1"/>
  <c r="F331" i="1"/>
  <c r="S309" i="1"/>
  <c r="AV267" i="1"/>
  <c r="F279" i="1"/>
  <c r="AG46" i="1"/>
  <c r="CD316" i="1"/>
  <c r="AJ46" i="1"/>
  <c r="GM133" i="1"/>
  <c r="CA140" i="1" s="1"/>
  <c r="GN133" i="1"/>
  <c r="CB140" i="1" s="1"/>
  <c r="AR91" i="1" l="1"/>
  <c r="CA81" i="1"/>
  <c r="CD81" i="1"/>
  <c r="AU91" i="1"/>
  <c r="AU232" i="1"/>
  <c r="CD225" i="1"/>
  <c r="K366" i="5"/>
  <c r="P366" i="5"/>
  <c r="I368" i="5" s="1"/>
  <c r="CA225" i="1"/>
  <c r="AR232" i="1"/>
  <c r="GK182" i="1"/>
  <c r="AE190" i="1"/>
  <c r="J287" i="5"/>
  <c r="I289" i="5" s="1"/>
  <c r="CP182" i="1"/>
  <c r="O182" i="1" s="1"/>
  <c r="AC190" i="1"/>
  <c r="O39" i="7"/>
  <c r="M39" i="7"/>
  <c r="T39" i="7"/>
  <c r="R39" i="7"/>
  <c r="F154" i="1"/>
  <c r="R126" i="1"/>
  <c r="F330" i="1"/>
  <c r="R309" i="1"/>
  <c r="AF190" i="1"/>
  <c r="CZ182" i="1"/>
  <c r="Y182" i="1" s="1"/>
  <c r="CY182" i="1"/>
  <c r="X182" i="1" s="1"/>
  <c r="AJ175" i="1"/>
  <c r="W190" i="1"/>
  <c r="GP181" i="1"/>
  <c r="GM181" i="1"/>
  <c r="R267" i="1"/>
  <c r="F288" i="1"/>
  <c r="AS267" i="1"/>
  <c r="F291" i="1"/>
  <c r="R225" i="1"/>
  <c r="F246" i="1"/>
  <c r="I118" i="5"/>
  <c r="I400" i="5"/>
  <c r="K71" i="5"/>
  <c r="P71" i="5"/>
  <c r="V190" i="1"/>
  <c r="AI175" i="1"/>
  <c r="CP185" i="1"/>
  <c r="O185" i="1" s="1"/>
  <c r="J316" i="5"/>
  <c r="AH190" i="1"/>
  <c r="K319" i="5"/>
  <c r="J314" i="5"/>
  <c r="CZ185" i="1"/>
  <c r="Y185" i="1" s="1"/>
  <c r="T312" i="5" s="1"/>
  <c r="J318" i="5" s="1"/>
  <c r="CY185" i="1"/>
  <c r="X185" i="1" s="1"/>
  <c r="R312" i="5" s="1"/>
  <c r="J317" i="5" s="1"/>
  <c r="Y81" i="1"/>
  <c r="F118" i="1"/>
  <c r="AE46" i="1"/>
  <c r="CJ175" i="1"/>
  <c r="BA190" i="1"/>
  <c r="Y225" i="1"/>
  <c r="F259" i="1"/>
  <c r="Y267" i="1"/>
  <c r="F301" i="1"/>
  <c r="AS232" i="1"/>
  <c r="CB225" i="1"/>
  <c r="T8" i="7"/>
  <c r="R8" i="7"/>
  <c r="M8" i="7"/>
  <c r="O8" i="7"/>
  <c r="Q225" i="1"/>
  <c r="F244" i="1"/>
  <c r="I106" i="5"/>
  <c r="S46" i="1"/>
  <c r="AF26" i="1"/>
  <c r="AI26" i="1"/>
  <c r="V46" i="1"/>
  <c r="AH26" i="1"/>
  <c r="U46" i="1"/>
  <c r="F322" i="1"/>
  <c r="AW309" i="1"/>
  <c r="T46" i="1"/>
  <c r="AG26" i="1"/>
  <c r="F260" i="1"/>
  <c r="F261" i="1" s="1"/>
  <c r="AR225" i="1"/>
  <c r="AV309" i="1"/>
  <c r="F321" i="1"/>
  <c r="F161" i="1"/>
  <c r="T126" i="1"/>
  <c r="O81" i="1"/>
  <c r="F93" i="1"/>
  <c r="Y309" i="1"/>
  <c r="F343" i="1"/>
  <c r="O225" i="1"/>
  <c r="F234" i="1"/>
  <c r="AY225" i="1"/>
  <c r="F240" i="1"/>
  <c r="CB126" i="1"/>
  <c r="AS140" i="1"/>
  <c r="CD309" i="1"/>
  <c r="AU316" i="1"/>
  <c r="O126" i="1"/>
  <c r="F142" i="1"/>
  <c r="GP32" i="1"/>
  <c r="CD46" i="1" s="1"/>
  <c r="GM32" i="1"/>
  <c r="AW225" i="1"/>
  <c r="F238" i="1"/>
  <c r="AZ22" i="1"/>
  <c r="AZ382" i="1"/>
  <c r="F360" i="1"/>
  <c r="AY81" i="1"/>
  <c r="F99" i="1"/>
  <c r="S126" i="1"/>
  <c r="F155" i="1"/>
  <c r="AY126" i="1"/>
  <c r="F148" i="1"/>
  <c r="AJ26" i="1"/>
  <c r="W46" i="1"/>
  <c r="F251" i="1"/>
  <c r="AU225" i="1"/>
  <c r="CY33" i="1"/>
  <c r="X33" i="1" s="1"/>
  <c r="R69" i="5" s="1"/>
  <c r="CZ33" i="1"/>
  <c r="Y33" i="1" s="1"/>
  <c r="T69" i="5" s="1"/>
  <c r="AU126" i="1"/>
  <c r="F159" i="1"/>
  <c r="AW126" i="1"/>
  <c r="F146" i="1"/>
  <c r="X309" i="1"/>
  <c r="F342" i="1"/>
  <c r="AX18" i="1"/>
  <c r="F389" i="1"/>
  <c r="AE26" i="1"/>
  <c r="R46" i="1"/>
  <c r="CA126" i="1"/>
  <c r="AR140" i="1"/>
  <c r="F145" i="1"/>
  <c r="AV126" i="1"/>
  <c r="BA46" i="1"/>
  <c r="CJ26" i="1"/>
  <c r="AU81" i="1"/>
  <c r="F110" i="1"/>
  <c r="AU267" i="1"/>
  <c r="F293" i="1"/>
  <c r="AP18" i="1"/>
  <c r="F391" i="1"/>
  <c r="I24" i="5" s="1"/>
  <c r="AR267" i="1"/>
  <c r="F302" i="1"/>
  <c r="F303" i="1" s="1"/>
  <c r="F119" i="1"/>
  <c r="F120" i="1" s="1"/>
  <c r="AR81" i="1"/>
  <c r="Y126" i="1"/>
  <c r="F167" i="1"/>
  <c r="P46" i="1"/>
  <c r="CE46" i="1"/>
  <c r="CF46" i="1"/>
  <c r="AC26" i="1"/>
  <c r="CH46" i="1"/>
  <c r="F318" i="1"/>
  <c r="O309" i="1"/>
  <c r="Q126" i="1"/>
  <c r="F152" i="1"/>
  <c r="F211" i="1"/>
  <c r="T175" i="1"/>
  <c r="F96" i="1"/>
  <c r="AV81" i="1"/>
  <c r="AV225" i="1"/>
  <c r="F237" i="1"/>
  <c r="X126" i="1"/>
  <c r="F166" i="1"/>
  <c r="F324" i="1"/>
  <c r="AY309" i="1"/>
  <c r="Q46" i="1"/>
  <c r="AD26" i="1"/>
  <c r="AW81" i="1"/>
  <c r="F97" i="1"/>
  <c r="AR309" i="1"/>
  <c r="F344" i="1"/>
  <c r="F345" i="1" s="1"/>
  <c r="Q175" i="1"/>
  <c r="F202" i="1"/>
  <c r="AK46" i="1"/>
  <c r="CP33" i="1"/>
  <c r="O33" i="1" s="1"/>
  <c r="AB46" i="1" s="1"/>
  <c r="AS225" i="1" l="1"/>
  <c r="F249" i="1"/>
  <c r="GM185" i="1"/>
  <c r="GP185" i="1"/>
  <c r="CD190" i="1" s="1"/>
  <c r="AL190" i="1"/>
  <c r="T287" i="5"/>
  <c r="CF190" i="1"/>
  <c r="AC175" i="1"/>
  <c r="CH190" i="1"/>
  <c r="P190" i="1"/>
  <c r="CE190" i="1"/>
  <c r="AL46" i="1"/>
  <c r="BA175" i="1"/>
  <c r="F210" i="1"/>
  <c r="CA190" i="1"/>
  <c r="F214" i="1"/>
  <c r="W175" i="1"/>
  <c r="AF175" i="1"/>
  <c r="S190" i="1"/>
  <c r="GN182" i="1"/>
  <c r="CB190" i="1" s="1"/>
  <c r="AB190" i="1"/>
  <c r="GM182" i="1"/>
  <c r="I320" i="5"/>
  <c r="AH175" i="1"/>
  <c r="U190" i="1"/>
  <c r="F213" i="1"/>
  <c r="V175" i="1"/>
  <c r="P118" i="5"/>
  <c r="K118" i="5"/>
  <c r="P289" i="5"/>
  <c r="K289" i="5"/>
  <c r="P106" i="5"/>
  <c r="K106" i="5"/>
  <c r="I140" i="5"/>
  <c r="AK190" i="1"/>
  <c r="R287" i="5"/>
  <c r="R190" i="1"/>
  <c r="AE175" i="1"/>
  <c r="F346" i="1"/>
  <c r="F347" i="1" s="1"/>
  <c r="AB26" i="1"/>
  <c r="O46" i="1"/>
  <c r="S26" i="1"/>
  <c r="F61" i="1"/>
  <c r="S349" i="1"/>
  <c r="F58" i="1"/>
  <c r="Q26" i="1"/>
  <c r="Q349" i="1"/>
  <c r="U26" i="1"/>
  <c r="F68" i="1"/>
  <c r="U349" i="1"/>
  <c r="X46" i="1"/>
  <c r="AK26" i="1"/>
  <c r="CH26" i="1"/>
  <c r="AY46" i="1"/>
  <c r="P26" i="1"/>
  <c r="P349" i="1"/>
  <c r="F49" i="1"/>
  <c r="F121" i="1"/>
  <c r="F122" i="1" s="1"/>
  <c r="BA26" i="1"/>
  <c r="F66" i="1"/>
  <c r="BA349" i="1"/>
  <c r="AZ18" i="1"/>
  <c r="F393" i="1"/>
  <c r="AU46" i="1"/>
  <c r="CD26" i="1"/>
  <c r="F262" i="1"/>
  <c r="F263" i="1" s="1"/>
  <c r="CF26" i="1"/>
  <c r="AW46" i="1"/>
  <c r="F67" i="1"/>
  <c r="T26" i="1"/>
  <c r="T349" i="1"/>
  <c r="AL26" i="1"/>
  <c r="Y46" i="1"/>
  <c r="F304" i="1"/>
  <c r="F305" i="1" s="1"/>
  <c r="AR126" i="1"/>
  <c r="F168" i="1"/>
  <c r="F169" i="1" s="1"/>
  <c r="GN33" i="1"/>
  <c r="CB46" i="1" s="1"/>
  <c r="GM33" i="1"/>
  <c r="CA46" i="1" s="1"/>
  <c r="CE26" i="1"/>
  <c r="AV46" i="1"/>
  <c r="R26" i="1"/>
  <c r="F60" i="1"/>
  <c r="R349" i="1"/>
  <c r="W26" i="1"/>
  <c r="F70" i="1"/>
  <c r="W349" i="1"/>
  <c r="F335" i="1"/>
  <c r="AU309" i="1"/>
  <c r="AS126" i="1"/>
  <c r="F157" i="1"/>
  <c r="F69" i="1"/>
  <c r="V26" i="1"/>
  <c r="V349" i="1"/>
  <c r="AU190" i="1" l="1"/>
  <c r="CD175" i="1"/>
  <c r="I442" i="5"/>
  <c r="AK175" i="1"/>
  <c r="X190" i="1"/>
  <c r="U175" i="1"/>
  <c r="F212" i="1"/>
  <c r="F205" i="1"/>
  <c r="S175" i="1"/>
  <c r="AR190" i="1"/>
  <c r="CA175" i="1"/>
  <c r="AV190" i="1"/>
  <c r="CE175" i="1"/>
  <c r="AW190" i="1"/>
  <c r="CF175" i="1"/>
  <c r="I440" i="5"/>
  <c r="F193" i="1"/>
  <c r="P175" i="1"/>
  <c r="R175" i="1"/>
  <c r="F204" i="1"/>
  <c r="P320" i="5"/>
  <c r="K320" i="5"/>
  <c r="O190" i="1"/>
  <c r="AB175" i="1"/>
  <c r="AY190" i="1"/>
  <c r="CH175" i="1"/>
  <c r="AL175" i="1"/>
  <c r="Y190" i="1"/>
  <c r="I334" i="5"/>
  <c r="CB175" i="1"/>
  <c r="AS190" i="1"/>
  <c r="CA26" i="1"/>
  <c r="AR46" i="1"/>
  <c r="AS46" i="1"/>
  <c r="CB26" i="1"/>
  <c r="T22" i="1"/>
  <c r="T382" i="1"/>
  <c r="F370" i="1"/>
  <c r="AU26" i="1"/>
  <c r="F65" i="1"/>
  <c r="AU349" i="1"/>
  <c r="Q22" i="1"/>
  <c r="F361" i="1"/>
  <c r="Q382" i="1"/>
  <c r="V22" i="1"/>
  <c r="V382" i="1"/>
  <c r="F372" i="1"/>
  <c r="AW26" i="1"/>
  <c r="F52" i="1"/>
  <c r="AW349" i="1"/>
  <c r="F369" i="1"/>
  <c r="BA382" i="1"/>
  <c r="BA22" i="1"/>
  <c r="AY26" i="1"/>
  <c r="AY349" i="1"/>
  <c r="F54" i="1"/>
  <c r="U22" i="1"/>
  <c r="F371" i="1"/>
  <c r="U382" i="1"/>
  <c r="S22" i="1"/>
  <c r="F364" i="1"/>
  <c r="J16" i="2" s="1"/>
  <c r="J18" i="2" s="1"/>
  <c r="S382" i="1"/>
  <c r="R22" i="1"/>
  <c r="R382" i="1"/>
  <c r="F363" i="1"/>
  <c r="P22" i="1"/>
  <c r="P382" i="1"/>
  <c r="F352" i="1"/>
  <c r="W22" i="1"/>
  <c r="F373" i="1"/>
  <c r="W382" i="1"/>
  <c r="F51" i="1"/>
  <c r="AV26" i="1"/>
  <c r="AV349" i="1"/>
  <c r="F170" i="1"/>
  <c r="F171" i="1" s="1"/>
  <c r="F73" i="1"/>
  <c r="Y26" i="1"/>
  <c r="Y349" i="1"/>
  <c r="X26" i="1"/>
  <c r="F72" i="1"/>
  <c r="X349" i="1"/>
  <c r="O26" i="1"/>
  <c r="F48" i="1"/>
  <c r="O349" i="1"/>
  <c r="Y175" i="1" l="1"/>
  <c r="F217" i="1"/>
  <c r="F195" i="1"/>
  <c r="AV175" i="1"/>
  <c r="AS175" i="1"/>
  <c r="F207" i="1"/>
  <c r="O175" i="1"/>
  <c r="F192" i="1"/>
  <c r="F196" i="1"/>
  <c r="AW175" i="1"/>
  <c r="F218" i="1"/>
  <c r="F219" i="1" s="1"/>
  <c r="F220" i="1" s="1"/>
  <c r="F221" i="1" s="1"/>
  <c r="AR175" i="1"/>
  <c r="AY175" i="1"/>
  <c r="F198" i="1"/>
  <c r="X175" i="1"/>
  <c r="F216" i="1"/>
  <c r="F209" i="1"/>
  <c r="AU175" i="1"/>
  <c r="AV22" i="1"/>
  <c r="AV382" i="1"/>
  <c r="F354" i="1"/>
  <c r="S18" i="1"/>
  <c r="F397" i="1"/>
  <c r="Y22" i="1"/>
  <c r="Y382" i="1"/>
  <c r="F376" i="1"/>
  <c r="P18" i="1"/>
  <c r="F385" i="1"/>
  <c r="U18" i="1"/>
  <c r="F404" i="1"/>
  <c r="AR26" i="1"/>
  <c r="F74" i="1"/>
  <c r="F75" i="1" s="1"/>
  <c r="AR349" i="1"/>
  <c r="R18" i="1"/>
  <c r="F396" i="1"/>
  <c r="BA18" i="1"/>
  <c r="F402" i="1"/>
  <c r="Q18" i="1"/>
  <c r="F394" i="1"/>
  <c r="F63" i="1"/>
  <c r="AS26" i="1"/>
  <c r="AS349" i="1"/>
  <c r="F375" i="1"/>
  <c r="X382" i="1"/>
  <c r="X22" i="1"/>
  <c r="AW22" i="1"/>
  <c r="AW382" i="1"/>
  <c r="F355" i="1"/>
  <c r="V18" i="1"/>
  <c r="F405" i="1"/>
  <c r="W18" i="1"/>
  <c r="F406" i="1"/>
  <c r="AY22" i="1"/>
  <c r="F357" i="1"/>
  <c r="AY382" i="1"/>
  <c r="O22" i="1"/>
  <c r="F351" i="1"/>
  <c r="O382" i="1"/>
  <c r="AU22" i="1"/>
  <c r="AU382" i="1"/>
  <c r="F368" i="1"/>
  <c r="H16" i="2" s="1"/>
  <c r="H18" i="2" s="1"/>
  <c r="T18" i="1"/>
  <c r="F403" i="1"/>
  <c r="I26" i="5" l="1"/>
  <c r="AY18" i="1"/>
  <c r="F390" i="1"/>
  <c r="AU18" i="1"/>
  <c r="F401" i="1"/>
  <c r="I25" i="5" s="1"/>
  <c r="X18" i="1"/>
  <c r="F408" i="1"/>
  <c r="AV18" i="1"/>
  <c r="F387" i="1"/>
  <c r="AR22" i="1"/>
  <c r="F377" i="1"/>
  <c r="F378" i="1" s="1"/>
  <c r="AR382" i="1"/>
  <c r="Y18" i="1"/>
  <c r="F409" i="1"/>
  <c r="AW18" i="1"/>
  <c r="F388" i="1"/>
  <c r="F76" i="1"/>
  <c r="F77" i="1" s="1"/>
  <c r="O18" i="1"/>
  <c r="F384" i="1"/>
  <c r="AS22" i="1"/>
  <c r="AS382" i="1"/>
  <c r="F366" i="1"/>
  <c r="E16" i="2" s="1"/>
  <c r="AS18" i="1" l="1"/>
  <c r="F399" i="1"/>
  <c r="I22" i="5" s="1"/>
  <c r="E18" i="2"/>
  <c r="I16" i="2"/>
  <c r="I18" i="2" s="1"/>
  <c r="AR18" i="1"/>
  <c r="F410" i="1"/>
  <c r="F411" i="1" s="1"/>
  <c r="I443" i="5" s="1"/>
  <c r="F379" i="1"/>
  <c r="F380" i="1" s="1"/>
  <c r="F412" i="1" l="1"/>
  <c r="F413" i="1" l="1"/>
  <c r="I444" i="5"/>
  <c r="I445" i="5" l="1"/>
  <c r="I21" i="5"/>
</calcChain>
</file>

<file path=xl/sharedStrings.xml><?xml version="1.0" encoding="utf-8"?>
<sst xmlns="http://schemas.openxmlformats.org/spreadsheetml/2006/main" count="6130" uniqueCount="573">
  <si>
    <t>Smeta.RU Flash  (495) 974-1589</t>
  </si>
  <si>
    <t>_PS_</t>
  </si>
  <si>
    <t>Smeta.RU Flash</t>
  </si>
  <si>
    <t/>
  </si>
  <si>
    <t>Домод.22к1 (СП, б/БК) МГЭ_(Копия)</t>
  </si>
  <si>
    <t>Комплексное благоустройство территории жилой застройки района Орехово-Борисово Северное за счет средств стимулирования управ районов в 2021 году</t>
  </si>
  <si>
    <t>Туманова Г.Н.</t>
  </si>
  <si>
    <t>инженер-сметчик</t>
  </si>
  <si>
    <t>Пекова Е.С.</t>
  </si>
  <si>
    <t>начальник отдела благоустройства</t>
  </si>
  <si>
    <t>В.Р.Бадаев</t>
  </si>
  <si>
    <t>Директор</t>
  </si>
  <si>
    <t>ГБУ "Жилищник района Орехово-Борисово Северное"</t>
  </si>
  <si>
    <t>Е.И.Силкин</t>
  </si>
  <si>
    <t>Глава управы</t>
  </si>
  <si>
    <t>Управа района Орехово-Борисово Северное</t>
  </si>
  <si>
    <t>ГБУ "Жилищник района Орехово-Борисово Северное", 115563, г. Москва, ул. Генерала Белова д.21 кор.2, +7(495) 394-78-00</t>
  </si>
  <si>
    <t>Сметные нормы списания</t>
  </si>
  <si>
    <t>Коды ОКП для СН-2012 - 2021 г.</t>
  </si>
  <si>
    <t>СН-2012 - 2021 г_глава_1-5,7</t>
  </si>
  <si>
    <t>Типовой расчет для СН-2012 - 2021 г</t>
  </si>
  <si>
    <t>СН-2012-2021 г. База данных "Сборник стоимостных нормативов"</t>
  </si>
  <si>
    <t>Поправки для СН-2012-2021 в ценах на 01.10.2020 г</t>
  </si>
  <si>
    <t>Домод.22к1</t>
  </si>
  <si>
    <t>ул. Домодедовская д.22 корп.1</t>
  </si>
  <si>
    <t>зам. песка 260м2 (рез)</t>
  </si>
  <si>
    <t>Ремонт спортивной площадки с заменой песчаного покрытия на синтетическое 260 м2 (резина)</t>
  </si>
  <si>
    <t>1</t>
  </si>
  <si>
    <t>2.49-3101-3-3/1</t>
  </si>
  <si>
    <t>Разработка грунта с погрузкой на автомобили-самосвалы экскаваторами с ковшом вместимостью 0,5 м3, группа грунтов 1-3</t>
  </si>
  <si>
    <t>100 м3</t>
  </si>
  <si>
    <t>СН-2012-2021.2. База. Сб.49-3101-3-3/1</t>
  </si>
  <si>
    <t>СН-2012</t>
  </si>
  <si>
    <t>Подрядные работы, гл. 1-5,7</t>
  </si>
  <si>
    <t>работа</t>
  </si>
  <si>
    <t>2</t>
  </si>
  <si>
    <t>2.49-3201-14-1/1</t>
  </si>
  <si>
    <t>Разработка грунта вручную в траншеях глубиной до 2 м без креплений с откосами, группа грунтов 1-3</t>
  </si>
  <si>
    <t>СН-2012-2021.2. База. Сб.49-3201-14-1/1</t>
  </si>
  <si>
    <t>3</t>
  </si>
  <si>
    <t>1.1-3101-6-1/1</t>
  </si>
  <si>
    <t>Погрузка грунта вручную в автомобили-самосвалы с выгрузкой</t>
  </si>
  <si>
    <t>СН-2012-2021.1. Доп.1. Сб.1-3101-6-1/1</t>
  </si>
  <si>
    <t>4</t>
  </si>
  <si>
    <t>2.49-3401-1-1/1</t>
  </si>
  <si>
    <t>Перевозка грунта автосамосвалами грузоподъемностью до 10 т на расстояние 1 км</t>
  </si>
  <si>
    <t>м3</t>
  </si>
  <si>
    <t>СН-2012-2021.2. База. Сб.49-3401-1-1/1</t>
  </si>
  <si>
    <t>Подрядные работы, гл. 1 перевозка мусора</t>
  </si>
  <si>
    <t>5</t>
  </si>
  <si>
    <t>2.49-3401-1-2/1</t>
  </si>
  <si>
    <t>Перевозка грунта автосамосвалами грузоподъемностью до 10 т - добавляется на каждый последующий 1 км до 100 км (к поз. 49-3401-1-1)</t>
  </si>
  <si>
    <t>СН-2012-2021.2. База. Сб.49-3401-1-2/1</t>
  </si>
  <si>
    <t>*56</t>
  </si>
  <si>
    <t>6</t>
  </si>
  <si>
    <t>коммерч. предлож.</t>
  </si>
  <si>
    <t>Утилизация незамусоренного грунта</t>
  </si>
  <si>
    <t>т</t>
  </si>
  <si>
    <t>Материалы</t>
  </si>
  <si>
    <t>Материалы, изделия и конструкции</t>
  </si>
  <si>
    <t>[120,36 / 1,2]</t>
  </si>
  <si>
    <t>0</t>
  </si>
  <si>
    <t>7</t>
  </si>
  <si>
    <t>2.1-3303-1-1/1</t>
  </si>
  <si>
    <t>Устройство подстилающих и выравнивающих слоев оснований из песка (10 см)</t>
  </si>
  <si>
    <t>СН-2012-2021.2. База. Сб.1-3303-1-1/1</t>
  </si>
  <si>
    <t>8</t>
  </si>
  <si>
    <t>2.1-3303-1-2/1</t>
  </si>
  <si>
    <t>Устройство подстилающих и выравнивающих слоев оснований из щебня (15 см)</t>
  </si>
  <si>
    <t>СН-2012-2021.2. База. Сб.1-3303-1-2/1</t>
  </si>
  <si>
    <t>9</t>
  </si>
  <si>
    <t>2.1-3103-18-1/1</t>
  </si>
  <si>
    <t>Устройство покрытий из асфальтобетонных смесей вручную, толщина 4 см</t>
  </si>
  <si>
    <t>100 м2</t>
  </si>
  <si>
    <t>СН-2012-2021.2. База. Сб.1-3103-18-1/1</t>
  </si>
  <si>
    <t>9,1</t>
  </si>
  <si>
    <t>21.3-3-18</t>
  </si>
  <si>
    <t>Смеси асфальтобетонные дорожные горячие мелкозернистые, марка I, тип Б</t>
  </si>
  <si>
    <t>СН-2012-2021.21. База. Р.3, о.3, поз.18</t>
  </si>
  <si>
    <t>9,2</t>
  </si>
  <si>
    <t>21.3-3-19</t>
  </si>
  <si>
    <t>Смеси асфальтобетонные дорожные горячие мелкозернистые, марка II, тип В</t>
  </si>
  <si>
    <t>СН-2012-2021.21. База. Р.3, о.3, поз.19</t>
  </si>
  <si>
    <t>10</t>
  </si>
  <si>
    <t>5.3-3103-11-1/1</t>
  </si>
  <si>
    <t>Устройство наливного полиуретанового покрытия спортивных площадок и беговых дорожек толщиной 10 мм</t>
  </si>
  <si>
    <t>СН-2012-2021.5. База. Сб.3-3103-11-1/1</t>
  </si>
  <si>
    <t>10,1</t>
  </si>
  <si>
    <t>21.1-6-101</t>
  </si>
  <si>
    <t>Пигменты сухие для красок, кислотный желтый</t>
  </si>
  <si>
    <t>СН-2012-2021.21. База. Р.1, о.6, поз.101</t>
  </si>
  <si>
    <t>11</t>
  </si>
  <si>
    <t>12</t>
  </si>
  <si>
    <t>2.1-3203-1-2/1</t>
  </si>
  <si>
    <t>Установка бортовых камней бетонных марки БР 100.30.15 при других видах покрытий (материал Заказчика)</t>
  </si>
  <si>
    <t>100 м</t>
  </si>
  <si>
    <t>СН-2012-2021.2. База. Сб.1-3203-1-2/1</t>
  </si>
  <si>
    <t>12,1</t>
  </si>
  <si>
    <t>дог.№148/20-44 от 03.04.2020г.</t>
  </si>
  <si>
    <t>Камень дорожный 1000х300х150, серый, полный прокрас</t>
  </si>
  <si>
    <t>шт.</t>
  </si>
  <si>
    <t>[447,12 / 1,2]</t>
  </si>
  <si>
    <t>12,2</t>
  </si>
  <si>
    <t>21.5-3-13</t>
  </si>
  <si>
    <t>Камни бетонные бортовые, марка БР 100.30.15</t>
  </si>
  <si>
    <t>СН-2012-2021.21. База. Р.5, о.3, поз.13</t>
  </si>
  <si>
    <t>ПЗ</t>
  </si>
  <si>
    <t>Прямые затраты</t>
  </si>
  <si>
    <t>СтМатОб</t>
  </si>
  <si>
    <t>Стоимость материальных ресурсов (всего)</t>
  </si>
  <si>
    <t>СтМатОбЗак</t>
  </si>
  <si>
    <t>Стоимость материалов и оборудования заказчика</t>
  </si>
  <si>
    <t>СтМатОбПод</t>
  </si>
  <si>
    <t>Стоимость материалов и оборудования подрядчика</t>
  </si>
  <si>
    <t>СтМат</t>
  </si>
  <si>
    <t>Стоимость материалов (всего)</t>
  </si>
  <si>
    <t>СтМатЗак</t>
  </si>
  <si>
    <t>Стоимость материалов заказчика</t>
  </si>
  <si>
    <t>СтМатПод</t>
  </si>
  <si>
    <t>Стоимость материалов подрядчика</t>
  </si>
  <si>
    <t>Оборуд</t>
  </si>
  <si>
    <t>Стоимость оборудования (всего)</t>
  </si>
  <si>
    <t>ОборудЗак</t>
  </si>
  <si>
    <t>Стоимость оборудования заказчика</t>
  </si>
  <si>
    <t>ОборудПод</t>
  </si>
  <si>
    <t>Стоимость оборудования подрядчика</t>
  </si>
  <si>
    <t>ЭММ</t>
  </si>
  <si>
    <t>Эксплуатация машин</t>
  </si>
  <si>
    <t>ЭММсНРиСП</t>
  </si>
  <si>
    <t>Эксплуатация машин по ТСН-2001.16</t>
  </si>
  <si>
    <t>ЗПМ</t>
  </si>
  <si>
    <t>ЗП машинистов</t>
  </si>
  <si>
    <t>ОЗП</t>
  </si>
  <si>
    <t>Основная ЗП рабочих</t>
  </si>
  <si>
    <t>ОЗПсНРиСП</t>
  </si>
  <si>
    <t>Основная ЗП рабочих по ТСН-2001.16</t>
  </si>
  <si>
    <t>Строит</t>
  </si>
  <si>
    <t>Строительные работы с НР и СП</t>
  </si>
  <si>
    <t>Монтаж</t>
  </si>
  <si>
    <t>Монтажные работы с НР и СП</t>
  </si>
  <si>
    <t>Прочие</t>
  </si>
  <si>
    <t>Прочие работы с НР и СП</t>
  </si>
  <si>
    <t>ПрочиеЗатр</t>
  </si>
  <si>
    <t>Прочие затраты по ТСН-2001.16</t>
  </si>
  <si>
    <t>ВозврМат</t>
  </si>
  <si>
    <t>Возврат материалов</t>
  </si>
  <si>
    <t>ТрудСтр</t>
  </si>
  <si>
    <t>Трудозатраты строителей</t>
  </si>
  <si>
    <t>ТрудМаш</t>
  </si>
  <si>
    <t>Трудозатраты машинистов</t>
  </si>
  <si>
    <t>ТранспМат</t>
  </si>
  <si>
    <t>Транспорт материалов</t>
  </si>
  <si>
    <t>Перевозка</t>
  </si>
  <si>
    <t>Перевозка грузов</t>
  </si>
  <si>
    <t>НР</t>
  </si>
  <si>
    <t>Накладные расходы</t>
  </si>
  <si>
    <t>СмПриб</t>
  </si>
  <si>
    <t>Сметная прибыль</t>
  </si>
  <si>
    <t>Всего</t>
  </si>
  <si>
    <t>Всего с НР и СП</t>
  </si>
  <si>
    <t>Итого</t>
  </si>
  <si>
    <t>НДС 20%</t>
  </si>
  <si>
    <t>Всего с НДС</t>
  </si>
  <si>
    <t>дем. решет. 68м</t>
  </si>
  <si>
    <t>Демонтаж решеточного ограждения 68 м Н=3 м</t>
  </si>
  <si>
    <t>13</t>
  </si>
  <si>
    <t>1.50-3203-37-3/1</t>
  </si>
  <si>
    <t>(демонтаж) Монтаж мелких конструкций из стали различного профиля массой до 100 кг (секции ограждения труба 30х30х3мм (14стоек*2,94м+2поперечины*2,42м)*2,42кг=111,32кг*27секций=3005,6кг)</t>
  </si>
  <si>
    <t>СН-2012-2021.1. База. Сб.50-3203-37-3/1</t>
  </si>
  <si>
    <t>)*0</t>
  </si>
  <si>
    <t>)*0,2</t>
  </si>
  <si>
    <t>Поправка: СН-2012 О.П. п.22</t>
  </si>
  <si>
    <t>14</t>
  </si>
  <si>
    <t>1.50-3203-37-2/1</t>
  </si>
  <si>
    <t>(демонтаж) Монтаж мелких конструкций из стали различного профиля массой до 50 кг (стойка труба д.80мм 4м*8,34=33,36кг *27шт.=900,72кг)</t>
  </si>
  <si>
    <t>СН-2012-2021.1. База. Сб.50-3203-37-2/1</t>
  </si>
  <si>
    <t>15</t>
  </si>
  <si>
    <t>1.49-9101-7-1/1</t>
  </si>
  <si>
    <t>Механизированная погрузка строительного мусора в автомобили-самосвалы (90%)</t>
  </si>
  <si>
    <t>СН-2012-2021.1. База. Сб.49-9101-7-1/1</t>
  </si>
  <si>
    <t>16</t>
  </si>
  <si>
    <t>1.50-3305-4-1/1</t>
  </si>
  <si>
    <t>Погрузка и выгрузка вручную строительного мусора на транспортные средства (10%)</t>
  </si>
  <si>
    <t>СН-2012-2021.1. База. Сб.50-3305-4-1/1</t>
  </si>
  <si>
    <t>17</t>
  </si>
  <si>
    <t>1.49-9201-1-1/1</t>
  </si>
  <si>
    <t>Перевозка строительного мусора автосамосвалами грузоподъемностью до 10 т на расстояние 1 км - при погрузке вручную</t>
  </si>
  <si>
    <t>СН-2012-2021.1. База. Сб.49-9201-1-1/1</t>
  </si>
  <si>
    <t>18</t>
  </si>
  <si>
    <t>1.49-9201-1-2/1</t>
  </si>
  <si>
    <t>Перевозка строительного мусора автосамосвалами грузоподъемностью до 10 т на расстояние 1 км - при механизированной погрузке</t>
  </si>
  <si>
    <t>СН-2012-2021.1. База. Сб.49-9201-1-2/1</t>
  </si>
  <si>
    <t>19</t>
  </si>
  <si>
    <t>1.49-9201-1-3/1</t>
  </si>
  <si>
    <t>Перевозка строительного мусора автосамосвалами грузоподъемностью до 10 т - добавляется на каждый последующий 1 км до 100 км (5 км, на базу)</t>
  </si>
  <si>
    <t>СН-2012-2021.1. База. Сб.49-9201-1-3/1</t>
  </si>
  <si>
    <t>*4</t>
  </si>
  <si>
    <t>коробка+</t>
  </si>
  <si>
    <t>Установка хоккейной коробки</t>
  </si>
  <si>
    <t>1.1-3101-5-1/1</t>
  </si>
  <si>
    <t>Рытье ям для установки стоек и столбов глубина 0,4 м</t>
  </si>
  <si>
    <t>100 ям</t>
  </si>
  <si>
    <t>СН-2012-2021.1. Доп.1. Сб.1-3101-5-1/1</t>
  </si>
  <si>
    <t>20</t>
  </si>
  <si>
    <t>1.1-3101-5-2/1</t>
  </si>
  <si>
    <t>Рытье ям для установки стоек и столбов глубина 0,7 м</t>
  </si>
  <si>
    <t>СН-2012-2021.1. Доп.1. Сб.1-3101-5-2/1</t>
  </si>
  <si>
    <t>21</t>
  </si>
  <si>
    <t>22</t>
  </si>
  <si>
    <t>СН-2012-2021.2. Доп.1. Сб.49-3401-1-1/1</t>
  </si>
  <si>
    <t>23</t>
  </si>
  <si>
    <t>СН-2012-2021.2. Доп.1. Сб.49-3401-1-2/1</t>
  </si>
  <si>
    <t>24</t>
  </si>
  <si>
    <t>25</t>
  </si>
  <si>
    <t>1.2-3103-29-1/1</t>
  </si>
  <si>
    <t>Устройство песчаного основания под фундаменты</t>
  </si>
  <si>
    <t>СН-2012-2021.1. Доп.1. Сб.2-3103-29-1/1</t>
  </si>
  <si>
    <t>26</t>
  </si>
  <si>
    <t>1.2-3103-29-2/1</t>
  </si>
  <si>
    <t>Устройство щебеночного основания под фундаменты</t>
  </si>
  <si>
    <t>СН-2012-2021.1. Доп.1. Сб.2-3103-29-2/1</t>
  </si>
  <si>
    <t>27</t>
  </si>
  <si>
    <t>1.2-3103-2-1/1</t>
  </si>
  <si>
    <t>Устройство бетонной подготовки</t>
  </si>
  <si>
    <t>СН-2012-2021.1. Доп.1. Сб.2-3103-2-1/1</t>
  </si>
  <si>
    <t>28</t>
  </si>
  <si>
    <t>1.50-3203-10-4/1</t>
  </si>
  <si>
    <t>Установка монтажных изделий массой свыше 20 кг</t>
  </si>
  <si>
    <t>СН-2012-2021.1. Доп.1. Сб.50-3203-10-4/1</t>
  </si>
  <si>
    <t>28,1</t>
  </si>
  <si>
    <t>Хоккейная коробка, корт 23х11 м с ограждением стеклопластиковыми бортами, с доставкой и установкой</t>
  </si>
  <si>
    <t>[493 900 / 1,2] +  2% Заг.скл</t>
  </si>
  <si>
    <t>сп/оборуд.</t>
  </si>
  <si>
    <t>Спортивное оборудование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</si>
  <si>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</si>
  <si>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</si>
  <si>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</si>
  <si>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</si>
  <si>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</si>
  <si>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</si>
  <si>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</si>
  <si>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</si>
  <si>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</si>
  <si>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37,1</t>
  </si>
  <si>
    <t>Баскетбольный щит, с ЗСР 2% (0,085т*2шт.)</t>
  </si>
  <si>
    <t>[25 487 / 1,2] +  2% Заг.скл</t>
  </si>
  <si>
    <t>37,2</t>
  </si>
  <si>
    <t>Хоккейные ворота, с ЗСР 2% (0,038т*2шт.)</t>
  </si>
  <si>
    <t>[17 600 / 1,2] +  2% Заг.скл</t>
  </si>
  <si>
    <t>лавочки 2</t>
  </si>
  <si>
    <t>Установка лавочек 2 шт.</t>
  </si>
  <si>
    <t>38</t>
  </si>
  <si>
    <t>1.50-3204-11-9/1</t>
  </si>
  <si>
    <t>Сверление сквозных отверстий в бетонных стенах и полах электроперфоратором, диаметр отверстия до 30 мм, глубина сверления 100 мм</t>
  </si>
  <si>
    <t>100 отверстий</t>
  </si>
  <si>
    <t>СН-2012-2021.1. Доп.1. Сб.50-3204-11-9/1</t>
  </si>
  <si>
    <t>39</t>
  </si>
  <si>
    <t>1.50-3203-4-2/4</t>
  </si>
  <si>
    <t>Установка распорных анкеров в готовые отверстия, анкер-шпилька M16x100 - M16x190</t>
  </si>
  <si>
    <t>100 шт.</t>
  </si>
  <si>
    <t>СН-2012-2021.1. Доп.1. Сб.50-3203-4-2/4</t>
  </si>
  <si>
    <t>40</t>
  </si>
  <si>
    <t>40,1</t>
  </si>
  <si>
    <t>Лавочка "Сплетница", темная рейка, с ЗСР 2% (0,0431т)</t>
  </si>
  <si>
    <t>[15 100 / 1,2] +  2% Заг.скл</t>
  </si>
  <si>
    <t>урны 2</t>
  </si>
  <si>
    <t>Установка урн 2 шт.</t>
  </si>
  <si>
    <t>41</t>
  </si>
  <si>
    <t>42</t>
  </si>
  <si>
    <t>43</t>
  </si>
  <si>
    <t>43,1</t>
  </si>
  <si>
    <t>Урна УД-001, с ЗСР 2% (0,0111т)</t>
  </si>
  <si>
    <t>[4 200 / 1,2] +  2% Заг.скл</t>
  </si>
  <si>
    <t>ИДН 6шт.</t>
  </si>
  <si>
    <t>Установка ИДН - 6 шт.</t>
  </si>
  <si>
    <t>44</t>
  </si>
  <si>
    <t>2.1-3203-25-2/2</t>
  </si>
  <si>
    <t>Установка искусственных дорожных неровностей - элементов средней части ИДН / размер 500х500х50 мм</t>
  </si>
  <si>
    <t>10 шт.</t>
  </si>
  <si>
    <t>СН-2012-2021.2. База. Сб.1-3203-25-2/2</t>
  </si>
  <si>
    <t>45</t>
  </si>
  <si>
    <t>2.1-3203-25-3/2</t>
  </si>
  <si>
    <t>Установка искусственных дорожных неровностей - элементов краевой части ИДН / размер 500х250х50 мм</t>
  </si>
  <si>
    <t>СН-2012-2021.2. База. Сб.1-3203-25-3/2</t>
  </si>
  <si>
    <t>46</t>
  </si>
  <si>
    <t>2.1-3203-8-1/1</t>
  </si>
  <si>
    <t>Установка дорожных знаков на металлических стойках (без стоимости щита дорожного знака)</t>
  </si>
  <si>
    <t>СН-2012-2021.2. База. Сб.1-3203-8-1/1</t>
  </si>
  <si>
    <t>46,1</t>
  </si>
  <si>
    <t>Дорожный знак с крепежом "Искусственная неровность" 5.20, с ЗСР 2%</t>
  </si>
  <si>
    <t>[610 / 1,2] +  2% Заг.скл</t>
  </si>
  <si>
    <t>Уровень цен на 01.10.2020 г</t>
  </si>
  <si>
    <t>_OBSM_</t>
  </si>
  <si>
    <t>9999990008</t>
  </si>
  <si>
    <t>Трудозатраты рабочих</t>
  </si>
  <si>
    <t>чел.-ч.</t>
  </si>
  <si>
    <t>22.1-1-4</t>
  </si>
  <si>
    <t>СН-2012-2021.22. База. п.1-1-4 (010105)</t>
  </si>
  <si>
    <t>Экскаваторы на гусеничном ходу гидравлические, объем ковша до 0,5 м3</t>
  </si>
  <si>
    <t>маш.-ч</t>
  </si>
  <si>
    <t>22.1-1-44</t>
  </si>
  <si>
    <t>СН-2012-2021.22. База. п.1-1-44 (012103)</t>
  </si>
  <si>
    <t>Бульдозеры гусеничные, мощность до 79 кВт (108 л.с.)</t>
  </si>
  <si>
    <t>22.1-1-25</t>
  </si>
  <si>
    <t>СН-2012-2021.22. Доп.1. п.1-1-25 (010601)</t>
  </si>
  <si>
    <t>Экскаваторы-планировщики на автомобиле, объем ковша до 0,63 м3</t>
  </si>
  <si>
    <t>22.1-18-13</t>
  </si>
  <si>
    <t>СН-2012-2021.22. База. п.1-18-13 (184002)</t>
  </si>
  <si>
    <t>Автомобили-самосвалы, грузоподъемность до 10 т</t>
  </si>
  <si>
    <t>22.1-2-1</t>
  </si>
  <si>
    <t>СН-2012-2021.22. База. п.1-2-1 (020101)</t>
  </si>
  <si>
    <t>Тракторы на гусеничном ходу, мощность до 60 (81) кВт (л.с.)</t>
  </si>
  <si>
    <t>22.1-5-15</t>
  </si>
  <si>
    <t>СН-2012-2021.22. База. п.1-5-15 (050703)</t>
  </si>
  <si>
    <t>Катки прицепные пневмоколесные, масса до 50 т</t>
  </si>
  <si>
    <t>22.1-5-18</t>
  </si>
  <si>
    <t>СН-2012-2021.22. База. п.1-5-18 (050902)</t>
  </si>
  <si>
    <t>Поливомоечные машины, емкость цистерны более 5000 л</t>
  </si>
  <si>
    <t>22.1-5-48</t>
  </si>
  <si>
    <t>СН-2012-2021.22. База. п.1-5-48 (056003)</t>
  </si>
  <si>
    <t>Автогрейдеры, мощность 99-147 кВт (130-200 л.с.)</t>
  </si>
  <si>
    <t>22.1-5-7</t>
  </si>
  <si>
    <t>СН-2012-2021.22. База. п.1-5-7 (050301)</t>
  </si>
  <si>
    <t>Катки дорожные самоходные на пневмоколесном ходу, масса до 16 т</t>
  </si>
  <si>
    <t>21.1-12-10</t>
  </si>
  <si>
    <t>СН-2012-2021.21. База. Р.1, о.12, поз.10</t>
  </si>
  <si>
    <t>Песок для дорожных работ, рядовой</t>
  </si>
  <si>
    <t>21.1-25-13</t>
  </si>
  <si>
    <t>СН-2012-2021.21. База. Р.1, о.25, поз.13</t>
  </si>
  <si>
    <t>Вода</t>
  </si>
  <si>
    <t>22.1-1-43</t>
  </si>
  <si>
    <t>СН-2012-2021.22. База. п.1-1-43 (012102)</t>
  </si>
  <si>
    <t>Бульдозеры гусеничные, мощность до 59 кВт (80 л.с.)</t>
  </si>
  <si>
    <t>22.1-5-2</t>
  </si>
  <si>
    <t>СН-2012-2021.22. База. п.1-5-2 (050102)</t>
  </si>
  <si>
    <t>Катки самоходные вибрационные, масса до 8 т</t>
  </si>
  <si>
    <t>22.1-5-3</t>
  </si>
  <si>
    <t>СН-2012-2021.22. База. п.1-5-3 (050103)</t>
  </si>
  <si>
    <t>Катки самоходные вибрационные, масса более 8 т</t>
  </si>
  <si>
    <t>21.1-12-36</t>
  </si>
  <si>
    <t>СН-2012-2021.21. База. Р.1, о.12, поз.36</t>
  </si>
  <si>
    <t>Щебень из естественного камня для строительных работ, марка 1200-800, фракция 20-40 мм</t>
  </si>
  <si>
    <t>22.1-5-4</t>
  </si>
  <si>
    <t>СН-2012-2021.22. База. п.1-5-4 (050201)</t>
  </si>
  <si>
    <t>Катки дорожные самоходные статические, масса до 5 т</t>
  </si>
  <si>
    <t>22.1-5-5</t>
  </si>
  <si>
    <t>СН-2012-2021.22. База. п.1-5-5 (050202)</t>
  </si>
  <si>
    <t>Катки дорожные самоходные статические, масса до 10 т</t>
  </si>
  <si>
    <t>22.1-17-168</t>
  </si>
  <si>
    <t>СН-2012-2021.22. База. п.1-17-168 (266501)</t>
  </si>
  <si>
    <t>Укладчики полимерных покрытий на игровых и спортивных площадках, производительность 10-50 м2/ч</t>
  </si>
  <si>
    <t>22.1-30-102</t>
  </si>
  <si>
    <t>СН-2012-2021.22. База. п.1-30-102 (303704)</t>
  </si>
  <si>
    <t>Дрели электрические, двухскоростные, мощностью 600 Вт</t>
  </si>
  <si>
    <t>22.1-4-8</t>
  </si>
  <si>
    <t>СН-2012-2021.22. База. п.1-4-8 (040201)</t>
  </si>
  <si>
    <t>Погрузчики на автомобильном ходу, грузоподъемность до 1 т</t>
  </si>
  <si>
    <t>22.1-6-68</t>
  </si>
  <si>
    <t>СН-2012-2021.22. База. п.1-6-68 (067203)</t>
  </si>
  <si>
    <t>Растворосмесители стационарные, емкость до 250 л</t>
  </si>
  <si>
    <t>21.1-25-255</t>
  </si>
  <si>
    <t>СН-2012-2021.21. База. Р.1, о.25, поз.255</t>
  </si>
  <si>
    <t>Пленка полиэтиленовая, толщина 0,12 - 0,15 мм</t>
  </si>
  <si>
    <t>м2</t>
  </si>
  <si>
    <t>21.1-25-343</t>
  </si>
  <si>
    <t>СН-2012-2021.21. База. Р.1, о.25, поз.343</t>
  </si>
  <si>
    <t>Скипидар живичный</t>
  </si>
  <si>
    <t>21.1-25-769</t>
  </si>
  <si>
    <t>СН-2012-2021.21. База. Р.1, о.25, поз.769</t>
  </si>
  <si>
    <t>Крошка резиновая гранулированная, фракция 2-3 мм</t>
  </si>
  <si>
    <t>кг</t>
  </si>
  <si>
    <t>21.1-25-776</t>
  </si>
  <si>
    <t>СН-2012-2021.21. База. Р.1, о.25, поз.776</t>
  </si>
  <si>
    <t>Средство связующее универсальное полиуретановое на основе резиновой и каучуковой крошки для устройства высокопрочных эластичных покрытий</t>
  </si>
  <si>
    <t>21.3-1-69</t>
  </si>
  <si>
    <t>СН-2012-2021.21. База. Р.3, о.1, поз.69</t>
  </si>
  <si>
    <t>Смеси бетонные, БСГ, тяжелого бетона на гранитном щебне, класс прочности: В15 (М200); П3, фракция 5-20, F50-100, W0-2</t>
  </si>
  <si>
    <t>21.3-2-15</t>
  </si>
  <si>
    <t>СН-2012-2021.21. База. Р.3, о.2, поз.15</t>
  </si>
  <si>
    <t>Растворы цементные, марка 100</t>
  </si>
  <si>
    <t>22.1-4-31</t>
  </si>
  <si>
    <t>СН-2012-2021.22. База. п.1-4-31 (042903)</t>
  </si>
  <si>
    <t>Лебедки электрические, грузоподъемность до 1,5 т</t>
  </si>
  <si>
    <t>21.1-11-21</t>
  </si>
  <si>
    <t>СН-2012-2021.21. База. Р.1, о.11, поз.21</t>
  </si>
  <si>
    <t>Болты строительные черные с гайками и шайбами (10х100мм)</t>
  </si>
  <si>
    <t>21.1-23-9</t>
  </si>
  <si>
    <t>СН-2012-2021.21. База. Р.1, о.23, поз.9</t>
  </si>
  <si>
    <t>Электроды, тип Э-42, 46, 50, диаметр 4 - 6 мм</t>
  </si>
  <si>
    <t>21.6-1-52</t>
  </si>
  <si>
    <t>СН-2012-2021.21. База. Р.6, о.1, поз.52</t>
  </si>
  <si>
    <t>Отдельные конструктивные элементы с преобладанием горячекатаных профилей, средняя масса сборочной единицы от 0,51 до 1,0 т</t>
  </si>
  <si>
    <t>21.6-1-49</t>
  </si>
  <si>
    <t>СН-2012-2021.21. База. Р.6, о.1, поз.49</t>
  </si>
  <si>
    <t>Отдельные конструктивные элементы с преобладанием горячекатаных профилей, средняя масса сборочной единицы до 0,05 т</t>
  </si>
  <si>
    <t>22.1-1-5</t>
  </si>
  <si>
    <t>СН-2012-2021.22. База. п.1-1-5 (010109)</t>
  </si>
  <si>
    <t>Экскаваторы на гусеничном ходу гидравлические, объем ковша до 0,65 м3</t>
  </si>
  <si>
    <t>22.1-18-12</t>
  </si>
  <si>
    <t>СН-2012-2021.22. База. п.1-18-12 (184001)</t>
  </si>
  <si>
    <t>Автомобили-самосвалы, грузоподъемность до 7 т</t>
  </si>
  <si>
    <t>СН-2012-2021.22. Доп.1. п.1-18-13 (184002)</t>
  </si>
  <si>
    <t>22.1-10-4</t>
  </si>
  <si>
    <t>СН-2012-2021.22. Доп.1. п.1-10-4 (101001)</t>
  </si>
  <si>
    <t>Компрессоры с дизельным двигателем прицепные до 2,5 м3/мин</t>
  </si>
  <si>
    <t>22.1-30-1</t>
  </si>
  <si>
    <t>СН-2012-2021.22. Доп.1. п.1-30-1 (301201)</t>
  </si>
  <si>
    <t>Трамбовки пневматические</t>
  </si>
  <si>
    <t>22.1-4-3</t>
  </si>
  <si>
    <t>СН-2012-2021.22. Доп.1. п.1-4-3 (040103)</t>
  </si>
  <si>
    <t>Погрузчики универсальные на пневмоколесном ходу, грузоподъемность до 3 т</t>
  </si>
  <si>
    <t>21.1-12-11</t>
  </si>
  <si>
    <t>СН-2012-2021.21. Доп.1. Р.1, о.12, поз.11</t>
  </si>
  <si>
    <t>Песок для строительных работ, рядовой</t>
  </si>
  <si>
    <t>СН-2012-2021.21. Доп.1. Р.1, о.25, поз.13</t>
  </si>
  <si>
    <t>21.1-12-45</t>
  </si>
  <si>
    <t>СН-2012-2021.21. Доп.1. Р.1, о.12, поз.45</t>
  </si>
  <si>
    <t>Щебень из естественного камня для строительных работ, рядовой, марка 300-200</t>
  </si>
  <si>
    <t>22.1-6-51</t>
  </si>
  <si>
    <t>СН-2012-2021.22. Доп.1. п.1-6-51 (069401)</t>
  </si>
  <si>
    <t>Вибраторы поверхностные</t>
  </si>
  <si>
    <t>21.1-20-17</t>
  </si>
  <si>
    <t>СН-2012-2021.21. Доп.1. Р.1, о.20, поз.17</t>
  </si>
  <si>
    <t>Мешковина</t>
  </si>
  <si>
    <t>21.3-1-64</t>
  </si>
  <si>
    <t>СН-2012-2021.21. Доп.1. Р.3, о.1, поз.64</t>
  </si>
  <si>
    <t>Смеси бетонные, БСГ, тяжелого бетона на гранитном щебне, класс прочности: В7,5 (М100); П3, фракция 5-20</t>
  </si>
  <si>
    <t>22.1-13-10</t>
  </si>
  <si>
    <t>СН-2012-2021.22. Доп.1. п.1-13-10 (135201)</t>
  </si>
  <si>
    <t>Агрегаты сварочные однопостовые для ручной электродуговой сварки</t>
  </si>
  <si>
    <t>СН-2012-2021.21. Доп.1. Р.1, о.23, поз.9</t>
  </si>
  <si>
    <t>21.3-4-24</t>
  </si>
  <si>
    <t>СН-2012-2021.21. Доп.1. Р.3, о.4, поз.24</t>
  </si>
  <si>
    <t>Арматурные заготовки (стержни, хомуты и т.п.), не собранные в каркасы или сетки, закладные и накладные детали, со сваркой</t>
  </si>
  <si>
    <t>22.1-30-10</t>
  </si>
  <si>
    <t>СН-2012-2021.22. Доп.1. п.1-30-10 (304101)</t>
  </si>
  <si>
    <t>Перфораторы электрические, мощность до 500 Вт</t>
  </si>
  <si>
    <t>21.7-3-52</t>
  </si>
  <si>
    <t>СН-2012-2021.21. Доп.1. Р.7, о.3, поз.52</t>
  </si>
  <si>
    <t>Сверло победитовое, диаметр 25 мм, длина 400 мм</t>
  </si>
  <si>
    <t>21.7-5-26</t>
  </si>
  <si>
    <t>СН-2012-2021.21. Доп.1. Р.7, о.5, поз.26</t>
  </si>
  <si>
    <t>Анкер-шпилька распорный, оцинкованный, для установки в бетон, HSA-F M16x100</t>
  </si>
  <si>
    <t>21.7-5-27</t>
  </si>
  <si>
    <t>СН-2012-2021.21. Доп.1. Р.7, о.5, поз.27</t>
  </si>
  <si>
    <t>Анкер-шпилька распорный, оцинкованный, для установки в бетон, HSA-F M16x140/25/45</t>
  </si>
  <si>
    <t>21.7-5-28</t>
  </si>
  <si>
    <t>СН-2012-2021.21. Доп.1. Р.7, о.5, поз.28</t>
  </si>
  <si>
    <t>Анкер-шпилька распорный, оцинкованный, для установки в бетон, HSA-F M16x190/75/95</t>
  </si>
  <si>
    <t>22.1-30-103</t>
  </si>
  <si>
    <t>СН-2012-2021.22. База. п.1-30-103 (304104)</t>
  </si>
  <si>
    <t>Перфораторы электрические, мощность до 800 Вт</t>
  </si>
  <si>
    <t>22.1-30-56</t>
  </si>
  <si>
    <t>СН-2012-2021.22. База. п.1-30-56 (309101)</t>
  </si>
  <si>
    <t>Шуруповерты</t>
  </si>
  <si>
    <t>21.1-25-1058</t>
  </si>
  <si>
    <t>СН-2012-2021.21. База. Р.1, о.25, поз.1058</t>
  </si>
  <si>
    <t>Элемент средней части искусственной дорожной неровности из резины, размеры 500х500х50 мм</t>
  </si>
  <si>
    <t>21.1-25-751</t>
  </si>
  <si>
    <t>СН-2012-2021.21. База. Р.1, о.25, поз.751</t>
  </si>
  <si>
    <t>Клей полиуретановый двухкомпонентный</t>
  </si>
  <si>
    <t>21.7-3-3</t>
  </si>
  <si>
    <t>СН-2012-2021.21. База. Р.7, о.3, поз.3</t>
  </si>
  <si>
    <t>Буры с победитовым наконечником, с хвостовиком SDS MAX, размеры 16х200 мм</t>
  </si>
  <si>
    <t>21.7-5-12</t>
  </si>
  <si>
    <t>СН-2012-2021.21. База. Р.7, о.5, поз.12</t>
  </si>
  <si>
    <t>Анкер-болт оцинкованный с пластиковой втулкой, для крепления искусственных дорожных неровностей, размеры 10х135 мм</t>
  </si>
  <si>
    <t>21.1-25-1059</t>
  </si>
  <si>
    <t>СН-2012-2021.21. База. Р.1, о.25, поз.1059</t>
  </si>
  <si>
    <t>Элемент краевой части искусственной дорожной неровности из резины, размеры 500х250х50 мм</t>
  </si>
  <si>
    <t>22.1-9-1</t>
  </si>
  <si>
    <t>СН-2012-2021.22. База. п.1-9-1 (090101)</t>
  </si>
  <si>
    <t>Машины бурильно-крановые на базе трактора, глубина бурения до 5 м</t>
  </si>
  <si>
    <t>21.1-11-14</t>
  </si>
  <si>
    <t>СН-2012-2021.21. База. Р.1, о.11, поз.14</t>
  </si>
  <si>
    <t>Болты строительные с гайками оцинкованные (10х100мм)</t>
  </si>
  <si>
    <t>21.7-13-35</t>
  </si>
  <si>
    <t>СН-2012-2021.21. База. Р.7, о.13, поз.35</t>
  </si>
  <si>
    <t>Стойки из оцинкованной стали, диаметр 76 мм, длина 3 м</t>
  </si>
  <si>
    <t>5216100000</t>
  </si>
  <si>
    <t>Щитки металлические</t>
  </si>
  <si>
    <t>Поправка: СН-2012 О.П. п.22  Наименование: Демонтаж, разборка отдельных бетонных, железобетонных, металлических, деревянных, пластмассовых конструктивных элементов зданий и сооружений, внутренних и наружных инженерных систем и коммуникаций при отсутствии необходимых стоимостных нормативов в сборниках СН-2012</t>
  </si>
  <si>
    <t>"СОГЛАСОВАНО"</t>
  </si>
  <si>
    <t>"УТВЕРЖДАЮ"</t>
  </si>
  <si>
    <t>Форма № 1а (глава 1-5)</t>
  </si>
  <si>
    <t>"_____"________________ 2021 г.</t>
  </si>
  <si>
    <t>Директор ГБУ "Жилищник района Орехово-Борисово Северное"</t>
  </si>
  <si>
    <t>(локальный сметный расчет)</t>
  </si>
  <si>
    <t>(наименование работ и затрат, наименование объекта)</t>
  </si>
  <si>
    <t>Сметная стоимость</t>
  </si>
  <si>
    <t>тыс.руб</t>
  </si>
  <si>
    <t>Строительные работы</t>
  </si>
  <si>
    <t>Монтажные работы</t>
  </si>
  <si>
    <t>Оборудование</t>
  </si>
  <si>
    <t>Прочие работы</t>
  </si>
  <si>
    <t>Средства на оплату труда</t>
  </si>
  <si>
    <t>№№ п/п</t>
  </si>
  <si>
    <t>Шифр расценки и коды ресурсов</t>
  </si>
  <si>
    <t>Наименование работ и затрат</t>
  </si>
  <si>
    <t>Единица измерения</t>
  </si>
  <si>
    <t>Кол-во единиц</t>
  </si>
  <si>
    <t>Цена на ед. изм. руб.</t>
  </si>
  <si>
    <t>Попра-вочные коэфф.</t>
  </si>
  <si>
    <t>Коэфф. зимних удоро-жаний</t>
  </si>
  <si>
    <t>Коэфф. пересчета</t>
  </si>
  <si>
    <t>ВСЕГО затрат, руб.</t>
  </si>
  <si>
    <t>Справочно</t>
  </si>
  <si>
    <t>ЗТР, всего чел.-час</t>
  </si>
  <si>
    <t>Ст-ть ед. с начислен.</t>
  </si>
  <si>
    <t>Составлен(а) в уровне текущих (прогнозных) цен октябрь 2020 года</t>
  </si>
  <si>
    <t>ЗП</t>
  </si>
  <si>
    <t>ЭМ</t>
  </si>
  <si>
    <t>в т.ч. ЗПМ</t>
  </si>
  <si>
    <t>НР от ЗП</t>
  </si>
  <si>
    <t>%</t>
  </si>
  <si>
    <t>СП от ЗП</t>
  </si>
  <si>
    <t>НР и СП от ЗПМ</t>
  </si>
  <si>
    <t>ЗТР</t>
  </si>
  <si>
    <t>чел-ч</t>
  </si>
  <si>
    <r>
      <t>Утилизация незамусоренного грунта</t>
    </r>
    <r>
      <rPr>
        <i/>
        <sz val="10"/>
        <rFont val="Arial"/>
        <family val="2"/>
        <charset val="204"/>
      </rPr>
      <t xml:space="preserve">
100,30 = [120,36 / 1,2]</t>
    </r>
  </si>
  <si>
    <t>МР</t>
  </si>
  <si>
    <t xml:space="preserve">к нр </t>
  </si>
  <si>
    <r>
      <t>Хоккейная коробка, корт 23х11 м с ограждением стеклопластиковыми бортами, с доставкой и установкой</t>
    </r>
    <r>
      <rPr>
        <i/>
        <sz val="10"/>
        <rFont val="Arial"/>
        <family val="2"/>
        <charset val="204"/>
      </rPr>
      <t xml:space="preserve">
419 815,00 = [493 900 / 1,2] +  2% Заг.скл</t>
    </r>
  </si>
  <si>
    <r>
      <t>Баскетбольный щит, с ЗСР 2% (0,085т*2шт.)</t>
    </r>
    <r>
      <rPr>
        <i/>
        <sz val="10"/>
        <rFont val="Arial"/>
        <family val="2"/>
        <charset val="204"/>
      </rPr>
      <t xml:space="preserve">
21 663,95 = [25 487 / 1,2] +  2% Заг.скл</t>
    </r>
  </si>
  <si>
    <r>
      <t>Хоккейные ворота, с ЗСР 2% (0,038т*2шт.)</t>
    </r>
    <r>
      <rPr>
        <i/>
        <sz val="10"/>
        <rFont val="Arial"/>
        <family val="2"/>
        <charset val="204"/>
      </rPr>
      <t xml:space="preserve">
14 960,00 = [17 600 / 1,2] +  2% Заг.скл</t>
    </r>
  </si>
  <si>
    <r>
      <t>Лавочка "Сплетница", темная рейка, с ЗСР 2% (0,0431т)</t>
    </r>
    <r>
      <rPr>
        <i/>
        <sz val="10"/>
        <rFont val="Arial"/>
        <family val="2"/>
        <charset val="204"/>
      </rPr>
      <t xml:space="preserve">
12 835,00 = [15 100 / 1,2] +  2% Заг.скл</t>
    </r>
  </si>
  <si>
    <r>
      <t>Урна УД-001, с ЗСР 2% (0,0111т)</t>
    </r>
    <r>
      <rPr>
        <i/>
        <sz val="10"/>
        <rFont val="Arial"/>
        <family val="2"/>
        <charset val="204"/>
      </rPr>
      <t xml:space="preserve">
3 570,00 = [4 200 / 1,2] +  2% Заг.скл</t>
    </r>
  </si>
  <si>
    <r>
      <t>Дорожный знак с крепежом "Искусственная неровность" 5.20, с ЗСР 2%</t>
    </r>
    <r>
      <rPr>
        <i/>
        <sz val="10"/>
        <rFont val="Arial"/>
        <family val="2"/>
        <charset val="204"/>
      </rPr>
      <t xml:space="preserve">
518,50 = [610 / 1,2] +  2% Заг.скл</t>
    </r>
  </si>
  <si>
    <t xml:space="preserve">Составил   </t>
  </si>
  <si>
    <t>[должность,подпись(инициалы,фамилия)]</t>
  </si>
  <si>
    <t xml:space="preserve">Проверил   </t>
  </si>
  <si>
    <t>TYPE</t>
  </si>
  <si>
    <t>SOURCE_LINK</t>
  </si>
  <si>
    <t>RABMAT_EX</t>
  </si>
  <si>
    <t>TIP_RAB</t>
  </si>
  <si>
    <t>TYPE_TRUD</t>
  </si>
  <si>
    <t>TAB</t>
  </si>
  <si>
    <t>NAME</t>
  </si>
  <si>
    <t>EDIZM</t>
  </si>
  <si>
    <t>KOLL</t>
  </si>
  <si>
    <t>UCH</t>
  </si>
  <si>
    <t>PRICE_B</t>
  </si>
  <si>
    <t>PRICE_ED</t>
  </si>
  <si>
    <t>STOIM_B</t>
  </si>
  <si>
    <t>PRICE_C</t>
  </si>
  <si>
    <t>STOIM_C</t>
  </si>
  <si>
    <t>ZPM_B</t>
  </si>
  <si>
    <t>ZPM_ED</t>
  </si>
  <si>
    <t>STOIM_ZPM_B</t>
  </si>
  <si>
    <t>ZPM_C</t>
  </si>
  <si>
    <t>STOIM_ZPM_C</t>
  </si>
  <si>
    <t>CRC_GR_RES</t>
  </si>
  <si>
    <t>CRC_B</t>
  </si>
  <si>
    <t>CRC_C</t>
  </si>
  <si>
    <t>RABMAT</t>
  </si>
  <si>
    <t>BuildingFinished</t>
  </si>
  <si>
    <t>Trud</t>
  </si>
  <si>
    <t>Mash</t>
  </si>
  <si>
    <t>Mat</t>
  </si>
  <si>
    <t>MatZak</t>
  </si>
  <si>
    <t>Oborud</t>
  </si>
  <si>
    <t>OborudZak</t>
  </si>
  <si>
    <t>ZeroStoim</t>
  </si>
  <si>
    <t>NegativeKoll</t>
  </si>
  <si>
    <t>ReUnionKollResurcy</t>
  </si>
  <si>
    <t>UnionOneUchRes</t>
  </si>
  <si>
    <t>IdLevel</t>
  </si>
  <si>
    <t>______________________ В.Р.Бадаев</t>
  </si>
  <si>
    <t xml:space="preserve">______________________ </t>
  </si>
  <si>
    <t xml:space="preserve">ЛОКАЛЬНАЯ СМЕТА </t>
  </si>
  <si>
    <t>Выполнение работ по ремонту дворовых территорий района Орехово-Борисово Северное в 2021 году</t>
  </si>
  <si>
    <t>Итого по смете: Выполнение работ по ремонту дворовых территорий района Орехово-Борисово Северное в 2021 году</t>
  </si>
  <si>
    <t>Приложение 3.8 к Техническому заданию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</si>
</sst>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"/>
    <numFmt numFmtId="165" formatCode="#,##0.00####;[Red]\-\ #,##0.00####"/>
    <numFmt numFmtId="166" formatCode="#,##0.00;[Red]\-\ #,##0.00"/>
  </numFmts>
  <fonts count="19" x14ac:knownFonts="1">
    <font>
      <sz val="10"/>
      <name val="Arial"/>
      <charset val="204"/>
    </font>
    <font>
      <b/>
      <sz val="10"/>
      <color indexed="12"/>
      <name val="Arial"/>
      <family val="2"/>
      <charset val="204"/>
    </font>
    <font>
      <b/>
      <sz val="10"/>
      <color indexed="16"/>
      <name val="Arial"/>
      <family val="2"/>
      <charset val="204"/>
    </font>
    <font>
      <b/>
      <sz val="10"/>
      <color indexed="20"/>
      <name val="Arial"/>
      <family val="2"/>
      <charset val="204"/>
    </font>
    <font>
      <b/>
      <sz val="10"/>
      <color indexed="17"/>
      <name val="Arial"/>
      <family val="2"/>
      <charset val="204"/>
    </font>
    <font>
      <sz val="10"/>
      <color indexed="12"/>
      <name val="Arial"/>
      <family val="2"/>
      <charset val="204"/>
    </font>
    <font>
      <sz val="10"/>
      <color indexed="14"/>
      <name val="Arial"/>
      <family val="2"/>
      <charset val="204"/>
    </font>
    <font>
      <b/>
      <sz val="10"/>
      <color indexed="14"/>
      <name val="Arial"/>
      <family val="2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b/>
      <sz val="13"/>
      <name val="Arial"/>
      <family val="2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i/>
      <sz val="11"/>
      <name val="Arial"/>
      <family val="2"/>
      <charset val="204"/>
    </font>
    <font>
      <b/>
      <sz val="11"/>
      <name val="Arial"/>
      <family val="2"/>
      <charset val="204"/>
    </font>
    <font>
      <i/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Border="1" applyAlignment="1">
      <alignment wrapText="1"/>
    </xf>
    <xf numFmtId="164" fontId="10" fillId="0" borderId="0" xfId="0" applyNumberFormat="1" applyFont="1"/>
    <xf numFmtId="1" fontId="10" fillId="0" borderId="0" xfId="0" applyNumberFormat="1" applyFont="1"/>
    <xf numFmtId="0" fontId="15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10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8" fillId="0" borderId="0" xfId="0" applyFont="1" applyAlignment="1">
      <alignment vertical="top" wrapText="1"/>
    </xf>
    <xf numFmtId="166" fontId="15" fillId="0" borderId="0" xfId="0" applyNumberFormat="1" applyFont="1" applyAlignment="1">
      <alignment horizontal="right"/>
    </xf>
    <xf numFmtId="166" fontId="0" fillId="0" borderId="0" xfId="0" applyNumberFormat="1"/>
    <xf numFmtId="0" fontId="0" fillId="0" borderId="6" xfId="0" applyBorder="1"/>
    <xf numFmtId="166" fontId="16" fillId="0" borderId="6" xfId="0" applyNumberFormat="1" applyFont="1" applyBorder="1" applyAlignment="1">
      <alignment horizontal="right"/>
    </xf>
    <xf numFmtId="0" fontId="10" fillId="0" borderId="0" xfId="0" quotePrefix="1" applyFont="1" applyAlignment="1">
      <alignment horizontal="right" wrapText="1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0" fillId="0" borderId="1" xfId="0" applyFont="1" applyBorder="1"/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right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166" fontId="10" fillId="0" borderId="0" xfId="0" applyNumberFormat="1" applyFont="1" applyAlignment="1">
      <alignment horizontal="right"/>
    </xf>
    <xf numFmtId="0" fontId="14" fillId="0" borderId="1" xfId="0" applyFont="1" applyBorder="1" applyAlignment="1">
      <alignment horizontal="center" wrapText="1"/>
    </xf>
    <xf numFmtId="0" fontId="0" fillId="0" borderId="0" xfId="0" applyAlignment="1"/>
    <xf numFmtId="0" fontId="10" fillId="0" borderId="0" xfId="0" applyFont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166" fontId="16" fillId="0" borderId="6" xfId="0" applyNumberFormat="1" applyFont="1" applyBorder="1" applyAlignment="1">
      <alignment horizontal="right"/>
    </xf>
    <xf numFmtId="166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left" wrapText="1"/>
    </xf>
    <xf numFmtId="0" fontId="18" fillId="0" borderId="0" xfId="0" applyFont="1" applyAlignment="1">
      <alignment horizontal="right"/>
    </xf>
    <xf numFmtId="0" fontId="10" fillId="0" borderId="0" xfId="0" applyFont="1" applyAlignment="1">
      <alignment horizontal="right" vertical="center"/>
    </xf>
    <xf numFmtId="0" fontId="9" fillId="0" borderId="5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452"/>
  <sheetViews>
    <sheetView tabSelected="1" workbookViewId="0">
      <selection activeCell="AL27" sqref="AL27"/>
    </sheetView>
  </sheetViews>
  <sheetFormatPr defaultRowHeight="12.75" x14ac:dyDescent="0.2"/>
  <cols>
    <col min="1" max="1" width="5.7109375" customWidth="1"/>
    <col min="2" max="2" width="11.7109375" customWidth="1"/>
    <col min="3" max="3" width="40.7109375" customWidth="1"/>
    <col min="4" max="6" width="11.7109375" customWidth="1"/>
    <col min="7" max="7" width="12.7109375" customWidth="1"/>
    <col min="9" max="11" width="12.7109375" customWidth="1"/>
    <col min="15" max="30" width="0" hidden="1" customWidth="1"/>
    <col min="31" max="31" width="148.85546875" hidden="1" customWidth="1"/>
    <col min="32" max="32" width="112.85546875" hidden="1" customWidth="1"/>
    <col min="33" max="36" width="0" hidden="1" customWidth="1"/>
  </cols>
  <sheetData>
    <row r="1" spans="1:31" x14ac:dyDescent="0.2">
      <c r="A1" s="8" t="str">
        <f>CONCATENATE(Source!B1, "     СН-2012 (© ОАО МЦЦС 'Мосстройцены', ", "2021", ")")</f>
        <v>Smeta.RU Flash  (495) 974-1589     СН-2012 (© ОАО МЦЦС 'Мосстройцены', 2021)</v>
      </c>
    </row>
    <row r="2" spans="1:31" x14ac:dyDescent="0.2">
      <c r="A2" s="8"/>
      <c r="G2" s="55" t="s">
        <v>572</v>
      </c>
      <c r="H2" s="55"/>
      <c r="I2" s="55"/>
      <c r="J2" s="55"/>
      <c r="K2" s="55"/>
    </row>
    <row r="3" spans="1:31" ht="14.25" x14ac:dyDescent="0.2">
      <c r="A3" s="9"/>
      <c r="B3" s="9"/>
      <c r="C3" s="9"/>
      <c r="D3" s="9"/>
      <c r="E3" s="9"/>
      <c r="F3" s="9"/>
      <c r="G3" s="9"/>
      <c r="H3" s="9"/>
      <c r="I3" s="9"/>
      <c r="J3" s="37" t="s">
        <v>484</v>
      </c>
      <c r="K3" s="37"/>
    </row>
    <row r="4" spans="1:31" ht="16.5" x14ac:dyDescent="0.25">
      <c r="A4" s="11"/>
      <c r="B4" s="42" t="s">
        <v>482</v>
      </c>
      <c r="C4" s="42"/>
      <c r="D4" s="42"/>
      <c r="E4" s="42"/>
      <c r="F4" s="10"/>
      <c r="G4" s="42" t="s">
        <v>483</v>
      </c>
      <c r="H4" s="42"/>
      <c r="I4" s="42"/>
      <c r="J4" s="42"/>
      <c r="K4" s="42"/>
    </row>
    <row r="5" spans="1:31" ht="14.25" x14ac:dyDescent="0.2">
      <c r="A5" s="10"/>
      <c r="B5" s="43"/>
      <c r="C5" s="43"/>
      <c r="D5" s="43"/>
      <c r="E5" s="43"/>
      <c r="F5" s="10"/>
      <c r="G5" s="43" t="s">
        <v>486</v>
      </c>
      <c r="H5" s="43"/>
      <c r="I5" s="43"/>
      <c r="J5" s="43"/>
      <c r="K5" s="43"/>
    </row>
    <row r="6" spans="1:31" ht="14.25" x14ac:dyDescent="0.2">
      <c r="A6" s="12"/>
      <c r="B6" s="12"/>
      <c r="C6" s="13"/>
      <c r="D6" s="13"/>
      <c r="E6" s="13"/>
      <c r="F6" s="10"/>
      <c r="G6" s="14"/>
      <c r="H6" s="13"/>
      <c r="I6" s="13"/>
      <c r="J6" s="13"/>
      <c r="K6" s="14"/>
    </row>
    <row r="7" spans="1:31" ht="14.25" x14ac:dyDescent="0.2">
      <c r="A7" s="14"/>
      <c r="B7" s="43" t="s">
        <v>568</v>
      </c>
      <c r="C7" s="43"/>
      <c r="D7" s="43"/>
      <c r="E7" s="43"/>
      <c r="F7" s="10"/>
      <c r="G7" s="43" t="s">
        <v>567</v>
      </c>
      <c r="H7" s="43"/>
      <c r="I7" s="43"/>
      <c r="J7" s="43"/>
      <c r="K7" s="43"/>
    </row>
    <row r="8" spans="1:31" ht="14.25" x14ac:dyDescent="0.2">
      <c r="A8" s="15"/>
      <c r="B8" s="36" t="s">
        <v>485</v>
      </c>
      <c r="C8" s="36"/>
      <c r="D8" s="36"/>
      <c r="E8" s="36"/>
      <c r="F8" s="10"/>
      <c r="G8" s="36" t="s">
        <v>485</v>
      </c>
      <c r="H8" s="36"/>
      <c r="I8" s="36"/>
      <c r="J8" s="36"/>
      <c r="K8" s="36"/>
    </row>
    <row r="10" spans="1:31" ht="14.25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31" ht="15.75" x14ac:dyDescent="0.25">
      <c r="A11" s="38" t="s">
        <v>569</v>
      </c>
      <c r="B11" s="39"/>
      <c r="C11" s="39"/>
      <c r="D11" s="39"/>
      <c r="E11" s="39"/>
      <c r="F11" s="39"/>
      <c r="G11" s="39"/>
      <c r="H11" s="39"/>
      <c r="I11" s="39"/>
      <c r="J11" s="39"/>
      <c r="K11" s="39"/>
    </row>
    <row r="12" spans="1:31" x14ac:dyDescent="0.2">
      <c r="A12" s="40" t="s">
        <v>487</v>
      </c>
      <c r="B12" s="40"/>
      <c r="C12" s="40"/>
      <c r="D12" s="40"/>
      <c r="E12" s="40"/>
      <c r="F12" s="40"/>
      <c r="G12" s="40"/>
      <c r="H12" s="40"/>
      <c r="I12" s="40"/>
      <c r="J12" s="40"/>
      <c r="K12" s="40"/>
    </row>
    <row r="13" spans="1:31" ht="14.25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31" ht="18" hidden="1" x14ac:dyDescent="0.25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</row>
    <row r="15" spans="1:31" ht="14.25" hidden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31" ht="36" x14ac:dyDescent="0.25">
      <c r="A16" s="45" t="s">
        <v>570</v>
      </c>
      <c r="B16" s="45"/>
      <c r="C16" s="45"/>
      <c r="D16" s="45"/>
      <c r="E16" s="45"/>
      <c r="F16" s="45"/>
      <c r="G16" s="45"/>
      <c r="H16" s="45"/>
      <c r="I16" s="45"/>
      <c r="J16" s="45"/>
      <c r="K16" s="45"/>
      <c r="AE16" s="20" t="str">
        <f>IF(Source!G12&lt;&gt;"Новый объект", Source!G12, "")</f>
        <v>Комплексное благоустройство территории жилой застройки района Орехово-Борисово Северное за счет средств стимулирования управ районов в 2021 году</v>
      </c>
    </row>
    <row r="17" spans="1:11" x14ac:dyDescent="0.2">
      <c r="A17" s="40" t="s">
        <v>488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</row>
    <row r="18" spans="1:11" ht="14.25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4.25" x14ac:dyDescent="0.2">
      <c r="A19" s="47" t="str">
        <f>CONCATENATE( "Основание: чертежи № ", Source!J12)</f>
        <v xml:space="preserve">Основание: чертежи № 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</row>
    <row r="20" spans="1:11" ht="14.25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4.25" x14ac:dyDescent="0.2">
      <c r="A21" s="10"/>
      <c r="B21" s="10"/>
      <c r="C21" s="10"/>
      <c r="D21" s="10"/>
      <c r="E21" s="10"/>
      <c r="F21" s="43" t="s">
        <v>489</v>
      </c>
      <c r="G21" s="43"/>
      <c r="H21" s="43"/>
      <c r="I21" s="44">
        <f>(Source!F413/1000)</f>
        <v>2278.6396099999997</v>
      </c>
      <c r="J21" s="37"/>
      <c r="K21" s="10" t="s">
        <v>490</v>
      </c>
    </row>
    <row r="22" spans="1:11" ht="14.25" hidden="1" x14ac:dyDescent="0.2">
      <c r="A22" s="10"/>
      <c r="B22" s="10"/>
      <c r="C22" s="10"/>
      <c r="D22" s="10"/>
      <c r="E22" s="10"/>
      <c r="F22" s="43" t="s">
        <v>491</v>
      </c>
      <c r="G22" s="43"/>
      <c r="H22" s="43"/>
      <c r="I22" s="44">
        <f>(Source!F399)/1000</f>
        <v>535.37231000000008</v>
      </c>
      <c r="J22" s="37"/>
      <c r="K22" s="10" t="s">
        <v>490</v>
      </c>
    </row>
    <row r="23" spans="1:11" ht="14.25" hidden="1" x14ac:dyDescent="0.2">
      <c r="A23" s="10"/>
      <c r="B23" s="10"/>
      <c r="C23" s="10"/>
      <c r="D23" s="10"/>
      <c r="E23" s="10"/>
      <c r="F23" s="43" t="s">
        <v>492</v>
      </c>
      <c r="G23" s="43"/>
      <c r="H23" s="43"/>
      <c r="I23" s="44">
        <f>(Source!F400)/1000</f>
        <v>0</v>
      </c>
      <c r="J23" s="37"/>
      <c r="K23" s="10" t="s">
        <v>490</v>
      </c>
    </row>
    <row r="24" spans="1:11" ht="14.25" hidden="1" x14ac:dyDescent="0.2">
      <c r="A24" s="10"/>
      <c r="B24" s="10"/>
      <c r="C24" s="10"/>
      <c r="D24" s="10"/>
      <c r="E24" s="10"/>
      <c r="F24" s="43" t="s">
        <v>493</v>
      </c>
      <c r="G24" s="43"/>
      <c r="H24" s="43"/>
      <c r="I24" s="44">
        <f>(Source!F391)/1000</f>
        <v>0</v>
      </c>
      <c r="J24" s="37"/>
      <c r="K24" s="10" t="s">
        <v>490</v>
      </c>
    </row>
    <row r="25" spans="1:11" ht="14.25" hidden="1" x14ac:dyDescent="0.2">
      <c r="A25" s="10"/>
      <c r="B25" s="10"/>
      <c r="C25" s="10"/>
      <c r="D25" s="10"/>
      <c r="E25" s="10"/>
      <c r="F25" s="43" t="s">
        <v>494</v>
      </c>
      <c r="G25" s="43"/>
      <c r="H25" s="43"/>
      <c r="I25" s="44">
        <f>(Source!F401+Source!F402)/1000</f>
        <v>1363.4940300000001</v>
      </c>
      <c r="J25" s="37"/>
      <c r="K25" s="10" t="s">
        <v>490</v>
      </c>
    </row>
    <row r="26" spans="1:11" ht="14.25" x14ac:dyDescent="0.2">
      <c r="A26" s="10"/>
      <c r="B26" s="10"/>
      <c r="C26" s="10"/>
      <c r="D26" s="10"/>
      <c r="E26" s="10"/>
      <c r="F26" s="43" t="s">
        <v>495</v>
      </c>
      <c r="G26" s="43"/>
      <c r="H26" s="43"/>
      <c r="I26" s="44">
        <f>(Source!F397+ Source!F396)/1000</f>
        <v>239.90726999999998</v>
      </c>
      <c r="J26" s="37"/>
      <c r="K26" s="10" t="s">
        <v>490</v>
      </c>
    </row>
    <row r="27" spans="1:11" ht="14.25" x14ac:dyDescent="0.2">
      <c r="A27" s="10" t="s">
        <v>509</v>
      </c>
      <c r="B27" s="10"/>
      <c r="C27" s="10"/>
      <c r="D27" s="16"/>
      <c r="E27" s="17"/>
      <c r="F27" s="10"/>
      <c r="G27" s="10"/>
      <c r="H27" s="10"/>
      <c r="I27" s="10"/>
      <c r="J27" s="10"/>
      <c r="K27" s="10"/>
    </row>
    <row r="28" spans="1:11" ht="14.25" x14ac:dyDescent="0.2">
      <c r="A28" s="48" t="s">
        <v>496</v>
      </c>
      <c r="B28" s="48" t="s">
        <v>497</v>
      </c>
      <c r="C28" s="48" t="s">
        <v>498</v>
      </c>
      <c r="D28" s="48" t="s">
        <v>499</v>
      </c>
      <c r="E28" s="48" t="s">
        <v>500</v>
      </c>
      <c r="F28" s="48" t="s">
        <v>501</v>
      </c>
      <c r="G28" s="48" t="s">
        <v>502</v>
      </c>
      <c r="H28" s="48" t="s">
        <v>503</v>
      </c>
      <c r="I28" s="48" t="s">
        <v>504</v>
      </c>
      <c r="J28" s="48" t="s">
        <v>505</v>
      </c>
      <c r="K28" s="18" t="s">
        <v>506</v>
      </c>
    </row>
    <row r="29" spans="1:11" ht="28.5" x14ac:dyDescent="0.2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19" t="s">
        <v>507</v>
      </c>
    </row>
    <row r="30" spans="1:11" ht="28.5" x14ac:dyDescent="0.2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19" t="s">
        <v>508</v>
      </c>
    </row>
    <row r="31" spans="1:11" ht="14.25" x14ac:dyDescent="0.2">
      <c r="A31" s="19">
        <v>1</v>
      </c>
      <c r="B31" s="19">
        <v>2</v>
      </c>
      <c r="C31" s="19">
        <v>3</v>
      </c>
      <c r="D31" s="19">
        <v>4</v>
      </c>
      <c r="E31" s="19">
        <v>5</v>
      </c>
      <c r="F31" s="19">
        <v>6</v>
      </c>
      <c r="G31" s="19">
        <v>7</v>
      </c>
      <c r="H31" s="19">
        <v>8</v>
      </c>
      <c r="I31" s="19">
        <v>9</v>
      </c>
      <c r="J31" s="19">
        <v>10</v>
      </c>
      <c r="K31" s="19">
        <v>11</v>
      </c>
    </row>
    <row r="33" spans="1:22" ht="16.5" x14ac:dyDescent="0.25">
      <c r="A33" s="50" t="str">
        <f>CONCATENATE("Локальная смета: ",IF(Source!G20&lt;&gt;"Новая локальная смета", Source!G20, ""))</f>
        <v>Локальная смета: ул. Домодедовская д.22 корп.1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</row>
    <row r="35" spans="1:22" ht="16.5" x14ac:dyDescent="0.25">
      <c r="A35" s="50" t="str">
        <f>CONCATENATE("Раздел: ",IF(Source!G24&lt;&gt;"Новый раздел", Source!G24, ""))</f>
        <v>Раздел: Ремонт спортивной площадки с заменой песчаного покрытия на синтетическое 260 м2 (резина)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22" ht="57" x14ac:dyDescent="0.2">
      <c r="A36" s="21" t="str">
        <f>Source!E28</f>
        <v>1</v>
      </c>
      <c r="B36" s="22" t="str">
        <f>Source!F28</f>
        <v>2.49-3101-3-3/1</v>
      </c>
      <c r="C36" s="22" t="str">
        <f>Source!G28</f>
        <v>Разработка грунта с погрузкой на автомобили-самосвалы экскаваторами с ковшом вместимостью 0,5 м3, группа грунтов 1-3</v>
      </c>
      <c r="D36" s="23" t="str">
        <f>Source!H28</f>
        <v>100 м3</v>
      </c>
      <c r="E36" s="9">
        <f>Source!I28</f>
        <v>0.58499999999999996</v>
      </c>
      <c r="F36" s="25"/>
      <c r="G36" s="24"/>
      <c r="H36" s="9"/>
      <c r="I36" s="9"/>
      <c r="J36" s="26"/>
      <c r="K36" s="26"/>
      <c r="Q36">
        <f>ROUND((Source!BZ28/100)*ROUND((Source!AF28*Source!AV28)*Source!I28, 2), 2)</f>
        <v>117.68</v>
      </c>
      <c r="R36">
        <f>Source!X28</f>
        <v>117.68</v>
      </c>
      <c r="S36">
        <f>ROUND((Source!CA28/100)*ROUND((Source!AF28*Source!AV28)*Source!I28, 2), 2)</f>
        <v>16.809999999999999</v>
      </c>
      <c r="T36">
        <f>Source!Y28</f>
        <v>16.809999999999999</v>
      </c>
      <c r="U36">
        <f>ROUND((175/100)*ROUND((Source!AE28*Source!AV28)*Source!I28, 2), 2)</f>
        <v>3515.44</v>
      </c>
      <c r="V36">
        <f>ROUND((108/100)*ROUND(Source!CS28*Source!I28, 2), 2)</f>
        <v>2169.5300000000002</v>
      </c>
    </row>
    <row r="37" spans="1:22" x14ac:dyDescent="0.2">
      <c r="C37" s="27" t="str">
        <f>"Объем: "&amp;Source!I28&amp;"=260*"&amp;"0,25*"&amp;"0,9/"&amp;"100"</f>
        <v>Объем: 0,585=260*0,25*0,9/100</v>
      </c>
    </row>
    <row r="38" spans="1:22" ht="14.25" x14ac:dyDescent="0.2">
      <c r="A38" s="21"/>
      <c r="B38" s="22"/>
      <c r="C38" s="22" t="s">
        <v>510</v>
      </c>
      <c r="D38" s="23"/>
      <c r="E38" s="9"/>
      <c r="F38" s="25">
        <f>Source!AO28</f>
        <v>287.38</v>
      </c>
      <c r="G38" s="24" t="str">
        <f>Source!DG28</f>
        <v/>
      </c>
      <c r="H38" s="9">
        <f>Source!AV28</f>
        <v>1</v>
      </c>
      <c r="I38" s="9">
        <f>IF(Source!BA28&lt;&gt; 0, Source!BA28, 1)</f>
        <v>1</v>
      </c>
      <c r="J38" s="26">
        <f>Source!S28</f>
        <v>168.12</v>
      </c>
      <c r="K38" s="26"/>
    </row>
    <row r="39" spans="1:22" ht="14.25" x14ac:dyDescent="0.2">
      <c r="A39" s="21"/>
      <c r="B39" s="22"/>
      <c r="C39" s="22" t="s">
        <v>511</v>
      </c>
      <c r="D39" s="23"/>
      <c r="E39" s="9"/>
      <c r="F39" s="25">
        <f>Source!AM28</f>
        <v>8779.01</v>
      </c>
      <c r="G39" s="24" t="str">
        <f>Source!DE28</f>
        <v/>
      </c>
      <c r="H39" s="9">
        <f>Source!AV28</f>
        <v>1</v>
      </c>
      <c r="I39" s="9">
        <f>IF(Source!BB28&lt;&gt; 0, Source!BB28, 1)</f>
        <v>1</v>
      </c>
      <c r="J39" s="26">
        <f>Source!Q28</f>
        <v>5135.72</v>
      </c>
      <c r="K39" s="26"/>
    </row>
    <row r="40" spans="1:22" ht="14.25" x14ac:dyDescent="0.2">
      <c r="A40" s="21"/>
      <c r="B40" s="22"/>
      <c r="C40" s="22" t="s">
        <v>512</v>
      </c>
      <c r="D40" s="23"/>
      <c r="E40" s="9"/>
      <c r="F40" s="25">
        <f>Source!AN28</f>
        <v>3433.88</v>
      </c>
      <c r="G40" s="24" t="str">
        <f>Source!DF28</f>
        <v/>
      </c>
      <c r="H40" s="9">
        <f>Source!AV28</f>
        <v>1</v>
      </c>
      <c r="I40" s="9">
        <f>IF(Source!BS28&lt;&gt; 0, Source!BS28, 1)</f>
        <v>1</v>
      </c>
      <c r="J40" s="28">
        <f>Source!R28</f>
        <v>2008.82</v>
      </c>
      <c r="K40" s="26"/>
    </row>
    <row r="41" spans="1:22" ht="14.25" x14ac:dyDescent="0.2">
      <c r="A41" s="21"/>
      <c r="B41" s="22"/>
      <c r="C41" s="22" t="s">
        <v>513</v>
      </c>
      <c r="D41" s="23" t="s">
        <v>514</v>
      </c>
      <c r="E41" s="9">
        <f>Source!AT28</f>
        <v>70</v>
      </c>
      <c r="F41" s="25"/>
      <c r="G41" s="24"/>
      <c r="H41" s="9"/>
      <c r="I41" s="9"/>
      <c r="J41" s="26">
        <f>SUM(R36:R40)</f>
        <v>117.68</v>
      </c>
      <c r="K41" s="26"/>
    </row>
    <row r="42" spans="1:22" ht="14.25" x14ac:dyDescent="0.2">
      <c r="A42" s="21"/>
      <c r="B42" s="22"/>
      <c r="C42" s="22" t="s">
        <v>515</v>
      </c>
      <c r="D42" s="23" t="s">
        <v>514</v>
      </c>
      <c r="E42" s="9">
        <f>Source!AU28</f>
        <v>10</v>
      </c>
      <c r="F42" s="25"/>
      <c r="G42" s="24"/>
      <c r="H42" s="9"/>
      <c r="I42" s="9"/>
      <c r="J42" s="26">
        <f>SUM(T36:T41)</f>
        <v>16.809999999999999</v>
      </c>
      <c r="K42" s="26"/>
    </row>
    <row r="43" spans="1:22" ht="14.25" x14ac:dyDescent="0.2">
      <c r="A43" s="21"/>
      <c r="B43" s="22"/>
      <c r="C43" s="22" t="s">
        <v>516</v>
      </c>
      <c r="D43" s="23" t="s">
        <v>514</v>
      </c>
      <c r="E43" s="9">
        <f>108</f>
        <v>108</v>
      </c>
      <c r="F43" s="25"/>
      <c r="G43" s="24"/>
      <c r="H43" s="9"/>
      <c r="I43" s="9"/>
      <c r="J43" s="26">
        <f>SUM(V36:V42)</f>
        <v>2169.5300000000002</v>
      </c>
      <c r="K43" s="26"/>
    </row>
    <row r="44" spans="1:22" ht="14.25" x14ac:dyDescent="0.2">
      <c r="A44" s="21"/>
      <c r="B44" s="22"/>
      <c r="C44" s="22" t="s">
        <v>517</v>
      </c>
      <c r="D44" s="23" t="s">
        <v>518</v>
      </c>
      <c r="E44" s="9">
        <f>Source!AQ28</f>
        <v>1.59</v>
      </c>
      <c r="F44" s="25"/>
      <c r="G44" s="24" t="str">
        <f>Source!DI28</f>
        <v/>
      </c>
      <c r="H44" s="9">
        <f>Source!AV28</f>
        <v>1</v>
      </c>
      <c r="I44" s="9"/>
      <c r="J44" s="26"/>
      <c r="K44" s="26">
        <f>Source!U28</f>
        <v>0.93015000000000003</v>
      </c>
    </row>
    <row r="45" spans="1:22" ht="15" x14ac:dyDescent="0.25">
      <c r="A45" s="30"/>
      <c r="B45" s="30"/>
      <c r="C45" s="30"/>
      <c r="D45" s="30"/>
      <c r="E45" s="30"/>
      <c r="F45" s="30"/>
      <c r="G45" s="30"/>
      <c r="H45" s="30"/>
      <c r="I45" s="51">
        <f>J38+J39+J41+J42+J43</f>
        <v>7607.8600000000006</v>
      </c>
      <c r="J45" s="51"/>
      <c r="K45" s="31">
        <f>IF(Source!I28&lt;&gt;0, ROUND(I45/Source!I28, 2), 0)</f>
        <v>13004.89</v>
      </c>
      <c r="P45" s="29">
        <f>I45</f>
        <v>7607.8600000000006</v>
      </c>
    </row>
    <row r="46" spans="1:22" ht="42.75" x14ac:dyDescent="0.2">
      <c r="A46" s="21" t="str">
        <f>Source!E29</f>
        <v>2</v>
      </c>
      <c r="B46" s="22" t="str">
        <f>Source!F29</f>
        <v>2.49-3201-14-1/1</v>
      </c>
      <c r="C46" s="22" t="str">
        <f>Source!G29</f>
        <v>Разработка грунта вручную в траншеях глубиной до 2 м без креплений с откосами, группа грунтов 1-3</v>
      </c>
      <c r="D46" s="23" t="str">
        <f>Source!H29</f>
        <v>100 м3</v>
      </c>
      <c r="E46" s="9">
        <f>Source!I29</f>
        <v>6.5000000000000002E-2</v>
      </c>
      <c r="F46" s="25"/>
      <c r="G46" s="24"/>
      <c r="H46" s="9"/>
      <c r="I46" s="9"/>
      <c r="J46" s="26"/>
      <c r="K46" s="26"/>
      <c r="Q46">
        <f>ROUND((Source!BZ29/100)*ROUND((Source!AF29*Source!AV29)*Source!I29, 2), 2)</f>
        <v>1908.77</v>
      </c>
      <c r="R46">
        <f>Source!X29</f>
        <v>1908.77</v>
      </c>
      <c r="S46">
        <f>ROUND((Source!CA29/100)*ROUND((Source!AF29*Source!AV29)*Source!I29, 2), 2)</f>
        <v>272.68</v>
      </c>
      <c r="T46">
        <f>Source!Y29</f>
        <v>272.68</v>
      </c>
      <c r="U46">
        <f>ROUND((175/100)*ROUND((Source!AE29*Source!AV29)*Source!I29, 2), 2)</f>
        <v>0</v>
      </c>
      <c r="V46">
        <f>ROUND((108/100)*ROUND(Source!CS29*Source!I29, 2), 2)</f>
        <v>0</v>
      </c>
    </row>
    <row r="47" spans="1:22" x14ac:dyDescent="0.2">
      <c r="C47" s="27" t="str">
        <f>"Объем: "&amp;Source!I29&amp;"=(260*"&amp;"0,25*"&amp;"0,1)/"&amp;"100"</f>
        <v>Объем: 0,065=(260*0,25*0,1)/100</v>
      </c>
    </row>
    <row r="48" spans="1:22" ht="14.25" x14ac:dyDescent="0.2">
      <c r="A48" s="21"/>
      <c r="B48" s="22"/>
      <c r="C48" s="22" t="s">
        <v>510</v>
      </c>
      <c r="D48" s="23"/>
      <c r="E48" s="9"/>
      <c r="F48" s="25">
        <f>Source!AO29</f>
        <v>41951.1</v>
      </c>
      <c r="G48" s="24" t="str">
        <f>Source!DG29</f>
        <v/>
      </c>
      <c r="H48" s="9">
        <f>Source!AV29</f>
        <v>1</v>
      </c>
      <c r="I48" s="9">
        <f>IF(Source!BA29&lt;&gt; 0, Source!BA29, 1)</f>
        <v>1</v>
      </c>
      <c r="J48" s="26">
        <f>Source!S29</f>
        <v>2726.82</v>
      </c>
      <c r="K48" s="26"/>
    </row>
    <row r="49" spans="1:22" ht="14.25" x14ac:dyDescent="0.2">
      <c r="A49" s="21"/>
      <c r="B49" s="22"/>
      <c r="C49" s="22" t="s">
        <v>513</v>
      </c>
      <c r="D49" s="23" t="s">
        <v>514</v>
      </c>
      <c r="E49" s="9">
        <f>Source!AT29</f>
        <v>70</v>
      </c>
      <c r="F49" s="25"/>
      <c r="G49" s="24"/>
      <c r="H49" s="9"/>
      <c r="I49" s="9"/>
      <c r="J49" s="26">
        <f>SUM(R46:R48)</f>
        <v>1908.77</v>
      </c>
      <c r="K49" s="26"/>
    </row>
    <row r="50" spans="1:22" ht="14.25" x14ac:dyDescent="0.2">
      <c r="A50" s="21"/>
      <c r="B50" s="22"/>
      <c r="C50" s="22" t="s">
        <v>515</v>
      </c>
      <c r="D50" s="23" t="s">
        <v>514</v>
      </c>
      <c r="E50" s="9">
        <f>Source!AU29</f>
        <v>10</v>
      </c>
      <c r="F50" s="25"/>
      <c r="G50" s="24"/>
      <c r="H50" s="9"/>
      <c r="I50" s="9"/>
      <c r="J50" s="26">
        <f>SUM(T46:T49)</f>
        <v>272.68</v>
      </c>
      <c r="K50" s="26"/>
    </row>
    <row r="51" spans="1:22" ht="14.25" x14ac:dyDescent="0.2">
      <c r="A51" s="21"/>
      <c r="B51" s="22"/>
      <c r="C51" s="22" t="s">
        <v>517</v>
      </c>
      <c r="D51" s="23" t="s">
        <v>518</v>
      </c>
      <c r="E51" s="9">
        <f>Source!AQ29</f>
        <v>221.6</v>
      </c>
      <c r="F51" s="25"/>
      <c r="G51" s="24" t="str">
        <f>Source!DI29</f>
        <v/>
      </c>
      <c r="H51" s="9">
        <f>Source!AV29</f>
        <v>1</v>
      </c>
      <c r="I51" s="9"/>
      <c r="J51" s="26"/>
      <c r="K51" s="26">
        <f>Source!U29</f>
        <v>14.404</v>
      </c>
    </row>
    <row r="52" spans="1:22" ht="15" x14ac:dyDescent="0.25">
      <c r="A52" s="30"/>
      <c r="B52" s="30"/>
      <c r="C52" s="30"/>
      <c r="D52" s="30"/>
      <c r="E52" s="30"/>
      <c r="F52" s="30"/>
      <c r="G52" s="30"/>
      <c r="H52" s="30"/>
      <c r="I52" s="51">
        <f>J48+J49+J50</f>
        <v>4908.2700000000004</v>
      </c>
      <c r="J52" s="51"/>
      <c r="K52" s="31">
        <f>IF(Source!I29&lt;&gt;0, ROUND(I52/Source!I29, 2), 0)</f>
        <v>75511.850000000006</v>
      </c>
      <c r="P52" s="29">
        <f>I52</f>
        <v>4908.2700000000004</v>
      </c>
    </row>
    <row r="53" spans="1:22" ht="28.5" x14ac:dyDescent="0.2">
      <c r="A53" s="21" t="str">
        <f>Source!E30</f>
        <v>3</v>
      </c>
      <c r="B53" s="22" t="str">
        <f>Source!F30</f>
        <v>1.1-3101-6-1/1</v>
      </c>
      <c r="C53" s="22" t="str">
        <f>Source!G30</f>
        <v>Погрузка грунта вручную в автомобили-самосвалы с выгрузкой</v>
      </c>
      <c r="D53" s="23" t="str">
        <f>Source!H30</f>
        <v>100 м3</v>
      </c>
      <c r="E53" s="9">
        <f>Source!I30</f>
        <v>6.5000000000000002E-2</v>
      </c>
      <c r="F53" s="25"/>
      <c r="G53" s="24"/>
      <c r="H53" s="9"/>
      <c r="I53" s="9"/>
      <c r="J53" s="26"/>
      <c r="K53" s="26"/>
      <c r="Q53">
        <f>ROUND((Source!BZ30/100)*ROUND((Source!AF30*Source!AV30)*Source!I30, 2), 2)</f>
        <v>506.43</v>
      </c>
      <c r="R53">
        <f>Source!X30</f>
        <v>506.43</v>
      </c>
      <c r="S53">
        <f>ROUND((Source!CA30/100)*ROUND((Source!AF30*Source!AV30)*Source!I30, 2), 2)</f>
        <v>72.349999999999994</v>
      </c>
      <c r="T53">
        <f>Source!Y30</f>
        <v>72.349999999999994</v>
      </c>
      <c r="U53">
        <f>ROUND((175/100)*ROUND((Source!AE30*Source!AV30)*Source!I30, 2), 2)</f>
        <v>0</v>
      </c>
      <c r="V53">
        <f>ROUND((108/100)*ROUND(Source!CS30*Source!I30, 2), 2)</f>
        <v>0</v>
      </c>
    </row>
    <row r="54" spans="1:22" x14ac:dyDescent="0.2">
      <c r="C54" s="27" t="str">
        <f>"Объем: "&amp;Source!I30&amp;"=6,5/"&amp;"100"</f>
        <v>Объем: 0,065=6,5/100</v>
      </c>
    </row>
    <row r="55" spans="1:22" ht="14.25" x14ac:dyDescent="0.2">
      <c r="A55" s="21"/>
      <c r="B55" s="22"/>
      <c r="C55" s="22" t="s">
        <v>510</v>
      </c>
      <c r="D55" s="23"/>
      <c r="E55" s="9"/>
      <c r="F55" s="25">
        <f>Source!AO30</f>
        <v>11130.3</v>
      </c>
      <c r="G55" s="24" t="str">
        <f>Source!DG30</f>
        <v/>
      </c>
      <c r="H55" s="9">
        <f>Source!AV30</f>
        <v>1</v>
      </c>
      <c r="I55" s="9">
        <f>IF(Source!BA30&lt;&gt; 0, Source!BA30, 1)</f>
        <v>1</v>
      </c>
      <c r="J55" s="26">
        <f>Source!S30</f>
        <v>723.47</v>
      </c>
      <c r="K55" s="26"/>
    </row>
    <row r="56" spans="1:22" ht="14.25" x14ac:dyDescent="0.2">
      <c r="A56" s="21"/>
      <c r="B56" s="22"/>
      <c r="C56" s="22" t="s">
        <v>513</v>
      </c>
      <c r="D56" s="23" t="s">
        <v>514</v>
      </c>
      <c r="E56" s="9">
        <f>Source!AT30</f>
        <v>70</v>
      </c>
      <c r="F56" s="25"/>
      <c r="G56" s="24"/>
      <c r="H56" s="9"/>
      <c r="I56" s="9"/>
      <c r="J56" s="26">
        <f>SUM(R53:R55)</f>
        <v>506.43</v>
      </c>
      <c r="K56" s="26"/>
    </row>
    <row r="57" spans="1:22" ht="14.25" x14ac:dyDescent="0.2">
      <c r="A57" s="21"/>
      <c r="B57" s="22"/>
      <c r="C57" s="22" t="s">
        <v>515</v>
      </c>
      <c r="D57" s="23" t="s">
        <v>514</v>
      </c>
      <c r="E57" s="9">
        <f>Source!AU30</f>
        <v>10</v>
      </c>
      <c r="F57" s="25"/>
      <c r="G57" s="24"/>
      <c r="H57" s="9"/>
      <c r="I57" s="9"/>
      <c r="J57" s="26">
        <f>SUM(T53:T56)</f>
        <v>72.349999999999994</v>
      </c>
      <c r="K57" s="26"/>
    </row>
    <row r="58" spans="1:22" ht="14.25" x14ac:dyDescent="0.2">
      <c r="A58" s="21"/>
      <c r="B58" s="22"/>
      <c r="C58" s="22" t="s">
        <v>517</v>
      </c>
      <c r="D58" s="23" t="s">
        <v>518</v>
      </c>
      <c r="E58" s="9">
        <f>Source!AQ30</f>
        <v>83</v>
      </c>
      <c r="F58" s="25"/>
      <c r="G58" s="24" t="str">
        <f>Source!DI30</f>
        <v/>
      </c>
      <c r="H58" s="9">
        <f>Source!AV30</f>
        <v>1</v>
      </c>
      <c r="I58" s="9"/>
      <c r="J58" s="26"/>
      <c r="K58" s="26">
        <f>Source!U30</f>
        <v>5.3950000000000005</v>
      </c>
    </row>
    <row r="59" spans="1:22" ht="15" x14ac:dyDescent="0.25">
      <c r="A59" s="30"/>
      <c r="B59" s="30"/>
      <c r="C59" s="30"/>
      <c r="D59" s="30"/>
      <c r="E59" s="30"/>
      <c r="F59" s="30"/>
      <c r="G59" s="30"/>
      <c r="H59" s="30"/>
      <c r="I59" s="51">
        <f>J55+J56+J57</f>
        <v>1302.25</v>
      </c>
      <c r="J59" s="51"/>
      <c r="K59" s="31">
        <f>IF(Source!I30&lt;&gt;0, ROUND(I59/Source!I30, 2), 0)</f>
        <v>20034.62</v>
      </c>
      <c r="P59" s="29">
        <f>I59</f>
        <v>1302.25</v>
      </c>
    </row>
    <row r="60" spans="1:22" ht="42.75" x14ac:dyDescent="0.2">
      <c r="A60" s="21" t="str">
        <f>Source!E31</f>
        <v>4</v>
      </c>
      <c r="B60" s="22" t="str">
        <f>Source!F31</f>
        <v>2.49-3401-1-1/1</v>
      </c>
      <c r="C60" s="22" t="str">
        <f>Source!G31</f>
        <v>Перевозка грунта автосамосвалами грузоподъемностью до 10 т на расстояние 1 км</v>
      </c>
      <c r="D60" s="23" t="str">
        <f>Source!H31</f>
        <v>м3</v>
      </c>
      <c r="E60" s="9">
        <f>Source!I31</f>
        <v>65</v>
      </c>
      <c r="F60" s="25"/>
      <c r="G60" s="24"/>
      <c r="H60" s="9"/>
      <c r="I60" s="9"/>
      <c r="J60" s="26"/>
      <c r="K60" s="26"/>
      <c r="Q60">
        <f>ROUND((Source!BZ31/100)*ROUND((Source!AF31*Source!AV31)*Source!I31, 2), 2)</f>
        <v>0</v>
      </c>
      <c r="R60">
        <f>Source!X31</f>
        <v>0</v>
      </c>
      <c r="S60">
        <f>ROUND((Source!CA31/100)*ROUND((Source!AF31*Source!AV31)*Source!I31, 2), 2)</f>
        <v>0</v>
      </c>
      <c r="T60">
        <f>Source!Y31</f>
        <v>0</v>
      </c>
      <c r="U60">
        <f>ROUND((175/100)*ROUND((Source!AE31*Source!AV31)*Source!I31, 2), 2)</f>
        <v>2918.83</v>
      </c>
      <c r="V60">
        <f>ROUND((108/100)*ROUND(Source!CS31*Source!I31, 2), 2)</f>
        <v>1801.33</v>
      </c>
    </row>
    <row r="61" spans="1:22" x14ac:dyDescent="0.2">
      <c r="C61" s="27" t="str">
        <f>"Объем: "&amp;Source!I31&amp;"=("&amp;Source!I28&amp;"+"&amp;""&amp;Source!I29&amp;")*"&amp;"100"</f>
        <v>Объем: 65=(0,585+0,065)*100</v>
      </c>
    </row>
    <row r="62" spans="1:22" ht="14.25" x14ac:dyDescent="0.2">
      <c r="A62" s="21"/>
      <c r="B62" s="22"/>
      <c r="C62" s="22" t="s">
        <v>511</v>
      </c>
      <c r="D62" s="23"/>
      <c r="E62" s="9"/>
      <c r="F62" s="25">
        <f>Source!AM31</f>
        <v>47.27</v>
      </c>
      <c r="G62" s="24" t="str">
        <f>Source!DE31</f>
        <v/>
      </c>
      <c r="H62" s="9">
        <f>Source!AV31</f>
        <v>1</v>
      </c>
      <c r="I62" s="9">
        <f>IF(Source!BB31&lt;&gt; 0, Source!BB31, 1)</f>
        <v>1</v>
      </c>
      <c r="J62" s="26">
        <f>Source!Q31</f>
        <v>3072.55</v>
      </c>
      <c r="K62" s="26"/>
    </row>
    <row r="63" spans="1:22" ht="14.25" x14ac:dyDescent="0.2">
      <c r="A63" s="21"/>
      <c r="B63" s="22"/>
      <c r="C63" s="22" t="s">
        <v>512</v>
      </c>
      <c r="D63" s="23"/>
      <c r="E63" s="9"/>
      <c r="F63" s="25">
        <f>Source!AN31</f>
        <v>25.66</v>
      </c>
      <c r="G63" s="24" t="str">
        <f>Source!DF31</f>
        <v/>
      </c>
      <c r="H63" s="9">
        <f>Source!AV31</f>
        <v>1</v>
      </c>
      <c r="I63" s="9">
        <f>IF(Source!BS31&lt;&gt; 0, Source!BS31, 1)</f>
        <v>1</v>
      </c>
      <c r="J63" s="28">
        <f>Source!R31</f>
        <v>1667.9</v>
      </c>
      <c r="K63" s="26"/>
    </row>
    <row r="64" spans="1:22" ht="15" x14ac:dyDescent="0.25">
      <c r="A64" s="30"/>
      <c r="B64" s="30"/>
      <c r="C64" s="30"/>
      <c r="D64" s="30"/>
      <c r="E64" s="30"/>
      <c r="F64" s="30"/>
      <c r="G64" s="30"/>
      <c r="H64" s="30"/>
      <c r="I64" s="51">
        <f>J62</f>
        <v>3072.55</v>
      </c>
      <c r="J64" s="51"/>
      <c r="K64" s="31">
        <f>IF(Source!I31&lt;&gt;0, ROUND(I64/Source!I31, 2), 0)</f>
        <v>47.27</v>
      </c>
      <c r="P64" s="29">
        <f>I64</f>
        <v>3072.55</v>
      </c>
    </row>
    <row r="65" spans="1:22" ht="57" x14ac:dyDescent="0.2">
      <c r="A65" s="21" t="str">
        <f>Source!E32</f>
        <v>5</v>
      </c>
      <c r="B65" s="22" t="str">
        <f>Source!F32</f>
        <v>2.49-3401-1-2/1</v>
      </c>
      <c r="C65" s="22" t="str">
        <f>Source!G32</f>
        <v>Перевозка грунта автосамосвалами грузоподъемностью до 10 т - добавляется на каждый последующий 1 км до 100 км (к поз. 49-3401-1-1)</v>
      </c>
      <c r="D65" s="23" t="str">
        <f>Source!H32</f>
        <v>м3</v>
      </c>
      <c r="E65" s="9">
        <f>Source!I32</f>
        <v>65</v>
      </c>
      <c r="F65" s="25"/>
      <c r="G65" s="24"/>
      <c r="H65" s="9"/>
      <c r="I65" s="9"/>
      <c r="J65" s="26"/>
      <c r="K65" s="26"/>
      <c r="Q65">
        <f>ROUND((Source!BZ32/100)*ROUND((Source!AF32*Source!AV32)*Source!I32, 2), 2)</f>
        <v>0</v>
      </c>
      <c r="R65">
        <f>Source!X32</f>
        <v>0</v>
      </c>
      <c r="S65">
        <f>ROUND((Source!CA32/100)*ROUND((Source!AF32*Source!AV32)*Source!I32, 2), 2)</f>
        <v>0</v>
      </c>
      <c r="T65">
        <f>Source!Y32</f>
        <v>0</v>
      </c>
      <c r="U65">
        <f>ROUND((175/100)*ROUND((Source!AE32*Source!AV32)*Source!I32, 2), 2)</f>
        <v>52743.6</v>
      </c>
      <c r="V65">
        <f>ROUND((108/100)*ROUND(Source!CS32*Source!I32, 2), 2)</f>
        <v>32550.34</v>
      </c>
    </row>
    <row r="66" spans="1:22" ht="14.25" x14ac:dyDescent="0.2">
      <c r="A66" s="21"/>
      <c r="B66" s="22"/>
      <c r="C66" s="22" t="s">
        <v>511</v>
      </c>
      <c r="D66" s="23"/>
      <c r="E66" s="9"/>
      <c r="F66" s="25">
        <f>Source!AM32</f>
        <v>15.25</v>
      </c>
      <c r="G66" s="24" t="str">
        <f>Source!DE32</f>
        <v>*56</v>
      </c>
      <c r="H66" s="9">
        <f>Source!AV32</f>
        <v>1</v>
      </c>
      <c r="I66" s="9">
        <f>IF(Source!BB32&lt;&gt; 0, Source!BB32, 1)</f>
        <v>1</v>
      </c>
      <c r="J66" s="26">
        <f>Source!Q32</f>
        <v>55510</v>
      </c>
      <c r="K66" s="26"/>
    </row>
    <row r="67" spans="1:22" ht="14.25" x14ac:dyDescent="0.2">
      <c r="A67" s="21"/>
      <c r="B67" s="22"/>
      <c r="C67" s="22" t="s">
        <v>512</v>
      </c>
      <c r="D67" s="23"/>
      <c r="E67" s="9"/>
      <c r="F67" s="25">
        <f>Source!AN32</f>
        <v>8.2799999999999994</v>
      </c>
      <c r="G67" s="24" t="str">
        <f>Source!DF32</f>
        <v>*56</v>
      </c>
      <c r="H67" s="9">
        <f>Source!AV32</f>
        <v>1</v>
      </c>
      <c r="I67" s="9">
        <f>IF(Source!BS32&lt;&gt; 0, Source!BS32, 1)</f>
        <v>1</v>
      </c>
      <c r="J67" s="28">
        <f>Source!R32</f>
        <v>30139.200000000001</v>
      </c>
      <c r="K67" s="26"/>
    </row>
    <row r="68" spans="1:22" ht="15" x14ac:dyDescent="0.25">
      <c r="A68" s="30"/>
      <c r="B68" s="30"/>
      <c r="C68" s="30"/>
      <c r="D68" s="30"/>
      <c r="E68" s="30"/>
      <c r="F68" s="30"/>
      <c r="G68" s="30"/>
      <c r="H68" s="30"/>
      <c r="I68" s="51">
        <f>J66</f>
        <v>55510</v>
      </c>
      <c r="J68" s="51"/>
      <c r="K68" s="31">
        <f>IF(Source!I32&lt;&gt;0, ROUND(I68/Source!I32, 2), 0)</f>
        <v>854</v>
      </c>
      <c r="P68" s="29">
        <f>I68</f>
        <v>55510</v>
      </c>
    </row>
    <row r="69" spans="1:22" ht="28.5" x14ac:dyDescent="0.2">
      <c r="A69" s="21" t="str">
        <f>Source!E33</f>
        <v>6</v>
      </c>
      <c r="B69" s="22" t="str">
        <f>Source!F33</f>
        <v>коммерч. предлож.</v>
      </c>
      <c r="C69" s="22" t="s">
        <v>519</v>
      </c>
      <c r="D69" s="23" t="str">
        <f>Source!H33</f>
        <v>т</v>
      </c>
      <c r="E69" s="9">
        <f>Source!I33</f>
        <v>91</v>
      </c>
      <c r="F69" s="25">
        <f>Source!AL33</f>
        <v>100.3</v>
      </c>
      <c r="G69" s="24" t="str">
        <f>Source!DD33</f>
        <v/>
      </c>
      <c r="H69" s="9">
        <f>Source!AW33</f>
        <v>1</v>
      </c>
      <c r="I69" s="9">
        <f>IF(Source!BC33&lt;&gt; 0, Source!BC33, 1)</f>
        <v>1</v>
      </c>
      <c r="J69" s="26">
        <f>Source!P33</f>
        <v>9127.2999999999993</v>
      </c>
      <c r="K69" s="26"/>
      <c r="Q69">
        <f>ROUND((Source!BZ33/100)*ROUND((Source!AF33*Source!AV33)*Source!I33, 2), 2)</f>
        <v>0</v>
      </c>
      <c r="R69">
        <f>Source!X33</f>
        <v>0</v>
      </c>
      <c r="S69">
        <f>ROUND((Source!CA33/100)*ROUND((Source!AF33*Source!AV33)*Source!I33, 2), 2)</f>
        <v>0</v>
      </c>
      <c r="T69">
        <f>Source!Y33</f>
        <v>0</v>
      </c>
      <c r="U69">
        <f>ROUND((175/100)*ROUND((Source!AE33*Source!AV33)*Source!I33, 2), 2)</f>
        <v>0</v>
      </c>
      <c r="V69">
        <f>ROUND((108/100)*ROUND(Source!CS33*Source!I33, 2), 2)</f>
        <v>0</v>
      </c>
    </row>
    <row r="70" spans="1:22" x14ac:dyDescent="0.2">
      <c r="C70" s="27" t="str">
        <f>"Объем: "&amp;Source!I33&amp;"="&amp;Source!I32&amp;"*"&amp;"1,4"</f>
        <v>Объем: 91=65*1,4</v>
      </c>
    </row>
    <row r="71" spans="1:22" ht="15" x14ac:dyDescent="0.25">
      <c r="A71" s="30"/>
      <c r="B71" s="30"/>
      <c r="C71" s="30"/>
      <c r="D71" s="30"/>
      <c r="E71" s="30"/>
      <c r="F71" s="30"/>
      <c r="G71" s="30"/>
      <c r="H71" s="30"/>
      <c r="I71" s="51">
        <f>J69</f>
        <v>9127.2999999999993</v>
      </c>
      <c r="J71" s="51"/>
      <c r="K71" s="31">
        <f>IF(Source!I33&lt;&gt;0, ROUND(I71/Source!I33, 2), 0)</f>
        <v>100.3</v>
      </c>
      <c r="P71" s="29">
        <f>I71</f>
        <v>9127.2999999999993</v>
      </c>
    </row>
    <row r="72" spans="1:22" ht="42.75" x14ac:dyDescent="0.2">
      <c r="A72" s="21" t="str">
        <f>Source!E34</f>
        <v>7</v>
      </c>
      <c r="B72" s="22" t="str">
        <f>Source!F34</f>
        <v>2.1-3303-1-1/1</v>
      </c>
      <c r="C72" s="22" t="str">
        <f>Source!G34</f>
        <v>Устройство подстилающих и выравнивающих слоев оснований из песка (10 см)</v>
      </c>
      <c r="D72" s="23" t="str">
        <f>Source!H34</f>
        <v>100 м3</v>
      </c>
      <c r="E72" s="9">
        <f>Source!I34</f>
        <v>0.26</v>
      </c>
      <c r="F72" s="25"/>
      <c r="G72" s="24"/>
      <c r="H72" s="9"/>
      <c r="I72" s="9"/>
      <c r="J72" s="26"/>
      <c r="K72" s="26"/>
      <c r="Q72">
        <f>ROUND((Source!BZ34/100)*ROUND((Source!AF34*Source!AV34)*Source!I34, 2), 2)</f>
        <v>564.12</v>
      </c>
      <c r="R72">
        <f>Source!X34</f>
        <v>564.12</v>
      </c>
      <c r="S72">
        <f>ROUND((Source!CA34/100)*ROUND((Source!AF34*Source!AV34)*Source!I34, 2), 2)</f>
        <v>80.59</v>
      </c>
      <c r="T72">
        <f>Source!Y34</f>
        <v>80.59</v>
      </c>
      <c r="U72">
        <f>ROUND((175/100)*ROUND((Source!AE34*Source!AV34)*Source!I34, 2), 2)</f>
        <v>1466.45</v>
      </c>
      <c r="V72">
        <f>ROUND((108/100)*ROUND(Source!CS34*Source!I34, 2), 2)</f>
        <v>905.01</v>
      </c>
    </row>
    <row r="73" spans="1:22" x14ac:dyDescent="0.2">
      <c r="C73" s="27" t="str">
        <f>"Объем: "&amp;Source!I34&amp;"=260*"&amp;"0,1/"&amp;"100"</f>
        <v>Объем: 0,26=260*0,1/100</v>
      </c>
    </row>
    <row r="74" spans="1:22" ht="14.25" x14ac:dyDescent="0.2">
      <c r="A74" s="21"/>
      <c r="B74" s="22"/>
      <c r="C74" s="22" t="s">
        <v>510</v>
      </c>
      <c r="D74" s="23"/>
      <c r="E74" s="9"/>
      <c r="F74" s="25">
        <f>Source!AO34</f>
        <v>3099.54</v>
      </c>
      <c r="G74" s="24" t="str">
        <f>Source!DG34</f>
        <v/>
      </c>
      <c r="H74" s="9">
        <f>Source!AV34</f>
        <v>1</v>
      </c>
      <c r="I74" s="9">
        <f>IF(Source!BA34&lt;&gt; 0, Source!BA34, 1)</f>
        <v>1</v>
      </c>
      <c r="J74" s="26">
        <f>Source!S34</f>
        <v>805.88</v>
      </c>
      <c r="K74" s="26"/>
    </row>
    <row r="75" spans="1:22" ht="14.25" x14ac:dyDescent="0.2">
      <c r="A75" s="21"/>
      <c r="B75" s="22"/>
      <c r="C75" s="22" t="s">
        <v>511</v>
      </c>
      <c r="D75" s="23"/>
      <c r="E75" s="9"/>
      <c r="F75" s="25">
        <f>Source!AM34</f>
        <v>7602.23</v>
      </c>
      <c r="G75" s="24" t="str">
        <f>Source!DE34</f>
        <v/>
      </c>
      <c r="H75" s="9">
        <f>Source!AV34</f>
        <v>1</v>
      </c>
      <c r="I75" s="9">
        <f>IF(Source!BB34&lt;&gt; 0, Source!BB34, 1)</f>
        <v>1</v>
      </c>
      <c r="J75" s="26">
        <f>Source!Q34</f>
        <v>1976.58</v>
      </c>
      <c r="K75" s="26"/>
    </row>
    <row r="76" spans="1:22" ht="14.25" x14ac:dyDescent="0.2">
      <c r="A76" s="21"/>
      <c r="B76" s="22"/>
      <c r="C76" s="22" t="s">
        <v>512</v>
      </c>
      <c r="D76" s="23"/>
      <c r="E76" s="9"/>
      <c r="F76" s="25">
        <f>Source!AN34</f>
        <v>3222.98</v>
      </c>
      <c r="G76" s="24" t="str">
        <f>Source!DF34</f>
        <v/>
      </c>
      <c r="H76" s="9">
        <f>Source!AV34</f>
        <v>1</v>
      </c>
      <c r="I76" s="9">
        <f>IF(Source!BS34&lt;&gt; 0, Source!BS34, 1)</f>
        <v>1</v>
      </c>
      <c r="J76" s="28">
        <f>Source!R34</f>
        <v>837.97</v>
      </c>
      <c r="K76" s="26"/>
    </row>
    <row r="77" spans="1:22" ht="14.25" x14ac:dyDescent="0.2">
      <c r="A77" s="21"/>
      <c r="B77" s="22"/>
      <c r="C77" s="22" t="s">
        <v>520</v>
      </c>
      <c r="D77" s="23"/>
      <c r="E77" s="9"/>
      <c r="F77" s="25">
        <f>Source!AL34</f>
        <v>65162.05</v>
      </c>
      <c r="G77" s="24" t="str">
        <f>Source!DD34</f>
        <v/>
      </c>
      <c r="H77" s="9">
        <f>Source!AW34</f>
        <v>1</v>
      </c>
      <c r="I77" s="9">
        <f>IF(Source!BC34&lt;&gt; 0, Source!BC34, 1)</f>
        <v>1</v>
      </c>
      <c r="J77" s="26">
        <f>Source!P34</f>
        <v>16942.13</v>
      </c>
      <c r="K77" s="26"/>
    </row>
    <row r="78" spans="1:22" ht="14.25" x14ac:dyDescent="0.2">
      <c r="A78" s="21"/>
      <c r="B78" s="22"/>
      <c r="C78" s="22" t="s">
        <v>513</v>
      </c>
      <c r="D78" s="23" t="s">
        <v>514</v>
      </c>
      <c r="E78" s="9">
        <f>Source!AT34</f>
        <v>70</v>
      </c>
      <c r="F78" s="25"/>
      <c r="G78" s="24"/>
      <c r="H78" s="9"/>
      <c r="I78" s="9"/>
      <c r="J78" s="26">
        <f>SUM(R72:R77)</f>
        <v>564.12</v>
      </c>
      <c r="K78" s="26"/>
    </row>
    <row r="79" spans="1:22" ht="14.25" x14ac:dyDescent="0.2">
      <c r="A79" s="21"/>
      <c r="B79" s="22"/>
      <c r="C79" s="22" t="s">
        <v>515</v>
      </c>
      <c r="D79" s="23" t="s">
        <v>514</v>
      </c>
      <c r="E79" s="9">
        <f>Source!AU34</f>
        <v>10</v>
      </c>
      <c r="F79" s="25"/>
      <c r="G79" s="24"/>
      <c r="H79" s="9"/>
      <c r="I79" s="9"/>
      <c r="J79" s="26">
        <f>SUM(T72:T78)</f>
        <v>80.59</v>
      </c>
      <c r="K79" s="26"/>
    </row>
    <row r="80" spans="1:22" ht="14.25" x14ac:dyDescent="0.2">
      <c r="A80" s="21"/>
      <c r="B80" s="22"/>
      <c r="C80" s="22" t="s">
        <v>516</v>
      </c>
      <c r="D80" s="23" t="s">
        <v>514</v>
      </c>
      <c r="E80" s="9">
        <f>108</f>
        <v>108</v>
      </c>
      <c r="F80" s="25"/>
      <c r="G80" s="24"/>
      <c r="H80" s="9"/>
      <c r="I80" s="9"/>
      <c r="J80" s="26">
        <f>SUM(V72:V79)</f>
        <v>905.01</v>
      </c>
      <c r="K80" s="26"/>
    </row>
    <row r="81" spans="1:22" ht="14.25" x14ac:dyDescent="0.2">
      <c r="A81" s="21"/>
      <c r="B81" s="22"/>
      <c r="C81" s="22" t="s">
        <v>517</v>
      </c>
      <c r="D81" s="23" t="s">
        <v>518</v>
      </c>
      <c r="E81" s="9">
        <f>Source!AQ34</f>
        <v>16.559999999999999</v>
      </c>
      <c r="F81" s="25"/>
      <c r="G81" s="24" t="str">
        <f>Source!DI34</f>
        <v/>
      </c>
      <c r="H81" s="9">
        <f>Source!AV34</f>
        <v>1</v>
      </c>
      <c r="I81" s="9"/>
      <c r="J81" s="26"/>
      <c r="K81" s="26">
        <f>Source!U34</f>
        <v>4.3056000000000001</v>
      </c>
    </row>
    <row r="82" spans="1:22" ht="15" x14ac:dyDescent="0.25">
      <c r="A82" s="30"/>
      <c r="B82" s="30"/>
      <c r="C82" s="30"/>
      <c r="D82" s="30"/>
      <c r="E82" s="30"/>
      <c r="F82" s="30"/>
      <c r="G82" s="30"/>
      <c r="H82" s="30"/>
      <c r="I82" s="51">
        <f>J74+J75+J77+J78+J79+J80</f>
        <v>21274.309999999998</v>
      </c>
      <c r="J82" s="51"/>
      <c r="K82" s="31">
        <f>IF(Source!I34&lt;&gt;0, ROUND(I82/Source!I34, 2), 0)</f>
        <v>81824.27</v>
      </c>
      <c r="P82" s="29">
        <f>I82</f>
        <v>21274.309999999998</v>
      </c>
    </row>
    <row r="83" spans="1:22" ht="42.75" x14ac:dyDescent="0.2">
      <c r="A83" s="21" t="str">
        <f>Source!E35</f>
        <v>8</v>
      </c>
      <c r="B83" s="22" t="str">
        <f>Source!F35</f>
        <v>2.1-3303-1-2/1</v>
      </c>
      <c r="C83" s="22" t="str">
        <f>Source!G35</f>
        <v>Устройство подстилающих и выравнивающих слоев оснований из щебня (15 см)</v>
      </c>
      <c r="D83" s="23" t="str">
        <f>Source!H35</f>
        <v>100 м3</v>
      </c>
      <c r="E83" s="9">
        <f>Source!I35</f>
        <v>0.39</v>
      </c>
      <c r="F83" s="25"/>
      <c r="G83" s="24"/>
      <c r="H83" s="9"/>
      <c r="I83" s="9"/>
      <c r="J83" s="26"/>
      <c r="K83" s="26"/>
      <c r="Q83">
        <f>ROUND((Source!BZ35/100)*ROUND((Source!AF35*Source!AV35)*Source!I35, 2), 2)</f>
        <v>1269.26</v>
      </c>
      <c r="R83">
        <f>Source!X35</f>
        <v>1269.26</v>
      </c>
      <c r="S83">
        <f>ROUND((Source!CA35/100)*ROUND((Source!AF35*Source!AV35)*Source!I35, 2), 2)</f>
        <v>181.32</v>
      </c>
      <c r="T83">
        <f>Source!Y35</f>
        <v>181.32</v>
      </c>
      <c r="U83">
        <f>ROUND((175/100)*ROUND((Source!AE35*Source!AV35)*Source!I35, 2), 2)</f>
        <v>14479.33</v>
      </c>
      <c r="V83">
        <f>ROUND((108/100)*ROUND(Source!CS35*Source!I35, 2), 2)</f>
        <v>8935.81</v>
      </c>
    </row>
    <row r="84" spans="1:22" x14ac:dyDescent="0.2">
      <c r="C84" s="27" t="str">
        <f>"Объем: "&amp;Source!I35&amp;"=260*"&amp;"0,15/"&amp;"100"</f>
        <v>Объем: 0,39=260*0,15/100</v>
      </c>
    </row>
    <row r="85" spans="1:22" ht="14.25" x14ac:dyDescent="0.2">
      <c r="A85" s="21"/>
      <c r="B85" s="22"/>
      <c r="C85" s="22" t="s">
        <v>510</v>
      </c>
      <c r="D85" s="23"/>
      <c r="E85" s="9"/>
      <c r="F85" s="25">
        <f>Source!AO35</f>
        <v>4649.3</v>
      </c>
      <c r="G85" s="24" t="str">
        <f>Source!DG35</f>
        <v/>
      </c>
      <c r="H85" s="9">
        <f>Source!AV35</f>
        <v>1</v>
      </c>
      <c r="I85" s="9">
        <f>IF(Source!BA35&lt;&gt; 0, Source!BA35, 1)</f>
        <v>1</v>
      </c>
      <c r="J85" s="26">
        <f>Source!S35</f>
        <v>1813.23</v>
      </c>
      <c r="K85" s="26"/>
    </row>
    <row r="86" spans="1:22" ht="14.25" x14ac:dyDescent="0.2">
      <c r="A86" s="21"/>
      <c r="B86" s="22"/>
      <c r="C86" s="22" t="s">
        <v>511</v>
      </c>
      <c r="D86" s="23"/>
      <c r="E86" s="9"/>
      <c r="F86" s="25">
        <f>Source!AM35</f>
        <v>53736.02</v>
      </c>
      <c r="G86" s="24" t="str">
        <f>Source!DE35</f>
        <v/>
      </c>
      <c r="H86" s="9">
        <f>Source!AV35</f>
        <v>1</v>
      </c>
      <c r="I86" s="9">
        <f>IF(Source!BB35&lt;&gt; 0, Source!BB35, 1)</f>
        <v>1</v>
      </c>
      <c r="J86" s="26">
        <f>Source!Q35</f>
        <v>20957.05</v>
      </c>
      <c r="K86" s="26"/>
    </row>
    <row r="87" spans="1:22" ht="14.25" x14ac:dyDescent="0.2">
      <c r="A87" s="21"/>
      <c r="B87" s="22"/>
      <c r="C87" s="22" t="s">
        <v>512</v>
      </c>
      <c r="D87" s="23"/>
      <c r="E87" s="9"/>
      <c r="F87" s="25">
        <f>Source!AN35</f>
        <v>21215.13</v>
      </c>
      <c r="G87" s="24" t="str">
        <f>Source!DF35</f>
        <v/>
      </c>
      <c r="H87" s="9">
        <f>Source!AV35</f>
        <v>1</v>
      </c>
      <c r="I87" s="9">
        <f>IF(Source!BS35&lt;&gt; 0, Source!BS35, 1)</f>
        <v>1</v>
      </c>
      <c r="J87" s="28">
        <f>Source!R35</f>
        <v>8273.9</v>
      </c>
      <c r="K87" s="26"/>
    </row>
    <row r="88" spans="1:22" ht="14.25" x14ac:dyDescent="0.2">
      <c r="A88" s="21"/>
      <c r="B88" s="22"/>
      <c r="C88" s="22" t="s">
        <v>520</v>
      </c>
      <c r="D88" s="23"/>
      <c r="E88" s="9"/>
      <c r="F88" s="25">
        <f>Source!AL35</f>
        <v>222479.25</v>
      </c>
      <c r="G88" s="24" t="str">
        <f>Source!DD35</f>
        <v/>
      </c>
      <c r="H88" s="9">
        <f>Source!AW35</f>
        <v>1</v>
      </c>
      <c r="I88" s="9">
        <f>IF(Source!BC35&lt;&gt; 0, Source!BC35, 1)</f>
        <v>1</v>
      </c>
      <c r="J88" s="26">
        <f>Source!P35</f>
        <v>86766.91</v>
      </c>
      <c r="K88" s="26"/>
    </row>
    <row r="89" spans="1:22" ht="14.25" x14ac:dyDescent="0.2">
      <c r="A89" s="21"/>
      <c r="B89" s="22"/>
      <c r="C89" s="22" t="s">
        <v>513</v>
      </c>
      <c r="D89" s="23" t="s">
        <v>514</v>
      </c>
      <c r="E89" s="9">
        <f>Source!AT35</f>
        <v>70</v>
      </c>
      <c r="F89" s="25"/>
      <c r="G89" s="24"/>
      <c r="H89" s="9"/>
      <c r="I89" s="9"/>
      <c r="J89" s="26">
        <f>SUM(R83:R88)</f>
        <v>1269.26</v>
      </c>
      <c r="K89" s="26"/>
    </row>
    <row r="90" spans="1:22" ht="14.25" x14ac:dyDescent="0.2">
      <c r="A90" s="21"/>
      <c r="B90" s="22"/>
      <c r="C90" s="22" t="s">
        <v>515</v>
      </c>
      <c r="D90" s="23" t="s">
        <v>514</v>
      </c>
      <c r="E90" s="9">
        <f>Source!AU35</f>
        <v>10</v>
      </c>
      <c r="F90" s="25"/>
      <c r="G90" s="24"/>
      <c r="H90" s="9"/>
      <c r="I90" s="9"/>
      <c r="J90" s="26">
        <f>SUM(T83:T89)</f>
        <v>181.32</v>
      </c>
      <c r="K90" s="26"/>
    </row>
    <row r="91" spans="1:22" ht="14.25" x14ac:dyDescent="0.2">
      <c r="A91" s="21"/>
      <c r="B91" s="22"/>
      <c r="C91" s="22" t="s">
        <v>516</v>
      </c>
      <c r="D91" s="23" t="s">
        <v>514</v>
      </c>
      <c r="E91" s="9">
        <f>108</f>
        <v>108</v>
      </c>
      <c r="F91" s="25"/>
      <c r="G91" s="24"/>
      <c r="H91" s="9"/>
      <c r="I91" s="9"/>
      <c r="J91" s="26">
        <f>SUM(V83:V90)</f>
        <v>8935.81</v>
      </c>
      <c r="K91" s="26"/>
    </row>
    <row r="92" spans="1:22" ht="14.25" x14ac:dyDescent="0.2">
      <c r="A92" s="21"/>
      <c r="B92" s="22"/>
      <c r="C92" s="22" t="s">
        <v>517</v>
      </c>
      <c r="D92" s="23" t="s">
        <v>518</v>
      </c>
      <c r="E92" s="9">
        <f>Source!AQ35</f>
        <v>24.84</v>
      </c>
      <c r="F92" s="25"/>
      <c r="G92" s="24" t="str">
        <f>Source!DI35</f>
        <v/>
      </c>
      <c r="H92" s="9">
        <f>Source!AV35</f>
        <v>1</v>
      </c>
      <c r="I92" s="9"/>
      <c r="J92" s="26"/>
      <c r="K92" s="26">
        <f>Source!U35</f>
        <v>9.6875999999999998</v>
      </c>
    </row>
    <row r="93" spans="1:22" ht="15" x14ac:dyDescent="0.25">
      <c r="A93" s="30"/>
      <c r="B93" s="30"/>
      <c r="C93" s="30"/>
      <c r="D93" s="30"/>
      <c r="E93" s="30"/>
      <c r="F93" s="30"/>
      <c r="G93" s="30"/>
      <c r="H93" s="30"/>
      <c r="I93" s="51">
        <f>J85+J86+J88+J89+J90+J91</f>
        <v>119923.58</v>
      </c>
      <c r="J93" s="51"/>
      <c r="K93" s="31">
        <f>IF(Source!I35&lt;&gt;0, ROUND(I93/Source!I35, 2), 0)</f>
        <v>307496.36</v>
      </c>
      <c r="P93" s="29">
        <f>I93</f>
        <v>119923.58</v>
      </c>
    </row>
    <row r="94" spans="1:22" ht="42.75" x14ac:dyDescent="0.2">
      <c r="A94" s="21" t="str">
        <f>Source!E36</f>
        <v>9</v>
      </c>
      <c r="B94" s="22" t="str">
        <f>Source!F36</f>
        <v>2.1-3103-18-1/1</v>
      </c>
      <c r="C94" s="22" t="str">
        <f>Source!G36</f>
        <v>Устройство покрытий из асфальтобетонных смесей вручную, толщина 4 см</v>
      </c>
      <c r="D94" s="23" t="str">
        <f>Source!H36</f>
        <v>100 м2</v>
      </c>
      <c r="E94" s="9">
        <f>Source!I36</f>
        <v>2.6</v>
      </c>
      <c r="F94" s="25"/>
      <c r="G94" s="24"/>
      <c r="H94" s="9"/>
      <c r="I94" s="9"/>
      <c r="J94" s="26"/>
      <c r="K94" s="26"/>
      <c r="Q94">
        <f>ROUND((Source!BZ36/100)*ROUND((Source!AF36*Source!AV36)*Source!I36, 2), 2)</f>
        <v>5646.8</v>
      </c>
      <c r="R94">
        <f>Source!X36</f>
        <v>5646.8</v>
      </c>
      <c r="S94">
        <f>ROUND((Source!CA36/100)*ROUND((Source!AF36*Source!AV36)*Source!I36, 2), 2)</f>
        <v>806.69</v>
      </c>
      <c r="T94">
        <f>Source!Y36</f>
        <v>806.69</v>
      </c>
      <c r="U94">
        <f>ROUND((175/100)*ROUND((Source!AE36*Source!AV36)*Source!I36, 2), 2)</f>
        <v>4207.79</v>
      </c>
      <c r="V94">
        <f>ROUND((108/100)*ROUND(Source!CS36*Source!I36, 2), 2)</f>
        <v>2596.81</v>
      </c>
    </row>
    <row r="95" spans="1:22" x14ac:dyDescent="0.2">
      <c r="C95" s="27" t="str">
        <f>"Объем: "&amp;Source!I36&amp;"=260/"&amp;"100"</f>
        <v>Объем: 2,6=260/100</v>
      </c>
    </row>
    <row r="96" spans="1:22" ht="14.25" x14ac:dyDescent="0.2">
      <c r="A96" s="21"/>
      <c r="B96" s="22"/>
      <c r="C96" s="22" t="s">
        <v>510</v>
      </c>
      <c r="D96" s="23"/>
      <c r="E96" s="9"/>
      <c r="F96" s="25">
        <f>Source!AO36</f>
        <v>3102.64</v>
      </c>
      <c r="G96" s="24" t="str">
        <f>Source!DG36</f>
        <v/>
      </c>
      <c r="H96" s="9">
        <f>Source!AV36</f>
        <v>1</v>
      </c>
      <c r="I96" s="9">
        <f>IF(Source!BA36&lt;&gt; 0, Source!BA36, 1)</f>
        <v>1</v>
      </c>
      <c r="J96" s="26">
        <f>Source!S36</f>
        <v>8066.86</v>
      </c>
      <c r="K96" s="26"/>
    </row>
    <row r="97" spans="1:22" ht="14.25" x14ac:dyDescent="0.2">
      <c r="A97" s="21"/>
      <c r="B97" s="22"/>
      <c r="C97" s="22" t="s">
        <v>511</v>
      </c>
      <c r="D97" s="23"/>
      <c r="E97" s="9"/>
      <c r="F97" s="25">
        <f>Source!AM36</f>
        <v>1632.78</v>
      </c>
      <c r="G97" s="24" t="str">
        <f>Source!DE36</f>
        <v/>
      </c>
      <c r="H97" s="9">
        <f>Source!AV36</f>
        <v>1</v>
      </c>
      <c r="I97" s="9">
        <f>IF(Source!BB36&lt;&gt; 0, Source!BB36, 1)</f>
        <v>1</v>
      </c>
      <c r="J97" s="26">
        <f>Source!Q36</f>
        <v>4245.2299999999996</v>
      </c>
      <c r="K97" s="26"/>
    </row>
    <row r="98" spans="1:22" ht="14.25" x14ac:dyDescent="0.2">
      <c r="A98" s="21"/>
      <c r="B98" s="22"/>
      <c r="C98" s="22" t="s">
        <v>512</v>
      </c>
      <c r="D98" s="23"/>
      <c r="E98" s="9"/>
      <c r="F98" s="25">
        <f>Source!AN36</f>
        <v>924.79</v>
      </c>
      <c r="G98" s="24" t="str">
        <f>Source!DF36</f>
        <v/>
      </c>
      <c r="H98" s="9">
        <f>Source!AV36</f>
        <v>1</v>
      </c>
      <c r="I98" s="9">
        <f>IF(Source!BS36&lt;&gt; 0, Source!BS36, 1)</f>
        <v>1</v>
      </c>
      <c r="J98" s="28">
        <f>Source!R36</f>
        <v>2404.4499999999998</v>
      </c>
      <c r="K98" s="26"/>
    </row>
    <row r="99" spans="1:22" ht="14.25" x14ac:dyDescent="0.2">
      <c r="A99" s="21"/>
      <c r="B99" s="22"/>
      <c r="C99" s="22" t="s">
        <v>520</v>
      </c>
      <c r="D99" s="23"/>
      <c r="E99" s="9"/>
      <c r="F99" s="25">
        <f>Source!AL36</f>
        <v>25772.98</v>
      </c>
      <c r="G99" s="24" t="str">
        <f>Source!DD36</f>
        <v/>
      </c>
      <c r="H99" s="9">
        <f>Source!AW36</f>
        <v>1</v>
      </c>
      <c r="I99" s="9">
        <f>IF(Source!BC36&lt;&gt; 0, Source!BC36, 1)</f>
        <v>1</v>
      </c>
      <c r="J99" s="26">
        <f>Source!P36</f>
        <v>67009.75</v>
      </c>
      <c r="K99" s="26"/>
    </row>
    <row r="100" spans="1:22" ht="42.75" x14ac:dyDescent="0.2">
      <c r="A100" s="21" t="str">
        <f>Source!E37</f>
        <v>9,1</v>
      </c>
      <c r="B100" s="22" t="str">
        <f>Source!F37</f>
        <v>21.3-3-18</v>
      </c>
      <c r="C100" s="22" t="str">
        <f>Source!G37</f>
        <v>Смеси асфальтобетонные дорожные горячие мелкозернистые, марка I, тип Б</v>
      </c>
      <c r="D100" s="23" t="str">
        <f>Source!H37</f>
        <v>т</v>
      </c>
      <c r="E100" s="9">
        <f>Source!I37</f>
        <v>-24.908000000000001</v>
      </c>
      <c r="F100" s="25">
        <f>Source!AK37</f>
        <v>2690.29</v>
      </c>
      <c r="G100" s="32" t="s">
        <v>521</v>
      </c>
      <c r="H100" s="9">
        <f>Source!AW37</f>
        <v>1</v>
      </c>
      <c r="I100" s="9">
        <f>IF(Source!BC37&lt;&gt; 0, Source!BC37, 1)</f>
        <v>1</v>
      </c>
      <c r="J100" s="26">
        <f>Source!O37</f>
        <v>-67009.740000000005</v>
      </c>
      <c r="K100" s="26"/>
      <c r="Q100">
        <f>ROUND((Source!BZ37/100)*ROUND((Source!AF37*Source!AV37)*Source!I37, 2), 2)</f>
        <v>0</v>
      </c>
      <c r="R100">
        <f>Source!X37</f>
        <v>0</v>
      </c>
      <c r="S100">
        <f>ROUND((Source!CA37/100)*ROUND((Source!AF37*Source!AV37)*Source!I37, 2), 2)</f>
        <v>0</v>
      </c>
      <c r="T100">
        <f>Source!Y37</f>
        <v>0</v>
      </c>
      <c r="U100">
        <f>ROUND((175/100)*ROUND((Source!AE37*Source!AV37)*Source!I37, 2), 2)</f>
        <v>0</v>
      </c>
      <c r="V100">
        <f>ROUND((108/100)*ROUND(Source!CS37*Source!I37, 2), 2)</f>
        <v>0</v>
      </c>
    </row>
    <row r="101" spans="1:22" ht="42.75" x14ac:dyDescent="0.2">
      <c r="A101" s="21" t="str">
        <f>Source!E38</f>
        <v>9,2</v>
      </c>
      <c r="B101" s="22" t="str">
        <f>Source!F38</f>
        <v>21.3-3-19</v>
      </c>
      <c r="C101" s="22" t="str">
        <f>Source!G38</f>
        <v>Смеси асфальтобетонные дорожные горячие мелкозернистые, марка II, тип В</v>
      </c>
      <c r="D101" s="23" t="str">
        <f>Source!H38</f>
        <v>т</v>
      </c>
      <c r="E101" s="9">
        <f>Source!I38</f>
        <v>25.116</v>
      </c>
      <c r="F101" s="25">
        <f>Source!AK38</f>
        <v>2562.79</v>
      </c>
      <c r="G101" s="32" t="s">
        <v>521</v>
      </c>
      <c r="H101" s="9">
        <f>Source!AW38</f>
        <v>1</v>
      </c>
      <c r="I101" s="9">
        <f>IF(Source!BC38&lt;&gt; 0, Source!BC38, 1)</f>
        <v>1</v>
      </c>
      <c r="J101" s="26">
        <f>Source!O38</f>
        <v>64367.03</v>
      </c>
      <c r="K101" s="26"/>
      <c r="Q101">
        <f>ROUND((Source!BZ38/100)*ROUND((Source!AF38*Source!AV38)*Source!I38, 2), 2)</f>
        <v>0</v>
      </c>
      <c r="R101">
        <f>Source!X38</f>
        <v>0</v>
      </c>
      <c r="S101">
        <f>ROUND((Source!CA38/100)*ROUND((Source!AF38*Source!AV38)*Source!I38, 2), 2)</f>
        <v>0</v>
      </c>
      <c r="T101">
        <f>Source!Y38</f>
        <v>0</v>
      </c>
      <c r="U101">
        <f>ROUND((175/100)*ROUND((Source!AE38*Source!AV38)*Source!I38, 2), 2)</f>
        <v>0</v>
      </c>
      <c r="V101">
        <f>ROUND((108/100)*ROUND(Source!CS38*Source!I38, 2), 2)</f>
        <v>0</v>
      </c>
    </row>
    <row r="102" spans="1:22" ht="14.25" x14ac:dyDescent="0.2">
      <c r="A102" s="21"/>
      <c r="B102" s="22"/>
      <c r="C102" s="22" t="s">
        <v>513</v>
      </c>
      <c r="D102" s="23" t="s">
        <v>514</v>
      </c>
      <c r="E102" s="9">
        <f>Source!AT36</f>
        <v>70</v>
      </c>
      <c r="F102" s="25"/>
      <c r="G102" s="24"/>
      <c r="H102" s="9"/>
      <c r="I102" s="9"/>
      <c r="J102" s="26">
        <f>SUM(R94:R101)</f>
        <v>5646.8</v>
      </c>
      <c r="K102" s="26"/>
    </row>
    <row r="103" spans="1:22" ht="14.25" x14ac:dyDescent="0.2">
      <c r="A103" s="21"/>
      <c r="B103" s="22"/>
      <c r="C103" s="22" t="s">
        <v>515</v>
      </c>
      <c r="D103" s="23" t="s">
        <v>514</v>
      </c>
      <c r="E103" s="9">
        <f>Source!AU36</f>
        <v>10</v>
      </c>
      <c r="F103" s="25"/>
      <c r="G103" s="24"/>
      <c r="H103" s="9"/>
      <c r="I103" s="9"/>
      <c r="J103" s="26">
        <f>SUM(T94:T102)</f>
        <v>806.69</v>
      </c>
      <c r="K103" s="26"/>
    </row>
    <row r="104" spans="1:22" ht="14.25" x14ac:dyDescent="0.2">
      <c r="A104" s="21"/>
      <c r="B104" s="22"/>
      <c r="C104" s="22" t="s">
        <v>516</v>
      </c>
      <c r="D104" s="23" t="s">
        <v>514</v>
      </c>
      <c r="E104" s="9">
        <f>108</f>
        <v>108</v>
      </c>
      <c r="F104" s="25"/>
      <c r="G104" s="24"/>
      <c r="H104" s="9"/>
      <c r="I104" s="9"/>
      <c r="J104" s="26">
        <f>SUM(V94:V103)</f>
        <v>2596.81</v>
      </c>
      <c r="K104" s="26"/>
    </row>
    <row r="105" spans="1:22" ht="14.25" x14ac:dyDescent="0.2">
      <c r="A105" s="21"/>
      <c r="B105" s="22"/>
      <c r="C105" s="22" t="s">
        <v>517</v>
      </c>
      <c r="D105" s="23" t="s">
        <v>518</v>
      </c>
      <c r="E105" s="9">
        <f>Source!AQ36</f>
        <v>13.57</v>
      </c>
      <c r="F105" s="25"/>
      <c r="G105" s="24" t="str">
        <f>Source!DI36</f>
        <v/>
      </c>
      <c r="H105" s="9">
        <f>Source!AV36</f>
        <v>1</v>
      </c>
      <c r="I105" s="9"/>
      <c r="J105" s="26"/>
      <c r="K105" s="26">
        <f>Source!U36</f>
        <v>35.282000000000004</v>
      </c>
    </row>
    <row r="106" spans="1:22" ht="15" x14ac:dyDescent="0.25">
      <c r="A106" s="30"/>
      <c r="B106" s="30"/>
      <c r="C106" s="30"/>
      <c r="D106" s="30"/>
      <c r="E106" s="30"/>
      <c r="F106" s="30"/>
      <c r="G106" s="30"/>
      <c r="H106" s="30"/>
      <c r="I106" s="51">
        <f>J96+J97+J99+J102+J103+J104+SUM(J100:J101)</f>
        <v>85729.43</v>
      </c>
      <c r="J106" s="51"/>
      <c r="K106" s="31">
        <f>IF(Source!I36&lt;&gt;0, ROUND(I106/Source!I36, 2), 0)</f>
        <v>32972.86</v>
      </c>
      <c r="P106" s="29">
        <f>I106</f>
        <v>85729.43</v>
      </c>
    </row>
    <row r="107" spans="1:22" ht="57" x14ac:dyDescent="0.2">
      <c r="A107" s="21" t="str">
        <f>Source!E39</f>
        <v>10</v>
      </c>
      <c r="B107" s="22" t="str">
        <f>Source!F39</f>
        <v>5.3-3103-11-1/1</v>
      </c>
      <c r="C107" s="22" t="str">
        <f>Source!G39</f>
        <v>Устройство наливного полиуретанового покрытия спортивных площадок и беговых дорожек толщиной 10 мм</v>
      </c>
      <c r="D107" s="23" t="str">
        <f>Source!H39</f>
        <v>100 м2</v>
      </c>
      <c r="E107" s="9">
        <f>Source!I39</f>
        <v>2.6</v>
      </c>
      <c r="F107" s="25"/>
      <c r="G107" s="24"/>
      <c r="H107" s="9"/>
      <c r="I107" s="9"/>
      <c r="J107" s="26"/>
      <c r="K107" s="26"/>
      <c r="Q107">
        <f>ROUND((Source!BZ39/100)*ROUND((Source!AF39*Source!AV39)*Source!I39, 2), 2)</f>
        <v>7419.47</v>
      </c>
      <c r="R107">
        <f>Source!X39</f>
        <v>7419.47</v>
      </c>
      <c r="S107">
        <f>ROUND((Source!CA39/100)*ROUND((Source!AF39*Source!AV39)*Source!I39, 2), 2)</f>
        <v>1059.92</v>
      </c>
      <c r="T107">
        <f>Source!Y39</f>
        <v>1059.92</v>
      </c>
      <c r="U107">
        <f>ROUND((175/100)*ROUND((Source!AE39*Source!AV39)*Source!I39, 2), 2)</f>
        <v>9388.75</v>
      </c>
      <c r="V107">
        <f>ROUND((108/100)*ROUND(Source!CS39*Source!I39, 2), 2)</f>
        <v>5794.2</v>
      </c>
    </row>
    <row r="108" spans="1:22" x14ac:dyDescent="0.2">
      <c r="C108" s="27" t="str">
        <f>"Объем: "&amp;Source!I39&amp;"=(260)/"&amp;"100"</f>
        <v>Объем: 2,6=(260)/100</v>
      </c>
    </row>
    <row r="109" spans="1:22" ht="14.25" x14ac:dyDescent="0.2">
      <c r="A109" s="21"/>
      <c r="B109" s="22"/>
      <c r="C109" s="22" t="s">
        <v>510</v>
      </c>
      <c r="D109" s="23"/>
      <c r="E109" s="9"/>
      <c r="F109" s="25">
        <f>Source!AO39</f>
        <v>4076.63</v>
      </c>
      <c r="G109" s="24" t="str">
        <f>Source!DG39</f>
        <v/>
      </c>
      <c r="H109" s="9">
        <f>Source!AV39</f>
        <v>1</v>
      </c>
      <c r="I109" s="9">
        <f>IF(Source!BA39&lt;&gt; 0, Source!BA39, 1)</f>
        <v>1</v>
      </c>
      <c r="J109" s="26">
        <f>Source!S39</f>
        <v>10599.24</v>
      </c>
      <c r="K109" s="26"/>
    </row>
    <row r="110" spans="1:22" ht="14.25" x14ac:dyDescent="0.2">
      <c r="A110" s="21"/>
      <c r="B110" s="22"/>
      <c r="C110" s="22" t="s">
        <v>511</v>
      </c>
      <c r="D110" s="23"/>
      <c r="E110" s="9"/>
      <c r="F110" s="25">
        <f>Source!AM39</f>
        <v>2617.25</v>
      </c>
      <c r="G110" s="24" t="str">
        <f>Source!DE39</f>
        <v/>
      </c>
      <c r="H110" s="9">
        <f>Source!AV39</f>
        <v>1</v>
      </c>
      <c r="I110" s="9">
        <f>IF(Source!BB39&lt;&gt; 0, Source!BB39, 1)</f>
        <v>1</v>
      </c>
      <c r="J110" s="26">
        <f>Source!Q39</f>
        <v>6804.85</v>
      </c>
      <c r="K110" s="26"/>
    </row>
    <row r="111" spans="1:22" ht="14.25" x14ac:dyDescent="0.2">
      <c r="A111" s="21"/>
      <c r="B111" s="22"/>
      <c r="C111" s="22" t="s">
        <v>512</v>
      </c>
      <c r="D111" s="23"/>
      <c r="E111" s="9"/>
      <c r="F111" s="25">
        <f>Source!AN39</f>
        <v>2063.46</v>
      </c>
      <c r="G111" s="24" t="str">
        <f>Source!DF39</f>
        <v/>
      </c>
      <c r="H111" s="9">
        <f>Source!AV39</f>
        <v>1</v>
      </c>
      <c r="I111" s="9">
        <f>IF(Source!BS39&lt;&gt; 0, Source!BS39, 1)</f>
        <v>1</v>
      </c>
      <c r="J111" s="28">
        <f>Source!R39</f>
        <v>5365</v>
      </c>
      <c r="K111" s="26"/>
    </row>
    <row r="112" spans="1:22" ht="14.25" x14ac:dyDescent="0.2">
      <c r="A112" s="21"/>
      <c r="B112" s="22"/>
      <c r="C112" s="22" t="s">
        <v>520</v>
      </c>
      <c r="D112" s="23"/>
      <c r="E112" s="9"/>
      <c r="F112" s="25">
        <f>Source!AL39</f>
        <v>102359.62</v>
      </c>
      <c r="G112" s="24" t="str">
        <f>Source!DD39</f>
        <v/>
      </c>
      <c r="H112" s="9">
        <f>Source!AW39</f>
        <v>1</v>
      </c>
      <c r="I112" s="9">
        <f>IF(Source!BC39&lt;&gt; 0, Source!BC39, 1)</f>
        <v>1</v>
      </c>
      <c r="J112" s="26">
        <f>Source!P39</f>
        <v>266135.01</v>
      </c>
      <c r="K112" s="26"/>
    </row>
    <row r="113" spans="1:22" ht="28.5" x14ac:dyDescent="0.2">
      <c r="A113" s="21" t="str">
        <f>Source!E40</f>
        <v>10,1</v>
      </c>
      <c r="B113" s="22" t="str">
        <f>Source!F40</f>
        <v>21.1-6-101</v>
      </c>
      <c r="C113" s="22" t="str">
        <f>Source!G40</f>
        <v>Пигменты сухие для красок, кислотный желтый</v>
      </c>
      <c r="D113" s="23" t="str">
        <f>Source!H40</f>
        <v>т</v>
      </c>
      <c r="E113" s="9">
        <f>Source!I40</f>
        <v>-0.13650000000000001</v>
      </c>
      <c r="F113" s="25">
        <f>Source!AK40</f>
        <v>748299.67</v>
      </c>
      <c r="G113" s="32" t="s">
        <v>521</v>
      </c>
      <c r="H113" s="9">
        <f>Source!AW40</f>
        <v>1</v>
      </c>
      <c r="I113" s="9">
        <f>IF(Source!BC40&lt;&gt; 0, Source!BC40, 1)</f>
        <v>1</v>
      </c>
      <c r="J113" s="26">
        <f>Source!O40</f>
        <v>-102142.9</v>
      </c>
      <c r="K113" s="26"/>
      <c r="Q113">
        <f>ROUND((Source!BZ40/100)*ROUND((Source!AF40*Source!AV40)*Source!I40, 2), 2)</f>
        <v>0</v>
      </c>
      <c r="R113">
        <f>Source!X40</f>
        <v>0</v>
      </c>
      <c r="S113">
        <f>ROUND((Source!CA40/100)*ROUND((Source!AF40*Source!AV40)*Source!I40, 2), 2)</f>
        <v>0</v>
      </c>
      <c r="T113">
        <f>Source!Y40</f>
        <v>0</v>
      </c>
      <c r="U113">
        <f>ROUND((175/100)*ROUND((Source!AE40*Source!AV40)*Source!I40, 2), 2)</f>
        <v>0</v>
      </c>
      <c r="V113">
        <f>ROUND((108/100)*ROUND(Source!CS40*Source!I40, 2), 2)</f>
        <v>0</v>
      </c>
    </row>
    <row r="114" spans="1:22" ht="14.25" x14ac:dyDescent="0.2">
      <c r="A114" s="21"/>
      <c r="B114" s="22"/>
      <c r="C114" s="22" t="s">
        <v>513</v>
      </c>
      <c r="D114" s="23" t="s">
        <v>514</v>
      </c>
      <c r="E114" s="9">
        <f>Source!AT39</f>
        <v>70</v>
      </c>
      <c r="F114" s="25"/>
      <c r="G114" s="24"/>
      <c r="H114" s="9"/>
      <c r="I114" s="9"/>
      <c r="J114" s="26">
        <f>SUM(R107:R113)</f>
        <v>7419.47</v>
      </c>
      <c r="K114" s="26"/>
    </row>
    <row r="115" spans="1:22" ht="14.25" x14ac:dyDescent="0.2">
      <c r="A115" s="21"/>
      <c r="B115" s="22"/>
      <c r="C115" s="22" t="s">
        <v>515</v>
      </c>
      <c r="D115" s="23" t="s">
        <v>514</v>
      </c>
      <c r="E115" s="9">
        <f>Source!AU39</f>
        <v>10</v>
      </c>
      <c r="F115" s="25"/>
      <c r="G115" s="24"/>
      <c r="H115" s="9"/>
      <c r="I115" s="9"/>
      <c r="J115" s="26">
        <f>SUM(T107:T114)</f>
        <v>1059.92</v>
      </c>
      <c r="K115" s="26"/>
    </row>
    <row r="116" spans="1:22" ht="14.25" x14ac:dyDescent="0.2">
      <c r="A116" s="21"/>
      <c r="B116" s="22"/>
      <c r="C116" s="22" t="s">
        <v>516</v>
      </c>
      <c r="D116" s="23" t="s">
        <v>514</v>
      </c>
      <c r="E116" s="9">
        <f>108</f>
        <v>108</v>
      </c>
      <c r="F116" s="25"/>
      <c r="G116" s="24"/>
      <c r="H116" s="9"/>
      <c r="I116" s="9"/>
      <c r="J116" s="26">
        <f>SUM(V107:V115)</f>
        <v>5794.2</v>
      </c>
      <c r="K116" s="26"/>
    </row>
    <row r="117" spans="1:22" ht="14.25" x14ac:dyDescent="0.2">
      <c r="A117" s="21"/>
      <c r="B117" s="22"/>
      <c r="C117" s="22" t="s">
        <v>517</v>
      </c>
      <c r="D117" s="23" t="s">
        <v>518</v>
      </c>
      <c r="E117" s="9">
        <f>Source!AQ39</f>
        <v>18.440000000000001</v>
      </c>
      <c r="F117" s="25"/>
      <c r="G117" s="24" t="str">
        <f>Source!DI39</f>
        <v/>
      </c>
      <c r="H117" s="9">
        <f>Source!AV39</f>
        <v>1</v>
      </c>
      <c r="I117" s="9"/>
      <c r="J117" s="26"/>
      <c r="K117" s="26">
        <f>Source!U39</f>
        <v>47.944000000000003</v>
      </c>
    </row>
    <row r="118" spans="1:22" ht="15" x14ac:dyDescent="0.25">
      <c r="A118" s="30"/>
      <c r="B118" s="30"/>
      <c r="C118" s="30"/>
      <c r="D118" s="30"/>
      <c r="E118" s="30"/>
      <c r="F118" s="30"/>
      <c r="G118" s="30"/>
      <c r="H118" s="30"/>
      <c r="I118" s="51">
        <f>J109+J110+J112+J114+J115+J116+SUM(J113:J113)</f>
        <v>195669.79</v>
      </c>
      <c r="J118" s="51"/>
      <c r="K118" s="31">
        <f>IF(Source!I39&lt;&gt;0, ROUND(I118/Source!I39, 2), 0)</f>
        <v>75257.61</v>
      </c>
      <c r="P118" s="29">
        <f>I118</f>
        <v>195669.79</v>
      </c>
    </row>
    <row r="119" spans="1:22" ht="57" x14ac:dyDescent="0.2">
      <c r="A119" s="21" t="str">
        <f>Source!E41</f>
        <v>11</v>
      </c>
      <c r="B119" s="22" t="str">
        <f>Source!F41</f>
        <v>5.3-3103-11-1/1</v>
      </c>
      <c r="C119" s="22" t="str">
        <f>Source!G41</f>
        <v>Устройство наливного полиуретанового покрытия спортивных площадок и беговых дорожек толщиной 10 мм</v>
      </c>
      <c r="D119" s="23" t="str">
        <f>Source!H41</f>
        <v>100 м2</v>
      </c>
      <c r="E119" s="9">
        <f>Source!I41</f>
        <v>2.6</v>
      </c>
      <c r="F119" s="25"/>
      <c r="G119" s="24"/>
      <c r="H119" s="9"/>
      <c r="I119" s="9"/>
      <c r="J119" s="26"/>
      <c r="K119" s="26"/>
      <c r="Q119">
        <f>ROUND((Source!BZ41/100)*ROUND((Source!AF41*Source!AV41)*Source!I41, 2), 2)</f>
        <v>7419.47</v>
      </c>
      <c r="R119">
        <f>Source!X41</f>
        <v>7419.47</v>
      </c>
      <c r="S119">
        <f>ROUND((Source!CA41/100)*ROUND((Source!AF41*Source!AV41)*Source!I41, 2), 2)</f>
        <v>1059.92</v>
      </c>
      <c r="T119">
        <f>Source!Y41</f>
        <v>1059.92</v>
      </c>
      <c r="U119">
        <f>ROUND((175/100)*ROUND((Source!AE41*Source!AV41)*Source!I41, 2), 2)</f>
        <v>9388.75</v>
      </c>
      <c r="V119">
        <f>ROUND((108/100)*ROUND(Source!CS41*Source!I41, 2), 2)</f>
        <v>5794.2</v>
      </c>
    </row>
    <row r="120" spans="1:22" x14ac:dyDescent="0.2">
      <c r="C120" s="27" t="str">
        <f>"Объем: "&amp;Source!I41&amp;"=(260)/"&amp;"100"</f>
        <v>Объем: 2,6=(260)/100</v>
      </c>
    </row>
    <row r="121" spans="1:22" ht="14.25" x14ac:dyDescent="0.2">
      <c r="A121" s="21"/>
      <c r="B121" s="22"/>
      <c r="C121" s="22" t="s">
        <v>510</v>
      </c>
      <c r="D121" s="23"/>
      <c r="E121" s="9"/>
      <c r="F121" s="25">
        <f>Source!AO41</f>
        <v>4076.63</v>
      </c>
      <c r="G121" s="24" t="str">
        <f>Source!DG41</f>
        <v/>
      </c>
      <c r="H121" s="9">
        <f>Source!AV41</f>
        <v>1</v>
      </c>
      <c r="I121" s="9">
        <f>IF(Source!BA41&lt;&gt; 0, Source!BA41, 1)</f>
        <v>1</v>
      </c>
      <c r="J121" s="26">
        <f>Source!S41</f>
        <v>10599.24</v>
      </c>
      <c r="K121" s="26"/>
    </row>
    <row r="122" spans="1:22" ht="14.25" x14ac:dyDescent="0.2">
      <c r="A122" s="21"/>
      <c r="B122" s="22"/>
      <c r="C122" s="22" t="s">
        <v>511</v>
      </c>
      <c r="D122" s="23"/>
      <c r="E122" s="9"/>
      <c r="F122" s="25">
        <f>Source!AM41</f>
        <v>2617.25</v>
      </c>
      <c r="G122" s="24" t="str">
        <f>Source!DE41</f>
        <v/>
      </c>
      <c r="H122" s="9">
        <f>Source!AV41</f>
        <v>1</v>
      </c>
      <c r="I122" s="9">
        <f>IF(Source!BB41&lt;&gt; 0, Source!BB41, 1)</f>
        <v>1</v>
      </c>
      <c r="J122" s="26">
        <f>Source!Q41</f>
        <v>6804.85</v>
      </c>
      <c r="K122" s="26"/>
    </row>
    <row r="123" spans="1:22" ht="14.25" x14ac:dyDescent="0.2">
      <c r="A123" s="21"/>
      <c r="B123" s="22"/>
      <c r="C123" s="22" t="s">
        <v>512</v>
      </c>
      <c r="D123" s="23"/>
      <c r="E123" s="9"/>
      <c r="F123" s="25">
        <f>Source!AN41</f>
        <v>2063.46</v>
      </c>
      <c r="G123" s="24" t="str">
        <f>Source!DF41</f>
        <v/>
      </c>
      <c r="H123" s="9">
        <f>Source!AV41</f>
        <v>1</v>
      </c>
      <c r="I123" s="9">
        <f>IF(Source!BS41&lt;&gt; 0, Source!BS41, 1)</f>
        <v>1</v>
      </c>
      <c r="J123" s="28">
        <f>Source!R41</f>
        <v>5365</v>
      </c>
      <c r="K123" s="26"/>
    </row>
    <row r="124" spans="1:22" ht="14.25" x14ac:dyDescent="0.2">
      <c r="A124" s="21"/>
      <c r="B124" s="22"/>
      <c r="C124" s="22" t="s">
        <v>520</v>
      </c>
      <c r="D124" s="23"/>
      <c r="E124" s="9"/>
      <c r="F124" s="25">
        <f>Source!AL41</f>
        <v>102359.62</v>
      </c>
      <c r="G124" s="24" t="str">
        <f>Source!DD41</f>
        <v/>
      </c>
      <c r="H124" s="9">
        <f>Source!AW41</f>
        <v>1</v>
      </c>
      <c r="I124" s="9">
        <f>IF(Source!BC41&lt;&gt; 0, Source!BC41, 1)</f>
        <v>1</v>
      </c>
      <c r="J124" s="26">
        <f>Source!P41</f>
        <v>266135.01</v>
      </c>
      <c r="K124" s="26"/>
    </row>
    <row r="125" spans="1:22" ht="14.25" x14ac:dyDescent="0.2">
      <c r="A125" s="21"/>
      <c r="B125" s="22"/>
      <c r="C125" s="22" t="s">
        <v>513</v>
      </c>
      <c r="D125" s="23" t="s">
        <v>514</v>
      </c>
      <c r="E125" s="9">
        <f>Source!AT41</f>
        <v>70</v>
      </c>
      <c r="F125" s="25"/>
      <c r="G125" s="24"/>
      <c r="H125" s="9"/>
      <c r="I125" s="9"/>
      <c r="J125" s="26">
        <f>SUM(R119:R124)</f>
        <v>7419.47</v>
      </c>
      <c r="K125" s="26"/>
    </row>
    <row r="126" spans="1:22" ht="14.25" x14ac:dyDescent="0.2">
      <c r="A126" s="21"/>
      <c r="B126" s="22"/>
      <c r="C126" s="22" t="s">
        <v>515</v>
      </c>
      <c r="D126" s="23" t="s">
        <v>514</v>
      </c>
      <c r="E126" s="9">
        <f>Source!AU41</f>
        <v>10</v>
      </c>
      <c r="F126" s="25"/>
      <c r="G126" s="24"/>
      <c r="H126" s="9"/>
      <c r="I126" s="9"/>
      <c r="J126" s="26">
        <f>SUM(T119:T125)</f>
        <v>1059.92</v>
      </c>
      <c r="K126" s="26"/>
    </row>
    <row r="127" spans="1:22" ht="14.25" x14ac:dyDescent="0.2">
      <c r="A127" s="21"/>
      <c r="B127" s="22"/>
      <c r="C127" s="22" t="s">
        <v>516</v>
      </c>
      <c r="D127" s="23" t="s">
        <v>514</v>
      </c>
      <c r="E127" s="9">
        <f>108</f>
        <v>108</v>
      </c>
      <c r="F127" s="25"/>
      <c r="G127" s="24"/>
      <c r="H127" s="9"/>
      <c r="I127" s="9"/>
      <c r="J127" s="26">
        <f>SUM(V119:V126)</f>
        <v>5794.2</v>
      </c>
      <c r="K127" s="26"/>
    </row>
    <row r="128" spans="1:22" ht="14.25" x14ac:dyDescent="0.2">
      <c r="A128" s="21"/>
      <c r="B128" s="22"/>
      <c r="C128" s="22" t="s">
        <v>517</v>
      </c>
      <c r="D128" s="23" t="s">
        <v>518</v>
      </c>
      <c r="E128" s="9">
        <f>Source!AQ41</f>
        <v>18.440000000000001</v>
      </c>
      <c r="F128" s="25"/>
      <c r="G128" s="24" t="str">
        <f>Source!DI41</f>
        <v/>
      </c>
      <c r="H128" s="9">
        <f>Source!AV41</f>
        <v>1</v>
      </c>
      <c r="I128" s="9"/>
      <c r="J128" s="26"/>
      <c r="K128" s="26">
        <f>Source!U41</f>
        <v>47.944000000000003</v>
      </c>
    </row>
    <row r="129" spans="1:32" ht="15" x14ac:dyDescent="0.25">
      <c r="A129" s="30"/>
      <c r="B129" s="30"/>
      <c r="C129" s="30"/>
      <c r="D129" s="30"/>
      <c r="E129" s="30"/>
      <c r="F129" s="30"/>
      <c r="G129" s="30"/>
      <c r="H129" s="30"/>
      <c r="I129" s="51">
        <f>J121+J122+J124+J125+J126+J127</f>
        <v>297812.69</v>
      </c>
      <c r="J129" s="51"/>
      <c r="K129" s="31">
        <f>IF(Source!I41&lt;&gt;0, ROUND(I129/Source!I41, 2), 0)</f>
        <v>114543.34</v>
      </c>
      <c r="P129" s="29">
        <f>I129</f>
        <v>297812.69</v>
      </c>
    </row>
    <row r="130" spans="1:32" ht="42.75" x14ac:dyDescent="0.2">
      <c r="A130" s="21" t="str">
        <f>Source!E42</f>
        <v>12</v>
      </c>
      <c r="B130" s="22" t="str">
        <f>Source!F42</f>
        <v>2.1-3203-1-2/1</v>
      </c>
      <c r="C130" s="22" t="str">
        <f>Source!G42</f>
        <v>Установка бортовых камней бетонных марки БР 100.30.15 при других видах покрытий (материал Заказчика)</v>
      </c>
      <c r="D130" s="23" t="str">
        <f>Source!H42</f>
        <v>100 м</v>
      </c>
      <c r="E130" s="9">
        <f>Source!I42</f>
        <v>0.69</v>
      </c>
      <c r="F130" s="25"/>
      <c r="G130" s="24"/>
      <c r="H130" s="9"/>
      <c r="I130" s="9"/>
      <c r="J130" s="26"/>
      <c r="K130" s="26"/>
      <c r="Q130">
        <f>ROUND((Source!BZ42/100)*ROUND((Source!AF42*Source!AV42)*Source!I42, 2), 2)</f>
        <v>7671.89</v>
      </c>
      <c r="R130">
        <f>Source!X42</f>
        <v>7671.89</v>
      </c>
      <c r="S130">
        <f>ROUND((Source!CA42/100)*ROUND((Source!AF42*Source!AV42)*Source!I42, 2), 2)</f>
        <v>1095.98</v>
      </c>
      <c r="T130">
        <f>Source!Y42</f>
        <v>1095.98</v>
      </c>
      <c r="U130">
        <f>ROUND((175/100)*ROUND((Source!AE42*Source!AV42)*Source!I42, 2), 2)</f>
        <v>0</v>
      </c>
      <c r="V130">
        <f>ROUND((108/100)*ROUND(Source!CS42*Source!I42, 2), 2)</f>
        <v>0</v>
      </c>
    </row>
    <row r="131" spans="1:32" x14ac:dyDescent="0.2">
      <c r="C131" s="27" t="str">
        <f>"Объем: "&amp;Source!I42&amp;"=69/"&amp;"100"</f>
        <v>Объем: 0,69=69/100</v>
      </c>
    </row>
    <row r="132" spans="1:32" ht="14.25" x14ac:dyDescent="0.2">
      <c r="A132" s="21"/>
      <c r="B132" s="22"/>
      <c r="C132" s="22" t="s">
        <v>510</v>
      </c>
      <c r="D132" s="23"/>
      <c r="E132" s="9"/>
      <c r="F132" s="25">
        <f>Source!AO42</f>
        <v>15883.83</v>
      </c>
      <c r="G132" s="24" t="str">
        <f>Source!DG42</f>
        <v/>
      </c>
      <c r="H132" s="9">
        <f>Source!AV42</f>
        <v>1</v>
      </c>
      <c r="I132" s="9">
        <f>IF(Source!BA42&lt;&gt; 0, Source!BA42, 1)</f>
        <v>1</v>
      </c>
      <c r="J132" s="26">
        <f>Source!S42</f>
        <v>10959.84</v>
      </c>
      <c r="K132" s="26"/>
    </row>
    <row r="133" spans="1:32" ht="14.25" x14ac:dyDescent="0.2">
      <c r="A133" s="21"/>
      <c r="B133" s="22"/>
      <c r="C133" s="22" t="s">
        <v>520</v>
      </c>
      <c r="D133" s="23"/>
      <c r="E133" s="9"/>
      <c r="F133" s="25">
        <f>Source!AL42</f>
        <v>55802.41</v>
      </c>
      <c r="G133" s="24" t="str">
        <f>Source!DD42</f>
        <v/>
      </c>
      <c r="H133" s="9">
        <f>Source!AW42</f>
        <v>1</v>
      </c>
      <c r="I133" s="9">
        <f>IF(Source!BC42&lt;&gt; 0, Source!BC42, 1)</f>
        <v>1</v>
      </c>
      <c r="J133" s="26">
        <f>Source!P42</f>
        <v>38503.660000000003</v>
      </c>
      <c r="K133" s="26"/>
    </row>
    <row r="134" spans="1:32" ht="28.5" x14ac:dyDescent="0.2">
      <c r="A134" s="21" t="str">
        <f>Source!E44</f>
        <v>12,2</v>
      </c>
      <c r="B134" s="22" t="str">
        <f>Source!F44</f>
        <v>21.5-3-13</v>
      </c>
      <c r="C134" s="22" t="str">
        <f>Source!G44</f>
        <v>Камни бетонные бортовые, марка БР 100.30.15</v>
      </c>
      <c r="D134" s="23" t="str">
        <f>Source!H44</f>
        <v>м3</v>
      </c>
      <c r="E134" s="9">
        <f>Source!I44</f>
        <v>-2.9670000000000001</v>
      </c>
      <c r="F134" s="25">
        <f>Source!AK44</f>
        <v>7833.01</v>
      </c>
      <c r="G134" s="32" t="s">
        <v>521</v>
      </c>
      <c r="H134" s="9">
        <f>Source!AW44</f>
        <v>1</v>
      </c>
      <c r="I134" s="9">
        <f>IF(Source!BC44&lt;&gt; 0, Source!BC44, 1)</f>
        <v>1</v>
      </c>
      <c r="J134" s="26">
        <f>Source!O44</f>
        <v>-23240.54</v>
      </c>
      <c r="K134" s="26"/>
      <c r="Q134">
        <f>ROUND((Source!BZ44/100)*ROUND((Source!AF44*Source!AV44)*Source!I44, 2), 2)</f>
        <v>0</v>
      </c>
      <c r="R134">
        <f>Source!X44</f>
        <v>0</v>
      </c>
      <c r="S134">
        <f>ROUND((Source!CA44/100)*ROUND((Source!AF44*Source!AV44)*Source!I44, 2), 2)</f>
        <v>0</v>
      </c>
      <c r="T134">
        <f>Source!Y44</f>
        <v>0</v>
      </c>
      <c r="U134">
        <f>ROUND((175/100)*ROUND((Source!AE44*Source!AV44)*Source!I44, 2), 2)</f>
        <v>0</v>
      </c>
      <c r="V134">
        <f>ROUND((108/100)*ROUND(Source!CS44*Source!I44, 2), 2)</f>
        <v>0</v>
      </c>
    </row>
    <row r="135" spans="1:32" ht="14.25" x14ac:dyDescent="0.2">
      <c r="A135" s="21"/>
      <c r="B135" s="22"/>
      <c r="C135" s="22" t="s">
        <v>513</v>
      </c>
      <c r="D135" s="23" t="s">
        <v>514</v>
      </c>
      <c r="E135" s="9">
        <f>Source!AT42</f>
        <v>70</v>
      </c>
      <c r="F135" s="25"/>
      <c r="G135" s="24"/>
      <c r="H135" s="9"/>
      <c r="I135" s="9"/>
      <c r="J135" s="26">
        <f>SUM(R130:R134)</f>
        <v>7671.89</v>
      </c>
      <c r="K135" s="26"/>
    </row>
    <row r="136" spans="1:32" ht="14.25" x14ac:dyDescent="0.2">
      <c r="A136" s="21"/>
      <c r="B136" s="22"/>
      <c r="C136" s="22" t="s">
        <v>515</v>
      </c>
      <c r="D136" s="23" t="s">
        <v>514</v>
      </c>
      <c r="E136" s="9">
        <f>Source!AU42</f>
        <v>10</v>
      </c>
      <c r="F136" s="25"/>
      <c r="G136" s="24"/>
      <c r="H136" s="9"/>
      <c r="I136" s="9"/>
      <c r="J136" s="26">
        <f>SUM(T130:T135)</f>
        <v>1095.98</v>
      </c>
      <c r="K136" s="26"/>
    </row>
    <row r="137" spans="1:32" ht="14.25" x14ac:dyDescent="0.2">
      <c r="A137" s="21"/>
      <c r="B137" s="22"/>
      <c r="C137" s="22" t="s">
        <v>517</v>
      </c>
      <c r="D137" s="23" t="s">
        <v>518</v>
      </c>
      <c r="E137" s="9">
        <f>Source!AQ42</f>
        <v>80.27</v>
      </c>
      <c r="F137" s="25"/>
      <c r="G137" s="24" t="str">
        <f>Source!DI42</f>
        <v/>
      </c>
      <c r="H137" s="9">
        <f>Source!AV42</f>
        <v>1</v>
      </c>
      <c r="I137" s="9"/>
      <c r="J137" s="26"/>
      <c r="K137" s="26">
        <f>Source!U42</f>
        <v>55.386299999999991</v>
      </c>
    </row>
    <row r="138" spans="1:32" ht="15" x14ac:dyDescent="0.25">
      <c r="A138" s="30"/>
      <c r="B138" s="30"/>
      <c r="C138" s="30"/>
      <c r="D138" s="30"/>
      <c r="E138" s="30"/>
      <c r="F138" s="30"/>
      <c r="G138" s="30"/>
      <c r="H138" s="30"/>
      <c r="I138" s="51">
        <f>J132+J133+J135+J136+SUM(J134:J134)</f>
        <v>34990.83</v>
      </c>
      <c r="J138" s="51"/>
      <c r="K138" s="31">
        <f>IF(Source!I42&lt;&gt;0, ROUND(I138/Source!I42, 2), 0)</f>
        <v>50711.35</v>
      </c>
      <c r="P138" s="29">
        <f>I138</f>
        <v>34990.83</v>
      </c>
    </row>
    <row r="140" spans="1:32" ht="30" x14ac:dyDescent="0.25">
      <c r="A140" s="54" t="str">
        <f>CONCATENATE("Итого по разделу: ",IF(Source!G46&lt;&gt;"Новый раздел", Source!G46, ""))</f>
        <v>Итого по разделу: Ремонт спортивной площадки с заменой песчаного покрытия на синтетическое 260 м2 (резина)</v>
      </c>
      <c r="B140" s="54"/>
      <c r="C140" s="54"/>
      <c r="D140" s="54"/>
      <c r="E140" s="54"/>
      <c r="F140" s="54"/>
      <c r="G140" s="54"/>
      <c r="H140" s="54"/>
      <c r="I140" s="52">
        <f>SUM(P35:P139)</f>
        <v>836928.86</v>
      </c>
      <c r="J140" s="53"/>
      <c r="K140" s="33"/>
      <c r="AF140" s="34" t="str">
        <f>CONCATENATE("Итого по разделу: ",IF(Source!G46&lt;&gt;"Новый раздел", Source!G46, ""))</f>
        <v>Итого по разделу: Ремонт спортивной площадки с заменой песчаного покрытия на синтетическое 260 м2 (резина)</v>
      </c>
    </row>
    <row r="142" spans="1:32" ht="16.5" x14ac:dyDescent="0.25">
      <c r="A142" s="50" t="str">
        <f>CONCATENATE("Раздел: ",IF(Source!G79&lt;&gt;"Новый раздел", Source!G79, ""))</f>
        <v>Раздел: Демонтаж решеточного ограждения 68 м Н=3 м</v>
      </c>
      <c r="B142" s="50"/>
      <c r="C142" s="50"/>
      <c r="D142" s="50"/>
      <c r="E142" s="50"/>
      <c r="F142" s="50"/>
      <c r="G142" s="50"/>
      <c r="H142" s="50"/>
      <c r="I142" s="50"/>
      <c r="J142" s="50"/>
      <c r="K142" s="50"/>
    </row>
    <row r="143" spans="1:32" ht="85.5" x14ac:dyDescent="0.2">
      <c r="A143" s="21" t="str">
        <f>Source!E83</f>
        <v>13</v>
      </c>
      <c r="B143" s="22" t="str">
        <f>Source!F83</f>
        <v>1.50-3203-37-3/1</v>
      </c>
      <c r="C143" s="22" t="str">
        <f>Source!G83</f>
        <v>(демонтаж) Монтаж мелких конструкций из стали различного профиля массой до 100 кг (секции ограждения труба 30х30х3мм (14стоек*2,94м+2поперечины*2,42м)*2,42кг=111,32кг*27секций=3005,6кг)</v>
      </c>
      <c r="D143" s="23" t="str">
        <f>Source!H83</f>
        <v>т</v>
      </c>
      <c r="E143" s="9">
        <f>Source!I83</f>
        <v>3</v>
      </c>
      <c r="F143" s="25"/>
      <c r="G143" s="24"/>
      <c r="H143" s="9"/>
      <c r="I143" s="9"/>
      <c r="J143" s="26"/>
      <c r="K143" s="26"/>
      <c r="Q143">
        <f>ROUND((Source!BZ83/100)*ROUND((Source!AF83*Source!AV83)*Source!I83, 2), 2)</f>
        <v>9446.07</v>
      </c>
      <c r="R143">
        <f>Source!X83</f>
        <v>9446.07</v>
      </c>
      <c r="S143">
        <f>ROUND((Source!CA83/100)*ROUND((Source!AF83*Source!AV83)*Source!I83, 2), 2)</f>
        <v>1349.44</v>
      </c>
      <c r="T143">
        <f>Source!Y83</f>
        <v>1349.44</v>
      </c>
      <c r="U143">
        <f>ROUND((175/100)*ROUND((Source!AE83*Source!AV83)*Source!I83, 2), 2)</f>
        <v>26.93</v>
      </c>
      <c r="V143">
        <f>ROUND((108/100)*ROUND(Source!CS83*Source!I83, 2), 2)</f>
        <v>16.62</v>
      </c>
    </row>
    <row r="144" spans="1:32" x14ac:dyDescent="0.2">
      <c r="C144" s="27" t="str">
        <f>"Объем: "&amp;Source!I83&amp;"=3005/"&amp;"1000"</f>
        <v>Объем: 3=3005/1000</v>
      </c>
    </row>
    <row r="145" spans="1:22" ht="14.25" x14ac:dyDescent="0.2">
      <c r="A145" s="21"/>
      <c r="B145" s="22"/>
      <c r="C145" s="22" t="s">
        <v>510</v>
      </c>
      <c r="D145" s="23"/>
      <c r="E145" s="9"/>
      <c r="F145" s="25">
        <f>Source!AO83</f>
        <v>22490.639999999999</v>
      </c>
      <c r="G145" s="24" t="str">
        <f>Source!DG83</f>
        <v>)*0,2</v>
      </c>
      <c r="H145" s="9">
        <f>Source!AV83</f>
        <v>1</v>
      </c>
      <c r="I145" s="9">
        <f>IF(Source!BA83&lt;&gt; 0, Source!BA83, 1)</f>
        <v>1</v>
      </c>
      <c r="J145" s="26">
        <f>Source!S83</f>
        <v>13494.38</v>
      </c>
      <c r="K145" s="26"/>
    </row>
    <row r="146" spans="1:22" ht="14.25" x14ac:dyDescent="0.2">
      <c r="A146" s="21"/>
      <c r="B146" s="22"/>
      <c r="C146" s="22" t="s">
        <v>511</v>
      </c>
      <c r="D146" s="23"/>
      <c r="E146" s="9"/>
      <c r="F146" s="25">
        <f>Source!AM83</f>
        <v>589</v>
      </c>
      <c r="G146" s="24" t="str">
        <f>Source!DE83</f>
        <v>)*0,2</v>
      </c>
      <c r="H146" s="9">
        <f>Source!AV83</f>
        <v>1</v>
      </c>
      <c r="I146" s="9">
        <f>IF(Source!BB83&lt;&gt; 0, Source!BB83, 1)</f>
        <v>1</v>
      </c>
      <c r="J146" s="26">
        <f>Source!Q83</f>
        <v>353.4</v>
      </c>
      <c r="K146" s="26"/>
    </row>
    <row r="147" spans="1:22" ht="14.25" x14ac:dyDescent="0.2">
      <c r="A147" s="21"/>
      <c r="B147" s="22"/>
      <c r="C147" s="22" t="s">
        <v>512</v>
      </c>
      <c r="D147" s="23"/>
      <c r="E147" s="9"/>
      <c r="F147" s="25">
        <f>Source!AN83</f>
        <v>25.65</v>
      </c>
      <c r="G147" s="24" t="str">
        <f>Source!DF83</f>
        <v>)*0,2</v>
      </c>
      <c r="H147" s="9">
        <f>Source!AV83</f>
        <v>1</v>
      </c>
      <c r="I147" s="9">
        <f>IF(Source!BS83&lt;&gt; 0, Source!BS83, 1)</f>
        <v>1</v>
      </c>
      <c r="J147" s="28">
        <f>Source!R83</f>
        <v>15.39</v>
      </c>
      <c r="K147" s="26"/>
    </row>
    <row r="148" spans="1:22" ht="14.25" x14ac:dyDescent="0.2">
      <c r="A148" s="21"/>
      <c r="B148" s="22"/>
      <c r="C148" s="22" t="s">
        <v>513</v>
      </c>
      <c r="D148" s="23" t="s">
        <v>514</v>
      </c>
      <c r="E148" s="9">
        <f>Source!AT83</f>
        <v>70</v>
      </c>
      <c r="F148" s="25"/>
      <c r="G148" s="24"/>
      <c r="H148" s="9"/>
      <c r="I148" s="9"/>
      <c r="J148" s="26">
        <f>SUM(R143:R147)</f>
        <v>9446.07</v>
      </c>
      <c r="K148" s="26"/>
    </row>
    <row r="149" spans="1:22" ht="14.25" x14ac:dyDescent="0.2">
      <c r="A149" s="21"/>
      <c r="B149" s="22"/>
      <c r="C149" s="22" t="s">
        <v>515</v>
      </c>
      <c r="D149" s="23" t="s">
        <v>514</v>
      </c>
      <c r="E149" s="9">
        <f>Source!AU83</f>
        <v>10</v>
      </c>
      <c r="F149" s="25"/>
      <c r="G149" s="24"/>
      <c r="H149" s="9"/>
      <c r="I149" s="9"/>
      <c r="J149" s="26">
        <f>SUM(T143:T148)</f>
        <v>1349.44</v>
      </c>
      <c r="K149" s="26"/>
    </row>
    <row r="150" spans="1:22" ht="14.25" x14ac:dyDescent="0.2">
      <c r="A150" s="21"/>
      <c r="B150" s="22"/>
      <c r="C150" s="22" t="s">
        <v>516</v>
      </c>
      <c r="D150" s="23" t="s">
        <v>514</v>
      </c>
      <c r="E150" s="9">
        <f>108</f>
        <v>108</v>
      </c>
      <c r="F150" s="25"/>
      <c r="G150" s="24"/>
      <c r="H150" s="9"/>
      <c r="I150" s="9"/>
      <c r="J150" s="26">
        <f>SUM(V143:V149)</f>
        <v>16.62</v>
      </c>
      <c r="K150" s="26"/>
    </row>
    <row r="151" spans="1:22" ht="14.25" x14ac:dyDescent="0.2">
      <c r="A151" s="21"/>
      <c r="B151" s="22"/>
      <c r="C151" s="22" t="s">
        <v>517</v>
      </c>
      <c r="D151" s="23" t="s">
        <v>518</v>
      </c>
      <c r="E151" s="9">
        <f>Source!AQ83</f>
        <v>87.4</v>
      </c>
      <c r="F151" s="25"/>
      <c r="G151" s="24" t="str">
        <f>Source!DI83</f>
        <v>)*0,2</v>
      </c>
      <c r="H151" s="9">
        <f>Source!AV83</f>
        <v>1</v>
      </c>
      <c r="I151" s="9"/>
      <c r="J151" s="26"/>
      <c r="K151" s="26">
        <f>Source!U83</f>
        <v>52.44</v>
      </c>
    </row>
    <row r="152" spans="1:22" ht="15" x14ac:dyDescent="0.25">
      <c r="A152" s="30"/>
      <c r="B152" s="30"/>
      <c r="C152" s="30"/>
      <c r="D152" s="30"/>
      <c r="E152" s="30"/>
      <c r="F152" s="30"/>
      <c r="G152" s="30"/>
      <c r="H152" s="30"/>
      <c r="I152" s="51">
        <f>J145+J146+J148+J149+J150</f>
        <v>24659.909999999996</v>
      </c>
      <c r="J152" s="51"/>
      <c r="K152" s="31">
        <f>IF(Source!I83&lt;&gt;0, ROUND(I152/Source!I83, 2), 0)</f>
        <v>8219.9699999999993</v>
      </c>
      <c r="P152" s="29">
        <f>I152</f>
        <v>24659.909999999996</v>
      </c>
    </row>
    <row r="153" spans="1:22" ht="71.25" x14ac:dyDescent="0.2">
      <c r="A153" s="21" t="str">
        <f>Source!E84</f>
        <v>14</v>
      </c>
      <c r="B153" s="22" t="str">
        <f>Source!F84</f>
        <v>1.50-3203-37-2/1</v>
      </c>
      <c r="C153" s="22" t="str">
        <f>Source!G84</f>
        <v>(демонтаж) Монтаж мелких конструкций из стали различного профиля массой до 50 кг (стойка труба д.80мм 4м*8,34=33,36кг *27шт.=900,72кг)</v>
      </c>
      <c r="D153" s="23" t="str">
        <f>Source!H84</f>
        <v>т</v>
      </c>
      <c r="E153" s="9">
        <f>Source!I84</f>
        <v>0.9</v>
      </c>
      <c r="F153" s="25"/>
      <c r="G153" s="24"/>
      <c r="H153" s="9"/>
      <c r="I153" s="9"/>
      <c r="J153" s="26"/>
      <c r="K153" s="26"/>
      <c r="Q153">
        <f>ROUND((Source!BZ84/100)*ROUND((Source!AF84*Source!AV84)*Source!I84, 2), 2)</f>
        <v>3579.56</v>
      </c>
      <c r="R153">
        <f>Source!X84</f>
        <v>3579.56</v>
      </c>
      <c r="S153">
        <f>ROUND((Source!CA84/100)*ROUND((Source!AF84*Source!AV84)*Source!I84, 2), 2)</f>
        <v>511.37</v>
      </c>
      <c r="T153">
        <f>Source!Y84</f>
        <v>511.37</v>
      </c>
      <c r="U153">
        <f>ROUND((175/100)*ROUND((Source!AE84*Source!AV84)*Source!I84, 2), 2)</f>
        <v>10.199999999999999</v>
      </c>
      <c r="V153">
        <f>ROUND((108/100)*ROUND(Source!CS84*Source!I84, 2), 2)</f>
        <v>6.3</v>
      </c>
    </row>
    <row r="154" spans="1:22" x14ac:dyDescent="0.2">
      <c r="C154" s="27" t="str">
        <f>"Объем: "&amp;Source!I84&amp;"=900,72/"&amp;"1000"</f>
        <v>Объем: 0,9=900,72/1000</v>
      </c>
    </row>
    <row r="155" spans="1:22" ht="14.25" x14ac:dyDescent="0.2">
      <c r="A155" s="21"/>
      <c r="B155" s="22"/>
      <c r="C155" s="22" t="s">
        <v>510</v>
      </c>
      <c r="D155" s="23"/>
      <c r="E155" s="9"/>
      <c r="F155" s="25">
        <f>Source!AO84</f>
        <v>28409.23</v>
      </c>
      <c r="G155" s="24" t="str">
        <f>Source!DG84</f>
        <v>)*0,2</v>
      </c>
      <c r="H155" s="9">
        <f>Source!AV84</f>
        <v>1</v>
      </c>
      <c r="I155" s="9">
        <f>IF(Source!BA84&lt;&gt; 0, Source!BA84, 1)</f>
        <v>1</v>
      </c>
      <c r="J155" s="26">
        <f>Source!S84</f>
        <v>5113.66</v>
      </c>
      <c r="K155" s="26"/>
    </row>
    <row r="156" spans="1:22" ht="14.25" x14ac:dyDescent="0.2">
      <c r="A156" s="21"/>
      <c r="B156" s="22"/>
      <c r="C156" s="22" t="s">
        <v>511</v>
      </c>
      <c r="D156" s="23"/>
      <c r="E156" s="9"/>
      <c r="F156" s="25">
        <f>Source!AM84</f>
        <v>744</v>
      </c>
      <c r="G156" s="24" t="str">
        <f>Source!DE84</f>
        <v>)*0,2</v>
      </c>
      <c r="H156" s="9">
        <f>Source!AV84</f>
        <v>1</v>
      </c>
      <c r="I156" s="9">
        <f>IF(Source!BB84&lt;&gt; 0, Source!BB84, 1)</f>
        <v>1</v>
      </c>
      <c r="J156" s="26">
        <f>Source!Q84</f>
        <v>133.91999999999999</v>
      </c>
      <c r="K156" s="26"/>
    </row>
    <row r="157" spans="1:22" ht="14.25" x14ac:dyDescent="0.2">
      <c r="A157" s="21"/>
      <c r="B157" s="22"/>
      <c r="C157" s="22" t="s">
        <v>512</v>
      </c>
      <c r="D157" s="23"/>
      <c r="E157" s="9"/>
      <c r="F157" s="25">
        <f>Source!AN84</f>
        <v>32.4</v>
      </c>
      <c r="G157" s="24" t="str">
        <f>Source!DF84</f>
        <v>)*0,2</v>
      </c>
      <c r="H157" s="9">
        <f>Source!AV84</f>
        <v>1</v>
      </c>
      <c r="I157" s="9">
        <f>IF(Source!BS84&lt;&gt; 0, Source!BS84, 1)</f>
        <v>1</v>
      </c>
      <c r="J157" s="28">
        <f>Source!R84</f>
        <v>5.83</v>
      </c>
      <c r="K157" s="26"/>
    </row>
    <row r="158" spans="1:22" ht="14.25" x14ac:dyDescent="0.2">
      <c r="A158" s="21"/>
      <c r="B158" s="22"/>
      <c r="C158" s="22" t="s">
        <v>513</v>
      </c>
      <c r="D158" s="23" t="s">
        <v>514</v>
      </c>
      <c r="E158" s="9">
        <f>Source!AT84</f>
        <v>70</v>
      </c>
      <c r="F158" s="25"/>
      <c r="G158" s="24"/>
      <c r="H158" s="9"/>
      <c r="I158" s="9"/>
      <c r="J158" s="26">
        <f>SUM(R153:R157)</f>
        <v>3579.56</v>
      </c>
      <c r="K158" s="26"/>
    </row>
    <row r="159" spans="1:22" ht="14.25" x14ac:dyDescent="0.2">
      <c r="A159" s="21"/>
      <c r="B159" s="22"/>
      <c r="C159" s="22" t="s">
        <v>515</v>
      </c>
      <c r="D159" s="23" t="s">
        <v>514</v>
      </c>
      <c r="E159" s="9">
        <f>Source!AU84</f>
        <v>10</v>
      </c>
      <c r="F159" s="25"/>
      <c r="G159" s="24"/>
      <c r="H159" s="9"/>
      <c r="I159" s="9"/>
      <c r="J159" s="26">
        <f>SUM(T153:T158)</f>
        <v>511.37</v>
      </c>
      <c r="K159" s="26"/>
    </row>
    <row r="160" spans="1:22" ht="14.25" x14ac:dyDescent="0.2">
      <c r="A160" s="21"/>
      <c r="B160" s="22"/>
      <c r="C160" s="22" t="s">
        <v>516</v>
      </c>
      <c r="D160" s="23" t="s">
        <v>514</v>
      </c>
      <c r="E160" s="9">
        <f>108</f>
        <v>108</v>
      </c>
      <c r="F160" s="25"/>
      <c r="G160" s="24"/>
      <c r="H160" s="9"/>
      <c r="I160" s="9"/>
      <c r="J160" s="26">
        <f>SUM(V153:V159)</f>
        <v>6.3</v>
      </c>
      <c r="K160" s="26"/>
    </row>
    <row r="161" spans="1:22" ht="14.25" x14ac:dyDescent="0.2">
      <c r="A161" s="21"/>
      <c r="B161" s="22"/>
      <c r="C161" s="22" t="s">
        <v>517</v>
      </c>
      <c r="D161" s="23" t="s">
        <v>518</v>
      </c>
      <c r="E161" s="9">
        <f>Source!AQ84</f>
        <v>110.4</v>
      </c>
      <c r="F161" s="25"/>
      <c r="G161" s="24" t="str">
        <f>Source!DI84</f>
        <v>)*0,2</v>
      </c>
      <c r="H161" s="9">
        <f>Source!AV84</f>
        <v>1</v>
      </c>
      <c r="I161" s="9"/>
      <c r="J161" s="26"/>
      <c r="K161" s="26">
        <f>Source!U84</f>
        <v>19.872000000000003</v>
      </c>
    </row>
    <row r="162" spans="1:22" ht="15" x14ac:dyDescent="0.25">
      <c r="A162" s="30"/>
      <c r="B162" s="30"/>
      <c r="C162" s="30"/>
      <c r="D162" s="30"/>
      <c r="E162" s="30"/>
      <c r="F162" s="30"/>
      <c r="G162" s="30"/>
      <c r="H162" s="30"/>
      <c r="I162" s="51">
        <f>J155+J156+J158+J159+J160</f>
        <v>9344.81</v>
      </c>
      <c r="J162" s="51"/>
      <c r="K162" s="31">
        <f>IF(Source!I84&lt;&gt;0, ROUND(I162/Source!I84, 2), 0)</f>
        <v>10383.120000000001</v>
      </c>
      <c r="P162" s="29">
        <f>I162</f>
        <v>9344.81</v>
      </c>
    </row>
    <row r="163" spans="1:22" ht="42.75" x14ac:dyDescent="0.2">
      <c r="A163" s="21" t="str">
        <f>Source!E85</f>
        <v>15</v>
      </c>
      <c r="B163" s="22" t="str">
        <f>Source!F85</f>
        <v>1.49-9101-7-1/1</v>
      </c>
      <c r="C163" s="22" t="str">
        <f>Source!G85</f>
        <v>Механизированная погрузка строительного мусора в автомобили-самосвалы (90%)</v>
      </c>
      <c r="D163" s="23" t="str">
        <f>Source!H85</f>
        <v>т</v>
      </c>
      <c r="E163" s="9">
        <f>Source!I85</f>
        <v>3.5</v>
      </c>
      <c r="F163" s="25"/>
      <c r="G163" s="24"/>
      <c r="H163" s="9"/>
      <c r="I163" s="9"/>
      <c r="J163" s="26"/>
      <c r="K163" s="26"/>
      <c r="Q163">
        <f>ROUND((Source!BZ85/100)*ROUND((Source!AF85*Source!AV85)*Source!I85, 2), 2)</f>
        <v>0</v>
      </c>
      <c r="R163">
        <f>Source!X85</f>
        <v>0</v>
      </c>
      <c r="S163">
        <f>ROUND((Source!CA85/100)*ROUND((Source!AF85*Source!AV85)*Source!I85, 2), 2)</f>
        <v>0</v>
      </c>
      <c r="T163">
        <f>Source!Y85</f>
        <v>0</v>
      </c>
      <c r="U163">
        <f>ROUND((175/100)*ROUND((Source!AE85*Source!AV85)*Source!I85, 2), 2)</f>
        <v>158.27000000000001</v>
      </c>
      <c r="V163">
        <f>ROUND((108/100)*ROUND(Source!CS85*Source!I85, 2), 2)</f>
        <v>97.68</v>
      </c>
    </row>
    <row r="164" spans="1:22" x14ac:dyDescent="0.2">
      <c r="C164" s="27" t="str">
        <f>"Объем: "&amp;Source!I85&amp;"=(0,9+"&amp;"3,005)*"&amp;"0,9"</f>
        <v>Объем: 3,5=(0,9+3,005)*0,9</v>
      </c>
    </row>
    <row r="165" spans="1:22" ht="14.25" x14ac:dyDescent="0.2">
      <c r="A165" s="21"/>
      <c r="B165" s="22"/>
      <c r="C165" s="22" t="s">
        <v>511</v>
      </c>
      <c r="D165" s="23"/>
      <c r="E165" s="9"/>
      <c r="F165" s="25">
        <f>Source!AM85</f>
        <v>80.25</v>
      </c>
      <c r="G165" s="24" t="str">
        <f>Source!DE85</f>
        <v/>
      </c>
      <c r="H165" s="9">
        <f>Source!AV85</f>
        <v>1</v>
      </c>
      <c r="I165" s="9">
        <f>IF(Source!BB85&lt;&gt; 0, Source!BB85, 1)</f>
        <v>1</v>
      </c>
      <c r="J165" s="26">
        <f>Source!Q85</f>
        <v>280.88</v>
      </c>
      <c r="K165" s="26"/>
    </row>
    <row r="166" spans="1:22" ht="14.25" x14ac:dyDescent="0.2">
      <c r="A166" s="21"/>
      <c r="B166" s="22"/>
      <c r="C166" s="22" t="s">
        <v>512</v>
      </c>
      <c r="D166" s="23"/>
      <c r="E166" s="9"/>
      <c r="F166" s="25">
        <f>Source!AN85</f>
        <v>25.84</v>
      </c>
      <c r="G166" s="24" t="str">
        <f>Source!DF85</f>
        <v/>
      </c>
      <c r="H166" s="9">
        <f>Source!AV85</f>
        <v>1</v>
      </c>
      <c r="I166" s="9">
        <f>IF(Source!BS85&lt;&gt; 0, Source!BS85, 1)</f>
        <v>1</v>
      </c>
      <c r="J166" s="28">
        <f>Source!R85</f>
        <v>90.44</v>
      </c>
      <c r="K166" s="26"/>
    </row>
    <row r="167" spans="1:22" ht="14.25" x14ac:dyDescent="0.2">
      <c r="A167" s="21"/>
      <c r="B167" s="22"/>
      <c r="C167" s="22" t="s">
        <v>516</v>
      </c>
      <c r="D167" s="23" t="s">
        <v>514</v>
      </c>
      <c r="E167" s="9">
        <f>108</f>
        <v>108</v>
      </c>
      <c r="F167" s="25"/>
      <c r="G167" s="24"/>
      <c r="H167" s="9"/>
      <c r="I167" s="9"/>
      <c r="J167" s="26">
        <f>SUM(V163:V166)</f>
        <v>97.68</v>
      </c>
      <c r="K167" s="26"/>
    </row>
    <row r="168" spans="1:22" ht="15" x14ac:dyDescent="0.25">
      <c r="A168" s="30"/>
      <c r="B168" s="30"/>
      <c r="C168" s="30"/>
      <c r="D168" s="30"/>
      <c r="E168" s="30"/>
      <c r="F168" s="30"/>
      <c r="G168" s="30"/>
      <c r="H168" s="30"/>
      <c r="I168" s="51">
        <f>J165+J167</f>
        <v>378.56</v>
      </c>
      <c r="J168" s="51"/>
      <c r="K168" s="31">
        <f>IF(Source!I85&lt;&gt;0, ROUND(I168/Source!I85, 2), 0)</f>
        <v>108.16</v>
      </c>
      <c r="P168" s="29">
        <f>I168</f>
        <v>378.56</v>
      </c>
    </row>
    <row r="169" spans="1:22" ht="42.75" x14ac:dyDescent="0.2">
      <c r="A169" s="21" t="str">
        <f>Source!E86</f>
        <v>16</v>
      </c>
      <c r="B169" s="22" t="str">
        <f>Source!F86</f>
        <v>1.50-3305-4-1/1</v>
      </c>
      <c r="C169" s="22" t="str">
        <f>Source!G86</f>
        <v>Погрузка и выгрузка вручную строительного мусора на транспортные средства (10%)</v>
      </c>
      <c r="D169" s="23" t="str">
        <f>Source!H86</f>
        <v>т</v>
      </c>
      <c r="E169" s="9">
        <f>Source!I86</f>
        <v>0.4</v>
      </c>
      <c r="F169" s="25"/>
      <c r="G169" s="24"/>
      <c r="H169" s="9"/>
      <c r="I169" s="9"/>
      <c r="J169" s="26"/>
      <c r="K169" s="26"/>
      <c r="Q169">
        <f>ROUND((Source!BZ86/100)*ROUND((Source!AF86*Source!AV86)*Source!I86, 2), 2)</f>
        <v>34.97</v>
      </c>
      <c r="R169">
        <f>Source!X86</f>
        <v>34.97</v>
      </c>
      <c r="S169">
        <f>ROUND((Source!CA86/100)*ROUND((Source!AF86*Source!AV86)*Source!I86, 2), 2)</f>
        <v>5</v>
      </c>
      <c r="T169">
        <f>Source!Y86</f>
        <v>5</v>
      </c>
      <c r="U169">
        <f>ROUND((175/100)*ROUND((Source!AE86*Source!AV86)*Source!I86, 2), 2)</f>
        <v>0</v>
      </c>
      <c r="V169">
        <f>ROUND((108/100)*ROUND(Source!CS86*Source!I86, 2), 2)</f>
        <v>0</v>
      </c>
    </row>
    <row r="170" spans="1:22" x14ac:dyDescent="0.2">
      <c r="C170" s="27" t="str">
        <f>"Объем: "&amp;Source!I86&amp;"=(0,9+"&amp;"3,005)*"&amp;"0,1"</f>
        <v>Объем: 0,4=(0,9+3,005)*0,1</v>
      </c>
    </row>
    <row r="171" spans="1:22" ht="14.25" x14ac:dyDescent="0.2">
      <c r="A171" s="21"/>
      <c r="B171" s="22"/>
      <c r="C171" s="22" t="s">
        <v>510</v>
      </c>
      <c r="D171" s="23"/>
      <c r="E171" s="9"/>
      <c r="F171" s="25">
        <f>Source!AO86</f>
        <v>124.9</v>
      </c>
      <c r="G171" s="24" t="str">
        <f>Source!DG86</f>
        <v/>
      </c>
      <c r="H171" s="9">
        <f>Source!AV86</f>
        <v>1</v>
      </c>
      <c r="I171" s="9">
        <f>IF(Source!BA86&lt;&gt; 0, Source!BA86, 1)</f>
        <v>1</v>
      </c>
      <c r="J171" s="26">
        <f>Source!S86</f>
        <v>49.96</v>
      </c>
      <c r="K171" s="26"/>
    </row>
    <row r="172" spans="1:22" ht="14.25" x14ac:dyDescent="0.2">
      <c r="A172" s="21"/>
      <c r="B172" s="22"/>
      <c r="C172" s="22" t="s">
        <v>513</v>
      </c>
      <c r="D172" s="23" t="s">
        <v>514</v>
      </c>
      <c r="E172" s="9">
        <f>Source!AT86</f>
        <v>70</v>
      </c>
      <c r="F172" s="25"/>
      <c r="G172" s="24"/>
      <c r="H172" s="9"/>
      <c r="I172" s="9"/>
      <c r="J172" s="26">
        <f>SUM(R169:R171)</f>
        <v>34.97</v>
      </c>
      <c r="K172" s="26"/>
    </row>
    <row r="173" spans="1:22" ht="14.25" x14ac:dyDescent="0.2">
      <c r="A173" s="21"/>
      <c r="B173" s="22"/>
      <c r="C173" s="22" t="s">
        <v>515</v>
      </c>
      <c r="D173" s="23" t="s">
        <v>514</v>
      </c>
      <c r="E173" s="9">
        <f>Source!AU86</f>
        <v>10</v>
      </c>
      <c r="F173" s="25"/>
      <c r="G173" s="24"/>
      <c r="H173" s="9"/>
      <c r="I173" s="9"/>
      <c r="J173" s="26">
        <f>SUM(T169:T172)</f>
        <v>5</v>
      </c>
      <c r="K173" s="26"/>
    </row>
    <row r="174" spans="1:22" ht="14.25" x14ac:dyDescent="0.2">
      <c r="A174" s="21"/>
      <c r="B174" s="22"/>
      <c r="C174" s="22" t="s">
        <v>517</v>
      </c>
      <c r="D174" s="23" t="s">
        <v>518</v>
      </c>
      <c r="E174" s="9">
        <f>Source!AQ86</f>
        <v>1.02</v>
      </c>
      <c r="F174" s="25"/>
      <c r="G174" s="24" t="str">
        <f>Source!DI86</f>
        <v/>
      </c>
      <c r="H174" s="9">
        <f>Source!AV86</f>
        <v>1</v>
      </c>
      <c r="I174" s="9"/>
      <c r="J174" s="26"/>
      <c r="K174" s="26">
        <f>Source!U86</f>
        <v>0.40800000000000003</v>
      </c>
    </row>
    <row r="175" spans="1:22" ht="15" x14ac:dyDescent="0.25">
      <c r="A175" s="30"/>
      <c r="B175" s="30"/>
      <c r="C175" s="30"/>
      <c r="D175" s="30"/>
      <c r="E175" s="30"/>
      <c r="F175" s="30"/>
      <c r="G175" s="30"/>
      <c r="H175" s="30"/>
      <c r="I175" s="51">
        <f>J171+J172+J173</f>
        <v>89.93</v>
      </c>
      <c r="J175" s="51"/>
      <c r="K175" s="31">
        <f>IF(Source!I86&lt;&gt;0, ROUND(I175/Source!I86, 2), 0)</f>
        <v>224.83</v>
      </c>
      <c r="P175" s="29">
        <f>I175</f>
        <v>89.93</v>
      </c>
    </row>
    <row r="176" spans="1:22" ht="57" x14ac:dyDescent="0.2">
      <c r="A176" s="21" t="str">
        <f>Source!E87</f>
        <v>17</v>
      </c>
      <c r="B176" s="22" t="str">
        <f>Source!F87</f>
        <v>1.49-9201-1-1/1</v>
      </c>
      <c r="C176" s="22" t="str">
        <f>Source!G87</f>
        <v>Перевозка строительного мусора автосамосвалами грузоподъемностью до 10 т на расстояние 1 км - при погрузке вручную</v>
      </c>
      <c r="D176" s="23" t="str">
        <f>Source!H87</f>
        <v>т</v>
      </c>
      <c r="E176" s="9">
        <f>Source!I87</f>
        <v>0.4</v>
      </c>
      <c r="F176" s="25"/>
      <c r="G176" s="24"/>
      <c r="H176" s="9"/>
      <c r="I176" s="9"/>
      <c r="J176" s="26"/>
      <c r="K176" s="26"/>
      <c r="Q176">
        <f>ROUND((Source!BZ87/100)*ROUND((Source!AF87*Source!AV87)*Source!I87, 2), 2)</f>
        <v>0</v>
      </c>
      <c r="R176">
        <f>Source!X87</f>
        <v>0</v>
      </c>
      <c r="S176">
        <f>ROUND((Source!CA87/100)*ROUND((Source!AF87*Source!AV87)*Source!I87, 2), 2)</f>
        <v>0</v>
      </c>
      <c r="T176">
        <f>Source!Y87</f>
        <v>0</v>
      </c>
      <c r="U176">
        <f>ROUND((175/100)*ROUND((Source!AE87*Source!AV87)*Source!I87, 2), 2)</f>
        <v>63.12</v>
      </c>
      <c r="V176">
        <f>ROUND((108/100)*ROUND(Source!CS87*Source!I87, 2), 2)</f>
        <v>38.96</v>
      </c>
    </row>
    <row r="177" spans="1:22" ht="14.25" x14ac:dyDescent="0.2">
      <c r="A177" s="21"/>
      <c r="B177" s="22"/>
      <c r="C177" s="22" t="s">
        <v>511</v>
      </c>
      <c r="D177" s="23"/>
      <c r="E177" s="9"/>
      <c r="F177" s="25">
        <f>Source!AM87</f>
        <v>165.91</v>
      </c>
      <c r="G177" s="24" t="str">
        <f>Source!DE87</f>
        <v/>
      </c>
      <c r="H177" s="9">
        <f>Source!AV87</f>
        <v>1</v>
      </c>
      <c r="I177" s="9">
        <f>IF(Source!BB87&lt;&gt; 0, Source!BB87, 1)</f>
        <v>1</v>
      </c>
      <c r="J177" s="26">
        <f>Source!Q87</f>
        <v>66.36</v>
      </c>
      <c r="K177" s="26"/>
    </row>
    <row r="178" spans="1:22" ht="14.25" x14ac:dyDescent="0.2">
      <c r="A178" s="21"/>
      <c r="B178" s="22"/>
      <c r="C178" s="22" t="s">
        <v>512</v>
      </c>
      <c r="D178" s="23"/>
      <c r="E178" s="9"/>
      <c r="F178" s="25">
        <f>Source!AN87</f>
        <v>90.18</v>
      </c>
      <c r="G178" s="24" t="str">
        <f>Source!DF87</f>
        <v/>
      </c>
      <c r="H178" s="9">
        <f>Source!AV87</f>
        <v>1</v>
      </c>
      <c r="I178" s="9">
        <f>IF(Source!BS87&lt;&gt; 0, Source!BS87, 1)</f>
        <v>1</v>
      </c>
      <c r="J178" s="28">
        <f>Source!R87</f>
        <v>36.07</v>
      </c>
      <c r="K178" s="26"/>
    </row>
    <row r="179" spans="1:22" ht="15" x14ac:dyDescent="0.25">
      <c r="A179" s="30"/>
      <c r="B179" s="30"/>
      <c r="C179" s="30"/>
      <c r="D179" s="30"/>
      <c r="E179" s="30"/>
      <c r="F179" s="30"/>
      <c r="G179" s="30"/>
      <c r="H179" s="30"/>
      <c r="I179" s="51">
        <f>J177</f>
        <v>66.36</v>
      </c>
      <c r="J179" s="51"/>
      <c r="K179" s="31">
        <f>IF(Source!I87&lt;&gt;0, ROUND(I179/Source!I87, 2), 0)</f>
        <v>165.9</v>
      </c>
      <c r="P179" s="29">
        <f>I179</f>
        <v>66.36</v>
      </c>
    </row>
    <row r="180" spans="1:22" ht="57" x14ac:dyDescent="0.2">
      <c r="A180" s="21" t="str">
        <f>Source!E88</f>
        <v>18</v>
      </c>
      <c r="B180" s="22" t="str">
        <f>Source!F88</f>
        <v>1.49-9201-1-2/1</v>
      </c>
      <c r="C180" s="22" t="str">
        <f>Source!G88</f>
        <v>Перевозка строительного мусора автосамосвалами грузоподъемностью до 10 т на расстояние 1 км - при механизированной погрузке</v>
      </c>
      <c r="D180" s="23" t="str">
        <f>Source!H88</f>
        <v>т</v>
      </c>
      <c r="E180" s="9">
        <f>Source!I88</f>
        <v>3.5</v>
      </c>
      <c r="F180" s="25"/>
      <c r="G180" s="24"/>
      <c r="H180" s="9"/>
      <c r="I180" s="9"/>
      <c r="J180" s="26"/>
      <c r="K180" s="26"/>
      <c r="Q180">
        <f>ROUND((Source!BZ88/100)*ROUND((Source!AF88*Source!AV88)*Source!I88, 2), 2)</f>
        <v>0</v>
      </c>
      <c r="R180">
        <f>Source!X88</f>
        <v>0</v>
      </c>
      <c r="S180">
        <f>ROUND((Source!CA88/100)*ROUND((Source!AF88*Source!AV88)*Source!I88, 2), 2)</f>
        <v>0</v>
      </c>
      <c r="T180">
        <f>Source!Y88</f>
        <v>0</v>
      </c>
      <c r="U180">
        <f>ROUND((175/100)*ROUND((Source!AE88*Source!AV88)*Source!I88, 2), 2)</f>
        <v>192.57</v>
      </c>
      <c r="V180">
        <f>ROUND((108/100)*ROUND(Source!CS88*Source!I88, 2), 2)</f>
        <v>118.84</v>
      </c>
    </row>
    <row r="181" spans="1:22" ht="14.25" x14ac:dyDescent="0.2">
      <c r="A181" s="21"/>
      <c r="B181" s="22"/>
      <c r="C181" s="22" t="s">
        <v>511</v>
      </c>
      <c r="D181" s="23"/>
      <c r="E181" s="9"/>
      <c r="F181" s="25">
        <f>Source!AM88</f>
        <v>57.83</v>
      </c>
      <c r="G181" s="24" t="str">
        <f>Source!DE88</f>
        <v/>
      </c>
      <c r="H181" s="9">
        <f>Source!AV88</f>
        <v>1</v>
      </c>
      <c r="I181" s="9">
        <f>IF(Source!BB88&lt;&gt; 0, Source!BB88, 1)</f>
        <v>1</v>
      </c>
      <c r="J181" s="26">
        <f>Source!Q88</f>
        <v>202.41</v>
      </c>
      <c r="K181" s="26"/>
    </row>
    <row r="182" spans="1:22" ht="14.25" x14ac:dyDescent="0.2">
      <c r="A182" s="21"/>
      <c r="B182" s="22"/>
      <c r="C182" s="22" t="s">
        <v>512</v>
      </c>
      <c r="D182" s="23"/>
      <c r="E182" s="9"/>
      <c r="F182" s="25">
        <f>Source!AN88</f>
        <v>31.44</v>
      </c>
      <c r="G182" s="24" t="str">
        <f>Source!DF88</f>
        <v/>
      </c>
      <c r="H182" s="9">
        <f>Source!AV88</f>
        <v>1</v>
      </c>
      <c r="I182" s="9">
        <f>IF(Source!BS88&lt;&gt; 0, Source!BS88, 1)</f>
        <v>1</v>
      </c>
      <c r="J182" s="28">
        <f>Source!R88</f>
        <v>110.04</v>
      </c>
      <c r="K182" s="26"/>
    </row>
    <row r="183" spans="1:22" ht="15" x14ac:dyDescent="0.25">
      <c r="A183" s="30"/>
      <c r="B183" s="30"/>
      <c r="C183" s="30"/>
      <c r="D183" s="30"/>
      <c r="E183" s="30"/>
      <c r="F183" s="30"/>
      <c r="G183" s="30"/>
      <c r="H183" s="30"/>
      <c r="I183" s="51">
        <f>J181</f>
        <v>202.41</v>
      </c>
      <c r="J183" s="51"/>
      <c r="K183" s="31">
        <f>IF(Source!I88&lt;&gt;0, ROUND(I183/Source!I88, 2), 0)</f>
        <v>57.83</v>
      </c>
      <c r="P183" s="29">
        <f>I183</f>
        <v>202.41</v>
      </c>
    </row>
    <row r="184" spans="1:22" ht="71.25" x14ac:dyDescent="0.2">
      <c r="A184" s="21" t="str">
        <f>Source!E89</f>
        <v>19</v>
      </c>
      <c r="B184" s="22" t="str">
        <f>Source!F89</f>
        <v>1.49-9201-1-3/1</v>
      </c>
      <c r="C184" s="22" t="str">
        <f>Source!G89</f>
        <v>Перевозка строительного мусора автосамосвалами грузоподъемностью до 10 т - добавляется на каждый последующий 1 км до 100 км (5 км, на базу)</v>
      </c>
      <c r="D184" s="23" t="str">
        <f>Source!H89</f>
        <v>т</v>
      </c>
      <c r="E184" s="9">
        <f>Source!I89</f>
        <v>3.9</v>
      </c>
      <c r="F184" s="25"/>
      <c r="G184" s="24"/>
      <c r="H184" s="9"/>
      <c r="I184" s="9"/>
      <c r="J184" s="26"/>
      <c r="K184" s="26"/>
      <c r="Q184">
        <f>ROUND((Source!BZ89/100)*ROUND((Source!AF89*Source!AV89)*Source!I89, 2), 2)</f>
        <v>0</v>
      </c>
      <c r="R184">
        <f>Source!X89</f>
        <v>0</v>
      </c>
      <c r="S184">
        <f>ROUND((Source!CA89/100)*ROUND((Source!AF89*Source!AV89)*Source!I89, 2), 2)</f>
        <v>0</v>
      </c>
      <c r="T184">
        <f>Source!Y89</f>
        <v>0</v>
      </c>
      <c r="U184">
        <f>ROUND((175/100)*ROUND((Source!AE89*Source!AV89)*Source!I89, 2), 2)</f>
        <v>406.49</v>
      </c>
      <c r="V184">
        <f>ROUND((108/100)*ROUND(Source!CS89*Source!I89, 2), 2)</f>
        <v>250.86</v>
      </c>
    </row>
    <row r="185" spans="1:22" ht="14.25" x14ac:dyDescent="0.2">
      <c r="A185" s="21"/>
      <c r="B185" s="22"/>
      <c r="C185" s="22" t="s">
        <v>511</v>
      </c>
      <c r="D185" s="23"/>
      <c r="E185" s="9"/>
      <c r="F185" s="25">
        <f>Source!AM89</f>
        <v>27.39</v>
      </c>
      <c r="G185" s="24" t="str">
        <f>Source!DE89</f>
        <v>*4</v>
      </c>
      <c r="H185" s="9">
        <f>Source!AV89</f>
        <v>1</v>
      </c>
      <c r="I185" s="9">
        <f>IF(Source!BB89&lt;&gt; 0, Source!BB89, 1)</f>
        <v>1</v>
      </c>
      <c r="J185" s="26">
        <f>Source!Q89</f>
        <v>427.28</v>
      </c>
      <c r="K185" s="26"/>
    </row>
    <row r="186" spans="1:22" ht="14.25" x14ac:dyDescent="0.2">
      <c r="A186" s="21"/>
      <c r="B186" s="22"/>
      <c r="C186" s="22" t="s">
        <v>512</v>
      </c>
      <c r="D186" s="23"/>
      <c r="E186" s="9"/>
      <c r="F186" s="25">
        <f>Source!AN89</f>
        <v>14.89</v>
      </c>
      <c r="G186" s="24" t="str">
        <f>Source!DF89</f>
        <v>*4</v>
      </c>
      <c r="H186" s="9">
        <f>Source!AV89</f>
        <v>1</v>
      </c>
      <c r="I186" s="9">
        <f>IF(Source!BS89&lt;&gt; 0, Source!BS89, 1)</f>
        <v>1</v>
      </c>
      <c r="J186" s="28">
        <f>Source!R89</f>
        <v>232.28</v>
      </c>
      <c r="K186" s="26"/>
    </row>
    <row r="187" spans="1:22" ht="15" x14ac:dyDescent="0.25">
      <c r="A187" s="30"/>
      <c r="B187" s="30"/>
      <c r="C187" s="30"/>
      <c r="D187" s="30"/>
      <c r="E187" s="30"/>
      <c r="F187" s="30"/>
      <c r="G187" s="30"/>
      <c r="H187" s="30"/>
      <c r="I187" s="51">
        <f>J185</f>
        <v>427.28</v>
      </c>
      <c r="J187" s="51"/>
      <c r="K187" s="31">
        <f>IF(Source!I89&lt;&gt;0, ROUND(I187/Source!I89, 2), 0)</f>
        <v>109.56</v>
      </c>
      <c r="P187" s="29">
        <f>I187</f>
        <v>427.28</v>
      </c>
    </row>
    <row r="189" spans="1:22" ht="15" x14ac:dyDescent="0.25">
      <c r="A189" s="54" t="str">
        <f>CONCATENATE("Итого по разделу: ",IF(Source!G91&lt;&gt;"Новый раздел", Source!G91, ""))</f>
        <v>Итого по разделу: Демонтаж решеточного ограждения 68 м Н=3 м</v>
      </c>
      <c r="B189" s="54"/>
      <c r="C189" s="54"/>
      <c r="D189" s="54"/>
      <c r="E189" s="54"/>
      <c r="F189" s="54"/>
      <c r="G189" s="54"/>
      <c r="H189" s="54"/>
      <c r="I189" s="52">
        <f>SUM(P142:P188)</f>
        <v>35169.259999999995</v>
      </c>
      <c r="J189" s="53"/>
      <c r="K189" s="33"/>
    </row>
    <row r="191" spans="1:22" ht="16.5" x14ac:dyDescent="0.25">
      <c r="A191" s="50" t="str">
        <f>CONCATENATE("Раздел: ",IF(Source!G124&lt;&gt;"Новый раздел", Source!G124, ""))</f>
        <v>Раздел: Установка хоккейной коробки</v>
      </c>
      <c r="B191" s="50"/>
      <c r="C191" s="50"/>
      <c r="D191" s="50"/>
      <c r="E191" s="50"/>
      <c r="F191" s="50"/>
      <c r="G191" s="50"/>
      <c r="H191" s="50"/>
      <c r="I191" s="50"/>
      <c r="J191" s="50"/>
      <c r="K191" s="50"/>
    </row>
    <row r="192" spans="1:22" ht="28.5" x14ac:dyDescent="0.2">
      <c r="A192" s="21" t="str">
        <f>Source!E129</f>
        <v>20</v>
      </c>
      <c r="B192" s="22" t="str">
        <f>Source!F129</f>
        <v>1.1-3101-5-2/1</v>
      </c>
      <c r="C192" s="22" t="str">
        <f>Source!G129</f>
        <v>Рытье ям для установки стоек и столбов глубина 0,7 м</v>
      </c>
      <c r="D192" s="23" t="str">
        <f>Source!H129</f>
        <v>100 ям</v>
      </c>
      <c r="E192" s="9">
        <f>Source!I129</f>
        <v>0.52</v>
      </c>
      <c r="F192" s="25"/>
      <c r="G192" s="24"/>
      <c r="H192" s="9"/>
      <c r="I192" s="9"/>
      <c r="J192" s="26"/>
      <c r="K192" s="26"/>
      <c r="Q192">
        <f>ROUND((Source!BZ129/100)*ROUND((Source!AF129*Source!AV129)*Source!I129, 2), 2)</f>
        <v>35823.49</v>
      </c>
      <c r="R192">
        <f>Source!X129</f>
        <v>35823.49</v>
      </c>
      <c r="S192">
        <f>ROUND((Source!CA129/100)*ROUND((Source!AF129*Source!AV129)*Source!I129, 2), 2)</f>
        <v>5117.6400000000003</v>
      </c>
      <c r="T192">
        <f>Source!Y129</f>
        <v>5117.6400000000003</v>
      </c>
      <c r="U192">
        <f>ROUND((175/100)*ROUND((Source!AE129*Source!AV129)*Source!I129, 2), 2)</f>
        <v>0</v>
      </c>
      <c r="V192">
        <f>ROUND((108/100)*ROUND(Source!CS129*Source!I129, 2), 2)</f>
        <v>0</v>
      </c>
    </row>
    <row r="193" spans="1:22" x14ac:dyDescent="0.2">
      <c r="C193" s="27" t="str">
        <f>"Объем: "&amp;Source!I129&amp;"=52/"&amp;"100"</f>
        <v>Объем: 0,52=52/100</v>
      </c>
    </row>
    <row r="194" spans="1:22" ht="14.25" x14ac:dyDescent="0.2">
      <c r="A194" s="21"/>
      <c r="B194" s="22"/>
      <c r="C194" s="22" t="s">
        <v>510</v>
      </c>
      <c r="D194" s="23"/>
      <c r="E194" s="9"/>
      <c r="F194" s="25">
        <f>Source!AO129</f>
        <v>98416.2</v>
      </c>
      <c r="G194" s="24" t="str">
        <f>Source!DG129</f>
        <v/>
      </c>
      <c r="H194" s="9">
        <f>Source!AV129</f>
        <v>1</v>
      </c>
      <c r="I194" s="9">
        <f>IF(Source!BA129&lt;&gt; 0, Source!BA129, 1)</f>
        <v>1</v>
      </c>
      <c r="J194" s="26">
        <f>Source!S129</f>
        <v>51176.42</v>
      </c>
      <c r="K194" s="26"/>
    </row>
    <row r="195" spans="1:22" ht="14.25" x14ac:dyDescent="0.2">
      <c r="A195" s="21"/>
      <c r="B195" s="22"/>
      <c r="C195" s="22" t="s">
        <v>513</v>
      </c>
      <c r="D195" s="23" t="s">
        <v>514</v>
      </c>
      <c r="E195" s="9">
        <f>Source!AT129</f>
        <v>70</v>
      </c>
      <c r="F195" s="25"/>
      <c r="G195" s="24"/>
      <c r="H195" s="9"/>
      <c r="I195" s="9"/>
      <c r="J195" s="26">
        <f>SUM(R192:R194)</f>
        <v>35823.49</v>
      </c>
      <c r="K195" s="26"/>
    </row>
    <row r="196" spans="1:22" ht="14.25" x14ac:dyDescent="0.2">
      <c r="A196" s="21"/>
      <c r="B196" s="22"/>
      <c r="C196" s="22" t="s">
        <v>515</v>
      </c>
      <c r="D196" s="23" t="s">
        <v>514</v>
      </c>
      <c r="E196" s="9">
        <f>Source!AU129</f>
        <v>10</v>
      </c>
      <c r="F196" s="25"/>
      <c r="G196" s="24"/>
      <c r="H196" s="9"/>
      <c r="I196" s="9"/>
      <c r="J196" s="26">
        <f>SUM(T192:T195)</f>
        <v>5117.6400000000003</v>
      </c>
      <c r="K196" s="26"/>
    </row>
    <row r="197" spans="1:22" ht="14.25" x14ac:dyDescent="0.2">
      <c r="A197" s="21"/>
      <c r="B197" s="22"/>
      <c r="C197" s="22" t="s">
        <v>517</v>
      </c>
      <c r="D197" s="23" t="s">
        <v>518</v>
      </c>
      <c r="E197" s="9">
        <f>Source!AQ129</f>
        <v>582</v>
      </c>
      <c r="F197" s="25"/>
      <c r="G197" s="24" t="str">
        <f>Source!DI129</f>
        <v/>
      </c>
      <c r="H197" s="9">
        <f>Source!AV129</f>
        <v>1</v>
      </c>
      <c r="I197" s="9"/>
      <c r="J197" s="26"/>
      <c r="K197" s="26">
        <f>Source!U129</f>
        <v>302.64</v>
      </c>
    </row>
    <row r="198" spans="1:22" ht="15" x14ac:dyDescent="0.25">
      <c r="A198" s="30"/>
      <c r="B198" s="30"/>
      <c r="C198" s="30"/>
      <c r="D198" s="30"/>
      <c r="E198" s="30"/>
      <c r="F198" s="30"/>
      <c r="G198" s="30"/>
      <c r="H198" s="30"/>
      <c r="I198" s="51">
        <f>J194+J195+J196</f>
        <v>92117.55</v>
      </c>
      <c r="J198" s="51"/>
      <c r="K198" s="31">
        <f>IF(Source!I129&lt;&gt;0, ROUND(I198/Source!I129, 2), 0)</f>
        <v>177149.13</v>
      </c>
      <c r="P198" s="29">
        <f>I198</f>
        <v>92117.55</v>
      </c>
    </row>
    <row r="199" spans="1:22" ht="28.5" x14ac:dyDescent="0.2">
      <c r="A199" s="21" t="str">
        <f>Source!E130</f>
        <v>21</v>
      </c>
      <c r="B199" s="22" t="str">
        <f>Source!F130</f>
        <v>1.1-3101-6-1/1</v>
      </c>
      <c r="C199" s="22" t="str">
        <f>Source!G130</f>
        <v>Погрузка грунта вручную в автомобили-самосвалы с выгрузкой</v>
      </c>
      <c r="D199" s="23" t="str">
        <f>Source!H130</f>
        <v>100 м3</v>
      </c>
      <c r="E199" s="9">
        <f>Source!I130</f>
        <v>2.3400000000000001E-2</v>
      </c>
      <c r="F199" s="25"/>
      <c r="G199" s="24"/>
      <c r="H199" s="9"/>
      <c r="I199" s="9"/>
      <c r="J199" s="26"/>
      <c r="K199" s="26"/>
      <c r="Q199">
        <f>ROUND((Source!BZ130/100)*ROUND((Source!AF130*Source!AV130)*Source!I130, 2), 2)</f>
        <v>182.32</v>
      </c>
      <c r="R199">
        <f>Source!X130</f>
        <v>182.32</v>
      </c>
      <c r="S199">
        <f>ROUND((Source!CA130/100)*ROUND((Source!AF130*Source!AV130)*Source!I130, 2), 2)</f>
        <v>26.05</v>
      </c>
      <c r="T199">
        <f>Source!Y130</f>
        <v>26.05</v>
      </c>
      <c r="U199">
        <f>ROUND((175/100)*ROUND((Source!AE130*Source!AV130)*Source!I130, 2), 2)</f>
        <v>0</v>
      </c>
      <c r="V199">
        <f>ROUND((108/100)*ROUND(Source!CS130*Source!I130, 2), 2)</f>
        <v>0</v>
      </c>
    </row>
    <row r="200" spans="1:22" x14ac:dyDescent="0.2">
      <c r="C200" s="27" t="str">
        <f>"Объем: "&amp;Source!I130&amp;"=((0,3*"&amp;"0,3*"&amp;"0,5*"&amp;"52))/"&amp;"100"</f>
        <v>Объем: 0,0234=((0,3*0,3*0,5*52))/100</v>
      </c>
    </row>
    <row r="201" spans="1:22" ht="14.25" x14ac:dyDescent="0.2">
      <c r="A201" s="21"/>
      <c r="B201" s="22"/>
      <c r="C201" s="22" t="s">
        <v>510</v>
      </c>
      <c r="D201" s="23"/>
      <c r="E201" s="9"/>
      <c r="F201" s="25">
        <f>Source!AO130</f>
        <v>11130.3</v>
      </c>
      <c r="G201" s="24" t="str">
        <f>Source!DG130</f>
        <v/>
      </c>
      <c r="H201" s="9">
        <f>Source!AV130</f>
        <v>1</v>
      </c>
      <c r="I201" s="9">
        <f>IF(Source!BA130&lt;&gt; 0, Source!BA130, 1)</f>
        <v>1</v>
      </c>
      <c r="J201" s="26">
        <f>Source!S130</f>
        <v>260.45</v>
      </c>
      <c r="K201" s="26"/>
    </row>
    <row r="202" spans="1:22" ht="14.25" x14ac:dyDescent="0.2">
      <c r="A202" s="21"/>
      <c r="B202" s="22"/>
      <c r="C202" s="22" t="s">
        <v>513</v>
      </c>
      <c r="D202" s="23" t="s">
        <v>514</v>
      </c>
      <c r="E202" s="9">
        <f>Source!AT130</f>
        <v>70</v>
      </c>
      <c r="F202" s="25"/>
      <c r="G202" s="24"/>
      <c r="H202" s="9"/>
      <c r="I202" s="9"/>
      <c r="J202" s="26">
        <f>SUM(R199:R201)</f>
        <v>182.32</v>
      </c>
      <c r="K202" s="26"/>
    </row>
    <row r="203" spans="1:22" ht="14.25" x14ac:dyDescent="0.2">
      <c r="A203" s="21"/>
      <c r="B203" s="22"/>
      <c r="C203" s="22" t="s">
        <v>515</v>
      </c>
      <c r="D203" s="23" t="s">
        <v>514</v>
      </c>
      <c r="E203" s="9">
        <f>Source!AU130</f>
        <v>10</v>
      </c>
      <c r="F203" s="25"/>
      <c r="G203" s="24"/>
      <c r="H203" s="9"/>
      <c r="I203" s="9"/>
      <c r="J203" s="26">
        <f>SUM(T199:T202)</f>
        <v>26.05</v>
      </c>
      <c r="K203" s="26"/>
    </row>
    <row r="204" spans="1:22" ht="14.25" x14ac:dyDescent="0.2">
      <c r="A204" s="21"/>
      <c r="B204" s="22"/>
      <c r="C204" s="22" t="s">
        <v>517</v>
      </c>
      <c r="D204" s="23" t="s">
        <v>518</v>
      </c>
      <c r="E204" s="9">
        <f>Source!AQ130</f>
        <v>83</v>
      </c>
      <c r="F204" s="25"/>
      <c r="G204" s="24" t="str">
        <f>Source!DI130</f>
        <v/>
      </c>
      <c r="H204" s="9">
        <f>Source!AV130</f>
        <v>1</v>
      </c>
      <c r="I204" s="9"/>
      <c r="J204" s="26"/>
      <c r="K204" s="26">
        <f>Source!U130</f>
        <v>1.9422000000000001</v>
      </c>
    </row>
    <row r="205" spans="1:22" ht="15" x14ac:dyDescent="0.25">
      <c r="A205" s="30"/>
      <c r="B205" s="30"/>
      <c r="C205" s="30"/>
      <c r="D205" s="30"/>
      <c r="E205" s="30"/>
      <c r="F205" s="30"/>
      <c r="G205" s="30"/>
      <c r="H205" s="30"/>
      <c r="I205" s="51">
        <f>J201+J202+J203</f>
        <v>468.82</v>
      </c>
      <c r="J205" s="51"/>
      <c r="K205" s="31">
        <f>IF(Source!I130&lt;&gt;0, ROUND(I205/Source!I130, 2), 0)</f>
        <v>20035.04</v>
      </c>
      <c r="P205" s="29">
        <f>I205</f>
        <v>468.82</v>
      </c>
    </row>
    <row r="206" spans="1:22" ht="42.75" x14ac:dyDescent="0.2">
      <c r="A206" s="21" t="str">
        <f>Source!E131</f>
        <v>22</v>
      </c>
      <c r="B206" s="22" t="str">
        <f>Source!F131</f>
        <v>2.49-3401-1-1/1</v>
      </c>
      <c r="C206" s="22" t="str">
        <f>Source!G131</f>
        <v>Перевозка грунта автосамосвалами грузоподъемностью до 10 т на расстояние 1 км</v>
      </c>
      <c r="D206" s="23" t="str">
        <f>Source!H131</f>
        <v>м3</v>
      </c>
      <c r="E206" s="9">
        <f>Source!I131</f>
        <v>2.34</v>
      </c>
      <c r="F206" s="25"/>
      <c r="G206" s="24"/>
      <c r="H206" s="9"/>
      <c r="I206" s="9"/>
      <c r="J206" s="26"/>
      <c r="K206" s="26"/>
      <c r="Q206">
        <f>ROUND((Source!BZ131/100)*ROUND((Source!AF131*Source!AV131)*Source!I131, 2), 2)</f>
        <v>0</v>
      </c>
      <c r="R206">
        <f>Source!X131</f>
        <v>0</v>
      </c>
      <c r="S206">
        <f>ROUND((Source!CA131/100)*ROUND((Source!AF131*Source!AV131)*Source!I131, 2), 2)</f>
        <v>0</v>
      </c>
      <c r="T206">
        <f>Source!Y131</f>
        <v>0</v>
      </c>
      <c r="U206">
        <f>ROUND((175/100)*ROUND((Source!AE131*Source!AV131)*Source!I131, 2), 2)</f>
        <v>105.07</v>
      </c>
      <c r="V206">
        <f>ROUND((108/100)*ROUND(Source!CS131*Source!I131, 2), 2)</f>
        <v>64.84</v>
      </c>
    </row>
    <row r="207" spans="1:22" x14ac:dyDescent="0.2">
      <c r="C207" s="27" t="str">
        <f>"Объем: "&amp;Source!I131&amp;"="&amp;Source!I130&amp;"*"&amp;"100"</f>
        <v>Объем: 2,34=0,0234*100</v>
      </c>
    </row>
    <row r="208" spans="1:22" ht="14.25" x14ac:dyDescent="0.2">
      <c r="A208" s="21"/>
      <c r="B208" s="22"/>
      <c r="C208" s="22" t="s">
        <v>511</v>
      </c>
      <c r="D208" s="23"/>
      <c r="E208" s="9"/>
      <c r="F208" s="25">
        <f>Source!AM131</f>
        <v>47.27</v>
      </c>
      <c r="G208" s="24" t="str">
        <f>Source!DE131</f>
        <v/>
      </c>
      <c r="H208" s="9">
        <f>Source!AV131</f>
        <v>1</v>
      </c>
      <c r="I208" s="9">
        <f>IF(Source!BB131&lt;&gt; 0, Source!BB131, 1)</f>
        <v>1</v>
      </c>
      <c r="J208" s="26">
        <f>Source!Q131</f>
        <v>110.61</v>
      </c>
      <c r="K208" s="26"/>
    </row>
    <row r="209" spans="1:22" ht="14.25" x14ac:dyDescent="0.2">
      <c r="A209" s="21"/>
      <c r="B209" s="22"/>
      <c r="C209" s="22" t="s">
        <v>512</v>
      </c>
      <c r="D209" s="23"/>
      <c r="E209" s="9"/>
      <c r="F209" s="25">
        <f>Source!AN131</f>
        <v>25.66</v>
      </c>
      <c r="G209" s="24" t="str">
        <f>Source!DF131</f>
        <v/>
      </c>
      <c r="H209" s="9">
        <f>Source!AV131</f>
        <v>1</v>
      </c>
      <c r="I209" s="9">
        <f>IF(Source!BS131&lt;&gt; 0, Source!BS131, 1)</f>
        <v>1</v>
      </c>
      <c r="J209" s="28">
        <f>Source!R131</f>
        <v>60.04</v>
      </c>
      <c r="K209" s="26"/>
    </row>
    <row r="210" spans="1:22" ht="15" x14ac:dyDescent="0.25">
      <c r="A210" s="30"/>
      <c r="B210" s="30"/>
      <c r="C210" s="30"/>
      <c r="D210" s="30"/>
      <c r="E210" s="30"/>
      <c r="F210" s="30"/>
      <c r="G210" s="30"/>
      <c r="H210" s="30"/>
      <c r="I210" s="51">
        <f>J208</f>
        <v>110.61</v>
      </c>
      <c r="J210" s="51"/>
      <c r="K210" s="31">
        <f>IF(Source!I131&lt;&gt;0, ROUND(I210/Source!I131, 2), 0)</f>
        <v>47.27</v>
      </c>
      <c r="P210" s="29">
        <f>I210</f>
        <v>110.61</v>
      </c>
    </row>
    <row r="211" spans="1:22" ht="57" x14ac:dyDescent="0.2">
      <c r="A211" s="21" t="str">
        <f>Source!E132</f>
        <v>23</v>
      </c>
      <c r="B211" s="22" t="str">
        <f>Source!F132</f>
        <v>2.49-3401-1-2/1</v>
      </c>
      <c r="C211" s="22" t="str">
        <f>Source!G132</f>
        <v>Перевозка грунта автосамосвалами грузоподъемностью до 10 т - добавляется на каждый последующий 1 км до 100 км (к поз. 49-3401-1-1)</v>
      </c>
      <c r="D211" s="23" t="str">
        <f>Source!H132</f>
        <v>м3</v>
      </c>
      <c r="E211" s="9">
        <f>Source!I132</f>
        <v>2.34</v>
      </c>
      <c r="F211" s="25"/>
      <c r="G211" s="24"/>
      <c r="H211" s="9"/>
      <c r="I211" s="9"/>
      <c r="J211" s="26"/>
      <c r="K211" s="26"/>
      <c r="Q211">
        <f>ROUND((Source!BZ132/100)*ROUND((Source!AF132*Source!AV132)*Source!I132, 2), 2)</f>
        <v>0</v>
      </c>
      <c r="R211">
        <f>Source!X132</f>
        <v>0</v>
      </c>
      <c r="S211">
        <f>ROUND((Source!CA132/100)*ROUND((Source!AF132*Source!AV132)*Source!I132, 2), 2)</f>
        <v>0</v>
      </c>
      <c r="T211">
        <f>Source!Y132</f>
        <v>0</v>
      </c>
      <c r="U211">
        <f>ROUND((175/100)*ROUND((Source!AE132*Source!AV132)*Source!I132, 2), 2)</f>
        <v>1898.77</v>
      </c>
      <c r="V211">
        <f>ROUND((108/100)*ROUND(Source!CS132*Source!I132, 2), 2)</f>
        <v>1171.81</v>
      </c>
    </row>
    <row r="212" spans="1:22" ht="14.25" x14ac:dyDescent="0.2">
      <c r="A212" s="21"/>
      <c r="B212" s="22"/>
      <c r="C212" s="22" t="s">
        <v>511</v>
      </c>
      <c r="D212" s="23"/>
      <c r="E212" s="9"/>
      <c r="F212" s="25">
        <f>Source!AM132</f>
        <v>15.25</v>
      </c>
      <c r="G212" s="24" t="str">
        <f>Source!DE132</f>
        <v>*56</v>
      </c>
      <c r="H212" s="9">
        <f>Source!AV132</f>
        <v>1</v>
      </c>
      <c r="I212" s="9">
        <f>IF(Source!BB132&lt;&gt; 0, Source!BB132, 1)</f>
        <v>1</v>
      </c>
      <c r="J212" s="26">
        <f>Source!Q132</f>
        <v>1998.36</v>
      </c>
      <c r="K212" s="26"/>
    </row>
    <row r="213" spans="1:22" ht="14.25" x14ac:dyDescent="0.2">
      <c r="A213" s="21"/>
      <c r="B213" s="22"/>
      <c r="C213" s="22" t="s">
        <v>512</v>
      </c>
      <c r="D213" s="23"/>
      <c r="E213" s="9"/>
      <c r="F213" s="25">
        <f>Source!AN132</f>
        <v>8.2799999999999994</v>
      </c>
      <c r="G213" s="24" t="str">
        <f>Source!DF132</f>
        <v>*56</v>
      </c>
      <c r="H213" s="9">
        <f>Source!AV132</f>
        <v>1</v>
      </c>
      <c r="I213" s="9">
        <f>IF(Source!BS132&lt;&gt; 0, Source!BS132, 1)</f>
        <v>1</v>
      </c>
      <c r="J213" s="28">
        <f>Source!R132</f>
        <v>1085.01</v>
      </c>
      <c r="K213" s="26"/>
    </row>
    <row r="214" spans="1:22" ht="15" x14ac:dyDescent="0.25">
      <c r="A214" s="30"/>
      <c r="B214" s="30"/>
      <c r="C214" s="30"/>
      <c r="D214" s="30"/>
      <c r="E214" s="30"/>
      <c r="F214" s="30"/>
      <c r="G214" s="30"/>
      <c r="H214" s="30"/>
      <c r="I214" s="51">
        <f>J212</f>
        <v>1998.36</v>
      </c>
      <c r="J214" s="51"/>
      <c r="K214" s="31">
        <f>IF(Source!I132&lt;&gt;0, ROUND(I214/Source!I132, 2), 0)</f>
        <v>854</v>
      </c>
      <c r="P214" s="29">
        <f>I214</f>
        <v>1998.36</v>
      </c>
    </row>
    <row r="215" spans="1:22" ht="28.5" x14ac:dyDescent="0.2">
      <c r="A215" s="21" t="str">
        <f>Source!E133</f>
        <v>24</v>
      </c>
      <c r="B215" s="22" t="str">
        <f>Source!F133</f>
        <v>коммерч. предлож.</v>
      </c>
      <c r="C215" s="22" t="s">
        <v>519</v>
      </c>
      <c r="D215" s="23" t="str">
        <f>Source!H133</f>
        <v>т</v>
      </c>
      <c r="E215" s="9">
        <f>Source!I133</f>
        <v>3.2759999999999998</v>
      </c>
      <c r="F215" s="25">
        <f>Source!AL133</f>
        <v>100.3</v>
      </c>
      <c r="G215" s="24" t="str">
        <f>Source!DD133</f>
        <v/>
      </c>
      <c r="H215" s="9">
        <f>Source!AW133</f>
        <v>1</v>
      </c>
      <c r="I215" s="9">
        <f>IF(Source!BC133&lt;&gt; 0, Source!BC133, 1)</f>
        <v>1</v>
      </c>
      <c r="J215" s="26">
        <f>Source!P133</f>
        <v>328.58</v>
      </c>
      <c r="K215" s="26"/>
      <c r="Q215">
        <f>ROUND((Source!BZ133/100)*ROUND((Source!AF133*Source!AV133)*Source!I133, 2), 2)</f>
        <v>0</v>
      </c>
      <c r="R215">
        <f>Source!X133</f>
        <v>0</v>
      </c>
      <c r="S215">
        <f>ROUND((Source!CA133/100)*ROUND((Source!AF133*Source!AV133)*Source!I133, 2), 2)</f>
        <v>0</v>
      </c>
      <c r="T215">
        <f>Source!Y133</f>
        <v>0</v>
      </c>
      <c r="U215">
        <f>ROUND((175/100)*ROUND((Source!AE133*Source!AV133)*Source!I133, 2), 2)</f>
        <v>0</v>
      </c>
      <c r="V215">
        <f>ROUND((108/100)*ROUND(Source!CS133*Source!I133, 2), 2)</f>
        <v>0</v>
      </c>
    </row>
    <row r="216" spans="1:22" x14ac:dyDescent="0.2">
      <c r="C216" s="27" t="str">
        <f>"Объем: "&amp;Source!I133&amp;"="&amp;Source!I132&amp;"*"&amp;"1,4"</f>
        <v>Объем: 3,276=2,34*1,4</v>
      </c>
    </row>
    <row r="217" spans="1:22" ht="15" x14ac:dyDescent="0.25">
      <c r="A217" s="30"/>
      <c r="B217" s="30"/>
      <c r="C217" s="30"/>
      <c r="D217" s="30"/>
      <c r="E217" s="30"/>
      <c r="F217" s="30"/>
      <c r="G217" s="30"/>
      <c r="H217" s="30"/>
      <c r="I217" s="51">
        <f>J215</f>
        <v>328.58</v>
      </c>
      <c r="J217" s="51"/>
      <c r="K217" s="31">
        <f>IF(Source!I133&lt;&gt;0, ROUND(I217/Source!I133, 2), 0)</f>
        <v>100.3</v>
      </c>
      <c r="P217" s="29">
        <f>I217</f>
        <v>328.58</v>
      </c>
    </row>
    <row r="218" spans="1:22" ht="28.5" x14ac:dyDescent="0.2">
      <c r="A218" s="21" t="str">
        <f>Source!E134</f>
        <v>25</v>
      </c>
      <c r="B218" s="22" t="str">
        <f>Source!F134</f>
        <v>1.2-3103-29-1/1</v>
      </c>
      <c r="C218" s="22" t="str">
        <f>Source!G134</f>
        <v>Устройство песчаного основания под фундаменты</v>
      </c>
      <c r="D218" s="23" t="str">
        <f>Source!H134</f>
        <v>м3</v>
      </c>
      <c r="E218" s="9">
        <f>Source!I134</f>
        <v>0.46800000000000003</v>
      </c>
      <c r="F218" s="25"/>
      <c r="G218" s="24"/>
      <c r="H218" s="9"/>
      <c r="I218" s="9"/>
      <c r="J218" s="26"/>
      <c r="K218" s="26"/>
      <c r="Q218">
        <f>ROUND((Source!BZ134/100)*ROUND((Source!AF134*Source!AV134)*Source!I134, 2), 2)</f>
        <v>54.55</v>
      </c>
      <c r="R218">
        <f>Source!X134</f>
        <v>54.55</v>
      </c>
      <c r="S218">
        <f>ROUND((Source!CA134/100)*ROUND((Source!AF134*Source!AV134)*Source!I134, 2), 2)</f>
        <v>7.79</v>
      </c>
      <c r="T218">
        <f>Source!Y134</f>
        <v>7.79</v>
      </c>
      <c r="U218">
        <f>ROUND((175/100)*ROUND((Source!AE134*Source!AV134)*Source!I134, 2), 2)</f>
        <v>101.69</v>
      </c>
      <c r="V218">
        <f>ROUND((108/100)*ROUND(Source!CS134*Source!I134, 2), 2)</f>
        <v>62.76</v>
      </c>
    </row>
    <row r="219" spans="1:22" x14ac:dyDescent="0.2">
      <c r="C219" s="27" t="str">
        <f>"Объем: "&amp;Source!I134&amp;"=0,3*"&amp;"0,3*"&amp;"0,1*"&amp;"52"</f>
        <v>Объем: 0,468=0,3*0,3*0,1*52</v>
      </c>
    </row>
    <row r="220" spans="1:22" ht="14.25" x14ac:dyDescent="0.2">
      <c r="A220" s="21"/>
      <c r="B220" s="22"/>
      <c r="C220" s="22" t="s">
        <v>510</v>
      </c>
      <c r="D220" s="23"/>
      <c r="E220" s="9"/>
      <c r="F220" s="25">
        <f>Source!AO134</f>
        <v>166.52</v>
      </c>
      <c r="G220" s="24" t="str">
        <f>Source!DG134</f>
        <v/>
      </c>
      <c r="H220" s="9">
        <f>Source!AV134</f>
        <v>1</v>
      </c>
      <c r="I220" s="9">
        <f>IF(Source!BA134&lt;&gt; 0, Source!BA134, 1)</f>
        <v>1</v>
      </c>
      <c r="J220" s="26">
        <f>Source!S134</f>
        <v>77.930000000000007</v>
      </c>
      <c r="K220" s="26"/>
    </row>
    <row r="221" spans="1:22" ht="14.25" x14ac:dyDescent="0.2">
      <c r="A221" s="21"/>
      <c r="B221" s="22"/>
      <c r="C221" s="22" t="s">
        <v>511</v>
      </c>
      <c r="D221" s="23"/>
      <c r="E221" s="9"/>
      <c r="F221" s="25">
        <f>Source!AM134</f>
        <v>210.68</v>
      </c>
      <c r="G221" s="24" t="str">
        <f>Source!DE134</f>
        <v/>
      </c>
      <c r="H221" s="9">
        <f>Source!AV134</f>
        <v>1</v>
      </c>
      <c r="I221" s="9">
        <f>IF(Source!BB134&lt;&gt; 0, Source!BB134, 1)</f>
        <v>1</v>
      </c>
      <c r="J221" s="26">
        <f>Source!Q134</f>
        <v>98.6</v>
      </c>
      <c r="K221" s="26"/>
    </row>
    <row r="222" spans="1:22" ht="14.25" x14ac:dyDescent="0.2">
      <c r="A222" s="21"/>
      <c r="B222" s="22"/>
      <c r="C222" s="22" t="s">
        <v>512</v>
      </c>
      <c r="D222" s="23"/>
      <c r="E222" s="9"/>
      <c r="F222" s="25">
        <f>Source!AN134</f>
        <v>124.16</v>
      </c>
      <c r="G222" s="24" t="str">
        <f>Source!DF134</f>
        <v/>
      </c>
      <c r="H222" s="9">
        <f>Source!AV134</f>
        <v>1</v>
      </c>
      <c r="I222" s="9">
        <f>IF(Source!BS134&lt;&gt; 0, Source!BS134, 1)</f>
        <v>1</v>
      </c>
      <c r="J222" s="28">
        <f>Source!R134</f>
        <v>58.11</v>
      </c>
      <c r="K222" s="26"/>
    </row>
    <row r="223" spans="1:22" ht="14.25" x14ac:dyDescent="0.2">
      <c r="A223" s="21"/>
      <c r="B223" s="22"/>
      <c r="C223" s="22" t="s">
        <v>520</v>
      </c>
      <c r="D223" s="23"/>
      <c r="E223" s="9"/>
      <c r="F223" s="25">
        <f>Source!AL134</f>
        <v>655.15</v>
      </c>
      <c r="G223" s="24" t="str">
        <f>Source!DD134</f>
        <v/>
      </c>
      <c r="H223" s="9">
        <f>Source!AW134</f>
        <v>1</v>
      </c>
      <c r="I223" s="9">
        <f>IF(Source!BC134&lt;&gt; 0, Source!BC134, 1)</f>
        <v>1</v>
      </c>
      <c r="J223" s="26">
        <f>Source!P134</f>
        <v>306.61</v>
      </c>
      <c r="K223" s="26"/>
    </row>
    <row r="224" spans="1:22" ht="14.25" x14ac:dyDescent="0.2">
      <c r="A224" s="21"/>
      <c r="B224" s="22"/>
      <c r="C224" s="22" t="s">
        <v>513</v>
      </c>
      <c r="D224" s="23" t="s">
        <v>514</v>
      </c>
      <c r="E224" s="9">
        <f>Source!AT134</f>
        <v>70</v>
      </c>
      <c r="F224" s="25"/>
      <c r="G224" s="24"/>
      <c r="H224" s="9"/>
      <c r="I224" s="9"/>
      <c r="J224" s="26">
        <f>SUM(R218:R223)</f>
        <v>54.55</v>
      </c>
      <c r="K224" s="26"/>
    </row>
    <row r="225" spans="1:22" ht="14.25" x14ac:dyDescent="0.2">
      <c r="A225" s="21"/>
      <c r="B225" s="22"/>
      <c r="C225" s="22" t="s">
        <v>515</v>
      </c>
      <c r="D225" s="23" t="s">
        <v>514</v>
      </c>
      <c r="E225" s="9">
        <f>Source!AU134</f>
        <v>10</v>
      </c>
      <c r="F225" s="25"/>
      <c r="G225" s="24"/>
      <c r="H225" s="9"/>
      <c r="I225" s="9"/>
      <c r="J225" s="26">
        <f>SUM(T218:T224)</f>
        <v>7.79</v>
      </c>
      <c r="K225" s="26"/>
    </row>
    <row r="226" spans="1:22" ht="14.25" x14ac:dyDescent="0.2">
      <c r="A226" s="21"/>
      <c r="B226" s="22"/>
      <c r="C226" s="22" t="s">
        <v>516</v>
      </c>
      <c r="D226" s="23" t="s">
        <v>514</v>
      </c>
      <c r="E226" s="9">
        <f>108</f>
        <v>108</v>
      </c>
      <c r="F226" s="25"/>
      <c r="G226" s="24"/>
      <c r="H226" s="9"/>
      <c r="I226" s="9"/>
      <c r="J226" s="26">
        <f>SUM(V218:V225)</f>
        <v>62.76</v>
      </c>
      <c r="K226" s="26"/>
    </row>
    <row r="227" spans="1:22" ht="14.25" x14ac:dyDescent="0.2">
      <c r="A227" s="21"/>
      <c r="B227" s="22"/>
      <c r="C227" s="22" t="s">
        <v>517</v>
      </c>
      <c r="D227" s="23" t="s">
        <v>518</v>
      </c>
      <c r="E227" s="9">
        <f>Source!AQ134</f>
        <v>0.9</v>
      </c>
      <c r="F227" s="25"/>
      <c r="G227" s="24" t="str">
        <f>Source!DI134</f>
        <v/>
      </c>
      <c r="H227" s="9">
        <f>Source!AV134</f>
        <v>1</v>
      </c>
      <c r="I227" s="9"/>
      <c r="J227" s="26"/>
      <c r="K227" s="26">
        <f>Source!U134</f>
        <v>0.42120000000000002</v>
      </c>
    </row>
    <row r="228" spans="1:22" ht="15" x14ac:dyDescent="0.25">
      <c r="A228" s="30"/>
      <c r="B228" s="30"/>
      <c r="C228" s="30"/>
      <c r="D228" s="30"/>
      <c r="E228" s="30"/>
      <c r="F228" s="30"/>
      <c r="G228" s="30"/>
      <c r="H228" s="30"/>
      <c r="I228" s="51">
        <f>J220+J221+J223+J224+J225+J226</f>
        <v>608.2399999999999</v>
      </c>
      <c r="J228" s="51"/>
      <c r="K228" s="31">
        <f>IF(Source!I134&lt;&gt;0, ROUND(I228/Source!I134, 2), 0)</f>
        <v>1299.6600000000001</v>
      </c>
      <c r="P228" s="29">
        <f>I228</f>
        <v>608.2399999999999</v>
      </c>
    </row>
    <row r="229" spans="1:22" ht="28.5" x14ac:dyDescent="0.2">
      <c r="A229" s="21" t="str">
        <f>Source!E135</f>
        <v>26</v>
      </c>
      <c r="B229" s="22" t="str">
        <f>Source!F135</f>
        <v>1.2-3103-29-2/1</v>
      </c>
      <c r="C229" s="22" t="str">
        <f>Source!G135</f>
        <v>Устройство щебеночного основания под фундаменты</v>
      </c>
      <c r="D229" s="23" t="str">
        <f>Source!H135</f>
        <v>м3</v>
      </c>
      <c r="E229" s="9">
        <f>Source!I135</f>
        <v>0.46800000000000003</v>
      </c>
      <c r="F229" s="25"/>
      <c r="G229" s="24"/>
      <c r="H229" s="9"/>
      <c r="I229" s="9"/>
      <c r="J229" s="26"/>
      <c r="K229" s="26"/>
      <c r="Q229">
        <f>ROUND((Source!BZ135/100)*ROUND((Source!AF135*Source!AV135)*Source!I135, 2), 2)</f>
        <v>59.4</v>
      </c>
      <c r="R229">
        <f>Source!X135</f>
        <v>59.4</v>
      </c>
      <c r="S229">
        <f>ROUND((Source!CA135/100)*ROUND((Source!AF135*Source!AV135)*Source!I135, 2), 2)</f>
        <v>8.49</v>
      </c>
      <c r="T229">
        <f>Source!Y135</f>
        <v>8.49</v>
      </c>
      <c r="U229">
        <f>ROUND((175/100)*ROUND((Source!AE135*Source!AV135)*Source!I135, 2), 2)</f>
        <v>110.64</v>
      </c>
      <c r="V229">
        <f>ROUND((108/100)*ROUND(Source!CS135*Source!I135, 2), 2)</f>
        <v>68.28</v>
      </c>
    </row>
    <row r="230" spans="1:22" x14ac:dyDescent="0.2">
      <c r="C230" s="27" t="str">
        <f>"Объем: "&amp;Source!I135&amp;"=0,3*"&amp;"0,3*"&amp;"0,1*"&amp;"52"</f>
        <v>Объем: 0,468=0,3*0,3*0,1*52</v>
      </c>
    </row>
    <row r="231" spans="1:22" ht="14.25" x14ac:dyDescent="0.2">
      <c r="A231" s="21"/>
      <c r="B231" s="22"/>
      <c r="C231" s="22" t="s">
        <v>510</v>
      </c>
      <c r="D231" s="23"/>
      <c r="E231" s="9"/>
      <c r="F231" s="25">
        <f>Source!AO135</f>
        <v>181.32</v>
      </c>
      <c r="G231" s="24" t="str">
        <f>Source!DG135</f>
        <v/>
      </c>
      <c r="H231" s="9">
        <f>Source!AV135</f>
        <v>1</v>
      </c>
      <c r="I231" s="9">
        <f>IF(Source!BA135&lt;&gt; 0, Source!BA135, 1)</f>
        <v>1</v>
      </c>
      <c r="J231" s="26">
        <f>Source!S135</f>
        <v>84.86</v>
      </c>
      <c r="K231" s="26"/>
    </row>
    <row r="232" spans="1:22" ht="14.25" x14ac:dyDescent="0.2">
      <c r="A232" s="21"/>
      <c r="B232" s="22"/>
      <c r="C232" s="22" t="s">
        <v>511</v>
      </c>
      <c r="D232" s="23"/>
      <c r="E232" s="9"/>
      <c r="F232" s="25">
        <f>Source!AM135</f>
        <v>224.99</v>
      </c>
      <c r="G232" s="24" t="str">
        <f>Source!DE135</f>
        <v/>
      </c>
      <c r="H232" s="9">
        <f>Source!AV135</f>
        <v>1</v>
      </c>
      <c r="I232" s="9">
        <f>IF(Source!BB135&lt;&gt; 0, Source!BB135, 1)</f>
        <v>1</v>
      </c>
      <c r="J232" s="26">
        <f>Source!Q135</f>
        <v>105.3</v>
      </c>
      <c r="K232" s="26"/>
    </row>
    <row r="233" spans="1:22" ht="14.25" x14ac:dyDescent="0.2">
      <c r="A233" s="21"/>
      <c r="B233" s="22"/>
      <c r="C233" s="22" t="s">
        <v>512</v>
      </c>
      <c r="D233" s="23"/>
      <c r="E233" s="9"/>
      <c r="F233" s="25">
        <f>Source!AN135</f>
        <v>135.08000000000001</v>
      </c>
      <c r="G233" s="24" t="str">
        <f>Source!DF135</f>
        <v/>
      </c>
      <c r="H233" s="9">
        <f>Source!AV135</f>
        <v>1</v>
      </c>
      <c r="I233" s="9">
        <f>IF(Source!BS135&lt;&gt; 0, Source!BS135, 1)</f>
        <v>1</v>
      </c>
      <c r="J233" s="28">
        <f>Source!R135</f>
        <v>63.22</v>
      </c>
      <c r="K233" s="26"/>
    </row>
    <row r="234" spans="1:22" ht="14.25" x14ac:dyDescent="0.2">
      <c r="A234" s="21"/>
      <c r="B234" s="22"/>
      <c r="C234" s="22" t="s">
        <v>520</v>
      </c>
      <c r="D234" s="23"/>
      <c r="E234" s="9"/>
      <c r="F234" s="25">
        <f>Source!AL135</f>
        <v>1657.26</v>
      </c>
      <c r="G234" s="24" t="str">
        <f>Source!DD135</f>
        <v/>
      </c>
      <c r="H234" s="9">
        <f>Source!AW135</f>
        <v>1</v>
      </c>
      <c r="I234" s="9">
        <f>IF(Source!BC135&lt;&gt; 0, Source!BC135, 1)</f>
        <v>1</v>
      </c>
      <c r="J234" s="26">
        <f>Source!P135</f>
        <v>775.6</v>
      </c>
      <c r="K234" s="26"/>
    </row>
    <row r="235" spans="1:22" ht="14.25" x14ac:dyDescent="0.2">
      <c r="A235" s="21"/>
      <c r="B235" s="22"/>
      <c r="C235" s="22" t="s">
        <v>513</v>
      </c>
      <c r="D235" s="23" t="s">
        <v>514</v>
      </c>
      <c r="E235" s="9">
        <f>Source!AT135</f>
        <v>70</v>
      </c>
      <c r="F235" s="25"/>
      <c r="G235" s="24"/>
      <c r="H235" s="9"/>
      <c r="I235" s="9"/>
      <c r="J235" s="26">
        <f>SUM(R229:R234)</f>
        <v>59.4</v>
      </c>
      <c r="K235" s="26"/>
    </row>
    <row r="236" spans="1:22" ht="14.25" x14ac:dyDescent="0.2">
      <c r="A236" s="21"/>
      <c r="B236" s="22"/>
      <c r="C236" s="22" t="s">
        <v>515</v>
      </c>
      <c r="D236" s="23" t="s">
        <v>514</v>
      </c>
      <c r="E236" s="9">
        <f>Source!AU135</f>
        <v>10</v>
      </c>
      <c r="F236" s="25"/>
      <c r="G236" s="24"/>
      <c r="H236" s="9"/>
      <c r="I236" s="9"/>
      <c r="J236" s="26">
        <f>SUM(T229:T235)</f>
        <v>8.49</v>
      </c>
      <c r="K236" s="26"/>
    </row>
    <row r="237" spans="1:22" ht="14.25" x14ac:dyDescent="0.2">
      <c r="A237" s="21"/>
      <c r="B237" s="22"/>
      <c r="C237" s="22" t="s">
        <v>516</v>
      </c>
      <c r="D237" s="23" t="s">
        <v>514</v>
      </c>
      <c r="E237" s="9">
        <f>108</f>
        <v>108</v>
      </c>
      <c r="F237" s="25"/>
      <c r="G237" s="24"/>
      <c r="H237" s="9"/>
      <c r="I237" s="9"/>
      <c r="J237" s="26">
        <f>SUM(V229:V236)</f>
        <v>68.28</v>
      </c>
      <c r="K237" s="26"/>
    </row>
    <row r="238" spans="1:22" ht="14.25" x14ac:dyDescent="0.2">
      <c r="A238" s="21"/>
      <c r="B238" s="22"/>
      <c r="C238" s="22" t="s">
        <v>517</v>
      </c>
      <c r="D238" s="23" t="s">
        <v>518</v>
      </c>
      <c r="E238" s="9">
        <f>Source!AQ135</f>
        <v>0.98</v>
      </c>
      <c r="F238" s="25"/>
      <c r="G238" s="24" t="str">
        <f>Source!DI135</f>
        <v/>
      </c>
      <c r="H238" s="9">
        <f>Source!AV135</f>
        <v>1</v>
      </c>
      <c r="I238" s="9"/>
      <c r="J238" s="26"/>
      <c r="K238" s="26">
        <f>Source!U135</f>
        <v>0.45863999999999999</v>
      </c>
    </row>
    <row r="239" spans="1:22" ht="15" x14ac:dyDescent="0.25">
      <c r="A239" s="30"/>
      <c r="B239" s="30"/>
      <c r="C239" s="30"/>
      <c r="D239" s="30"/>
      <c r="E239" s="30"/>
      <c r="F239" s="30"/>
      <c r="G239" s="30"/>
      <c r="H239" s="30"/>
      <c r="I239" s="51">
        <f>J231+J232+J234+J235+J236+J237</f>
        <v>1101.93</v>
      </c>
      <c r="J239" s="51"/>
      <c r="K239" s="31">
        <f>IF(Source!I135&lt;&gt;0, ROUND(I239/Source!I135, 2), 0)</f>
        <v>2354.5500000000002</v>
      </c>
      <c r="P239" s="29">
        <f>I239</f>
        <v>1101.93</v>
      </c>
    </row>
    <row r="240" spans="1:22" ht="28.5" x14ac:dyDescent="0.2">
      <c r="A240" s="21" t="str">
        <f>Source!E136</f>
        <v>27</v>
      </c>
      <c r="B240" s="22" t="str">
        <f>Source!F136</f>
        <v>1.2-3103-2-1/1</v>
      </c>
      <c r="C240" s="22" t="str">
        <f>Source!G136</f>
        <v>Устройство бетонной подготовки</v>
      </c>
      <c r="D240" s="23" t="str">
        <f>Source!H136</f>
        <v>100 м3</v>
      </c>
      <c r="E240" s="9">
        <f>Source!I136</f>
        <v>1.4E-2</v>
      </c>
      <c r="F240" s="25"/>
      <c r="G240" s="24"/>
      <c r="H240" s="9"/>
      <c r="I240" s="9"/>
      <c r="J240" s="26"/>
      <c r="K240" s="26"/>
      <c r="Q240">
        <f>ROUND((Source!BZ136/100)*ROUND((Source!AF136*Source!AV136)*Source!I136, 2), 2)</f>
        <v>274.99</v>
      </c>
      <c r="R240">
        <f>Source!X136</f>
        <v>274.99</v>
      </c>
      <c r="S240">
        <f>ROUND((Source!CA136/100)*ROUND((Source!AF136*Source!AV136)*Source!I136, 2), 2)</f>
        <v>39.28</v>
      </c>
      <c r="T240">
        <f>Source!Y136</f>
        <v>39.28</v>
      </c>
      <c r="U240">
        <f>ROUND((175/100)*ROUND((Source!AE136*Source!AV136)*Source!I136, 2), 2)</f>
        <v>0</v>
      </c>
      <c r="V240">
        <f>ROUND((108/100)*ROUND(Source!CS136*Source!I136, 2), 2)</f>
        <v>0</v>
      </c>
    </row>
    <row r="241" spans="1:22" x14ac:dyDescent="0.2">
      <c r="C241" s="27" t="str">
        <f>"Объем: "&amp;Source!I136&amp;"=("&amp;Source!I132&amp;"-"&amp;""&amp;Source!I134&amp;"-"&amp;""&amp;Source!I135&amp;")/"&amp;"100"</f>
        <v>Объем: 0,014=(2,34-0,468-0,468)/100</v>
      </c>
    </row>
    <row r="242" spans="1:22" ht="14.25" x14ac:dyDescent="0.2">
      <c r="A242" s="21"/>
      <c r="B242" s="22"/>
      <c r="C242" s="22" t="s">
        <v>510</v>
      </c>
      <c r="D242" s="23"/>
      <c r="E242" s="9"/>
      <c r="F242" s="25">
        <f>Source!AO136</f>
        <v>28059.89</v>
      </c>
      <c r="G242" s="24" t="str">
        <f>Source!DG136</f>
        <v/>
      </c>
      <c r="H242" s="9">
        <f>Source!AV136</f>
        <v>1</v>
      </c>
      <c r="I242" s="9">
        <f>IF(Source!BA136&lt;&gt; 0, Source!BA136, 1)</f>
        <v>1</v>
      </c>
      <c r="J242" s="26">
        <f>Source!S136</f>
        <v>392.84</v>
      </c>
      <c r="K242" s="26"/>
    </row>
    <row r="243" spans="1:22" ht="14.25" x14ac:dyDescent="0.2">
      <c r="A243" s="21"/>
      <c r="B243" s="22"/>
      <c r="C243" s="22" t="s">
        <v>511</v>
      </c>
      <c r="D243" s="23"/>
      <c r="E243" s="9"/>
      <c r="F243" s="25">
        <f>Source!AM136</f>
        <v>28.45</v>
      </c>
      <c r="G243" s="24" t="str">
        <f>Source!DE136</f>
        <v/>
      </c>
      <c r="H243" s="9">
        <f>Source!AV136</f>
        <v>1</v>
      </c>
      <c r="I243" s="9">
        <f>IF(Source!BB136&lt;&gt; 0, Source!BB136, 1)</f>
        <v>1</v>
      </c>
      <c r="J243" s="26">
        <f>Source!Q136</f>
        <v>0.4</v>
      </c>
      <c r="K243" s="26"/>
    </row>
    <row r="244" spans="1:22" ht="14.25" x14ac:dyDescent="0.2">
      <c r="A244" s="21"/>
      <c r="B244" s="22"/>
      <c r="C244" s="22" t="s">
        <v>520</v>
      </c>
      <c r="D244" s="23"/>
      <c r="E244" s="9"/>
      <c r="F244" s="25">
        <f>Source!AL136</f>
        <v>354251.65</v>
      </c>
      <c r="G244" s="24" t="str">
        <f>Source!DD136</f>
        <v/>
      </c>
      <c r="H244" s="9">
        <f>Source!AW136</f>
        <v>1</v>
      </c>
      <c r="I244" s="9">
        <f>IF(Source!BC136&lt;&gt; 0, Source!BC136, 1)</f>
        <v>1</v>
      </c>
      <c r="J244" s="26">
        <f>Source!P136</f>
        <v>4959.5200000000004</v>
      </c>
      <c r="K244" s="26"/>
    </row>
    <row r="245" spans="1:22" ht="14.25" x14ac:dyDescent="0.2">
      <c r="A245" s="21"/>
      <c r="B245" s="22"/>
      <c r="C245" s="22" t="s">
        <v>513</v>
      </c>
      <c r="D245" s="23" t="s">
        <v>514</v>
      </c>
      <c r="E245" s="9">
        <f>Source!AT136</f>
        <v>70</v>
      </c>
      <c r="F245" s="25"/>
      <c r="G245" s="24"/>
      <c r="H245" s="9"/>
      <c r="I245" s="9"/>
      <c r="J245" s="26">
        <f>SUM(R240:R244)</f>
        <v>274.99</v>
      </c>
      <c r="K245" s="26"/>
    </row>
    <row r="246" spans="1:22" ht="14.25" x14ac:dyDescent="0.2">
      <c r="A246" s="21"/>
      <c r="B246" s="22"/>
      <c r="C246" s="22" t="s">
        <v>515</v>
      </c>
      <c r="D246" s="23" t="s">
        <v>514</v>
      </c>
      <c r="E246" s="9">
        <f>Source!AU136</f>
        <v>10</v>
      </c>
      <c r="F246" s="25"/>
      <c r="G246" s="24"/>
      <c r="H246" s="9"/>
      <c r="I246" s="9"/>
      <c r="J246" s="26">
        <f>SUM(T240:T245)</f>
        <v>39.28</v>
      </c>
      <c r="K246" s="26"/>
    </row>
    <row r="247" spans="1:22" ht="14.25" x14ac:dyDescent="0.2">
      <c r="A247" s="21"/>
      <c r="B247" s="22"/>
      <c r="C247" s="22" t="s">
        <v>517</v>
      </c>
      <c r="D247" s="23" t="s">
        <v>518</v>
      </c>
      <c r="E247" s="9">
        <f>Source!AQ136</f>
        <v>155.25</v>
      </c>
      <c r="F247" s="25"/>
      <c r="G247" s="24" t="str">
        <f>Source!DI136</f>
        <v/>
      </c>
      <c r="H247" s="9">
        <f>Source!AV136</f>
        <v>1</v>
      </c>
      <c r="I247" s="9"/>
      <c r="J247" s="26"/>
      <c r="K247" s="26">
        <f>Source!U136</f>
        <v>2.1735000000000002</v>
      </c>
    </row>
    <row r="248" spans="1:22" ht="15" x14ac:dyDescent="0.25">
      <c r="A248" s="30"/>
      <c r="B248" s="30"/>
      <c r="C248" s="30"/>
      <c r="D248" s="30"/>
      <c r="E248" s="30"/>
      <c r="F248" s="30"/>
      <c r="G248" s="30"/>
      <c r="H248" s="30"/>
      <c r="I248" s="51">
        <f>J242+J243+J244+J245+J246</f>
        <v>5667.03</v>
      </c>
      <c r="J248" s="51"/>
      <c r="K248" s="31">
        <f>IF(Source!I136&lt;&gt;0, ROUND(I248/Source!I136, 2), 0)</f>
        <v>404787.86</v>
      </c>
      <c r="P248" s="29">
        <f>I248</f>
        <v>5667.03</v>
      </c>
    </row>
    <row r="249" spans="1:22" ht="28.5" x14ac:dyDescent="0.2">
      <c r="A249" s="21" t="str">
        <f>Source!E137</f>
        <v>28</v>
      </c>
      <c r="B249" s="22" t="str">
        <f>Source!F137</f>
        <v>1.50-3203-10-4/1</v>
      </c>
      <c r="C249" s="22" t="str">
        <f>Source!G137</f>
        <v>Установка монтажных изделий массой свыше 20 кг</v>
      </c>
      <c r="D249" s="23" t="str">
        <f>Source!H137</f>
        <v>т</v>
      </c>
      <c r="E249" s="9">
        <f>Source!I137</f>
        <v>1.8</v>
      </c>
      <c r="F249" s="25"/>
      <c r="G249" s="24"/>
      <c r="H249" s="9"/>
      <c r="I249" s="9"/>
      <c r="J249" s="26"/>
      <c r="K249" s="26"/>
      <c r="Q249">
        <f>ROUND((Source!BZ137/100)*ROUND((Source!AF137*Source!AV137)*Source!I137, 2), 2)</f>
        <v>11875.14</v>
      </c>
      <c r="R249">
        <f>Source!X137</f>
        <v>11875.14</v>
      </c>
      <c r="S249">
        <f>ROUND((Source!CA137/100)*ROUND((Source!AF137*Source!AV137)*Source!I137, 2), 2)</f>
        <v>1696.45</v>
      </c>
      <c r="T249">
        <f>Source!Y137</f>
        <v>1696.45</v>
      </c>
      <c r="U249">
        <f>ROUND((175/100)*ROUND((Source!AE137*Source!AV137)*Source!I137, 2), 2)</f>
        <v>3.47</v>
      </c>
      <c r="V249">
        <f>ROUND((108/100)*ROUND(Source!CS137*Source!I137, 2), 2)</f>
        <v>2.14</v>
      </c>
    </row>
    <row r="250" spans="1:22" ht="14.25" x14ac:dyDescent="0.2">
      <c r="A250" s="21"/>
      <c r="B250" s="22"/>
      <c r="C250" s="22" t="s">
        <v>510</v>
      </c>
      <c r="D250" s="23"/>
      <c r="E250" s="9"/>
      <c r="F250" s="25">
        <f>Source!AO137</f>
        <v>9424.7099999999991</v>
      </c>
      <c r="G250" s="24" t="str">
        <f>Source!DG137</f>
        <v/>
      </c>
      <c r="H250" s="9">
        <f>Source!AV137</f>
        <v>1</v>
      </c>
      <c r="I250" s="9">
        <f>IF(Source!BA137&lt;&gt; 0, Source!BA137, 1)</f>
        <v>1</v>
      </c>
      <c r="J250" s="26">
        <f>Source!S137</f>
        <v>16964.48</v>
      </c>
      <c r="K250" s="26"/>
    </row>
    <row r="251" spans="1:22" ht="14.25" x14ac:dyDescent="0.2">
      <c r="A251" s="21"/>
      <c r="B251" s="22"/>
      <c r="C251" s="22" t="s">
        <v>511</v>
      </c>
      <c r="D251" s="23"/>
      <c r="E251" s="9"/>
      <c r="F251" s="25">
        <f>Source!AM137</f>
        <v>1197.3800000000001</v>
      </c>
      <c r="G251" s="24" t="str">
        <f>Source!DE137</f>
        <v/>
      </c>
      <c r="H251" s="9">
        <f>Source!AV137</f>
        <v>1</v>
      </c>
      <c r="I251" s="9">
        <f>IF(Source!BB137&lt;&gt; 0, Source!BB137, 1)</f>
        <v>1</v>
      </c>
      <c r="J251" s="26">
        <f>Source!Q137</f>
        <v>2155.2800000000002</v>
      </c>
      <c r="K251" s="26"/>
    </row>
    <row r="252" spans="1:22" ht="14.25" x14ac:dyDescent="0.2">
      <c r="A252" s="21"/>
      <c r="B252" s="22"/>
      <c r="C252" s="22" t="s">
        <v>512</v>
      </c>
      <c r="D252" s="23"/>
      <c r="E252" s="9"/>
      <c r="F252" s="25">
        <f>Source!AN137</f>
        <v>1.1000000000000001</v>
      </c>
      <c r="G252" s="24" t="str">
        <f>Source!DF137</f>
        <v/>
      </c>
      <c r="H252" s="9">
        <f>Source!AV137</f>
        <v>1</v>
      </c>
      <c r="I252" s="9">
        <f>IF(Source!BS137&lt;&gt; 0, Source!BS137, 1)</f>
        <v>1</v>
      </c>
      <c r="J252" s="28">
        <f>Source!R137</f>
        <v>1.98</v>
      </c>
      <c r="K252" s="26"/>
    </row>
    <row r="253" spans="1:22" ht="14.25" x14ac:dyDescent="0.2">
      <c r="A253" s="21"/>
      <c r="B253" s="22"/>
      <c r="C253" s="22" t="s">
        <v>520</v>
      </c>
      <c r="D253" s="23"/>
      <c r="E253" s="9"/>
      <c r="F253" s="25">
        <f>Source!AL137</f>
        <v>56556.95</v>
      </c>
      <c r="G253" s="24" t="str">
        <f>Source!DD137</f>
        <v/>
      </c>
      <c r="H253" s="9">
        <f>Source!AW137</f>
        <v>1</v>
      </c>
      <c r="I253" s="9">
        <f>IF(Source!BC137&lt;&gt; 0, Source!BC137, 1)</f>
        <v>1</v>
      </c>
      <c r="J253" s="26">
        <f>Source!P137</f>
        <v>101802.51</v>
      </c>
      <c r="K253" s="26"/>
    </row>
    <row r="254" spans="1:22" ht="55.5" x14ac:dyDescent="0.2">
      <c r="A254" s="21" t="str">
        <f>Source!E138</f>
        <v>28,1</v>
      </c>
      <c r="B254" s="22" t="str">
        <f>Source!F138</f>
        <v>коммерч. предлож.</v>
      </c>
      <c r="C254" s="22" t="s">
        <v>522</v>
      </c>
      <c r="D254" s="23" t="str">
        <f>Source!H138</f>
        <v>шт.</v>
      </c>
      <c r="E254" s="9">
        <f>Source!I138</f>
        <v>1</v>
      </c>
      <c r="F254" s="25">
        <f>Source!AK138</f>
        <v>419815</v>
      </c>
      <c r="G254" s="32" t="s">
        <v>521</v>
      </c>
      <c r="H254" s="9">
        <f>Source!AW138</f>
        <v>1</v>
      </c>
      <c r="I254" s="9">
        <f>IF(Source!BC138&lt;&gt; 0, Source!BC138, 1)</f>
        <v>1</v>
      </c>
      <c r="J254" s="26">
        <f>Source!O138</f>
        <v>419815</v>
      </c>
      <c r="K254" s="26"/>
      <c r="Q254">
        <f>ROUND((Source!BZ138/100)*ROUND((Source!AF138*Source!AV138)*Source!I138, 2), 2)</f>
        <v>0</v>
      </c>
      <c r="R254">
        <f>Source!X138</f>
        <v>0</v>
      </c>
      <c r="S254">
        <f>ROUND((Source!CA138/100)*ROUND((Source!AF138*Source!AV138)*Source!I138, 2), 2)</f>
        <v>0</v>
      </c>
      <c r="T254">
        <f>Source!Y138</f>
        <v>0</v>
      </c>
      <c r="U254">
        <f>ROUND((175/100)*ROUND((Source!AE138*Source!AV138)*Source!I138, 2), 2)</f>
        <v>0</v>
      </c>
      <c r="V254">
        <f>ROUND((108/100)*ROUND(Source!CS138*Source!I138, 2), 2)</f>
        <v>0</v>
      </c>
    </row>
    <row r="255" spans="1:22" ht="14.25" x14ac:dyDescent="0.2">
      <c r="A255" s="21"/>
      <c r="B255" s="22"/>
      <c r="C255" s="22" t="s">
        <v>513</v>
      </c>
      <c r="D255" s="23" t="s">
        <v>514</v>
      </c>
      <c r="E255" s="9">
        <f>Source!AT137</f>
        <v>70</v>
      </c>
      <c r="F255" s="25"/>
      <c r="G255" s="24"/>
      <c r="H255" s="9"/>
      <c r="I255" s="9"/>
      <c r="J255" s="26">
        <f>SUM(R249:R254)</f>
        <v>11875.14</v>
      </c>
      <c r="K255" s="26"/>
    </row>
    <row r="256" spans="1:22" ht="14.25" x14ac:dyDescent="0.2">
      <c r="A256" s="21"/>
      <c r="B256" s="22"/>
      <c r="C256" s="22" t="s">
        <v>515</v>
      </c>
      <c r="D256" s="23" t="s">
        <v>514</v>
      </c>
      <c r="E256" s="9">
        <f>Source!AU137</f>
        <v>10</v>
      </c>
      <c r="F256" s="25"/>
      <c r="G256" s="24"/>
      <c r="H256" s="9"/>
      <c r="I256" s="9"/>
      <c r="J256" s="26">
        <f>SUM(T249:T255)</f>
        <v>1696.45</v>
      </c>
      <c r="K256" s="26"/>
    </row>
    <row r="257" spans="1:22" ht="14.25" x14ac:dyDescent="0.2">
      <c r="A257" s="21"/>
      <c r="B257" s="22"/>
      <c r="C257" s="22" t="s">
        <v>516</v>
      </c>
      <c r="D257" s="23" t="s">
        <v>514</v>
      </c>
      <c r="E257" s="9">
        <f>108</f>
        <v>108</v>
      </c>
      <c r="F257" s="25"/>
      <c r="G257" s="24"/>
      <c r="H257" s="9"/>
      <c r="I257" s="9"/>
      <c r="J257" s="26">
        <f>SUM(V249:V256)</f>
        <v>2.14</v>
      </c>
      <c r="K257" s="26"/>
    </row>
    <row r="258" spans="1:22" ht="14.25" x14ac:dyDescent="0.2">
      <c r="A258" s="21"/>
      <c r="B258" s="22"/>
      <c r="C258" s="22" t="s">
        <v>517</v>
      </c>
      <c r="D258" s="23" t="s">
        <v>518</v>
      </c>
      <c r="E258" s="9">
        <f>Source!AQ137</f>
        <v>36.11</v>
      </c>
      <c r="F258" s="25"/>
      <c r="G258" s="24" t="str">
        <f>Source!DI137</f>
        <v/>
      </c>
      <c r="H258" s="9">
        <f>Source!AV137</f>
        <v>1</v>
      </c>
      <c r="I258" s="9"/>
      <c r="J258" s="26"/>
      <c r="K258" s="26">
        <f>Source!U137</f>
        <v>64.998000000000005</v>
      </c>
    </row>
    <row r="259" spans="1:22" ht="15" x14ac:dyDescent="0.25">
      <c r="A259" s="30"/>
      <c r="B259" s="30"/>
      <c r="C259" s="30"/>
      <c r="D259" s="30"/>
      <c r="E259" s="30"/>
      <c r="F259" s="30"/>
      <c r="G259" s="30"/>
      <c r="H259" s="30"/>
      <c r="I259" s="51">
        <f>J250+J251+J253+J255+J256+J257+SUM(J254:J254)</f>
        <v>554311</v>
      </c>
      <c r="J259" s="51"/>
      <c r="K259" s="31">
        <f>IF(Source!I137&lt;&gt;0, ROUND(I259/Source!I137, 2), 0)</f>
        <v>307950.56</v>
      </c>
      <c r="P259" s="29">
        <f>I259</f>
        <v>554311</v>
      </c>
    </row>
    <row r="261" spans="1:22" ht="15" x14ac:dyDescent="0.25">
      <c r="A261" s="54" t="str">
        <f>CONCATENATE("Итого по разделу: ",IF(Source!G140&lt;&gt;"Новый раздел", Source!G140, ""))</f>
        <v>Итого по разделу: Установка хоккейной коробки</v>
      </c>
      <c r="B261" s="54"/>
      <c r="C261" s="54"/>
      <c r="D261" s="54"/>
      <c r="E261" s="54"/>
      <c r="F261" s="54"/>
      <c r="G261" s="54"/>
      <c r="H261" s="54"/>
      <c r="I261" s="52">
        <f>SUM(P191:P260)</f>
        <v>656712.12</v>
      </c>
      <c r="J261" s="53"/>
      <c r="K261" s="33"/>
    </row>
    <row r="263" spans="1:22" ht="16.5" x14ac:dyDescent="0.25">
      <c r="A263" s="50" t="str">
        <f>CONCATENATE("Раздел: ",IF(Source!G173&lt;&gt;"Новый раздел", Source!G173, ""))</f>
        <v>Раздел: Спортивное оборудование</v>
      </c>
      <c r="B263" s="50"/>
      <c r="C263" s="50"/>
      <c r="D263" s="50"/>
      <c r="E263" s="50"/>
      <c r="F263" s="50"/>
      <c r="G263" s="50"/>
      <c r="H263" s="50"/>
      <c r="I263" s="50"/>
      <c r="J263" s="50"/>
      <c r="K263" s="50"/>
    </row>
    <row r="264" spans="1:22" ht="28.5" x14ac:dyDescent="0.2">
      <c r="A264" s="21" t="str">
        <f>Source!E178</f>
        <v>29</v>
      </c>
      <c r="B264" s="22" t="str">
        <f>Source!F178</f>
        <v>1.1-3101-5-2/1</v>
      </c>
      <c r="C264" s="22" t="str">
        <f>Source!G178</f>
        <v>Рытье ям для установки стоек и столбов глубина 0,7 м</v>
      </c>
      <c r="D264" s="23" t="str">
        <f>Source!H178</f>
        <v>100 ям</v>
      </c>
      <c r="E264" s="9">
        <f>Source!I178</f>
        <v>0.06</v>
      </c>
      <c r="F264" s="25"/>
      <c r="G264" s="24"/>
      <c r="H264" s="9"/>
      <c r="I264" s="9"/>
      <c r="J264" s="26"/>
      <c r="K264" s="26"/>
      <c r="Q264">
        <f>ROUND((Source!BZ178/100)*ROUND((Source!AF178*Source!AV178)*Source!I178, 2), 2)</f>
        <v>4133.4799999999996</v>
      </c>
      <c r="R264">
        <f>Source!X178</f>
        <v>4133.4799999999996</v>
      </c>
      <c r="S264">
        <f>ROUND((Source!CA178/100)*ROUND((Source!AF178*Source!AV178)*Source!I178, 2), 2)</f>
        <v>590.5</v>
      </c>
      <c r="T264">
        <f>Source!Y178</f>
        <v>590.5</v>
      </c>
      <c r="U264">
        <f>ROUND((175/100)*ROUND((Source!AE178*Source!AV178)*Source!I178, 2), 2)</f>
        <v>0</v>
      </c>
      <c r="V264">
        <f>ROUND((108/100)*ROUND(Source!CS178*Source!I178, 2), 2)</f>
        <v>0</v>
      </c>
    </row>
    <row r="265" spans="1:22" x14ac:dyDescent="0.2">
      <c r="C265" s="27" t="str">
        <f>"Объем: "&amp;Source!I178&amp;"=6/"&amp;"100"</f>
        <v>Объем: 0,06=6/100</v>
      </c>
    </row>
    <row r="266" spans="1:22" ht="14.25" x14ac:dyDescent="0.2">
      <c r="A266" s="21"/>
      <c r="B266" s="22"/>
      <c r="C266" s="22" t="s">
        <v>510</v>
      </c>
      <c r="D266" s="23"/>
      <c r="E266" s="9"/>
      <c r="F266" s="25">
        <f>Source!AO178</f>
        <v>98416.2</v>
      </c>
      <c r="G266" s="24" t="str">
        <f>Source!DG178</f>
        <v/>
      </c>
      <c r="H266" s="9">
        <f>Source!AV178</f>
        <v>1</v>
      </c>
      <c r="I266" s="9">
        <f>IF(Source!BA178&lt;&gt; 0, Source!BA178, 1)</f>
        <v>1</v>
      </c>
      <c r="J266" s="26">
        <f>Source!S178</f>
        <v>5904.97</v>
      </c>
      <c r="K266" s="26"/>
    </row>
    <row r="267" spans="1:22" ht="14.25" x14ac:dyDescent="0.2">
      <c r="A267" s="21"/>
      <c r="B267" s="22"/>
      <c r="C267" s="22" t="s">
        <v>513</v>
      </c>
      <c r="D267" s="23" t="s">
        <v>514</v>
      </c>
      <c r="E267" s="9">
        <f>Source!AT178</f>
        <v>70</v>
      </c>
      <c r="F267" s="25"/>
      <c r="G267" s="24"/>
      <c r="H267" s="9"/>
      <c r="I267" s="9"/>
      <c r="J267" s="26">
        <f>SUM(R264:R266)</f>
        <v>4133.4799999999996</v>
      </c>
      <c r="K267" s="26"/>
    </row>
    <row r="268" spans="1:22" ht="14.25" x14ac:dyDescent="0.2">
      <c r="A268" s="21"/>
      <c r="B268" s="22"/>
      <c r="C268" s="22" t="s">
        <v>515</v>
      </c>
      <c r="D268" s="23" t="s">
        <v>514</v>
      </c>
      <c r="E268" s="9">
        <f>Source!AU178</f>
        <v>10</v>
      </c>
      <c r="F268" s="25"/>
      <c r="G268" s="24"/>
      <c r="H268" s="9"/>
      <c r="I268" s="9"/>
      <c r="J268" s="26">
        <f>SUM(T264:T267)</f>
        <v>590.5</v>
      </c>
      <c r="K268" s="26"/>
    </row>
    <row r="269" spans="1:22" ht="14.25" x14ac:dyDescent="0.2">
      <c r="A269" s="21"/>
      <c r="B269" s="22"/>
      <c r="C269" s="22" t="s">
        <v>517</v>
      </c>
      <c r="D269" s="23" t="s">
        <v>518</v>
      </c>
      <c r="E269" s="9">
        <f>Source!AQ178</f>
        <v>582</v>
      </c>
      <c r="F269" s="25"/>
      <c r="G269" s="24" t="str">
        <f>Source!DI178</f>
        <v/>
      </c>
      <c r="H269" s="9">
        <f>Source!AV178</f>
        <v>1</v>
      </c>
      <c r="I269" s="9"/>
      <c r="J269" s="26"/>
      <c r="K269" s="26">
        <f>Source!U178</f>
        <v>34.92</v>
      </c>
    </row>
    <row r="270" spans="1:22" ht="15" x14ac:dyDescent="0.25">
      <c r="A270" s="30"/>
      <c r="B270" s="30"/>
      <c r="C270" s="30"/>
      <c r="D270" s="30"/>
      <c r="E270" s="30"/>
      <c r="F270" s="30"/>
      <c r="G270" s="30"/>
      <c r="H270" s="30"/>
      <c r="I270" s="51">
        <f>J266+J267+J268</f>
        <v>10628.95</v>
      </c>
      <c r="J270" s="51"/>
      <c r="K270" s="31">
        <f>IF(Source!I178&lt;&gt;0, ROUND(I270/Source!I178, 2), 0)</f>
        <v>177149.17</v>
      </c>
      <c r="P270" s="29">
        <f>I270</f>
        <v>10628.95</v>
      </c>
    </row>
    <row r="271" spans="1:22" ht="28.5" x14ac:dyDescent="0.2">
      <c r="A271" s="21" t="str">
        <f>Source!E179</f>
        <v>30</v>
      </c>
      <c r="B271" s="22" t="str">
        <f>Source!F179</f>
        <v>1.1-3101-6-1/1</v>
      </c>
      <c r="C271" s="22" t="str">
        <f>Source!G179</f>
        <v>Погрузка грунта вручную в автомобили-самосвалы с выгрузкой</v>
      </c>
      <c r="D271" s="23" t="str">
        <f>Source!H179</f>
        <v>100 м3</v>
      </c>
      <c r="E271" s="9">
        <f>Source!I179</f>
        <v>3.0999999999999999E-3</v>
      </c>
      <c r="F271" s="25"/>
      <c r="G271" s="24"/>
      <c r="H271" s="9"/>
      <c r="I271" s="9"/>
      <c r="J271" s="26"/>
      <c r="K271" s="26"/>
      <c r="Q271">
        <f>ROUND((Source!BZ179/100)*ROUND((Source!AF179*Source!AV179)*Source!I179, 2), 2)</f>
        <v>24.15</v>
      </c>
      <c r="R271">
        <f>Source!X179</f>
        <v>24.15</v>
      </c>
      <c r="S271">
        <f>ROUND((Source!CA179/100)*ROUND((Source!AF179*Source!AV179)*Source!I179, 2), 2)</f>
        <v>3.45</v>
      </c>
      <c r="T271">
        <f>Source!Y179</f>
        <v>3.45</v>
      </c>
      <c r="U271">
        <f>ROUND((175/100)*ROUND((Source!AE179*Source!AV179)*Source!I179, 2), 2)</f>
        <v>0</v>
      </c>
      <c r="V271">
        <f>ROUND((108/100)*ROUND(Source!CS179*Source!I179, 2), 2)</f>
        <v>0</v>
      </c>
    </row>
    <row r="272" spans="1:22" ht="25.5" x14ac:dyDescent="0.2">
      <c r="C272" s="27" t="str">
        <f>"Объем: "&amp;Source!I179&amp;"=((0,3*"&amp;"0,3*"&amp;"0,5*"&amp;"4+"&amp;"0,3*"&amp;"0,3*"&amp;"0,7*"&amp;"2))/"&amp;"100"</f>
        <v>Объем: 0,0031=((0,3*0,3*0,5*4+0,3*0,3*0,7*2))/100</v>
      </c>
    </row>
    <row r="273" spans="1:22" ht="14.25" x14ac:dyDescent="0.2">
      <c r="A273" s="21"/>
      <c r="B273" s="22"/>
      <c r="C273" s="22" t="s">
        <v>510</v>
      </c>
      <c r="D273" s="23"/>
      <c r="E273" s="9"/>
      <c r="F273" s="25">
        <f>Source!AO179</f>
        <v>11130.3</v>
      </c>
      <c r="G273" s="24" t="str">
        <f>Source!DG179</f>
        <v/>
      </c>
      <c r="H273" s="9">
        <f>Source!AV179</f>
        <v>1</v>
      </c>
      <c r="I273" s="9">
        <f>IF(Source!BA179&lt;&gt; 0, Source!BA179, 1)</f>
        <v>1</v>
      </c>
      <c r="J273" s="26">
        <f>Source!S179</f>
        <v>34.5</v>
      </c>
      <c r="K273" s="26"/>
    </row>
    <row r="274" spans="1:22" ht="14.25" x14ac:dyDescent="0.2">
      <c r="A274" s="21"/>
      <c r="B274" s="22"/>
      <c r="C274" s="22" t="s">
        <v>513</v>
      </c>
      <c r="D274" s="23" t="s">
        <v>514</v>
      </c>
      <c r="E274" s="9">
        <f>Source!AT179</f>
        <v>70</v>
      </c>
      <c r="F274" s="25"/>
      <c r="G274" s="24"/>
      <c r="H274" s="9"/>
      <c r="I274" s="9"/>
      <c r="J274" s="26">
        <f>SUM(R271:R273)</f>
        <v>24.15</v>
      </c>
      <c r="K274" s="26"/>
    </row>
    <row r="275" spans="1:22" ht="14.25" x14ac:dyDescent="0.2">
      <c r="A275" s="21"/>
      <c r="B275" s="22"/>
      <c r="C275" s="22" t="s">
        <v>515</v>
      </c>
      <c r="D275" s="23" t="s">
        <v>514</v>
      </c>
      <c r="E275" s="9">
        <f>Source!AU179</f>
        <v>10</v>
      </c>
      <c r="F275" s="25"/>
      <c r="G275" s="24"/>
      <c r="H275" s="9"/>
      <c r="I275" s="9"/>
      <c r="J275" s="26">
        <f>SUM(T271:T274)</f>
        <v>3.45</v>
      </c>
      <c r="K275" s="26"/>
    </row>
    <row r="276" spans="1:22" ht="14.25" x14ac:dyDescent="0.2">
      <c r="A276" s="21"/>
      <c r="B276" s="22"/>
      <c r="C276" s="22" t="s">
        <v>517</v>
      </c>
      <c r="D276" s="23" t="s">
        <v>518</v>
      </c>
      <c r="E276" s="9">
        <f>Source!AQ179</f>
        <v>83</v>
      </c>
      <c r="F276" s="25"/>
      <c r="G276" s="24" t="str">
        <f>Source!DI179</f>
        <v/>
      </c>
      <c r="H276" s="9">
        <f>Source!AV179</f>
        <v>1</v>
      </c>
      <c r="I276" s="9"/>
      <c r="J276" s="26"/>
      <c r="K276" s="26">
        <f>Source!U179</f>
        <v>0.25729999999999997</v>
      </c>
    </row>
    <row r="277" spans="1:22" ht="15" x14ac:dyDescent="0.25">
      <c r="A277" s="30"/>
      <c r="B277" s="30"/>
      <c r="C277" s="30"/>
      <c r="D277" s="30"/>
      <c r="E277" s="30"/>
      <c r="F277" s="30"/>
      <c r="G277" s="30"/>
      <c r="H277" s="30"/>
      <c r="I277" s="51">
        <f>J273+J274+J275</f>
        <v>62.1</v>
      </c>
      <c r="J277" s="51"/>
      <c r="K277" s="31">
        <f>IF(Source!I179&lt;&gt;0, ROUND(I277/Source!I179, 2), 0)</f>
        <v>20032.259999999998</v>
      </c>
      <c r="P277" s="29">
        <f>I277</f>
        <v>62.1</v>
      </c>
    </row>
    <row r="278" spans="1:22" ht="42.75" x14ac:dyDescent="0.2">
      <c r="A278" s="21" t="str">
        <f>Source!E180</f>
        <v>31</v>
      </c>
      <c r="B278" s="22" t="str">
        <f>Source!F180</f>
        <v>2.49-3401-1-1/1</v>
      </c>
      <c r="C278" s="22" t="str">
        <f>Source!G180</f>
        <v>Перевозка грунта автосамосвалами грузоподъемностью до 10 т на расстояние 1 км</v>
      </c>
      <c r="D278" s="23" t="str">
        <f>Source!H180</f>
        <v>м3</v>
      </c>
      <c r="E278" s="9">
        <f>Source!I180</f>
        <v>0.31</v>
      </c>
      <c r="F278" s="25"/>
      <c r="G278" s="24"/>
      <c r="H278" s="9"/>
      <c r="I278" s="9"/>
      <c r="J278" s="26"/>
      <c r="K278" s="26"/>
      <c r="Q278">
        <f>ROUND((Source!BZ180/100)*ROUND((Source!AF180*Source!AV180)*Source!I180, 2), 2)</f>
        <v>0</v>
      </c>
      <c r="R278">
        <f>Source!X180</f>
        <v>0</v>
      </c>
      <c r="S278">
        <f>ROUND((Source!CA180/100)*ROUND((Source!AF180*Source!AV180)*Source!I180, 2), 2)</f>
        <v>0</v>
      </c>
      <c r="T278">
        <f>Source!Y180</f>
        <v>0</v>
      </c>
      <c r="U278">
        <f>ROUND((175/100)*ROUND((Source!AE180*Source!AV180)*Source!I180, 2), 2)</f>
        <v>13.91</v>
      </c>
      <c r="V278">
        <f>ROUND((108/100)*ROUND(Source!CS180*Source!I180, 2), 2)</f>
        <v>8.59</v>
      </c>
    </row>
    <row r="279" spans="1:22" x14ac:dyDescent="0.2">
      <c r="C279" s="27" t="str">
        <f>"Объем: "&amp;Source!I180&amp;"="&amp;Source!I179&amp;"*"&amp;"100"</f>
        <v>Объем: 0,31=0,0031*100</v>
      </c>
    </row>
    <row r="280" spans="1:22" ht="14.25" x14ac:dyDescent="0.2">
      <c r="A280" s="21"/>
      <c r="B280" s="22"/>
      <c r="C280" s="22" t="s">
        <v>511</v>
      </c>
      <c r="D280" s="23"/>
      <c r="E280" s="9"/>
      <c r="F280" s="25">
        <f>Source!AM180</f>
        <v>47.27</v>
      </c>
      <c r="G280" s="24" t="str">
        <f>Source!DE180</f>
        <v/>
      </c>
      <c r="H280" s="9">
        <f>Source!AV180</f>
        <v>1</v>
      </c>
      <c r="I280" s="9">
        <f>IF(Source!BB180&lt;&gt; 0, Source!BB180, 1)</f>
        <v>1</v>
      </c>
      <c r="J280" s="26">
        <f>Source!Q180</f>
        <v>14.65</v>
      </c>
      <c r="K280" s="26"/>
    </row>
    <row r="281" spans="1:22" ht="14.25" x14ac:dyDescent="0.2">
      <c r="A281" s="21"/>
      <c r="B281" s="22"/>
      <c r="C281" s="22" t="s">
        <v>512</v>
      </c>
      <c r="D281" s="23"/>
      <c r="E281" s="9"/>
      <c r="F281" s="25">
        <f>Source!AN180</f>
        <v>25.66</v>
      </c>
      <c r="G281" s="24" t="str">
        <f>Source!DF180</f>
        <v/>
      </c>
      <c r="H281" s="9">
        <f>Source!AV180</f>
        <v>1</v>
      </c>
      <c r="I281" s="9">
        <f>IF(Source!BS180&lt;&gt; 0, Source!BS180, 1)</f>
        <v>1</v>
      </c>
      <c r="J281" s="28">
        <f>Source!R180</f>
        <v>7.95</v>
      </c>
      <c r="K281" s="26"/>
    </row>
    <row r="282" spans="1:22" ht="15" x14ac:dyDescent="0.25">
      <c r="A282" s="30"/>
      <c r="B282" s="30"/>
      <c r="C282" s="30"/>
      <c r="D282" s="30"/>
      <c r="E282" s="30"/>
      <c r="F282" s="30"/>
      <c r="G282" s="30"/>
      <c r="H282" s="30"/>
      <c r="I282" s="51">
        <f>J280</f>
        <v>14.65</v>
      </c>
      <c r="J282" s="51"/>
      <c r="K282" s="31">
        <f>IF(Source!I180&lt;&gt;0, ROUND(I282/Source!I180, 2), 0)</f>
        <v>47.26</v>
      </c>
      <c r="P282" s="29">
        <f>I282</f>
        <v>14.65</v>
      </c>
    </row>
    <row r="283" spans="1:22" ht="57" x14ac:dyDescent="0.2">
      <c r="A283" s="21" t="str">
        <f>Source!E181</f>
        <v>32</v>
      </c>
      <c r="B283" s="22" t="str">
        <f>Source!F181</f>
        <v>2.49-3401-1-2/1</v>
      </c>
      <c r="C283" s="22" t="str">
        <f>Source!G181</f>
        <v>Перевозка грунта автосамосвалами грузоподъемностью до 10 т - добавляется на каждый последующий 1 км до 100 км (к поз. 49-3401-1-1)</v>
      </c>
      <c r="D283" s="23" t="str">
        <f>Source!H181</f>
        <v>м3</v>
      </c>
      <c r="E283" s="9">
        <f>Source!I181</f>
        <v>0.31</v>
      </c>
      <c r="F283" s="25"/>
      <c r="G283" s="24"/>
      <c r="H283" s="9"/>
      <c r="I283" s="9"/>
      <c r="J283" s="26"/>
      <c r="K283" s="26"/>
      <c r="Q283">
        <f>ROUND((Source!BZ181/100)*ROUND((Source!AF181*Source!AV181)*Source!I181, 2), 2)</f>
        <v>0</v>
      </c>
      <c r="R283">
        <f>Source!X181</f>
        <v>0</v>
      </c>
      <c r="S283">
        <f>ROUND((Source!CA181/100)*ROUND((Source!AF181*Source!AV181)*Source!I181, 2), 2)</f>
        <v>0</v>
      </c>
      <c r="T283">
        <f>Source!Y181</f>
        <v>0</v>
      </c>
      <c r="U283">
        <f>ROUND((175/100)*ROUND((Source!AE181*Source!AV181)*Source!I181, 2), 2)</f>
        <v>251.55</v>
      </c>
      <c r="V283">
        <f>ROUND((108/100)*ROUND(Source!CS181*Source!I181, 2), 2)</f>
        <v>155.24</v>
      </c>
    </row>
    <row r="284" spans="1:22" ht="14.25" x14ac:dyDescent="0.2">
      <c r="A284" s="21"/>
      <c r="B284" s="22"/>
      <c r="C284" s="22" t="s">
        <v>511</v>
      </c>
      <c r="D284" s="23"/>
      <c r="E284" s="9"/>
      <c r="F284" s="25">
        <f>Source!AM181</f>
        <v>15.25</v>
      </c>
      <c r="G284" s="24" t="str">
        <f>Source!DE181</f>
        <v>*56</v>
      </c>
      <c r="H284" s="9">
        <f>Source!AV181</f>
        <v>1</v>
      </c>
      <c r="I284" s="9">
        <f>IF(Source!BB181&lt;&gt; 0, Source!BB181, 1)</f>
        <v>1</v>
      </c>
      <c r="J284" s="26">
        <f>Source!Q181</f>
        <v>264.74</v>
      </c>
      <c r="K284" s="26"/>
    </row>
    <row r="285" spans="1:22" ht="14.25" x14ac:dyDescent="0.2">
      <c r="A285" s="21"/>
      <c r="B285" s="22"/>
      <c r="C285" s="22" t="s">
        <v>512</v>
      </c>
      <c r="D285" s="23"/>
      <c r="E285" s="9"/>
      <c r="F285" s="25">
        <f>Source!AN181</f>
        <v>8.2799999999999994</v>
      </c>
      <c r="G285" s="24" t="str">
        <f>Source!DF181</f>
        <v>*56</v>
      </c>
      <c r="H285" s="9">
        <f>Source!AV181</f>
        <v>1</v>
      </c>
      <c r="I285" s="9">
        <f>IF(Source!BS181&lt;&gt; 0, Source!BS181, 1)</f>
        <v>1</v>
      </c>
      <c r="J285" s="28">
        <f>Source!R181</f>
        <v>143.74</v>
      </c>
      <c r="K285" s="26"/>
    </row>
    <row r="286" spans="1:22" ht="15" x14ac:dyDescent="0.25">
      <c r="A286" s="30"/>
      <c r="B286" s="30"/>
      <c r="C286" s="30"/>
      <c r="D286" s="30"/>
      <c r="E286" s="30"/>
      <c r="F286" s="30"/>
      <c r="G286" s="30"/>
      <c r="H286" s="30"/>
      <c r="I286" s="51">
        <f>J284</f>
        <v>264.74</v>
      </c>
      <c r="J286" s="51"/>
      <c r="K286" s="31">
        <f>IF(Source!I181&lt;&gt;0, ROUND(I286/Source!I181, 2), 0)</f>
        <v>854</v>
      </c>
      <c r="P286" s="29">
        <f>I286</f>
        <v>264.74</v>
      </c>
    </row>
    <row r="287" spans="1:22" ht="28.5" x14ac:dyDescent="0.2">
      <c r="A287" s="21" t="str">
        <f>Source!E182</f>
        <v>33</v>
      </c>
      <c r="B287" s="22" t="str">
        <f>Source!F182</f>
        <v>коммерч. предлож.</v>
      </c>
      <c r="C287" s="22" t="s">
        <v>519</v>
      </c>
      <c r="D287" s="23" t="str">
        <f>Source!H182</f>
        <v>т</v>
      </c>
      <c r="E287" s="9">
        <f>Source!I182</f>
        <v>0.434</v>
      </c>
      <c r="F287" s="25">
        <f>Source!AL182</f>
        <v>100.3</v>
      </c>
      <c r="G287" s="24" t="str">
        <f>Source!DD182</f>
        <v/>
      </c>
      <c r="H287" s="9">
        <f>Source!AW182</f>
        <v>1</v>
      </c>
      <c r="I287" s="9">
        <f>IF(Source!BC182&lt;&gt; 0, Source!BC182, 1)</f>
        <v>1</v>
      </c>
      <c r="J287" s="26">
        <f>Source!P182</f>
        <v>43.53</v>
      </c>
      <c r="K287" s="26"/>
      <c r="Q287">
        <f>ROUND((Source!BZ182/100)*ROUND((Source!AF182*Source!AV182)*Source!I182, 2), 2)</f>
        <v>0</v>
      </c>
      <c r="R287">
        <f>Source!X182</f>
        <v>0</v>
      </c>
      <c r="S287">
        <f>ROUND((Source!CA182/100)*ROUND((Source!AF182*Source!AV182)*Source!I182, 2), 2)</f>
        <v>0</v>
      </c>
      <c r="T287">
        <f>Source!Y182</f>
        <v>0</v>
      </c>
      <c r="U287">
        <f>ROUND((175/100)*ROUND((Source!AE182*Source!AV182)*Source!I182, 2), 2)</f>
        <v>0</v>
      </c>
      <c r="V287">
        <f>ROUND((108/100)*ROUND(Source!CS182*Source!I182, 2), 2)</f>
        <v>0</v>
      </c>
    </row>
    <row r="288" spans="1:22" x14ac:dyDescent="0.2">
      <c r="C288" s="27" t="str">
        <f>"Объем: "&amp;Source!I182&amp;"="&amp;Source!I181&amp;"*"&amp;"1,4"</f>
        <v>Объем: 0,434=0,31*1,4</v>
      </c>
    </row>
    <row r="289" spans="1:22" ht="15" x14ac:dyDescent="0.25">
      <c r="A289" s="30"/>
      <c r="B289" s="30"/>
      <c r="C289" s="30"/>
      <c r="D289" s="30"/>
      <c r="E289" s="30"/>
      <c r="F289" s="30"/>
      <c r="G289" s="30"/>
      <c r="H289" s="30"/>
      <c r="I289" s="51">
        <f>J287</f>
        <v>43.53</v>
      </c>
      <c r="J289" s="51"/>
      <c r="K289" s="31">
        <f>IF(Source!I182&lt;&gt;0, ROUND(I289/Source!I182, 2), 0)</f>
        <v>100.3</v>
      </c>
      <c r="P289" s="29">
        <f>I289</f>
        <v>43.53</v>
      </c>
    </row>
    <row r="290" spans="1:22" ht="28.5" x14ac:dyDescent="0.2">
      <c r="A290" s="21" t="str">
        <f>Source!E183</f>
        <v>34</v>
      </c>
      <c r="B290" s="22" t="str">
        <f>Source!F183</f>
        <v>1.2-3103-29-1/1</v>
      </c>
      <c r="C290" s="22" t="str">
        <f>Source!G183</f>
        <v>Устройство песчаного основания под фундаменты</v>
      </c>
      <c r="D290" s="23" t="str">
        <f>Source!H183</f>
        <v>м3</v>
      </c>
      <c r="E290" s="9">
        <f>Source!I183</f>
        <v>5.3999999999999999E-2</v>
      </c>
      <c r="F290" s="25"/>
      <c r="G290" s="24"/>
      <c r="H290" s="9"/>
      <c r="I290" s="9"/>
      <c r="J290" s="26"/>
      <c r="K290" s="26"/>
      <c r="Q290">
        <f>ROUND((Source!BZ183/100)*ROUND((Source!AF183*Source!AV183)*Source!I183, 2), 2)</f>
        <v>6.29</v>
      </c>
      <c r="R290">
        <f>Source!X183</f>
        <v>6.29</v>
      </c>
      <c r="S290">
        <f>ROUND((Source!CA183/100)*ROUND((Source!AF183*Source!AV183)*Source!I183, 2), 2)</f>
        <v>0.9</v>
      </c>
      <c r="T290">
        <f>Source!Y183</f>
        <v>0.9</v>
      </c>
      <c r="U290">
        <f>ROUND((175/100)*ROUND((Source!AE183*Source!AV183)*Source!I183, 2), 2)</f>
        <v>11.73</v>
      </c>
      <c r="V290">
        <f>ROUND((108/100)*ROUND(Source!CS183*Source!I183, 2), 2)</f>
        <v>7.24</v>
      </c>
    </row>
    <row r="291" spans="1:22" x14ac:dyDescent="0.2">
      <c r="C291" s="27" t="str">
        <f>"Объем: "&amp;Source!I183&amp;"=0,3*"&amp;"0,3*"&amp;"0,1*"&amp;"6"</f>
        <v>Объем: 0,054=0,3*0,3*0,1*6</v>
      </c>
    </row>
    <row r="292" spans="1:22" ht="14.25" x14ac:dyDescent="0.2">
      <c r="A292" s="21"/>
      <c r="B292" s="22"/>
      <c r="C292" s="22" t="s">
        <v>510</v>
      </c>
      <c r="D292" s="23"/>
      <c r="E292" s="9"/>
      <c r="F292" s="25">
        <f>Source!AO183</f>
        <v>166.52</v>
      </c>
      <c r="G292" s="24" t="str">
        <f>Source!DG183</f>
        <v/>
      </c>
      <c r="H292" s="9">
        <f>Source!AV183</f>
        <v>1</v>
      </c>
      <c r="I292" s="9">
        <f>IF(Source!BA183&lt;&gt; 0, Source!BA183, 1)</f>
        <v>1</v>
      </c>
      <c r="J292" s="26">
        <f>Source!S183</f>
        <v>8.99</v>
      </c>
      <c r="K292" s="26"/>
    </row>
    <row r="293" spans="1:22" ht="14.25" x14ac:dyDescent="0.2">
      <c r="A293" s="21"/>
      <c r="B293" s="22"/>
      <c r="C293" s="22" t="s">
        <v>511</v>
      </c>
      <c r="D293" s="23"/>
      <c r="E293" s="9"/>
      <c r="F293" s="25">
        <f>Source!AM183</f>
        <v>210.68</v>
      </c>
      <c r="G293" s="24" t="str">
        <f>Source!DE183</f>
        <v/>
      </c>
      <c r="H293" s="9">
        <f>Source!AV183</f>
        <v>1</v>
      </c>
      <c r="I293" s="9">
        <f>IF(Source!BB183&lt;&gt; 0, Source!BB183, 1)</f>
        <v>1</v>
      </c>
      <c r="J293" s="26">
        <f>Source!Q183</f>
        <v>11.38</v>
      </c>
      <c r="K293" s="26"/>
    </row>
    <row r="294" spans="1:22" ht="14.25" x14ac:dyDescent="0.2">
      <c r="A294" s="21"/>
      <c r="B294" s="22"/>
      <c r="C294" s="22" t="s">
        <v>512</v>
      </c>
      <c r="D294" s="23"/>
      <c r="E294" s="9"/>
      <c r="F294" s="25">
        <f>Source!AN183</f>
        <v>124.16</v>
      </c>
      <c r="G294" s="24" t="str">
        <f>Source!DF183</f>
        <v/>
      </c>
      <c r="H294" s="9">
        <f>Source!AV183</f>
        <v>1</v>
      </c>
      <c r="I294" s="9">
        <f>IF(Source!BS183&lt;&gt; 0, Source!BS183, 1)</f>
        <v>1</v>
      </c>
      <c r="J294" s="28">
        <f>Source!R183</f>
        <v>6.7</v>
      </c>
      <c r="K294" s="26"/>
    </row>
    <row r="295" spans="1:22" ht="14.25" x14ac:dyDescent="0.2">
      <c r="A295" s="21"/>
      <c r="B295" s="22"/>
      <c r="C295" s="22" t="s">
        <v>520</v>
      </c>
      <c r="D295" s="23"/>
      <c r="E295" s="9"/>
      <c r="F295" s="25">
        <f>Source!AL183</f>
        <v>655.15</v>
      </c>
      <c r="G295" s="24" t="str">
        <f>Source!DD183</f>
        <v/>
      </c>
      <c r="H295" s="9">
        <f>Source!AW183</f>
        <v>1</v>
      </c>
      <c r="I295" s="9">
        <f>IF(Source!BC183&lt;&gt; 0, Source!BC183, 1)</f>
        <v>1</v>
      </c>
      <c r="J295" s="26">
        <f>Source!P183</f>
        <v>35.380000000000003</v>
      </c>
      <c r="K295" s="26"/>
    </row>
    <row r="296" spans="1:22" ht="14.25" x14ac:dyDescent="0.2">
      <c r="A296" s="21"/>
      <c r="B296" s="22"/>
      <c r="C296" s="22" t="s">
        <v>513</v>
      </c>
      <c r="D296" s="23" t="s">
        <v>514</v>
      </c>
      <c r="E296" s="9">
        <f>Source!AT183</f>
        <v>70</v>
      </c>
      <c r="F296" s="25"/>
      <c r="G296" s="24"/>
      <c r="H296" s="9"/>
      <c r="I296" s="9"/>
      <c r="J296" s="26">
        <f>SUM(R290:R295)</f>
        <v>6.29</v>
      </c>
      <c r="K296" s="26"/>
    </row>
    <row r="297" spans="1:22" ht="14.25" x14ac:dyDescent="0.2">
      <c r="A297" s="21"/>
      <c r="B297" s="22"/>
      <c r="C297" s="22" t="s">
        <v>515</v>
      </c>
      <c r="D297" s="23" t="s">
        <v>514</v>
      </c>
      <c r="E297" s="9">
        <f>Source!AU183</f>
        <v>10</v>
      </c>
      <c r="F297" s="25"/>
      <c r="G297" s="24"/>
      <c r="H297" s="9"/>
      <c r="I297" s="9"/>
      <c r="J297" s="26">
        <f>SUM(T290:T296)</f>
        <v>0.9</v>
      </c>
      <c r="K297" s="26"/>
    </row>
    <row r="298" spans="1:22" ht="14.25" x14ac:dyDescent="0.2">
      <c r="A298" s="21"/>
      <c r="B298" s="22"/>
      <c r="C298" s="22" t="s">
        <v>516</v>
      </c>
      <c r="D298" s="23" t="s">
        <v>514</v>
      </c>
      <c r="E298" s="9">
        <f>108</f>
        <v>108</v>
      </c>
      <c r="F298" s="25"/>
      <c r="G298" s="24"/>
      <c r="H298" s="9"/>
      <c r="I298" s="9"/>
      <c r="J298" s="26">
        <f>SUM(V290:V297)</f>
        <v>7.24</v>
      </c>
      <c r="K298" s="26"/>
    </row>
    <row r="299" spans="1:22" ht="14.25" x14ac:dyDescent="0.2">
      <c r="A299" s="21"/>
      <c r="B299" s="22"/>
      <c r="C299" s="22" t="s">
        <v>517</v>
      </c>
      <c r="D299" s="23" t="s">
        <v>518</v>
      </c>
      <c r="E299" s="9">
        <f>Source!AQ183</f>
        <v>0.9</v>
      </c>
      <c r="F299" s="25"/>
      <c r="G299" s="24" t="str">
        <f>Source!DI183</f>
        <v/>
      </c>
      <c r="H299" s="9">
        <f>Source!AV183</f>
        <v>1</v>
      </c>
      <c r="I299" s="9"/>
      <c r="J299" s="26"/>
      <c r="K299" s="26">
        <f>Source!U183</f>
        <v>4.8599999999999997E-2</v>
      </c>
    </row>
    <row r="300" spans="1:22" ht="15" x14ac:dyDescent="0.25">
      <c r="A300" s="30"/>
      <c r="B300" s="30"/>
      <c r="C300" s="30"/>
      <c r="D300" s="30"/>
      <c r="E300" s="30"/>
      <c r="F300" s="30"/>
      <c r="G300" s="30"/>
      <c r="H300" s="30"/>
      <c r="I300" s="51">
        <f>J292+J293+J295+J296+J297+J298</f>
        <v>70.179999999999993</v>
      </c>
      <c r="J300" s="51"/>
      <c r="K300" s="31">
        <f>IF(Source!I183&lt;&gt;0, ROUND(I300/Source!I183, 2), 0)</f>
        <v>1299.6300000000001</v>
      </c>
      <c r="P300" s="29">
        <f>I300</f>
        <v>70.179999999999993</v>
      </c>
    </row>
    <row r="301" spans="1:22" ht="28.5" x14ac:dyDescent="0.2">
      <c r="A301" s="21" t="str">
        <f>Source!E184</f>
        <v>35</v>
      </c>
      <c r="B301" s="22" t="str">
        <f>Source!F184</f>
        <v>1.2-3103-29-2/1</v>
      </c>
      <c r="C301" s="22" t="str">
        <f>Source!G184</f>
        <v>Устройство щебеночного основания под фундаменты</v>
      </c>
      <c r="D301" s="23" t="str">
        <f>Source!H184</f>
        <v>м3</v>
      </c>
      <c r="E301" s="9">
        <f>Source!I184</f>
        <v>5.3999999999999999E-2</v>
      </c>
      <c r="F301" s="25"/>
      <c r="G301" s="24"/>
      <c r="H301" s="9"/>
      <c r="I301" s="9"/>
      <c r="J301" s="26"/>
      <c r="K301" s="26"/>
      <c r="Q301">
        <f>ROUND((Source!BZ184/100)*ROUND((Source!AF184*Source!AV184)*Source!I184, 2), 2)</f>
        <v>6.85</v>
      </c>
      <c r="R301">
        <f>Source!X184</f>
        <v>6.85</v>
      </c>
      <c r="S301">
        <f>ROUND((Source!CA184/100)*ROUND((Source!AF184*Source!AV184)*Source!I184, 2), 2)</f>
        <v>0.98</v>
      </c>
      <c r="T301">
        <f>Source!Y184</f>
        <v>0.98</v>
      </c>
      <c r="U301">
        <f>ROUND((175/100)*ROUND((Source!AE184*Source!AV184)*Source!I184, 2), 2)</f>
        <v>12.76</v>
      </c>
      <c r="V301">
        <f>ROUND((108/100)*ROUND(Source!CS184*Source!I184, 2), 2)</f>
        <v>7.87</v>
      </c>
    </row>
    <row r="302" spans="1:22" x14ac:dyDescent="0.2">
      <c r="C302" s="27" t="str">
        <f>"Объем: "&amp;Source!I184&amp;"=0,3*"&amp;"0,3*"&amp;"0,1*"&amp;"6"</f>
        <v>Объем: 0,054=0,3*0,3*0,1*6</v>
      </c>
    </row>
    <row r="303" spans="1:22" ht="14.25" x14ac:dyDescent="0.2">
      <c r="A303" s="21"/>
      <c r="B303" s="22"/>
      <c r="C303" s="22" t="s">
        <v>510</v>
      </c>
      <c r="D303" s="23"/>
      <c r="E303" s="9"/>
      <c r="F303" s="25">
        <f>Source!AO184</f>
        <v>181.32</v>
      </c>
      <c r="G303" s="24" t="str">
        <f>Source!DG184</f>
        <v/>
      </c>
      <c r="H303" s="9">
        <f>Source!AV184</f>
        <v>1</v>
      </c>
      <c r="I303" s="9">
        <f>IF(Source!BA184&lt;&gt; 0, Source!BA184, 1)</f>
        <v>1</v>
      </c>
      <c r="J303" s="26">
        <f>Source!S184</f>
        <v>9.7899999999999991</v>
      </c>
      <c r="K303" s="26"/>
    </row>
    <row r="304" spans="1:22" ht="14.25" x14ac:dyDescent="0.2">
      <c r="A304" s="21"/>
      <c r="B304" s="22"/>
      <c r="C304" s="22" t="s">
        <v>511</v>
      </c>
      <c r="D304" s="23"/>
      <c r="E304" s="9"/>
      <c r="F304" s="25">
        <f>Source!AM184</f>
        <v>224.99</v>
      </c>
      <c r="G304" s="24" t="str">
        <f>Source!DE184</f>
        <v/>
      </c>
      <c r="H304" s="9">
        <f>Source!AV184</f>
        <v>1</v>
      </c>
      <c r="I304" s="9">
        <f>IF(Source!BB184&lt;&gt; 0, Source!BB184, 1)</f>
        <v>1</v>
      </c>
      <c r="J304" s="26">
        <f>Source!Q184</f>
        <v>12.15</v>
      </c>
      <c r="K304" s="26"/>
    </row>
    <row r="305" spans="1:22" ht="14.25" x14ac:dyDescent="0.2">
      <c r="A305" s="21"/>
      <c r="B305" s="22"/>
      <c r="C305" s="22" t="s">
        <v>512</v>
      </c>
      <c r="D305" s="23"/>
      <c r="E305" s="9"/>
      <c r="F305" s="25">
        <f>Source!AN184</f>
        <v>135.08000000000001</v>
      </c>
      <c r="G305" s="24" t="str">
        <f>Source!DF184</f>
        <v/>
      </c>
      <c r="H305" s="9">
        <f>Source!AV184</f>
        <v>1</v>
      </c>
      <c r="I305" s="9">
        <f>IF(Source!BS184&lt;&gt; 0, Source!BS184, 1)</f>
        <v>1</v>
      </c>
      <c r="J305" s="28">
        <f>Source!R184</f>
        <v>7.29</v>
      </c>
      <c r="K305" s="26"/>
    </row>
    <row r="306" spans="1:22" ht="14.25" x14ac:dyDescent="0.2">
      <c r="A306" s="21"/>
      <c r="B306" s="22"/>
      <c r="C306" s="22" t="s">
        <v>520</v>
      </c>
      <c r="D306" s="23"/>
      <c r="E306" s="9"/>
      <c r="F306" s="25">
        <f>Source!AL184</f>
        <v>1657.26</v>
      </c>
      <c r="G306" s="24" t="str">
        <f>Source!DD184</f>
        <v/>
      </c>
      <c r="H306" s="9">
        <f>Source!AW184</f>
        <v>1</v>
      </c>
      <c r="I306" s="9">
        <f>IF(Source!BC184&lt;&gt; 0, Source!BC184, 1)</f>
        <v>1</v>
      </c>
      <c r="J306" s="26">
        <f>Source!P184</f>
        <v>89.49</v>
      </c>
      <c r="K306" s="26"/>
    </row>
    <row r="307" spans="1:22" ht="14.25" x14ac:dyDescent="0.2">
      <c r="A307" s="21"/>
      <c r="B307" s="22"/>
      <c r="C307" s="22" t="s">
        <v>513</v>
      </c>
      <c r="D307" s="23" t="s">
        <v>514</v>
      </c>
      <c r="E307" s="9">
        <f>Source!AT184</f>
        <v>70</v>
      </c>
      <c r="F307" s="25"/>
      <c r="G307" s="24"/>
      <c r="H307" s="9"/>
      <c r="I307" s="9"/>
      <c r="J307" s="26">
        <f>SUM(R301:R306)</f>
        <v>6.85</v>
      </c>
      <c r="K307" s="26"/>
    </row>
    <row r="308" spans="1:22" ht="14.25" x14ac:dyDescent="0.2">
      <c r="A308" s="21"/>
      <c r="B308" s="22"/>
      <c r="C308" s="22" t="s">
        <v>515</v>
      </c>
      <c r="D308" s="23" t="s">
        <v>514</v>
      </c>
      <c r="E308" s="9">
        <f>Source!AU184</f>
        <v>10</v>
      </c>
      <c r="F308" s="25"/>
      <c r="G308" s="24"/>
      <c r="H308" s="9"/>
      <c r="I308" s="9"/>
      <c r="J308" s="26">
        <f>SUM(T301:T307)</f>
        <v>0.98</v>
      </c>
      <c r="K308" s="26"/>
    </row>
    <row r="309" spans="1:22" ht="14.25" x14ac:dyDescent="0.2">
      <c r="A309" s="21"/>
      <c r="B309" s="22"/>
      <c r="C309" s="22" t="s">
        <v>516</v>
      </c>
      <c r="D309" s="23" t="s">
        <v>514</v>
      </c>
      <c r="E309" s="9">
        <f>108</f>
        <v>108</v>
      </c>
      <c r="F309" s="25"/>
      <c r="G309" s="24"/>
      <c r="H309" s="9"/>
      <c r="I309" s="9"/>
      <c r="J309" s="26">
        <f>SUM(V301:V308)</f>
        <v>7.87</v>
      </c>
      <c r="K309" s="26"/>
    </row>
    <row r="310" spans="1:22" ht="14.25" x14ac:dyDescent="0.2">
      <c r="A310" s="21"/>
      <c r="B310" s="22"/>
      <c r="C310" s="22" t="s">
        <v>517</v>
      </c>
      <c r="D310" s="23" t="s">
        <v>518</v>
      </c>
      <c r="E310" s="9">
        <f>Source!AQ184</f>
        <v>0.98</v>
      </c>
      <c r="F310" s="25"/>
      <c r="G310" s="24" t="str">
        <f>Source!DI184</f>
        <v/>
      </c>
      <c r="H310" s="9">
        <f>Source!AV184</f>
        <v>1</v>
      </c>
      <c r="I310" s="9"/>
      <c r="J310" s="26"/>
      <c r="K310" s="26">
        <f>Source!U184</f>
        <v>5.2920000000000002E-2</v>
      </c>
    </row>
    <row r="311" spans="1:22" ht="15" x14ac:dyDescent="0.25">
      <c r="A311" s="30"/>
      <c r="B311" s="30"/>
      <c r="C311" s="30"/>
      <c r="D311" s="30"/>
      <c r="E311" s="30"/>
      <c r="F311" s="30"/>
      <c r="G311" s="30"/>
      <c r="H311" s="30"/>
      <c r="I311" s="51">
        <f>J303+J304+J306+J307+J308+J309</f>
        <v>127.13</v>
      </c>
      <c r="J311" s="51"/>
      <c r="K311" s="31">
        <f>IF(Source!I184&lt;&gt;0, ROUND(I311/Source!I184, 2), 0)</f>
        <v>2354.2600000000002</v>
      </c>
      <c r="P311" s="29">
        <f>I311</f>
        <v>127.13</v>
      </c>
    </row>
    <row r="312" spans="1:22" ht="28.5" x14ac:dyDescent="0.2">
      <c r="A312" s="21" t="str">
        <f>Source!E185</f>
        <v>36</v>
      </c>
      <c r="B312" s="22" t="str">
        <f>Source!F185</f>
        <v>1.2-3103-2-1/1</v>
      </c>
      <c r="C312" s="22" t="str">
        <f>Source!G185</f>
        <v>Устройство бетонной подготовки</v>
      </c>
      <c r="D312" s="23" t="str">
        <f>Source!H185</f>
        <v>100 м3</v>
      </c>
      <c r="E312" s="9">
        <f>Source!I185</f>
        <v>2E-3</v>
      </c>
      <c r="F312" s="25"/>
      <c r="G312" s="24"/>
      <c r="H312" s="9"/>
      <c r="I312" s="9"/>
      <c r="J312" s="26"/>
      <c r="K312" s="26"/>
      <c r="Q312">
        <f>ROUND((Source!BZ185/100)*ROUND((Source!AF185*Source!AV185)*Source!I185, 2), 2)</f>
        <v>39.28</v>
      </c>
      <c r="R312">
        <f>Source!X185</f>
        <v>39.28</v>
      </c>
      <c r="S312">
        <f>ROUND((Source!CA185/100)*ROUND((Source!AF185*Source!AV185)*Source!I185, 2), 2)</f>
        <v>5.61</v>
      </c>
      <c r="T312">
        <f>Source!Y185</f>
        <v>5.61</v>
      </c>
      <c r="U312">
        <f>ROUND((175/100)*ROUND((Source!AE185*Source!AV185)*Source!I185, 2), 2)</f>
        <v>0</v>
      </c>
      <c r="V312">
        <f>ROUND((108/100)*ROUND(Source!CS185*Source!I185, 2), 2)</f>
        <v>0</v>
      </c>
    </row>
    <row r="313" spans="1:22" x14ac:dyDescent="0.2">
      <c r="C313" s="27" t="str">
        <f>"Объем: "&amp;Source!I185&amp;"=("&amp;Source!I181&amp;"-"&amp;""&amp;Source!I183&amp;"-"&amp;""&amp;Source!I184&amp;")/"&amp;"100"</f>
        <v>Объем: 0,002=(0,31-0,054-0,054)/100</v>
      </c>
    </row>
    <row r="314" spans="1:22" ht="14.25" x14ac:dyDescent="0.2">
      <c r="A314" s="21"/>
      <c r="B314" s="22"/>
      <c r="C314" s="22" t="s">
        <v>510</v>
      </c>
      <c r="D314" s="23"/>
      <c r="E314" s="9"/>
      <c r="F314" s="25">
        <f>Source!AO185</f>
        <v>28059.89</v>
      </c>
      <c r="G314" s="24" t="str">
        <f>Source!DG185</f>
        <v/>
      </c>
      <c r="H314" s="9">
        <f>Source!AV185</f>
        <v>1</v>
      </c>
      <c r="I314" s="9">
        <f>IF(Source!BA185&lt;&gt; 0, Source!BA185, 1)</f>
        <v>1</v>
      </c>
      <c r="J314" s="26">
        <f>Source!S185</f>
        <v>56.12</v>
      </c>
      <c r="K314" s="26"/>
    </row>
    <row r="315" spans="1:22" ht="14.25" x14ac:dyDescent="0.2">
      <c r="A315" s="21"/>
      <c r="B315" s="22"/>
      <c r="C315" s="22" t="s">
        <v>511</v>
      </c>
      <c r="D315" s="23"/>
      <c r="E315" s="9"/>
      <c r="F315" s="25">
        <f>Source!AM185</f>
        <v>28.45</v>
      </c>
      <c r="G315" s="24" t="str">
        <f>Source!DE185</f>
        <v/>
      </c>
      <c r="H315" s="9">
        <f>Source!AV185</f>
        <v>1</v>
      </c>
      <c r="I315" s="9">
        <f>IF(Source!BB185&lt;&gt; 0, Source!BB185, 1)</f>
        <v>1</v>
      </c>
      <c r="J315" s="26">
        <f>Source!Q185</f>
        <v>0.06</v>
      </c>
      <c r="K315" s="26"/>
    </row>
    <row r="316" spans="1:22" ht="14.25" x14ac:dyDescent="0.2">
      <c r="A316" s="21"/>
      <c r="B316" s="22"/>
      <c r="C316" s="22" t="s">
        <v>520</v>
      </c>
      <c r="D316" s="23"/>
      <c r="E316" s="9"/>
      <c r="F316" s="25">
        <f>Source!AL185</f>
        <v>354251.65</v>
      </c>
      <c r="G316" s="24" t="str">
        <f>Source!DD185</f>
        <v/>
      </c>
      <c r="H316" s="9">
        <f>Source!AW185</f>
        <v>1</v>
      </c>
      <c r="I316" s="9">
        <f>IF(Source!BC185&lt;&gt; 0, Source!BC185, 1)</f>
        <v>1</v>
      </c>
      <c r="J316" s="26">
        <f>Source!P185</f>
        <v>708.5</v>
      </c>
      <c r="K316" s="26"/>
    </row>
    <row r="317" spans="1:22" ht="14.25" x14ac:dyDescent="0.2">
      <c r="A317" s="21"/>
      <c r="B317" s="22"/>
      <c r="C317" s="22" t="s">
        <v>513</v>
      </c>
      <c r="D317" s="23" t="s">
        <v>514</v>
      </c>
      <c r="E317" s="9">
        <f>Source!AT185</f>
        <v>70</v>
      </c>
      <c r="F317" s="25"/>
      <c r="G317" s="24"/>
      <c r="H317" s="9"/>
      <c r="I317" s="9"/>
      <c r="J317" s="26">
        <f>SUM(R312:R316)</f>
        <v>39.28</v>
      </c>
      <c r="K317" s="26"/>
    </row>
    <row r="318" spans="1:22" ht="14.25" x14ac:dyDescent="0.2">
      <c r="A318" s="21"/>
      <c r="B318" s="22"/>
      <c r="C318" s="22" t="s">
        <v>515</v>
      </c>
      <c r="D318" s="23" t="s">
        <v>514</v>
      </c>
      <c r="E318" s="9">
        <f>Source!AU185</f>
        <v>10</v>
      </c>
      <c r="F318" s="25"/>
      <c r="G318" s="24"/>
      <c r="H318" s="9"/>
      <c r="I318" s="9"/>
      <c r="J318" s="26">
        <f>SUM(T312:T317)</f>
        <v>5.61</v>
      </c>
      <c r="K318" s="26"/>
    </row>
    <row r="319" spans="1:22" ht="14.25" x14ac:dyDescent="0.2">
      <c r="A319" s="21"/>
      <c r="B319" s="22"/>
      <c r="C319" s="22" t="s">
        <v>517</v>
      </c>
      <c r="D319" s="23" t="s">
        <v>518</v>
      </c>
      <c r="E319" s="9">
        <f>Source!AQ185</f>
        <v>155.25</v>
      </c>
      <c r="F319" s="25"/>
      <c r="G319" s="24" t="str">
        <f>Source!DI185</f>
        <v/>
      </c>
      <c r="H319" s="9">
        <f>Source!AV185</f>
        <v>1</v>
      </c>
      <c r="I319" s="9"/>
      <c r="J319" s="26"/>
      <c r="K319" s="26">
        <f>Source!U185</f>
        <v>0.3105</v>
      </c>
    </row>
    <row r="320" spans="1:22" ht="15" x14ac:dyDescent="0.25">
      <c r="A320" s="30"/>
      <c r="B320" s="30"/>
      <c r="C320" s="30"/>
      <c r="D320" s="30"/>
      <c r="E320" s="30"/>
      <c r="F320" s="30"/>
      <c r="G320" s="30"/>
      <c r="H320" s="30"/>
      <c r="I320" s="51">
        <f>J314+J315+J316+J317+J318</f>
        <v>809.56999999999994</v>
      </c>
      <c r="J320" s="51"/>
      <c r="K320" s="31">
        <f>IF(Source!I185&lt;&gt;0, ROUND(I320/Source!I185, 2), 0)</f>
        <v>404785</v>
      </c>
      <c r="P320" s="29">
        <f>I320</f>
        <v>809.56999999999994</v>
      </c>
    </row>
    <row r="321" spans="1:22" ht="28.5" x14ac:dyDescent="0.2">
      <c r="A321" s="21" t="str">
        <f>Source!E186</f>
        <v>37</v>
      </c>
      <c r="B321" s="22" t="str">
        <f>Source!F186</f>
        <v>1.50-3203-10-4/1</v>
      </c>
      <c r="C321" s="22" t="str">
        <f>Source!G186</f>
        <v>Установка монтажных изделий массой свыше 20 кг</v>
      </c>
      <c r="D321" s="23" t="str">
        <f>Source!H186</f>
        <v>т</v>
      </c>
      <c r="E321" s="9">
        <f>Source!I186</f>
        <v>0.246</v>
      </c>
      <c r="F321" s="25"/>
      <c r="G321" s="24"/>
      <c r="H321" s="9"/>
      <c r="I321" s="9"/>
      <c r="J321" s="26"/>
      <c r="K321" s="26"/>
      <c r="Q321">
        <f>ROUND((Source!BZ186/100)*ROUND((Source!AF186*Source!AV186)*Source!I186, 2), 2)</f>
        <v>1622.94</v>
      </c>
      <c r="R321">
        <f>Source!X186</f>
        <v>1622.94</v>
      </c>
      <c r="S321">
        <f>ROUND((Source!CA186/100)*ROUND((Source!AF186*Source!AV186)*Source!I186, 2), 2)</f>
        <v>231.85</v>
      </c>
      <c r="T321">
        <f>Source!Y186</f>
        <v>231.85</v>
      </c>
      <c r="U321">
        <f>ROUND((175/100)*ROUND((Source!AE186*Source!AV186)*Source!I186, 2), 2)</f>
        <v>0.47</v>
      </c>
      <c r="V321">
        <f>ROUND((108/100)*ROUND(Source!CS186*Source!I186, 2), 2)</f>
        <v>0.28999999999999998</v>
      </c>
    </row>
    <row r="322" spans="1:22" ht="14.25" x14ac:dyDescent="0.2">
      <c r="A322" s="21"/>
      <c r="B322" s="22"/>
      <c r="C322" s="22" t="s">
        <v>510</v>
      </c>
      <c r="D322" s="23"/>
      <c r="E322" s="9"/>
      <c r="F322" s="25">
        <f>Source!AO186</f>
        <v>9424.7099999999991</v>
      </c>
      <c r="G322" s="24" t="str">
        <f>Source!DG186</f>
        <v/>
      </c>
      <c r="H322" s="9">
        <f>Source!AV186</f>
        <v>1</v>
      </c>
      <c r="I322" s="9">
        <f>IF(Source!BA186&lt;&gt; 0, Source!BA186, 1)</f>
        <v>1</v>
      </c>
      <c r="J322" s="26">
        <f>Source!S186</f>
        <v>2318.48</v>
      </c>
      <c r="K322" s="26"/>
    </row>
    <row r="323" spans="1:22" ht="14.25" x14ac:dyDescent="0.2">
      <c r="A323" s="21"/>
      <c r="B323" s="22"/>
      <c r="C323" s="22" t="s">
        <v>511</v>
      </c>
      <c r="D323" s="23"/>
      <c r="E323" s="9"/>
      <c r="F323" s="25">
        <f>Source!AM186</f>
        <v>1197.3800000000001</v>
      </c>
      <c r="G323" s="24" t="str">
        <f>Source!DE186</f>
        <v/>
      </c>
      <c r="H323" s="9">
        <f>Source!AV186</f>
        <v>1</v>
      </c>
      <c r="I323" s="9">
        <f>IF(Source!BB186&lt;&gt; 0, Source!BB186, 1)</f>
        <v>1</v>
      </c>
      <c r="J323" s="26">
        <f>Source!Q186</f>
        <v>294.56</v>
      </c>
      <c r="K323" s="26"/>
    </row>
    <row r="324" spans="1:22" ht="14.25" x14ac:dyDescent="0.2">
      <c r="A324" s="21"/>
      <c r="B324" s="22"/>
      <c r="C324" s="22" t="s">
        <v>512</v>
      </c>
      <c r="D324" s="23"/>
      <c r="E324" s="9"/>
      <c r="F324" s="25">
        <f>Source!AN186</f>
        <v>1.1000000000000001</v>
      </c>
      <c r="G324" s="24" t="str">
        <f>Source!DF186</f>
        <v/>
      </c>
      <c r="H324" s="9">
        <f>Source!AV186</f>
        <v>1</v>
      </c>
      <c r="I324" s="9">
        <f>IF(Source!BS186&lt;&gt; 0, Source!BS186, 1)</f>
        <v>1</v>
      </c>
      <c r="J324" s="28">
        <f>Source!R186</f>
        <v>0.27</v>
      </c>
      <c r="K324" s="26"/>
    </row>
    <row r="325" spans="1:22" ht="14.25" x14ac:dyDescent="0.2">
      <c r="A325" s="21"/>
      <c r="B325" s="22"/>
      <c r="C325" s="22" t="s">
        <v>520</v>
      </c>
      <c r="D325" s="23"/>
      <c r="E325" s="9"/>
      <c r="F325" s="25">
        <f>Source!AL186</f>
        <v>56556.95</v>
      </c>
      <c r="G325" s="24" t="str">
        <f>Source!DD186</f>
        <v/>
      </c>
      <c r="H325" s="9">
        <f>Source!AW186</f>
        <v>1</v>
      </c>
      <c r="I325" s="9">
        <f>IF(Source!BC186&lt;&gt; 0, Source!BC186, 1)</f>
        <v>1</v>
      </c>
      <c r="J325" s="26">
        <f>Source!P186</f>
        <v>13913.01</v>
      </c>
      <c r="K325" s="26"/>
    </row>
    <row r="326" spans="1:22" ht="41.25" x14ac:dyDescent="0.2">
      <c r="A326" s="21" t="str">
        <f>Source!E187</f>
        <v>37,1</v>
      </c>
      <c r="B326" s="22" t="str">
        <f>Source!F187</f>
        <v>коммерч. предлож.</v>
      </c>
      <c r="C326" s="22" t="s">
        <v>523</v>
      </c>
      <c r="D326" s="23" t="str">
        <f>Source!H187</f>
        <v>шт.</v>
      </c>
      <c r="E326" s="9">
        <f>Source!I187</f>
        <v>2</v>
      </c>
      <c r="F326" s="25">
        <f>Source!AK187</f>
        <v>21663.949999999997</v>
      </c>
      <c r="G326" s="32" t="s">
        <v>521</v>
      </c>
      <c r="H326" s="9">
        <f>Source!AW187</f>
        <v>1</v>
      </c>
      <c r="I326" s="9">
        <f>IF(Source!BC187&lt;&gt; 0, Source!BC187, 1)</f>
        <v>1</v>
      </c>
      <c r="J326" s="26">
        <f>Source!O187</f>
        <v>43327.9</v>
      </c>
      <c r="K326" s="26"/>
      <c r="Q326">
        <f>ROUND((Source!BZ187/100)*ROUND(Source!AF187*Source!I187, 2), 2)</f>
        <v>0</v>
      </c>
      <c r="R326">
        <f>Source!X187</f>
        <v>0</v>
      </c>
      <c r="S326">
        <f>ROUND((Source!CA187/100)*ROUND(Source!AF187*Source!I187, 2), 2)</f>
        <v>0</v>
      </c>
      <c r="T326">
        <f>Source!Y187</f>
        <v>0</v>
      </c>
      <c r="U326">
        <f>ROUND((175/100)*ROUND(Source!AE187*Source!I187, 2), 2)</f>
        <v>0</v>
      </c>
      <c r="V326">
        <f>ROUND((108/100)*ROUND(Source!CS187*Source!I187, 2), 2)</f>
        <v>0</v>
      </c>
    </row>
    <row r="327" spans="1:22" ht="41.25" x14ac:dyDescent="0.2">
      <c r="A327" s="21" t="str">
        <f>Source!E188</f>
        <v>37,2</v>
      </c>
      <c r="B327" s="22" t="str">
        <f>Source!F188</f>
        <v>коммерч. предлож.</v>
      </c>
      <c r="C327" s="22" t="s">
        <v>524</v>
      </c>
      <c r="D327" s="23" t="str">
        <f>Source!H188</f>
        <v>шт.</v>
      </c>
      <c r="E327" s="9">
        <f>Source!I188</f>
        <v>2</v>
      </c>
      <c r="F327" s="25">
        <f>Source!AK188</f>
        <v>14960</v>
      </c>
      <c r="G327" s="32" t="s">
        <v>521</v>
      </c>
      <c r="H327" s="9">
        <f>Source!AW188</f>
        <v>1</v>
      </c>
      <c r="I327" s="9">
        <f>IF(Source!BC188&lt;&gt; 0, Source!BC188, 1)</f>
        <v>1</v>
      </c>
      <c r="J327" s="26">
        <f>Source!O188</f>
        <v>29920</v>
      </c>
      <c r="K327" s="26"/>
      <c r="Q327">
        <f>ROUND((Source!BZ188/100)*ROUND(Source!AF188*Source!I188, 2), 2)</f>
        <v>0</v>
      </c>
      <c r="R327">
        <f>Source!X188</f>
        <v>0</v>
      </c>
      <c r="S327">
        <f>ROUND((Source!CA188/100)*ROUND(Source!AF188*Source!I188, 2), 2)</f>
        <v>0</v>
      </c>
      <c r="T327">
        <f>Source!Y188</f>
        <v>0</v>
      </c>
      <c r="U327">
        <f>ROUND((175/100)*ROUND(Source!AE188*Source!I188, 2), 2)</f>
        <v>0</v>
      </c>
      <c r="V327">
        <f>ROUND((108/100)*ROUND(Source!CS188*Source!I188, 2), 2)</f>
        <v>0</v>
      </c>
    </row>
    <row r="328" spans="1:22" ht="14.25" x14ac:dyDescent="0.2">
      <c r="A328" s="21"/>
      <c r="B328" s="22"/>
      <c r="C328" s="22" t="s">
        <v>513</v>
      </c>
      <c r="D328" s="23" t="s">
        <v>514</v>
      </c>
      <c r="E328" s="9">
        <f>Source!AT186</f>
        <v>70</v>
      </c>
      <c r="F328" s="25"/>
      <c r="G328" s="24"/>
      <c r="H328" s="9"/>
      <c r="I328" s="9"/>
      <c r="J328" s="26">
        <f>SUM(R321:R327)</f>
        <v>1622.94</v>
      </c>
      <c r="K328" s="26"/>
    </row>
    <row r="329" spans="1:22" ht="14.25" x14ac:dyDescent="0.2">
      <c r="A329" s="21"/>
      <c r="B329" s="22"/>
      <c r="C329" s="22" t="s">
        <v>515</v>
      </c>
      <c r="D329" s="23" t="s">
        <v>514</v>
      </c>
      <c r="E329" s="9">
        <f>Source!AU186</f>
        <v>10</v>
      </c>
      <c r="F329" s="25"/>
      <c r="G329" s="24"/>
      <c r="H329" s="9"/>
      <c r="I329" s="9"/>
      <c r="J329" s="26">
        <f>SUM(T321:T328)</f>
        <v>231.85</v>
      </c>
      <c r="K329" s="26"/>
    </row>
    <row r="330" spans="1:22" ht="14.25" x14ac:dyDescent="0.2">
      <c r="A330" s="21"/>
      <c r="B330" s="22"/>
      <c r="C330" s="22" t="s">
        <v>516</v>
      </c>
      <c r="D330" s="23" t="s">
        <v>514</v>
      </c>
      <c r="E330" s="9">
        <f>108</f>
        <v>108</v>
      </c>
      <c r="F330" s="25"/>
      <c r="G330" s="24"/>
      <c r="H330" s="9"/>
      <c r="I330" s="9"/>
      <c r="J330" s="26">
        <f>SUM(V321:V329)</f>
        <v>0.28999999999999998</v>
      </c>
      <c r="K330" s="26"/>
    </row>
    <row r="331" spans="1:22" ht="14.25" x14ac:dyDescent="0.2">
      <c r="A331" s="21"/>
      <c r="B331" s="22"/>
      <c r="C331" s="22" t="s">
        <v>517</v>
      </c>
      <c r="D331" s="23" t="s">
        <v>518</v>
      </c>
      <c r="E331" s="9">
        <f>Source!AQ186</f>
        <v>36.11</v>
      </c>
      <c r="F331" s="25"/>
      <c r="G331" s="24" t="str">
        <f>Source!DI186</f>
        <v/>
      </c>
      <c r="H331" s="9">
        <f>Source!AV186</f>
        <v>1</v>
      </c>
      <c r="I331" s="9"/>
      <c r="J331" s="26"/>
      <c r="K331" s="26">
        <f>Source!U186</f>
        <v>8.8830600000000004</v>
      </c>
    </row>
    <row r="332" spans="1:22" ht="15" x14ac:dyDescent="0.25">
      <c r="A332" s="30"/>
      <c r="B332" s="30"/>
      <c r="C332" s="30"/>
      <c r="D332" s="30"/>
      <c r="E332" s="30"/>
      <c r="F332" s="30"/>
      <c r="G332" s="30"/>
      <c r="H332" s="30"/>
      <c r="I332" s="51">
        <f>J322+J323+J325+J328+J329+J330+SUM(J326:J327)</f>
        <v>91629.03</v>
      </c>
      <c r="J332" s="51"/>
      <c r="K332" s="31">
        <f>IF(Source!I186&lt;&gt;0, ROUND(I332/Source!I186, 2), 0)</f>
        <v>372475.73</v>
      </c>
      <c r="P332" s="29">
        <f>I332</f>
        <v>91629.03</v>
      </c>
    </row>
    <row r="334" spans="1:22" ht="15" x14ac:dyDescent="0.25">
      <c r="A334" s="54" t="str">
        <f>CONCATENATE("Итого по разделу: ",IF(Source!G190&lt;&gt;"Новый раздел", Source!G190, ""))</f>
        <v>Итого по разделу: Спортивное оборудование</v>
      </c>
      <c r="B334" s="54"/>
      <c r="C334" s="54"/>
      <c r="D334" s="54"/>
      <c r="E334" s="54"/>
      <c r="F334" s="54"/>
      <c r="G334" s="54"/>
      <c r="H334" s="54"/>
      <c r="I334" s="52">
        <f>SUM(P263:P333)</f>
        <v>103649.88</v>
      </c>
      <c r="J334" s="53"/>
      <c r="K334" s="33"/>
    </row>
    <row r="336" spans="1:22" ht="16.5" x14ac:dyDescent="0.25">
      <c r="A336" s="50" t="str">
        <f>CONCATENATE("Раздел: ",IF(Source!G223&lt;&gt;"Новый раздел", Source!G223, ""))</f>
        <v>Раздел: Установка лавочек 2 шт.</v>
      </c>
      <c r="B336" s="50"/>
      <c r="C336" s="50"/>
      <c r="D336" s="50"/>
      <c r="E336" s="50"/>
      <c r="F336" s="50"/>
      <c r="G336" s="50"/>
      <c r="H336" s="50"/>
      <c r="I336" s="50"/>
      <c r="J336" s="50"/>
      <c r="K336" s="50"/>
    </row>
    <row r="337" spans="1:22" ht="71.25" x14ac:dyDescent="0.2">
      <c r="A337" s="21" t="str">
        <f>Source!E227</f>
        <v>38</v>
      </c>
      <c r="B337" s="22" t="str">
        <f>Source!F227</f>
        <v>1.50-3204-11-9/1</v>
      </c>
      <c r="C337" s="22" t="str">
        <f>Source!G227</f>
        <v>Сверление сквозных отверстий в бетонных стенах и полах электроперфоратором, диаметр отверстия до 30 мм, глубина сверления 100 мм</v>
      </c>
      <c r="D337" s="23" t="str">
        <f>Source!H227</f>
        <v>100 отверстий</v>
      </c>
      <c r="E337" s="9">
        <f>Source!I227</f>
        <v>0.08</v>
      </c>
      <c r="F337" s="25"/>
      <c r="G337" s="24"/>
      <c r="H337" s="9"/>
      <c r="I337" s="9"/>
      <c r="J337" s="26"/>
      <c r="K337" s="26"/>
      <c r="Q337">
        <f>ROUND((Source!BZ227/100)*ROUND((Source!AF227*Source!AV227)*Source!I227, 2), 2)</f>
        <v>124.53</v>
      </c>
      <c r="R337">
        <f>Source!X227</f>
        <v>124.53</v>
      </c>
      <c r="S337">
        <f>ROUND((Source!CA227/100)*ROUND((Source!AF227*Source!AV227)*Source!I227, 2), 2)</f>
        <v>17.79</v>
      </c>
      <c r="T337">
        <f>Source!Y227</f>
        <v>17.79</v>
      </c>
      <c r="U337">
        <f>ROUND((175/100)*ROUND((Source!AE227*Source!AV227)*Source!I227, 2), 2)</f>
        <v>0.02</v>
      </c>
      <c r="V337">
        <f>ROUND((108/100)*ROUND(Source!CS227*Source!I227, 2), 2)</f>
        <v>0.01</v>
      </c>
    </row>
    <row r="338" spans="1:22" x14ac:dyDescent="0.2">
      <c r="C338" s="27" t="str">
        <f>"Объем: "&amp;Source!I227&amp;"=8/"&amp;"100"</f>
        <v>Объем: 0,08=8/100</v>
      </c>
    </row>
    <row r="339" spans="1:22" ht="14.25" x14ac:dyDescent="0.2">
      <c r="A339" s="21"/>
      <c r="B339" s="22"/>
      <c r="C339" s="22" t="s">
        <v>510</v>
      </c>
      <c r="D339" s="23"/>
      <c r="E339" s="9"/>
      <c r="F339" s="25">
        <f>Source!AO227</f>
        <v>2223.7600000000002</v>
      </c>
      <c r="G339" s="24" t="str">
        <f>Source!DG227</f>
        <v/>
      </c>
      <c r="H339" s="9">
        <f>Source!AV227</f>
        <v>1</v>
      </c>
      <c r="I339" s="9">
        <f>IF(Source!BA227&lt;&gt; 0, Source!BA227, 1)</f>
        <v>1</v>
      </c>
      <c r="J339" s="26">
        <f>Source!S227</f>
        <v>177.9</v>
      </c>
      <c r="K339" s="26"/>
    </row>
    <row r="340" spans="1:22" ht="14.25" x14ac:dyDescent="0.2">
      <c r="A340" s="21"/>
      <c r="B340" s="22"/>
      <c r="C340" s="22" t="s">
        <v>511</v>
      </c>
      <c r="D340" s="23"/>
      <c r="E340" s="9"/>
      <c r="F340" s="25">
        <f>Source!AM227</f>
        <v>30.36</v>
      </c>
      <c r="G340" s="24" t="str">
        <f>Source!DE227</f>
        <v/>
      </c>
      <c r="H340" s="9">
        <f>Source!AV227</f>
        <v>1</v>
      </c>
      <c r="I340" s="9">
        <f>IF(Source!BB227&lt;&gt; 0, Source!BB227, 1)</f>
        <v>1</v>
      </c>
      <c r="J340" s="26">
        <f>Source!Q227</f>
        <v>2.4300000000000002</v>
      </c>
      <c r="K340" s="26"/>
    </row>
    <row r="341" spans="1:22" ht="14.25" x14ac:dyDescent="0.2">
      <c r="A341" s="21"/>
      <c r="B341" s="22"/>
      <c r="C341" s="22" t="s">
        <v>512</v>
      </c>
      <c r="D341" s="23"/>
      <c r="E341" s="9"/>
      <c r="F341" s="25">
        <f>Source!AN227</f>
        <v>0.11</v>
      </c>
      <c r="G341" s="24" t="str">
        <f>Source!DF227</f>
        <v/>
      </c>
      <c r="H341" s="9">
        <f>Source!AV227</f>
        <v>1</v>
      </c>
      <c r="I341" s="9">
        <f>IF(Source!BS227&lt;&gt; 0, Source!BS227, 1)</f>
        <v>1</v>
      </c>
      <c r="J341" s="28">
        <f>Source!R227</f>
        <v>0.01</v>
      </c>
      <c r="K341" s="26"/>
    </row>
    <row r="342" spans="1:22" ht="14.25" x14ac:dyDescent="0.2">
      <c r="A342" s="21"/>
      <c r="B342" s="22"/>
      <c r="C342" s="22" t="s">
        <v>520</v>
      </c>
      <c r="D342" s="23"/>
      <c r="E342" s="9"/>
      <c r="F342" s="25">
        <f>Source!AL227</f>
        <v>20354.099999999999</v>
      </c>
      <c r="G342" s="24" t="str">
        <f>Source!DD227</f>
        <v/>
      </c>
      <c r="H342" s="9">
        <f>Source!AW227</f>
        <v>1</v>
      </c>
      <c r="I342" s="9">
        <f>IF(Source!BC227&lt;&gt; 0, Source!BC227, 1)</f>
        <v>1</v>
      </c>
      <c r="J342" s="26">
        <f>Source!P227</f>
        <v>1628.33</v>
      </c>
      <c r="K342" s="26"/>
    </row>
    <row r="343" spans="1:22" ht="14.25" x14ac:dyDescent="0.2">
      <c r="A343" s="21"/>
      <c r="B343" s="22"/>
      <c r="C343" s="22" t="s">
        <v>513</v>
      </c>
      <c r="D343" s="23" t="s">
        <v>514</v>
      </c>
      <c r="E343" s="9">
        <f>Source!AT227</f>
        <v>70</v>
      </c>
      <c r="F343" s="25"/>
      <c r="G343" s="24"/>
      <c r="H343" s="9"/>
      <c r="I343" s="9"/>
      <c r="J343" s="26">
        <f>SUM(R337:R342)</f>
        <v>124.53</v>
      </c>
      <c r="K343" s="26"/>
    </row>
    <row r="344" spans="1:22" ht="14.25" x14ac:dyDescent="0.2">
      <c r="A344" s="21"/>
      <c r="B344" s="22"/>
      <c r="C344" s="22" t="s">
        <v>515</v>
      </c>
      <c r="D344" s="23" t="s">
        <v>514</v>
      </c>
      <c r="E344" s="9">
        <f>Source!AU227</f>
        <v>10</v>
      </c>
      <c r="F344" s="25"/>
      <c r="G344" s="24"/>
      <c r="H344" s="9"/>
      <c r="I344" s="9"/>
      <c r="J344" s="26">
        <f>SUM(T337:T343)</f>
        <v>17.79</v>
      </c>
      <c r="K344" s="26"/>
    </row>
    <row r="345" spans="1:22" ht="14.25" x14ac:dyDescent="0.2">
      <c r="A345" s="21"/>
      <c r="B345" s="22"/>
      <c r="C345" s="22" t="s">
        <v>516</v>
      </c>
      <c r="D345" s="23" t="s">
        <v>514</v>
      </c>
      <c r="E345" s="9">
        <f>108</f>
        <v>108</v>
      </c>
      <c r="F345" s="25"/>
      <c r="G345" s="24"/>
      <c r="H345" s="9"/>
      <c r="I345" s="9"/>
      <c r="J345" s="26">
        <f>SUM(V337:V344)</f>
        <v>0.01</v>
      </c>
      <c r="K345" s="26"/>
    </row>
    <row r="346" spans="1:22" ht="14.25" x14ac:dyDescent="0.2">
      <c r="A346" s="21"/>
      <c r="B346" s="22"/>
      <c r="C346" s="22" t="s">
        <v>517</v>
      </c>
      <c r="D346" s="23" t="s">
        <v>518</v>
      </c>
      <c r="E346" s="9">
        <f>Source!AQ227</f>
        <v>11</v>
      </c>
      <c r="F346" s="25"/>
      <c r="G346" s="24" t="str">
        <f>Source!DI227</f>
        <v/>
      </c>
      <c r="H346" s="9">
        <f>Source!AV227</f>
        <v>1</v>
      </c>
      <c r="I346" s="9"/>
      <c r="J346" s="26"/>
      <c r="K346" s="26">
        <f>Source!U227</f>
        <v>0.88</v>
      </c>
    </row>
    <row r="347" spans="1:22" ht="15" x14ac:dyDescent="0.25">
      <c r="A347" s="30"/>
      <c r="B347" s="30"/>
      <c r="C347" s="30"/>
      <c r="D347" s="30"/>
      <c r="E347" s="30"/>
      <c r="F347" s="30"/>
      <c r="G347" s="30"/>
      <c r="H347" s="30"/>
      <c r="I347" s="51">
        <f>J339+J340+J342+J343+J344+J345</f>
        <v>1950.9899999999998</v>
      </c>
      <c r="J347" s="51"/>
      <c r="K347" s="31">
        <f>IF(Source!I227&lt;&gt;0, ROUND(I347/Source!I227, 2), 0)</f>
        <v>24387.38</v>
      </c>
      <c r="P347" s="29">
        <f>I347</f>
        <v>1950.9899999999998</v>
      </c>
    </row>
    <row r="348" spans="1:22" ht="42.75" x14ac:dyDescent="0.2">
      <c r="A348" s="21" t="str">
        <f>Source!E228</f>
        <v>39</v>
      </c>
      <c r="B348" s="22" t="str">
        <f>Source!F228</f>
        <v>1.50-3203-4-2/4</v>
      </c>
      <c r="C348" s="22" t="str">
        <f>Source!G228</f>
        <v>Установка распорных анкеров в готовые отверстия, анкер-шпилька M16x100 - M16x190</v>
      </c>
      <c r="D348" s="23" t="str">
        <f>Source!H228</f>
        <v>100 шт.</v>
      </c>
      <c r="E348" s="9">
        <f>Source!I228</f>
        <v>0.08</v>
      </c>
      <c r="F348" s="25"/>
      <c r="G348" s="24"/>
      <c r="H348" s="9"/>
      <c r="I348" s="9"/>
      <c r="J348" s="26"/>
      <c r="K348" s="26"/>
      <c r="Q348">
        <f>ROUND((Source!BZ228/100)*ROUND((Source!AF228*Source!AV228)*Source!I228, 2), 2)</f>
        <v>244.2</v>
      </c>
      <c r="R348">
        <f>Source!X228</f>
        <v>244.2</v>
      </c>
      <c r="S348">
        <f>ROUND((Source!CA228/100)*ROUND((Source!AF228*Source!AV228)*Source!I228, 2), 2)</f>
        <v>34.89</v>
      </c>
      <c r="T348">
        <f>Source!Y228</f>
        <v>34.89</v>
      </c>
      <c r="U348">
        <f>ROUND((175/100)*ROUND((Source!AE228*Source!AV228)*Source!I228, 2), 2)</f>
        <v>0</v>
      </c>
      <c r="V348">
        <f>ROUND((108/100)*ROUND(Source!CS228*Source!I228, 2), 2)</f>
        <v>0</v>
      </c>
    </row>
    <row r="349" spans="1:22" x14ac:dyDescent="0.2">
      <c r="C349" s="27" t="str">
        <f>"Объем: "&amp;Source!I228&amp;"=8/"&amp;"100"</f>
        <v>Объем: 0,08=8/100</v>
      </c>
    </row>
    <row r="350" spans="1:22" ht="14.25" x14ac:dyDescent="0.2">
      <c r="A350" s="21"/>
      <c r="B350" s="22"/>
      <c r="C350" s="22" t="s">
        <v>510</v>
      </c>
      <c r="D350" s="23"/>
      <c r="E350" s="9"/>
      <c r="F350" s="25">
        <f>Source!AO228</f>
        <v>4360.78</v>
      </c>
      <c r="G350" s="24" t="str">
        <f>Source!DG228</f>
        <v/>
      </c>
      <c r="H350" s="9">
        <f>Source!AV228</f>
        <v>1</v>
      </c>
      <c r="I350" s="9">
        <f>IF(Source!BA228&lt;&gt; 0, Source!BA228, 1)</f>
        <v>1</v>
      </c>
      <c r="J350" s="26">
        <f>Source!S228</f>
        <v>348.86</v>
      </c>
      <c r="K350" s="26"/>
    </row>
    <row r="351" spans="1:22" ht="14.25" x14ac:dyDescent="0.2">
      <c r="A351" s="21"/>
      <c r="B351" s="22"/>
      <c r="C351" s="22" t="s">
        <v>520</v>
      </c>
      <c r="D351" s="23"/>
      <c r="E351" s="9"/>
      <c r="F351" s="25">
        <f>Source!AL228</f>
        <v>24035.23</v>
      </c>
      <c r="G351" s="24" t="str">
        <f>Source!DD228</f>
        <v/>
      </c>
      <c r="H351" s="9">
        <f>Source!AW228</f>
        <v>1</v>
      </c>
      <c r="I351" s="9">
        <f>IF(Source!BC228&lt;&gt; 0, Source!BC228, 1)</f>
        <v>1</v>
      </c>
      <c r="J351" s="26">
        <f>Source!P228</f>
        <v>1922.82</v>
      </c>
      <c r="K351" s="26"/>
    </row>
    <row r="352" spans="1:22" ht="14.25" x14ac:dyDescent="0.2">
      <c r="A352" s="21"/>
      <c r="B352" s="22"/>
      <c r="C352" s="22" t="s">
        <v>513</v>
      </c>
      <c r="D352" s="23" t="s">
        <v>514</v>
      </c>
      <c r="E352" s="9">
        <f>Source!AT228</f>
        <v>70</v>
      </c>
      <c r="F352" s="25"/>
      <c r="G352" s="24"/>
      <c r="H352" s="9"/>
      <c r="I352" s="9"/>
      <c r="J352" s="26">
        <f>SUM(R348:R351)</f>
        <v>244.2</v>
      </c>
      <c r="K352" s="26"/>
    </row>
    <row r="353" spans="1:22" ht="14.25" x14ac:dyDescent="0.2">
      <c r="A353" s="21"/>
      <c r="B353" s="22"/>
      <c r="C353" s="22" t="s">
        <v>515</v>
      </c>
      <c r="D353" s="23" t="s">
        <v>514</v>
      </c>
      <c r="E353" s="9">
        <f>Source!AU228</f>
        <v>10</v>
      </c>
      <c r="F353" s="25"/>
      <c r="G353" s="24"/>
      <c r="H353" s="9"/>
      <c r="I353" s="9"/>
      <c r="J353" s="26">
        <f>SUM(T348:T352)</f>
        <v>34.89</v>
      </c>
      <c r="K353" s="26"/>
    </row>
    <row r="354" spans="1:22" ht="14.25" x14ac:dyDescent="0.2">
      <c r="A354" s="21"/>
      <c r="B354" s="22"/>
      <c r="C354" s="22" t="s">
        <v>517</v>
      </c>
      <c r="D354" s="23" t="s">
        <v>518</v>
      </c>
      <c r="E354" s="9">
        <f>Source!AQ228</f>
        <v>15.41</v>
      </c>
      <c r="F354" s="25"/>
      <c r="G354" s="24" t="str">
        <f>Source!DI228</f>
        <v/>
      </c>
      <c r="H354" s="9">
        <f>Source!AV228</f>
        <v>1</v>
      </c>
      <c r="I354" s="9"/>
      <c r="J354" s="26"/>
      <c r="K354" s="26">
        <f>Source!U228</f>
        <v>1.2328000000000001</v>
      </c>
    </row>
    <row r="355" spans="1:22" ht="15" x14ac:dyDescent="0.25">
      <c r="A355" s="30"/>
      <c r="B355" s="30"/>
      <c r="C355" s="30"/>
      <c r="D355" s="30"/>
      <c r="E355" s="30"/>
      <c r="F355" s="30"/>
      <c r="G355" s="30"/>
      <c r="H355" s="30"/>
      <c r="I355" s="51">
        <f>J350+J351+J352+J353</f>
        <v>2550.7699999999995</v>
      </c>
      <c r="J355" s="51"/>
      <c r="K355" s="31">
        <f>IF(Source!I228&lt;&gt;0, ROUND(I355/Source!I228, 2), 0)</f>
        <v>31884.63</v>
      </c>
      <c r="P355" s="29">
        <f>I355</f>
        <v>2550.7699999999995</v>
      </c>
    </row>
    <row r="356" spans="1:22" ht="28.5" x14ac:dyDescent="0.2">
      <c r="A356" s="21" t="str">
        <f>Source!E229</f>
        <v>40</v>
      </c>
      <c r="B356" s="22" t="str">
        <f>Source!F229</f>
        <v>1.50-3203-10-4/1</v>
      </c>
      <c r="C356" s="22" t="str">
        <f>Source!G229</f>
        <v>Установка монтажных изделий массой свыше 20 кг</v>
      </c>
      <c r="D356" s="23" t="str">
        <f>Source!H229</f>
        <v>т</v>
      </c>
      <c r="E356" s="9">
        <f>Source!I229</f>
        <v>8.6199999999999999E-2</v>
      </c>
      <c r="F356" s="25"/>
      <c r="G356" s="24"/>
      <c r="H356" s="9"/>
      <c r="I356" s="9"/>
      <c r="J356" s="26"/>
      <c r="K356" s="26"/>
      <c r="Q356">
        <f>ROUND((Source!BZ229/100)*ROUND((Source!AF229*Source!AV229)*Source!I229, 2), 2)</f>
        <v>568.69000000000005</v>
      </c>
      <c r="R356">
        <f>Source!X229</f>
        <v>568.69000000000005</v>
      </c>
      <c r="S356">
        <f>ROUND((Source!CA229/100)*ROUND((Source!AF229*Source!AV229)*Source!I229, 2), 2)</f>
        <v>81.239999999999995</v>
      </c>
      <c r="T356">
        <f>Source!Y229</f>
        <v>81.239999999999995</v>
      </c>
      <c r="U356">
        <f>ROUND((175/100)*ROUND((Source!AE229*Source!AV229)*Source!I229, 2), 2)</f>
        <v>0.16</v>
      </c>
      <c r="V356">
        <f>ROUND((108/100)*ROUND(Source!CS229*Source!I229, 2), 2)</f>
        <v>0.1</v>
      </c>
    </row>
    <row r="357" spans="1:22" ht="14.25" x14ac:dyDescent="0.2">
      <c r="A357" s="21"/>
      <c r="B357" s="22"/>
      <c r="C357" s="22" t="s">
        <v>510</v>
      </c>
      <c r="D357" s="23"/>
      <c r="E357" s="9"/>
      <c r="F357" s="25">
        <f>Source!AO229</f>
        <v>9424.7099999999991</v>
      </c>
      <c r="G357" s="24" t="str">
        <f>Source!DG229</f>
        <v/>
      </c>
      <c r="H357" s="9">
        <f>Source!AV229</f>
        <v>1</v>
      </c>
      <c r="I357" s="9">
        <f>IF(Source!BA229&lt;&gt; 0, Source!BA229, 1)</f>
        <v>1</v>
      </c>
      <c r="J357" s="26">
        <f>Source!S229</f>
        <v>812.41</v>
      </c>
      <c r="K357" s="26"/>
    </row>
    <row r="358" spans="1:22" ht="14.25" x14ac:dyDescent="0.2">
      <c r="A358" s="21"/>
      <c r="B358" s="22"/>
      <c r="C358" s="22" t="s">
        <v>511</v>
      </c>
      <c r="D358" s="23"/>
      <c r="E358" s="9"/>
      <c r="F358" s="25">
        <f>Source!AM229</f>
        <v>1197.3800000000001</v>
      </c>
      <c r="G358" s="24" t="str">
        <f>Source!DE229</f>
        <v/>
      </c>
      <c r="H358" s="9">
        <f>Source!AV229</f>
        <v>1</v>
      </c>
      <c r="I358" s="9">
        <f>IF(Source!BB229&lt;&gt; 0, Source!BB229, 1)</f>
        <v>1</v>
      </c>
      <c r="J358" s="26">
        <f>Source!Q229</f>
        <v>103.21</v>
      </c>
      <c r="K358" s="26"/>
    </row>
    <row r="359" spans="1:22" ht="14.25" x14ac:dyDescent="0.2">
      <c r="A359" s="21"/>
      <c r="B359" s="22"/>
      <c r="C359" s="22" t="s">
        <v>512</v>
      </c>
      <c r="D359" s="23"/>
      <c r="E359" s="9"/>
      <c r="F359" s="25">
        <f>Source!AN229</f>
        <v>1.1000000000000001</v>
      </c>
      <c r="G359" s="24" t="str">
        <f>Source!DF229</f>
        <v/>
      </c>
      <c r="H359" s="9">
        <f>Source!AV229</f>
        <v>1</v>
      </c>
      <c r="I359" s="9">
        <f>IF(Source!BS229&lt;&gt; 0, Source!BS229, 1)</f>
        <v>1</v>
      </c>
      <c r="J359" s="28">
        <f>Source!R229</f>
        <v>0.09</v>
      </c>
      <c r="K359" s="26"/>
    </row>
    <row r="360" spans="1:22" ht="14.25" x14ac:dyDescent="0.2">
      <c r="A360" s="21"/>
      <c r="B360" s="22"/>
      <c r="C360" s="22" t="s">
        <v>520</v>
      </c>
      <c r="D360" s="23"/>
      <c r="E360" s="9"/>
      <c r="F360" s="25">
        <f>Source!AL229</f>
        <v>56556.95</v>
      </c>
      <c r="G360" s="24" t="str">
        <f>Source!DD229</f>
        <v/>
      </c>
      <c r="H360" s="9">
        <f>Source!AW229</f>
        <v>1</v>
      </c>
      <c r="I360" s="9">
        <f>IF(Source!BC229&lt;&gt; 0, Source!BC229, 1)</f>
        <v>1</v>
      </c>
      <c r="J360" s="26">
        <f>Source!P229</f>
        <v>4875.21</v>
      </c>
      <c r="K360" s="26"/>
    </row>
    <row r="361" spans="1:22" ht="41.25" x14ac:dyDescent="0.2">
      <c r="A361" s="21" t="str">
        <f>Source!E230</f>
        <v>40,1</v>
      </c>
      <c r="B361" s="22" t="str">
        <f>Source!F230</f>
        <v>коммерч. предлож.</v>
      </c>
      <c r="C361" s="22" t="s">
        <v>525</v>
      </c>
      <c r="D361" s="23" t="str">
        <f>Source!H230</f>
        <v>шт.</v>
      </c>
      <c r="E361" s="9">
        <f>Source!I230</f>
        <v>2</v>
      </c>
      <c r="F361" s="25">
        <f>Source!AK230</f>
        <v>12835</v>
      </c>
      <c r="G361" s="32" t="s">
        <v>521</v>
      </c>
      <c r="H361" s="9">
        <f>Source!AW230</f>
        <v>1</v>
      </c>
      <c r="I361" s="9">
        <f>IF(Source!BC230&lt;&gt; 0, Source!BC230, 1)</f>
        <v>1</v>
      </c>
      <c r="J361" s="26">
        <f>Source!O230</f>
        <v>25670</v>
      </c>
      <c r="K361" s="26"/>
      <c r="Q361">
        <f>ROUND((Source!BZ230/100)*ROUND((Source!AF230*Source!AV230)*Source!I230, 2), 2)</f>
        <v>0</v>
      </c>
      <c r="R361">
        <f>Source!X230</f>
        <v>0</v>
      </c>
      <c r="S361">
        <f>ROUND((Source!CA230/100)*ROUND((Source!AF230*Source!AV230)*Source!I230, 2), 2)</f>
        <v>0</v>
      </c>
      <c r="T361">
        <f>Source!Y230</f>
        <v>0</v>
      </c>
      <c r="U361">
        <f>ROUND((175/100)*ROUND((Source!AE230*Source!AV230)*Source!I230, 2), 2)</f>
        <v>0</v>
      </c>
      <c r="V361">
        <f>ROUND((108/100)*ROUND(Source!CS230*Source!I230, 2), 2)</f>
        <v>0</v>
      </c>
    </row>
    <row r="362" spans="1:22" ht="14.25" x14ac:dyDescent="0.2">
      <c r="A362" s="21"/>
      <c r="B362" s="22"/>
      <c r="C362" s="22" t="s">
        <v>513</v>
      </c>
      <c r="D362" s="23" t="s">
        <v>514</v>
      </c>
      <c r="E362" s="9">
        <f>Source!AT229</f>
        <v>70</v>
      </c>
      <c r="F362" s="25"/>
      <c r="G362" s="24"/>
      <c r="H362" s="9"/>
      <c r="I362" s="9"/>
      <c r="J362" s="26">
        <f>SUM(R356:R361)</f>
        <v>568.69000000000005</v>
      </c>
      <c r="K362" s="26"/>
    </row>
    <row r="363" spans="1:22" ht="14.25" x14ac:dyDescent="0.2">
      <c r="A363" s="21"/>
      <c r="B363" s="22"/>
      <c r="C363" s="22" t="s">
        <v>515</v>
      </c>
      <c r="D363" s="23" t="s">
        <v>514</v>
      </c>
      <c r="E363" s="9">
        <f>Source!AU229</f>
        <v>10</v>
      </c>
      <c r="F363" s="25"/>
      <c r="G363" s="24"/>
      <c r="H363" s="9"/>
      <c r="I363" s="9"/>
      <c r="J363" s="26">
        <f>SUM(T356:T362)</f>
        <v>81.239999999999995</v>
      </c>
      <c r="K363" s="26"/>
    </row>
    <row r="364" spans="1:22" ht="14.25" x14ac:dyDescent="0.2">
      <c r="A364" s="21"/>
      <c r="B364" s="22"/>
      <c r="C364" s="22" t="s">
        <v>516</v>
      </c>
      <c r="D364" s="23" t="s">
        <v>514</v>
      </c>
      <c r="E364" s="9">
        <f>108</f>
        <v>108</v>
      </c>
      <c r="F364" s="25"/>
      <c r="G364" s="24"/>
      <c r="H364" s="9"/>
      <c r="I364" s="9"/>
      <c r="J364" s="26">
        <f>SUM(V356:V363)</f>
        <v>0.1</v>
      </c>
      <c r="K364" s="26"/>
    </row>
    <row r="365" spans="1:22" ht="14.25" x14ac:dyDescent="0.2">
      <c r="A365" s="21"/>
      <c r="B365" s="22"/>
      <c r="C365" s="22" t="s">
        <v>517</v>
      </c>
      <c r="D365" s="23" t="s">
        <v>518</v>
      </c>
      <c r="E365" s="9">
        <f>Source!AQ229</f>
        <v>36.11</v>
      </c>
      <c r="F365" s="25"/>
      <c r="G365" s="24" t="str">
        <f>Source!DI229</f>
        <v/>
      </c>
      <c r="H365" s="9">
        <f>Source!AV229</f>
        <v>1</v>
      </c>
      <c r="I365" s="9"/>
      <c r="J365" s="26"/>
      <c r="K365" s="26">
        <f>Source!U229</f>
        <v>3.1126819999999999</v>
      </c>
    </row>
    <row r="366" spans="1:22" ht="15" x14ac:dyDescent="0.25">
      <c r="A366" s="30"/>
      <c r="B366" s="30"/>
      <c r="C366" s="30"/>
      <c r="D366" s="30"/>
      <c r="E366" s="30"/>
      <c r="F366" s="30"/>
      <c r="G366" s="30"/>
      <c r="H366" s="30"/>
      <c r="I366" s="51">
        <f>J357+J358+J360+J362+J363+J364+SUM(J361:J361)</f>
        <v>32110.86</v>
      </c>
      <c r="J366" s="51"/>
      <c r="K366" s="31">
        <f>IF(Source!I229&lt;&gt;0, ROUND(I366/Source!I229, 2), 0)</f>
        <v>372515.78</v>
      </c>
      <c r="P366" s="29">
        <f>I366</f>
        <v>32110.86</v>
      </c>
    </row>
    <row r="368" spans="1:22" ht="15" x14ac:dyDescent="0.25">
      <c r="A368" s="54" t="str">
        <f>CONCATENATE("Итого по разделу: ",IF(Source!G232&lt;&gt;"Новый раздел", Source!G232, ""))</f>
        <v>Итого по разделу: Установка лавочек 2 шт.</v>
      </c>
      <c r="B368" s="54"/>
      <c r="C368" s="54"/>
      <c r="D368" s="54"/>
      <c r="E368" s="54"/>
      <c r="F368" s="54"/>
      <c r="G368" s="54"/>
      <c r="H368" s="54"/>
      <c r="I368" s="52">
        <f>SUM(P336:P367)</f>
        <v>36612.620000000003</v>
      </c>
      <c r="J368" s="53"/>
      <c r="K368" s="33"/>
    </row>
    <row r="370" spans="1:22" ht="16.5" x14ac:dyDescent="0.25">
      <c r="A370" s="50" t="str">
        <f>CONCATENATE("Раздел: ",IF(Source!G265&lt;&gt;"Новый раздел", Source!G265, ""))</f>
        <v>Раздел: Установка урн 2 шт.</v>
      </c>
      <c r="B370" s="50"/>
      <c r="C370" s="50"/>
      <c r="D370" s="50"/>
      <c r="E370" s="50"/>
      <c r="F370" s="50"/>
      <c r="G370" s="50"/>
      <c r="H370" s="50"/>
      <c r="I370" s="50"/>
      <c r="J370" s="50"/>
      <c r="K370" s="50"/>
    </row>
    <row r="371" spans="1:22" ht="71.25" x14ac:dyDescent="0.2">
      <c r="A371" s="21" t="str">
        <f>Source!E269</f>
        <v>41</v>
      </c>
      <c r="B371" s="22" t="str">
        <f>Source!F269</f>
        <v>1.50-3204-11-9/1</v>
      </c>
      <c r="C371" s="22" t="str">
        <f>Source!G269</f>
        <v>Сверление сквозных отверстий в бетонных стенах и полах электроперфоратором, диаметр отверстия до 30 мм, глубина сверления 100 мм</v>
      </c>
      <c r="D371" s="23" t="str">
        <f>Source!H269</f>
        <v>100 отверстий</v>
      </c>
      <c r="E371" s="9">
        <f>Source!I269</f>
        <v>0.04</v>
      </c>
      <c r="F371" s="25"/>
      <c r="G371" s="24"/>
      <c r="H371" s="9"/>
      <c r="I371" s="9"/>
      <c r="J371" s="26"/>
      <c r="K371" s="26"/>
      <c r="Q371">
        <f>ROUND((Source!BZ269/100)*ROUND((Source!AF269*Source!AV269)*Source!I269, 2), 2)</f>
        <v>62.27</v>
      </c>
      <c r="R371">
        <f>Source!X269</f>
        <v>62.27</v>
      </c>
      <c r="S371">
        <f>ROUND((Source!CA269/100)*ROUND((Source!AF269*Source!AV269)*Source!I269, 2), 2)</f>
        <v>8.9</v>
      </c>
      <c r="T371">
        <f>Source!Y269</f>
        <v>8.9</v>
      </c>
      <c r="U371">
        <f>ROUND((175/100)*ROUND((Source!AE269*Source!AV269)*Source!I269, 2), 2)</f>
        <v>0</v>
      </c>
      <c r="V371">
        <f>ROUND((108/100)*ROUND(Source!CS269*Source!I269, 2), 2)</f>
        <v>0</v>
      </c>
    </row>
    <row r="372" spans="1:22" x14ac:dyDescent="0.2">
      <c r="C372" s="27" t="str">
        <f>"Объем: "&amp;Source!I269&amp;"=4/"&amp;"100"</f>
        <v>Объем: 0,04=4/100</v>
      </c>
    </row>
    <row r="373" spans="1:22" ht="14.25" x14ac:dyDescent="0.2">
      <c r="A373" s="21"/>
      <c r="B373" s="22"/>
      <c r="C373" s="22" t="s">
        <v>510</v>
      </c>
      <c r="D373" s="23"/>
      <c r="E373" s="9"/>
      <c r="F373" s="25">
        <f>Source!AO269</f>
        <v>2223.7600000000002</v>
      </c>
      <c r="G373" s="24" t="str">
        <f>Source!DG269</f>
        <v/>
      </c>
      <c r="H373" s="9">
        <f>Source!AV269</f>
        <v>1</v>
      </c>
      <c r="I373" s="9">
        <f>IF(Source!BA269&lt;&gt; 0, Source!BA269, 1)</f>
        <v>1</v>
      </c>
      <c r="J373" s="26">
        <f>Source!S269</f>
        <v>88.95</v>
      </c>
      <c r="K373" s="26"/>
    </row>
    <row r="374" spans="1:22" ht="14.25" x14ac:dyDescent="0.2">
      <c r="A374" s="21"/>
      <c r="B374" s="22"/>
      <c r="C374" s="22" t="s">
        <v>511</v>
      </c>
      <c r="D374" s="23"/>
      <c r="E374" s="9"/>
      <c r="F374" s="25">
        <f>Source!AM269</f>
        <v>30.36</v>
      </c>
      <c r="G374" s="24" t="str">
        <f>Source!DE269</f>
        <v/>
      </c>
      <c r="H374" s="9">
        <f>Source!AV269</f>
        <v>1</v>
      </c>
      <c r="I374" s="9">
        <f>IF(Source!BB269&lt;&gt; 0, Source!BB269, 1)</f>
        <v>1</v>
      </c>
      <c r="J374" s="26">
        <f>Source!Q269</f>
        <v>1.21</v>
      </c>
      <c r="K374" s="26"/>
    </row>
    <row r="375" spans="1:22" ht="14.25" x14ac:dyDescent="0.2">
      <c r="A375" s="21"/>
      <c r="B375" s="22"/>
      <c r="C375" s="22" t="s">
        <v>520</v>
      </c>
      <c r="D375" s="23"/>
      <c r="E375" s="9"/>
      <c r="F375" s="25">
        <f>Source!AL269</f>
        <v>20354.099999999999</v>
      </c>
      <c r="G375" s="24" t="str">
        <f>Source!DD269</f>
        <v/>
      </c>
      <c r="H375" s="9">
        <f>Source!AW269</f>
        <v>1</v>
      </c>
      <c r="I375" s="9">
        <f>IF(Source!BC269&lt;&gt; 0, Source!BC269, 1)</f>
        <v>1</v>
      </c>
      <c r="J375" s="26">
        <f>Source!P269</f>
        <v>814.16</v>
      </c>
      <c r="K375" s="26"/>
    </row>
    <row r="376" spans="1:22" ht="14.25" x14ac:dyDescent="0.2">
      <c r="A376" s="21"/>
      <c r="B376" s="22"/>
      <c r="C376" s="22" t="s">
        <v>513</v>
      </c>
      <c r="D376" s="23" t="s">
        <v>514</v>
      </c>
      <c r="E376" s="9">
        <f>Source!AT269</f>
        <v>70</v>
      </c>
      <c r="F376" s="25"/>
      <c r="G376" s="24"/>
      <c r="H376" s="9"/>
      <c r="I376" s="9"/>
      <c r="J376" s="26">
        <f>SUM(R371:R375)</f>
        <v>62.27</v>
      </c>
      <c r="K376" s="26"/>
    </row>
    <row r="377" spans="1:22" ht="14.25" x14ac:dyDescent="0.2">
      <c r="A377" s="21"/>
      <c r="B377" s="22"/>
      <c r="C377" s="22" t="s">
        <v>515</v>
      </c>
      <c r="D377" s="23" t="s">
        <v>514</v>
      </c>
      <c r="E377" s="9">
        <f>Source!AU269</f>
        <v>10</v>
      </c>
      <c r="F377" s="25"/>
      <c r="G377" s="24"/>
      <c r="H377" s="9"/>
      <c r="I377" s="9"/>
      <c r="J377" s="26">
        <f>SUM(T371:T376)</f>
        <v>8.9</v>
      </c>
      <c r="K377" s="26"/>
    </row>
    <row r="378" spans="1:22" ht="14.25" x14ac:dyDescent="0.2">
      <c r="A378" s="21"/>
      <c r="B378" s="22"/>
      <c r="C378" s="22" t="s">
        <v>517</v>
      </c>
      <c r="D378" s="23" t="s">
        <v>518</v>
      </c>
      <c r="E378" s="9">
        <f>Source!AQ269</f>
        <v>11</v>
      </c>
      <c r="F378" s="25"/>
      <c r="G378" s="24" t="str">
        <f>Source!DI269</f>
        <v/>
      </c>
      <c r="H378" s="9">
        <f>Source!AV269</f>
        <v>1</v>
      </c>
      <c r="I378" s="9"/>
      <c r="J378" s="26"/>
      <c r="K378" s="26">
        <f>Source!U269</f>
        <v>0.44</v>
      </c>
    </row>
    <row r="379" spans="1:22" ht="15" x14ac:dyDescent="0.25">
      <c r="A379" s="30"/>
      <c r="B379" s="30"/>
      <c r="C379" s="30"/>
      <c r="D379" s="30"/>
      <c r="E379" s="30"/>
      <c r="F379" s="30"/>
      <c r="G379" s="30"/>
      <c r="H379" s="30"/>
      <c r="I379" s="51">
        <f>J373+J374+J375+J376+J377</f>
        <v>975.4899999999999</v>
      </c>
      <c r="J379" s="51"/>
      <c r="K379" s="31">
        <f>IF(Source!I269&lt;&gt;0, ROUND(I379/Source!I269, 2), 0)</f>
        <v>24387.25</v>
      </c>
      <c r="P379" s="29">
        <f>I379</f>
        <v>975.4899999999999</v>
      </c>
    </row>
    <row r="380" spans="1:22" ht="42.75" x14ac:dyDescent="0.2">
      <c r="A380" s="21" t="str">
        <f>Source!E270</f>
        <v>42</v>
      </c>
      <c r="B380" s="22" t="str">
        <f>Source!F270</f>
        <v>1.50-3203-4-2/4</v>
      </c>
      <c r="C380" s="22" t="str">
        <f>Source!G270</f>
        <v>Установка распорных анкеров в готовые отверстия, анкер-шпилька M16x100 - M16x190</v>
      </c>
      <c r="D380" s="23" t="str">
        <f>Source!H270</f>
        <v>100 шт.</v>
      </c>
      <c r="E380" s="9">
        <f>Source!I270</f>
        <v>0.04</v>
      </c>
      <c r="F380" s="25"/>
      <c r="G380" s="24"/>
      <c r="H380" s="9"/>
      <c r="I380" s="9"/>
      <c r="J380" s="26"/>
      <c r="K380" s="26"/>
      <c r="Q380">
        <f>ROUND((Source!BZ270/100)*ROUND((Source!AF270*Source!AV270)*Source!I270, 2), 2)</f>
        <v>122.1</v>
      </c>
      <c r="R380">
        <f>Source!X270</f>
        <v>122.1</v>
      </c>
      <c r="S380">
        <f>ROUND((Source!CA270/100)*ROUND((Source!AF270*Source!AV270)*Source!I270, 2), 2)</f>
        <v>17.440000000000001</v>
      </c>
      <c r="T380">
        <f>Source!Y270</f>
        <v>17.440000000000001</v>
      </c>
      <c r="U380">
        <f>ROUND((175/100)*ROUND((Source!AE270*Source!AV270)*Source!I270, 2), 2)</f>
        <v>0</v>
      </c>
      <c r="V380">
        <f>ROUND((108/100)*ROUND(Source!CS270*Source!I270, 2), 2)</f>
        <v>0</v>
      </c>
    </row>
    <row r="381" spans="1:22" x14ac:dyDescent="0.2">
      <c r="C381" s="27" t="str">
        <f>"Объем: "&amp;Source!I270&amp;"=4/"&amp;"100"</f>
        <v>Объем: 0,04=4/100</v>
      </c>
    </row>
    <row r="382" spans="1:22" ht="14.25" x14ac:dyDescent="0.2">
      <c r="A382" s="21"/>
      <c r="B382" s="22"/>
      <c r="C382" s="22" t="s">
        <v>510</v>
      </c>
      <c r="D382" s="23"/>
      <c r="E382" s="9"/>
      <c r="F382" s="25">
        <f>Source!AO270</f>
        <v>4360.78</v>
      </c>
      <c r="G382" s="24" t="str">
        <f>Source!DG270</f>
        <v/>
      </c>
      <c r="H382" s="9">
        <f>Source!AV270</f>
        <v>1</v>
      </c>
      <c r="I382" s="9">
        <f>IF(Source!BA270&lt;&gt; 0, Source!BA270, 1)</f>
        <v>1</v>
      </c>
      <c r="J382" s="26">
        <f>Source!S270</f>
        <v>174.43</v>
      </c>
      <c r="K382" s="26"/>
    </row>
    <row r="383" spans="1:22" ht="14.25" x14ac:dyDescent="0.2">
      <c r="A383" s="21"/>
      <c r="B383" s="22"/>
      <c r="C383" s="22" t="s">
        <v>520</v>
      </c>
      <c r="D383" s="23"/>
      <c r="E383" s="9"/>
      <c r="F383" s="25">
        <f>Source!AL270</f>
        <v>24035.23</v>
      </c>
      <c r="G383" s="24" t="str">
        <f>Source!DD270</f>
        <v/>
      </c>
      <c r="H383" s="9">
        <f>Source!AW270</f>
        <v>1</v>
      </c>
      <c r="I383" s="9">
        <f>IF(Source!BC270&lt;&gt; 0, Source!BC270, 1)</f>
        <v>1</v>
      </c>
      <c r="J383" s="26">
        <f>Source!P270</f>
        <v>961.41</v>
      </c>
      <c r="K383" s="26"/>
    </row>
    <row r="384" spans="1:22" ht="14.25" x14ac:dyDescent="0.2">
      <c r="A384" s="21"/>
      <c r="B384" s="22"/>
      <c r="C384" s="22" t="s">
        <v>513</v>
      </c>
      <c r="D384" s="23" t="s">
        <v>514</v>
      </c>
      <c r="E384" s="9">
        <f>Source!AT270</f>
        <v>70</v>
      </c>
      <c r="F384" s="25"/>
      <c r="G384" s="24"/>
      <c r="H384" s="9"/>
      <c r="I384" s="9"/>
      <c r="J384" s="26">
        <f>SUM(R380:R383)</f>
        <v>122.1</v>
      </c>
      <c r="K384" s="26"/>
    </row>
    <row r="385" spans="1:22" ht="14.25" x14ac:dyDescent="0.2">
      <c r="A385" s="21"/>
      <c r="B385" s="22"/>
      <c r="C385" s="22" t="s">
        <v>515</v>
      </c>
      <c r="D385" s="23" t="s">
        <v>514</v>
      </c>
      <c r="E385" s="9">
        <f>Source!AU270</f>
        <v>10</v>
      </c>
      <c r="F385" s="25"/>
      <c r="G385" s="24"/>
      <c r="H385" s="9"/>
      <c r="I385" s="9"/>
      <c r="J385" s="26">
        <f>SUM(T380:T384)</f>
        <v>17.440000000000001</v>
      </c>
      <c r="K385" s="26"/>
    </row>
    <row r="386" spans="1:22" ht="14.25" x14ac:dyDescent="0.2">
      <c r="A386" s="21"/>
      <c r="B386" s="22"/>
      <c r="C386" s="22" t="s">
        <v>517</v>
      </c>
      <c r="D386" s="23" t="s">
        <v>518</v>
      </c>
      <c r="E386" s="9">
        <f>Source!AQ270</f>
        <v>15.41</v>
      </c>
      <c r="F386" s="25"/>
      <c r="G386" s="24" t="str">
        <f>Source!DI270</f>
        <v/>
      </c>
      <c r="H386" s="9">
        <f>Source!AV270</f>
        <v>1</v>
      </c>
      <c r="I386" s="9"/>
      <c r="J386" s="26"/>
      <c r="K386" s="26">
        <f>Source!U270</f>
        <v>0.61640000000000006</v>
      </c>
    </row>
    <row r="387" spans="1:22" ht="15" x14ac:dyDescent="0.25">
      <c r="A387" s="30"/>
      <c r="B387" s="30"/>
      <c r="C387" s="30"/>
      <c r="D387" s="30"/>
      <c r="E387" s="30"/>
      <c r="F387" s="30"/>
      <c r="G387" s="30"/>
      <c r="H387" s="30"/>
      <c r="I387" s="51">
        <f>J382+J383+J384+J385</f>
        <v>1275.3799999999999</v>
      </c>
      <c r="J387" s="51"/>
      <c r="K387" s="31">
        <f>IF(Source!I270&lt;&gt;0, ROUND(I387/Source!I270, 2), 0)</f>
        <v>31884.5</v>
      </c>
      <c r="P387" s="29">
        <f>I387</f>
        <v>1275.3799999999999</v>
      </c>
    </row>
    <row r="388" spans="1:22" ht="28.5" x14ac:dyDescent="0.2">
      <c r="A388" s="21" t="str">
        <f>Source!E271</f>
        <v>43</v>
      </c>
      <c r="B388" s="22" t="str">
        <f>Source!F271</f>
        <v>1.50-3203-10-4/1</v>
      </c>
      <c r="C388" s="22" t="str">
        <f>Source!G271</f>
        <v>Установка монтажных изделий массой свыше 20 кг</v>
      </c>
      <c r="D388" s="23" t="str">
        <f>Source!H271</f>
        <v>т</v>
      </c>
      <c r="E388" s="9">
        <f>Source!I271</f>
        <v>2.2200000000000001E-2</v>
      </c>
      <c r="F388" s="25"/>
      <c r="G388" s="24"/>
      <c r="H388" s="9"/>
      <c r="I388" s="9"/>
      <c r="J388" s="26"/>
      <c r="K388" s="26"/>
      <c r="Q388">
        <f>ROUND((Source!BZ271/100)*ROUND((Source!AF271*Source!AV271)*Source!I271, 2), 2)</f>
        <v>146.46</v>
      </c>
      <c r="R388">
        <f>Source!X271</f>
        <v>146.46</v>
      </c>
      <c r="S388">
        <f>ROUND((Source!CA271/100)*ROUND((Source!AF271*Source!AV271)*Source!I271, 2), 2)</f>
        <v>20.92</v>
      </c>
      <c r="T388">
        <f>Source!Y271</f>
        <v>20.92</v>
      </c>
      <c r="U388">
        <f>ROUND((175/100)*ROUND((Source!AE271*Source!AV271)*Source!I271, 2), 2)</f>
        <v>0.04</v>
      </c>
      <c r="V388">
        <f>ROUND((108/100)*ROUND(Source!CS271*Source!I271, 2), 2)</f>
        <v>0.02</v>
      </c>
    </row>
    <row r="389" spans="1:22" ht="14.25" x14ac:dyDescent="0.2">
      <c r="A389" s="21"/>
      <c r="B389" s="22"/>
      <c r="C389" s="22" t="s">
        <v>510</v>
      </c>
      <c r="D389" s="23"/>
      <c r="E389" s="9"/>
      <c r="F389" s="25">
        <f>Source!AO271</f>
        <v>9424.7099999999991</v>
      </c>
      <c r="G389" s="24" t="str">
        <f>Source!DG271</f>
        <v/>
      </c>
      <c r="H389" s="9">
        <f>Source!AV271</f>
        <v>1</v>
      </c>
      <c r="I389" s="9">
        <f>IF(Source!BA271&lt;&gt; 0, Source!BA271, 1)</f>
        <v>1</v>
      </c>
      <c r="J389" s="26">
        <f>Source!S271</f>
        <v>209.23</v>
      </c>
      <c r="K389" s="26"/>
    </row>
    <row r="390" spans="1:22" ht="14.25" x14ac:dyDescent="0.2">
      <c r="A390" s="21"/>
      <c r="B390" s="22"/>
      <c r="C390" s="22" t="s">
        <v>511</v>
      </c>
      <c r="D390" s="23"/>
      <c r="E390" s="9"/>
      <c r="F390" s="25">
        <f>Source!AM271</f>
        <v>1197.3800000000001</v>
      </c>
      <c r="G390" s="24" t="str">
        <f>Source!DE271</f>
        <v/>
      </c>
      <c r="H390" s="9">
        <f>Source!AV271</f>
        <v>1</v>
      </c>
      <c r="I390" s="9">
        <f>IF(Source!BB271&lt;&gt; 0, Source!BB271, 1)</f>
        <v>1</v>
      </c>
      <c r="J390" s="26">
        <f>Source!Q271</f>
        <v>26.58</v>
      </c>
      <c r="K390" s="26"/>
    </row>
    <row r="391" spans="1:22" ht="14.25" x14ac:dyDescent="0.2">
      <c r="A391" s="21"/>
      <c r="B391" s="22"/>
      <c r="C391" s="22" t="s">
        <v>512</v>
      </c>
      <c r="D391" s="23"/>
      <c r="E391" s="9"/>
      <c r="F391" s="25">
        <f>Source!AN271</f>
        <v>1.1000000000000001</v>
      </c>
      <c r="G391" s="24" t="str">
        <f>Source!DF271</f>
        <v/>
      </c>
      <c r="H391" s="9">
        <f>Source!AV271</f>
        <v>1</v>
      </c>
      <c r="I391" s="9">
        <f>IF(Source!BS271&lt;&gt; 0, Source!BS271, 1)</f>
        <v>1</v>
      </c>
      <c r="J391" s="28">
        <f>Source!R271</f>
        <v>0.02</v>
      </c>
      <c r="K391" s="26"/>
    </row>
    <row r="392" spans="1:22" ht="14.25" x14ac:dyDescent="0.2">
      <c r="A392" s="21"/>
      <c r="B392" s="22"/>
      <c r="C392" s="22" t="s">
        <v>520</v>
      </c>
      <c r="D392" s="23"/>
      <c r="E392" s="9"/>
      <c r="F392" s="25">
        <f>Source!AL271</f>
        <v>56556.95</v>
      </c>
      <c r="G392" s="24" t="str">
        <f>Source!DD271</f>
        <v/>
      </c>
      <c r="H392" s="9">
        <f>Source!AW271</f>
        <v>1</v>
      </c>
      <c r="I392" s="9">
        <f>IF(Source!BC271&lt;&gt; 0, Source!BC271, 1)</f>
        <v>1</v>
      </c>
      <c r="J392" s="26">
        <f>Source!P271</f>
        <v>1255.56</v>
      </c>
      <c r="K392" s="26"/>
    </row>
    <row r="393" spans="1:22" ht="28.5" x14ac:dyDescent="0.2">
      <c r="A393" s="21" t="str">
        <f>Source!E272</f>
        <v>43,1</v>
      </c>
      <c r="B393" s="22" t="str">
        <f>Source!F272</f>
        <v>коммерч. предлож.</v>
      </c>
      <c r="C393" s="22" t="s">
        <v>526</v>
      </c>
      <c r="D393" s="23" t="str">
        <f>Source!H272</f>
        <v>шт.</v>
      </c>
      <c r="E393" s="9">
        <f>Source!I272</f>
        <v>2</v>
      </c>
      <c r="F393" s="25">
        <f>Source!AK272</f>
        <v>3570</v>
      </c>
      <c r="G393" s="32" t="s">
        <v>521</v>
      </c>
      <c r="H393" s="9">
        <f>Source!AW272</f>
        <v>1</v>
      </c>
      <c r="I393" s="9">
        <f>IF(Source!BC272&lt;&gt; 0, Source!BC272, 1)</f>
        <v>1</v>
      </c>
      <c r="J393" s="26">
        <f>Source!O272</f>
        <v>7140</v>
      </c>
      <c r="K393" s="26"/>
      <c r="Q393">
        <f>ROUND((Source!BZ272/100)*ROUND((Source!AF272*Source!AV272)*Source!I272, 2), 2)</f>
        <v>0</v>
      </c>
      <c r="R393">
        <f>Source!X272</f>
        <v>0</v>
      </c>
      <c r="S393">
        <f>ROUND((Source!CA272/100)*ROUND((Source!AF272*Source!AV272)*Source!I272, 2), 2)</f>
        <v>0</v>
      </c>
      <c r="T393">
        <f>Source!Y272</f>
        <v>0</v>
      </c>
      <c r="U393">
        <f>ROUND((175/100)*ROUND((Source!AE272*Source!AV272)*Source!I272, 2), 2)</f>
        <v>0</v>
      </c>
      <c r="V393">
        <f>ROUND((108/100)*ROUND(Source!CS272*Source!I272, 2), 2)</f>
        <v>0</v>
      </c>
    </row>
    <row r="394" spans="1:22" ht="14.25" x14ac:dyDescent="0.2">
      <c r="A394" s="21"/>
      <c r="B394" s="22"/>
      <c r="C394" s="22" t="s">
        <v>513</v>
      </c>
      <c r="D394" s="23" t="s">
        <v>514</v>
      </c>
      <c r="E394" s="9">
        <f>Source!AT271</f>
        <v>70</v>
      </c>
      <c r="F394" s="25"/>
      <c r="G394" s="24"/>
      <c r="H394" s="9"/>
      <c r="I394" s="9"/>
      <c r="J394" s="26">
        <f>SUM(R388:R393)</f>
        <v>146.46</v>
      </c>
      <c r="K394" s="26"/>
    </row>
    <row r="395" spans="1:22" ht="14.25" x14ac:dyDescent="0.2">
      <c r="A395" s="21"/>
      <c r="B395" s="22"/>
      <c r="C395" s="22" t="s">
        <v>515</v>
      </c>
      <c r="D395" s="23" t="s">
        <v>514</v>
      </c>
      <c r="E395" s="9">
        <f>Source!AU271</f>
        <v>10</v>
      </c>
      <c r="F395" s="25"/>
      <c r="G395" s="24"/>
      <c r="H395" s="9"/>
      <c r="I395" s="9"/>
      <c r="J395" s="26">
        <f>SUM(T388:T394)</f>
        <v>20.92</v>
      </c>
      <c r="K395" s="26"/>
    </row>
    <row r="396" spans="1:22" ht="14.25" x14ac:dyDescent="0.2">
      <c r="A396" s="21"/>
      <c r="B396" s="22"/>
      <c r="C396" s="22" t="s">
        <v>516</v>
      </c>
      <c r="D396" s="23" t="s">
        <v>514</v>
      </c>
      <c r="E396" s="9">
        <f>108</f>
        <v>108</v>
      </c>
      <c r="F396" s="25"/>
      <c r="G396" s="24"/>
      <c r="H396" s="9"/>
      <c r="I396" s="9"/>
      <c r="J396" s="26">
        <f>SUM(V388:V395)</f>
        <v>0.02</v>
      </c>
      <c r="K396" s="26"/>
    </row>
    <row r="397" spans="1:22" ht="14.25" x14ac:dyDescent="0.2">
      <c r="A397" s="21"/>
      <c r="B397" s="22"/>
      <c r="C397" s="22" t="s">
        <v>517</v>
      </c>
      <c r="D397" s="23" t="s">
        <v>518</v>
      </c>
      <c r="E397" s="9">
        <f>Source!AQ271</f>
        <v>36.11</v>
      </c>
      <c r="F397" s="25"/>
      <c r="G397" s="24" t="str">
        <f>Source!DI271</f>
        <v/>
      </c>
      <c r="H397" s="9">
        <f>Source!AV271</f>
        <v>1</v>
      </c>
      <c r="I397" s="9"/>
      <c r="J397" s="26"/>
      <c r="K397" s="26">
        <f>Source!U271</f>
        <v>0.80164200000000008</v>
      </c>
    </row>
    <row r="398" spans="1:22" ht="15" x14ac:dyDescent="0.25">
      <c r="A398" s="30"/>
      <c r="B398" s="30"/>
      <c r="C398" s="30"/>
      <c r="D398" s="30"/>
      <c r="E398" s="30"/>
      <c r="F398" s="30"/>
      <c r="G398" s="30"/>
      <c r="H398" s="30"/>
      <c r="I398" s="51">
        <f>J389+J390+J392+J394+J395+J396+SUM(J393:J393)</f>
        <v>8798.77</v>
      </c>
      <c r="J398" s="51"/>
      <c r="K398" s="31">
        <f>IF(Source!I271&lt;&gt;0, ROUND(I398/Source!I271, 2), 0)</f>
        <v>396340.99</v>
      </c>
      <c r="P398" s="29">
        <f>I398</f>
        <v>8798.77</v>
      </c>
    </row>
    <row r="400" spans="1:22" ht="15" x14ac:dyDescent="0.25">
      <c r="A400" s="54" t="str">
        <f>CONCATENATE("Итого по разделу: ",IF(Source!G274&lt;&gt;"Новый раздел", Source!G274, ""))</f>
        <v>Итого по разделу: Установка урн 2 шт.</v>
      </c>
      <c r="B400" s="54"/>
      <c r="C400" s="54"/>
      <c r="D400" s="54"/>
      <c r="E400" s="54"/>
      <c r="F400" s="54"/>
      <c r="G400" s="54"/>
      <c r="H400" s="54"/>
      <c r="I400" s="52">
        <f>SUM(P370:P399)</f>
        <v>11049.64</v>
      </c>
      <c r="J400" s="53"/>
      <c r="K400" s="33"/>
    </row>
    <row r="402" spans="1:22" ht="16.5" x14ac:dyDescent="0.25">
      <c r="A402" s="50" t="str">
        <f>CONCATENATE("Раздел: ",IF(Source!G307&lt;&gt;"Новый раздел", Source!G307, ""))</f>
        <v>Раздел: Установка ИДН - 6 шт.</v>
      </c>
      <c r="B402" s="50"/>
      <c r="C402" s="50"/>
      <c r="D402" s="50"/>
      <c r="E402" s="50"/>
      <c r="F402" s="50"/>
      <c r="G402" s="50"/>
      <c r="H402" s="50"/>
      <c r="I402" s="50"/>
      <c r="J402" s="50"/>
      <c r="K402" s="50"/>
    </row>
    <row r="403" spans="1:22" ht="42.75" x14ac:dyDescent="0.2">
      <c r="A403" s="21" t="str">
        <f>Source!E311</f>
        <v>44</v>
      </c>
      <c r="B403" s="22" t="str">
        <f>Source!F311</f>
        <v>2.1-3203-25-2/2</v>
      </c>
      <c r="C403" s="22" t="str">
        <f>Source!G311</f>
        <v>Установка искусственных дорожных неровностей - элементов средней части ИДН / размер 500х500х50 мм</v>
      </c>
      <c r="D403" s="23" t="str">
        <f>Source!H311</f>
        <v>10 шт.</v>
      </c>
      <c r="E403" s="9">
        <f>Source!I311</f>
        <v>5.4</v>
      </c>
      <c r="F403" s="25"/>
      <c r="G403" s="24"/>
      <c r="H403" s="9"/>
      <c r="I403" s="9"/>
      <c r="J403" s="26"/>
      <c r="K403" s="26"/>
      <c r="Q403">
        <f>ROUND((Source!BZ311/100)*ROUND((Source!AF311*Source!AV311)*Source!I311, 2), 2)</f>
        <v>17254.41</v>
      </c>
      <c r="R403">
        <f>Source!X311</f>
        <v>17254.41</v>
      </c>
      <c r="S403">
        <f>ROUND((Source!CA311/100)*ROUND((Source!AF311*Source!AV311)*Source!I311, 2), 2)</f>
        <v>2464.92</v>
      </c>
      <c r="T403">
        <f>Source!Y311</f>
        <v>2464.92</v>
      </c>
      <c r="U403">
        <f>ROUND((175/100)*ROUND((Source!AE311*Source!AV311)*Source!I311, 2), 2)</f>
        <v>50.09</v>
      </c>
      <c r="V403">
        <f>ROUND((108/100)*ROUND(Source!CS311*Source!I311, 2), 2)</f>
        <v>30.91</v>
      </c>
    </row>
    <row r="404" spans="1:22" x14ac:dyDescent="0.2">
      <c r="C404" s="27" t="str">
        <f>"Объем: "&amp;Source!I311&amp;"=(9*"&amp;"6)/"&amp;"10"</f>
        <v>Объем: 5,4=(9*6)/10</v>
      </c>
    </row>
    <row r="405" spans="1:22" ht="14.25" x14ac:dyDescent="0.2">
      <c r="A405" s="21"/>
      <c r="B405" s="22"/>
      <c r="C405" s="22" t="s">
        <v>510</v>
      </c>
      <c r="D405" s="23"/>
      <c r="E405" s="9"/>
      <c r="F405" s="25">
        <f>Source!AO311</f>
        <v>4564.66</v>
      </c>
      <c r="G405" s="24" t="str">
        <f>Source!DG311</f>
        <v/>
      </c>
      <c r="H405" s="9">
        <f>Source!AV311</f>
        <v>1</v>
      </c>
      <c r="I405" s="9">
        <f>IF(Source!BA311&lt;&gt; 0, Source!BA311, 1)</f>
        <v>1</v>
      </c>
      <c r="J405" s="26">
        <f>Source!S311</f>
        <v>24649.16</v>
      </c>
      <c r="K405" s="26"/>
    </row>
    <row r="406" spans="1:22" ht="14.25" x14ac:dyDescent="0.2">
      <c r="A406" s="21"/>
      <c r="B406" s="22"/>
      <c r="C406" s="22" t="s">
        <v>511</v>
      </c>
      <c r="D406" s="23"/>
      <c r="E406" s="9"/>
      <c r="F406" s="25">
        <f>Source!AM311</f>
        <v>49.33</v>
      </c>
      <c r="G406" s="24" t="str">
        <f>Source!DE311</f>
        <v/>
      </c>
      <c r="H406" s="9">
        <f>Source!AV311</f>
        <v>1</v>
      </c>
      <c r="I406" s="9">
        <f>IF(Source!BB311&lt;&gt; 0, Source!BB311, 1)</f>
        <v>1</v>
      </c>
      <c r="J406" s="26">
        <f>Source!Q311</f>
        <v>266.38</v>
      </c>
      <c r="K406" s="26"/>
    </row>
    <row r="407" spans="1:22" ht="14.25" x14ac:dyDescent="0.2">
      <c r="A407" s="21"/>
      <c r="B407" s="22"/>
      <c r="C407" s="22" t="s">
        <v>512</v>
      </c>
      <c r="D407" s="23"/>
      <c r="E407" s="9"/>
      <c r="F407" s="25">
        <f>Source!AN311</f>
        <v>5.3</v>
      </c>
      <c r="G407" s="24" t="str">
        <f>Source!DF311</f>
        <v/>
      </c>
      <c r="H407" s="9">
        <f>Source!AV311</f>
        <v>1</v>
      </c>
      <c r="I407" s="9">
        <f>IF(Source!BS311&lt;&gt; 0, Source!BS311, 1)</f>
        <v>1</v>
      </c>
      <c r="J407" s="28">
        <f>Source!R311</f>
        <v>28.62</v>
      </c>
      <c r="K407" s="26"/>
    </row>
    <row r="408" spans="1:22" ht="14.25" x14ac:dyDescent="0.2">
      <c r="A408" s="21"/>
      <c r="B408" s="22"/>
      <c r="C408" s="22" t="s">
        <v>520</v>
      </c>
      <c r="D408" s="23"/>
      <c r="E408" s="9"/>
      <c r="F408" s="25">
        <f>Source!AL311</f>
        <v>19720.68</v>
      </c>
      <c r="G408" s="24" t="str">
        <f>Source!DD311</f>
        <v/>
      </c>
      <c r="H408" s="9">
        <f>Source!AW311</f>
        <v>1</v>
      </c>
      <c r="I408" s="9">
        <f>IF(Source!BC311&lt;&gt; 0, Source!BC311, 1)</f>
        <v>1</v>
      </c>
      <c r="J408" s="26">
        <f>Source!P311</f>
        <v>106491.67</v>
      </c>
      <c r="K408" s="26"/>
    </row>
    <row r="409" spans="1:22" ht="14.25" x14ac:dyDescent="0.2">
      <c r="A409" s="21"/>
      <c r="B409" s="22"/>
      <c r="C409" s="22" t="s">
        <v>513</v>
      </c>
      <c r="D409" s="23" t="s">
        <v>514</v>
      </c>
      <c r="E409" s="9">
        <f>Source!AT311</f>
        <v>70</v>
      </c>
      <c r="F409" s="25"/>
      <c r="G409" s="24"/>
      <c r="H409" s="9"/>
      <c r="I409" s="9"/>
      <c r="J409" s="26">
        <f>SUM(R403:R408)</f>
        <v>17254.41</v>
      </c>
      <c r="K409" s="26"/>
    </row>
    <row r="410" spans="1:22" ht="14.25" x14ac:dyDescent="0.2">
      <c r="A410" s="21"/>
      <c r="B410" s="22"/>
      <c r="C410" s="22" t="s">
        <v>515</v>
      </c>
      <c r="D410" s="23" t="s">
        <v>514</v>
      </c>
      <c r="E410" s="9">
        <f>Source!AU311</f>
        <v>10</v>
      </c>
      <c r="F410" s="25"/>
      <c r="G410" s="24"/>
      <c r="H410" s="9"/>
      <c r="I410" s="9"/>
      <c r="J410" s="26">
        <f>SUM(T403:T409)</f>
        <v>2464.92</v>
      </c>
      <c r="K410" s="26"/>
    </row>
    <row r="411" spans="1:22" ht="14.25" x14ac:dyDescent="0.2">
      <c r="A411" s="21"/>
      <c r="B411" s="22"/>
      <c r="C411" s="22" t="s">
        <v>516</v>
      </c>
      <c r="D411" s="23" t="s">
        <v>514</v>
      </c>
      <c r="E411" s="9">
        <f>108</f>
        <v>108</v>
      </c>
      <c r="F411" s="25"/>
      <c r="G411" s="24"/>
      <c r="H411" s="9"/>
      <c r="I411" s="9"/>
      <c r="J411" s="26">
        <f>SUM(V403:V410)</f>
        <v>30.91</v>
      </c>
      <c r="K411" s="26"/>
    </row>
    <row r="412" spans="1:22" ht="14.25" x14ac:dyDescent="0.2">
      <c r="A412" s="21"/>
      <c r="B412" s="22"/>
      <c r="C412" s="22" t="s">
        <v>517</v>
      </c>
      <c r="D412" s="23" t="s">
        <v>518</v>
      </c>
      <c r="E412" s="9">
        <f>Source!AQ311</f>
        <v>18.21</v>
      </c>
      <c r="F412" s="25"/>
      <c r="G412" s="24" t="str">
        <f>Source!DI311</f>
        <v/>
      </c>
      <c r="H412" s="9">
        <f>Source!AV311</f>
        <v>1</v>
      </c>
      <c r="I412" s="9"/>
      <c r="J412" s="26"/>
      <c r="K412" s="26">
        <f>Source!U311</f>
        <v>98.334000000000017</v>
      </c>
    </row>
    <row r="413" spans="1:22" ht="15" x14ac:dyDescent="0.25">
      <c r="A413" s="30"/>
      <c r="B413" s="30"/>
      <c r="C413" s="30"/>
      <c r="D413" s="30"/>
      <c r="E413" s="30"/>
      <c r="F413" s="30"/>
      <c r="G413" s="30"/>
      <c r="H413" s="30"/>
      <c r="I413" s="51">
        <f>J405+J406+J408+J409+J410+J411</f>
        <v>151157.45000000001</v>
      </c>
      <c r="J413" s="51"/>
      <c r="K413" s="31">
        <f>IF(Source!I311&lt;&gt;0, ROUND(I413/Source!I311, 2), 0)</f>
        <v>27992.12</v>
      </c>
      <c r="P413" s="29">
        <f>I413</f>
        <v>151157.45000000001</v>
      </c>
    </row>
    <row r="414" spans="1:22" ht="42.75" x14ac:dyDescent="0.2">
      <c r="A414" s="21" t="str">
        <f>Source!E312</f>
        <v>45</v>
      </c>
      <c r="B414" s="22" t="str">
        <f>Source!F312</f>
        <v>2.1-3203-25-3/2</v>
      </c>
      <c r="C414" s="22" t="str">
        <f>Source!G312</f>
        <v>Установка искусственных дорожных неровностей - элементов краевой части ИДН / размер 500х250х50 мм</v>
      </c>
      <c r="D414" s="23" t="str">
        <f>Source!H312</f>
        <v>10 шт.</v>
      </c>
      <c r="E414" s="9">
        <f>Source!I312</f>
        <v>1.2</v>
      </c>
      <c r="F414" s="25"/>
      <c r="G414" s="24"/>
      <c r="H414" s="9"/>
      <c r="I414" s="9"/>
      <c r="J414" s="26"/>
      <c r="K414" s="26"/>
      <c r="Q414">
        <f>ROUND((Source!BZ312/100)*ROUND((Source!AF312*Source!AV312)*Source!I312, 2), 2)</f>
        <v>2558.58</v>
      </c>
      <c r="R414">
        <f>Source!X312</f>
        <v>2558.58</v>
      </c>
      <c r="S414">
        <f>ROUND((Source!CA312/100)*ROUND((Source!AF312*Source!AV312)*Source!I312, 2), 2)</f>
        <v>365.51</v>
      </c>
      <c r="T414">
        <f>Source!Y312</f>
        <v>365.51</v>
      </c>
      <c r="U414">
        <f>ROUND((175/100)*ROUND((Source!AE312*Source!AV312)*Source!I312, 2), 2)</f>
        <v>7.42</v>
      </c>
      <c r="V414">
        <f>ROUND((108/100)*ROUND(Source!CS312*Source!I312, 2), 2)</f>
        <v>4.58</v>
      </c>
    </row>
    <row r="415" spans="1:22" x14ac:dyDescent="0.2">
      <c r="C415" s="27" t="str">
        <f>"Объем: "&amp;Source!I312&amp;"=(2*"&amp;"6)/"&amp;"10"</f>
        <v>Объем: 1,2=(2*6)/10</v>
      </c>
    </row>
    <row r="416" spans="1:22" ht="14.25" x14ac:dyDescent="0.2">
      <c r="A416" s="21"/>
      <c r="B416" s="22"/>
      <c r="C416" s="22" t="s">
        <v>510</v>
      </c>
      <c r="D416" s="23"/>
      <c r="E416" s="9"/>
      <c r="F416" s="25">
        <f>Source!AO312</f>
        <v>3045.93</v>
      </c>
      <c r="G416" s="24" t="str">
        <f>Source!DG312</f>
        <v/>
      </c>
      <c r="H416" s="9">
        <f>Source!AV312</f>
        <v>1</v>
      </c>
      <c r="I416" s="9">
        <f>IF(Source!BA312&lt;&gt; 0, Source!BA312, 1)</f>
        <v>1</v>
      </c>
      <c r="J416" s="26">
        <f>Source!S312</f>
        <v>3655.12</v>
      </c>
      <c r="K416" s="26"/>
    </row>
    <row r="417" spans="1:22" ht="14.25" x14ac:dyDescent="0.2">
      <c r="A417" s="21"/>
      <c r="B417" s="22"/>
      <c r="C417" s="22" t="s">
        <v>511</v>
      </c>
      <c r="D417" s="23"/>
      <c r="E417" s="9"/>
      <c r="F417" s="25">
        <f>Source!AM312</f>
        <v>32.86</v>
      </c>
      <c r="G417" s="24" t="str">
        <f>Source!DE312</f>
        <v/>
      </c>
      <c r="H417" s="9">
        <f>Source!AV312</f>
        <v>1</v>
      </c>
      <c r="I417" s="9">
        <f>IF(Source!BB312&lt;&gt; 0, Source!BB312, 1)</f>
        <v>1</v>
      </c>
      <c r="J417" s="26">
        <f>Source!Q312</f>
        <v>39.43</v>
      </c>
      <c r="K417" s="26"/>
    </row>
    <row r="418" spans="1:22" ht="14.25" x14ac:dyDescent="0.2">
      <c r="A418" s="21"/>
      <c r="B418" s="22"/>
      <c r="C418" s="22" t="s">
        <v>512</v>
      </c>
      <c r="D418" s="23"/>
      <c r="E418" s="9"/>
      <c r="F418" s="25">
        <f>Source!AN312</f>
        <v>3.53</v>
      </c>
      <c r="G418" s="24" t="str">
        <f>Source!DF312</f>
        <v/>
      </c>
      <c r="H418" s="9">
        <f>Source!AV312</f>
        <v>1</v>
      </c>
      <c r="I418" s="9">
        <f>IF(Source!BS312&lt;&gt; 0, Source!BS312, 1)</f>
        <v>1</v>
      </c>
      <c r="J418" s="28">
        <f>Source!R312</f>
        <v>4.24</v>
      </c>
      <c r="K418" s="26"/>
    </row>
    <row r="419" spans="1:22" ht="14.25" x14ac:dyDescent="0.2">
      <c r="A419" s="21"/>
      <c r="B419" s="22"/>
      <c r="C419" s="22" t="s">
        <v>520</v>
      </c>
      <c r="D419" s="23"/>
      <c r="E419" s="9"/>
      <c r="F419" s="25">
        <f>Source!AL312</f>
        <v>11869.15</v>
      </c>
      <c r="G419" s="24" t="str">
        <f>Source!DD312</f>
        <v/>
      </c>
      <c r="H419" s="9">
        <f>Source!AW312</f>
        <v>1</v>
      </c>
      <c r="I419" s="9">
        <f>IF(Source!BC312&lt;&gt; 0, Source!BC312, 1)</f>
        <v>1</v>
      </c>
      <c r="J419" s="26">
        <f>Source!P312</f>
        <v>14242.98</v>
      </c>
      <c r="K419" s="26"/>
    </row>
    <row r="420" spans="1:22" ht="14.25" x14ac:dyDescent="0.2">
      <c r="A420" s="21"/>
      <c r="B420" s="22"/>
      <c r="C420" s="22" t="s">
        <v>513</v>
      </c>
      <c r="D420" s="23" t="s">
        <v>514</v>
      </c>
      <c r="E420" s="9">
        <f>Source!AT312</f>
        <v>70</v>
      </c>
      <c r="F420" s="25"/>
      <c r="G420" s="24"/>
      <c r="H420" s="9"/>
      <c r="I420" s="9"/>
      <c r="J420" s="26">
        <f>SUM(R414:R419)</f>
        <v>2558.58</v>
      </c>
      <c r="K420" s="26"/>
    </row>
    <row r="421" spans="1:22" ht="14.25" x14ac:dyDescent="0.2">
      <c r="A421" s="21"/>
      <c r="B421" s="22"/>
      <c r="C421" s="22" t="s">
        <v>515</v>
      </c>
      <c r="D421" s="23" t="s">
        <v>514</v>
      </c>
      <c r="E421" s="9">
        <f>Source!AU312</f>
        <v>10</v>
      </c>
      <c r="F421" s="25"/>
      <c r="G421" s="24"/>
      <c r="H421" s="9"/>
      <c r="I421" s="9"/>
      <c r="J421" s="26">
        <f>SUM(T414:T420)</f>
        <v>365.51</v>
      </c>
      <c r="K421" s="26"/>
    </row>
    <row r="422" spans="1:22" ht="14.25" x14ac:dyDescent="0.2">
      <c r="A422" s="21"/>
      <c r="B422" s="22"/>
      <c r="C422" s="22" t="s">
        <v>516</v>
      </c>
      <c r="D422" s="23" t="s">
        <v>514</v>
      </c>
      <c r="E422" s="9">
        <f>108</f>
        <v>108</v>
      </c>
      <c r="F422" s="25"/>
      <c r="G422" s="24"/>
      <c r="H422" s="9"/>
      <c r="I422" s="9"/>
      <c r="J422" s="26">
        <f>SUM(V414:V421)</f>
        <v>4.58</v>
      </c>
      <c r="K422" s="26"/>
    </row>
    <row r="423" spans="1:22" ht="14.25" x14ac:dyDescent="0.2">
      <c r="A423" s="21"/>
      <c r="B423" s="22"/>
      <c r="C423" s="22" t="s">
        <v>517</v>
      </c>
      <c r="D423" s="23" t="s">
        <v>518</v>
      </c>
      <c r="E423" s="9">
        <f>Source!AQ312</f>
        <v>12.15</v>
      </c>
      <c r="F423" s="25"/>
      <c r="G423" s="24" t="str">
        <f>Source!DI312</f>
        <v/>
      </c>
      <c r="H423" s="9">
        <f>Source!AV312</f>
        <v>1</v>
      </c>
      <c r="I423" s="9"/>
      <c r="J423" s="26"/>
      <c r="K423" s="26">
        <f>Source!U312</f>
        <v>14.58</v>
      </c>
    </row>
    <row r="424" spans="1:22" ht="15" x14ac:dyDescent="0.25">
      <c r="A424" s="30"/>
      <c r="B424" s="30"/>
      <c r="C424" s="30"/>
      <c r="D424" s="30"/>
      <c r="E424" s="30"/>
      <c r="F424" s="30"/>
      <c r="G424" s="30"/>
      <c r="H424" s="30"/>
      <c r="I424" s="51">
        <f>J416+J417+J419+J420+J421+J422</f>
        <v>20866.2</v>
      </c>
      <c r="J424" s="51"/>
      <c r="K424" s="31">
        <f>IF(Source!I312&lt;&gt;0, ROUND(I424/Source!I312, 2), 0)</f>
        <v>17388.5</v>
      </c>
      <c r="P424" s="29">
        <f>I424</f>
        <v>20866.2</v>
      </c>
    </row>
    <row r="425" spans="1:22" ht="42.75" x14ac:dyDescent="0.2">
      <c r="A425" s="21" t="str">
        <f>Source!E313</f>
        <v>46</v>
      </c>
      <c r="B425" s="22" t="str">
        <f>Source!F313</f>
        <v>2.1-3203-8-1/1</v>
      </c>
      <c r="C425" s="22" t="str">
        <f>Source!G313</f>
        <v>Установка дорожных знаков на металлических стойках (без стоимости щита дорожного знака)</v>
      </c>
      <c r="D425" s="23" t="str">
        <f>Source!H313</f>
        <v>100 шт.</v>
      </c>
      <c r="E425" s="9">
        <f>Source!I313</f>
        <v>0.12</v>
      </c>
      <c r="F425" s="25"/>
      <c r="G425" s="24"/>
      <c r="H425" s="9"/>
      <c r="I425" s="9"/>
      <c r="J425" s="26"/>
      <c r="K425" s="26"/>
      <c r="Q425">
        <f>ROUND((Source!BZ313/100)*ROUND((Source!AF313*Source!AV313)*Source!I313, 2), 2)</f>
        <v>5816.83</v>
      </c>
      <c r="R425">
        <f>Source!X313</f>
        <v>5816.83</v>
      </c>
      <c r="S425">
        <f>ROUND((Source!CA313/100)*ROUND((Source!AF313*Source!AV313)*Source!I313, 2), 2)</f>
        <v>830.98</v>
      </c>
      <c r="T425">
        <f>Source!Y313</f>
        <v>830.98</v>
      </c>
      <c r="U425">
        <f>ROUND((175/100)*ROUND((Source!AE313*Source!AV313)*Source!I313, 2), 2)</f>
        <v>1839.86</v>
      </c>
      <c r="V425">
        <f>ROUND((108/100)*ROUND(Source!CS313*Source!I313, 2), 2)</f>
        <v>1135.46</v>
      </c>
    </row>
    <row r="426" spans="1:22" x14ac:dyDescent="0.2">
      <c r="C426" s="27" t="str">
        <f>"Объем: "&amp;Source!I313&amp;"=2*"&amp;"6/"&amp;"100"</f>
        <v>Объем: 0,12=2*6/100</v>
      </c>
    </row>
    <row r="427" spans="1:22" ht="14.25" x14ac:dyDescent="0.2">
      <c r="A427" s="21"/>
      <c r="B427" s="22"/>
      <c r="C427" s="22" t="s">
        <v>510</v>
      </c>
      <c r="D427" s="23"/>
      <c r="E427" s="9"/>
      <c r="F427" s="25">
        <f>Source!AO313</f>
        <v>69247.89</v>
      </c>
      <c r="G427" s="24" t="str">
        <f>Source!DG313</f>
        <v/>
      </c>
      <c r="H427" s="9">
        <f>Source!AV313</f>
        <v>1</v>
      </c>
      <c r="I427" s="9">
        <f>IF(Source!BA313&lt;&gt; 0, Source!BA313, 1)</f>
        <v>1</v>
      </c>
      <c r="J427" s="26">
        <f>Source!S313</f>
        <v>8309.75</v>
      </c>
      <c r="K427" s="26"/>
    </row>
    <row r="428" spans="1:22" ht="14.25" x14ac:dyDescent="0.2">
      <c r="A428" s="21"/>
      <c r="B428" s="22"/>
      <c r="C428" s="22" t="s">
        <v>511</v>
      </c>
      <c r="D428" s="23"/>
      <c r="E428" s="9"/>
      <c r="F428" s="25">
        <f>Source!AM313</f>
        <v>17727.330000000002</v>
      </c>
      <c r="G428" s="24" t="str">
        <f>Source!DE313</f>
        <v/>
      </c>
      <c r="H428" s="9">
        <f>Source!AV313</f>
        <v>1</v>
      </c>
      <c r="I428" s="9">
        <f>IF(Source!BB313&lt;&gt; 0, Source!BB313, 1)</f>
        <v>1</v>
      </c>
      <c r="J428" s="26">
        <f>Source!Q313</f>
        <v>2127.2800000000002</v>
      </c>
      <c r="K428" s="26"/>
    </row>
    <row r="429" spans="1:22" ht="14.25" x14ac:dyDescent="0.2">
      <c r="A429" s="21"/>
      <c r="B429" s="22"/>
      <c r="C429" s="22" t="s">
        <v>512</v>
      </c>
      <c r="D429" s="23"/>
      <c r="E429" s="9"/>
      <c r="F429" s="25">
        <f>Source!AN313</f>
        <v>8761.2199999999993</v>
      </c>
      <c r="G429" s="24" t="str">
        <f>Source!DF313</f>
        <v/>
      </c>
      <c r="H429" s="9">
        <f>Source!AV313</f>
        <v>1</v>
      </c>
      <c r="I429" s="9">
        <f>IF(Source!BS313&lt;&gt; 0, Source!BS313, 1)</f>
        <v>1</v>
      </c>
      <c r="J429" s="28">
        <f>Source!R313</f>
        <v>1051.3499999999999</v>
      </c>
      <c r="K429" s="26"/>
    </row>
    <row r="430" spans="1:22" ht="14.25" x14ac:dyDescent="0.2">
      <c r="A430" s="21"/>
      <c r="B430" s="22"/>
      <c r="C430" s="22" t="s">
        <v>520</v>
      </c>
      <c r="D430" s="23"/>
      <c r="E430" s="9"/>
      <c r="F430" s="25">
        <f>Source!AL313</f>
        <v>185650.06</v>
      </c>
      <c r="G430" s="24" t="str">
        <f>Source!DD313</f>
        <v/>
      </c>
      <c r="H430" s="9">
        <f>Source!AW313</f>
        <v>1</v>
      </c>
      <c r="I430" s="9">
        <f>IF(Source!BC313&lt;&gt; 0, Source!BC313, 1)</f>
        <v>1</v>
      </c>
      <c r="J430" s="26">
        <f>Source!P313</f>
        <v>22278.01</v>
      </c>
      <c r="K430" s="26"/>
    </row>
    <row r="431" spans="1:22" ht="55.5" x14ac:dyDescent="0.2">
      <c r="A431" s="21" t="str">
        <f>Source!E314</f>
        <v>46,1</v>
      </c>
      <c r="B431" s="22" t="str">
        <f>Source!F314</f>
        <v>коммерч. предлож.</v>
      </c>
      <c r="C431" s="22" t="s">
        <v>527</v>
      </c>
      <c r="D431" s="23" t="str">
        <f>Source!H314</f>
        <v>шт.</v>
      </c>
      <c r="E431" s="9">
        <f>Source!I314</f>
        <v>12</v>
      </c>
      <c r="F431" s="25">
        <f>Source!AK314</f>
        <v>518.5</v>
      </c>
      <c r="G431" s="32" t="s">
        <v>521</v>
      </c>
      <c r="H431" s="9">
        <f>Source!AW314</f>
        <v>1</v>
      </c>
      <c r="I431" s="9">
        <f>IF(Source!BC314&lt;&gt; 0, Source!BC314, 1)</f>
        <v>1</v>
      </c>
      <c r="J431" s="26">
        <f>Source!O314</f>
        <v>6222</v>
      </c>
      <c r="K431" s="26"/>
      <c r="Q431">
        <f>ROUND((Source!BZ314/100)*ROUND((Source!AF314*Source!AV314)*Source!I314, 2), 2)</f>
        <v>0</v>
      </c>
      <c r="R431">
        <f>Source!X314</f>
        <v>0</v>
      </c>
      <c r="S431">
        <f>ROUND((Source!CA314/100)*ROUND((Source!AF314*Source!AV314)*Source!I314, 2), 2)</f>
        <v>0</v>
      </c>
      <c r="T431">
        <f>Source!Y314</f>
        <v>0</v>
      </c>
      <c r="U431">
        <f>ROUND((175/100)*ROUND((Source!AE314*Source!AV314)*Source!I314, 2), 2)</f>
        <v>0</v>
      </c>
      <c r="V431">
        <f>ROUND((108/100)*ROUND(Source!CS314*Source!I314, 2), 2)</f>
        <v>0</v>
      </c>
    </row>
    <row r="432" spans="1:22" ht="14.25" x14ac:dyDescent="0.2">
      <c r="A432" s="21"/>
      <c r="B432" s="22"/>
      <c r="C432" s="22" t="s">
        <v>513</v>
      </c>
      <c r="D432" s="23" t="s">
        <v>514</v>
      </c>
      <c r="E432" s="9">
        <f>Source!AT313</f>
        <v>70</v>
      </c>
      <c r="F432" s="25"/>
      <c r="G432" s="24"/>
      <c r="H432" s="9"/>
      <c r="I432" s="9"/>
      <c r="J432" s="26">
        <f>SUM(R425:R431)</f>
        <v>5816.83</v>
      </c>
      <c r="K432" s="26"/>
    </row>
    <row r="433" spans="1:32" ht="14.25" x14ac:dyDescent="0.2">
      <c r="A433" s="21"/>
      <c r="B433" s="22"/>
      <c r="C433" s="22" t="s">
        <v>515</v>
      </c>
      <c r="D433" s="23" t="s">
        <v>514</v>
      </c>
      <c r="E433" s="9">
        <f>Source!AU313</f>
        <v>10</v>
      </c>
      <c r="F433" s="25"/>
      <c r="G433" s="24"/>
      <c r="H433" s="9"/>
      <c r="I433" s="9"/>
      <c r="J433" s="26">
        <f>SUM(T425:T432)</f>
        <v>830.98</v>
      </c>
      <c r="K433" s="26"/>
    </row>
    <row r="434" spans="1:32" ht="14.25" x14ac:dyDescent="0.2">
      <c r="A434" s="21"/>
      <c r="B434" s="22"/>
      <c r="C434" s="22" t="s">
        <v>516</v>
      </c>
      <c r="D434" s="23" t="s">
        <v>514</v>
      </c>
      <c r="E434" s="9">
        <f>108</f>
        <v>108</v>
      </c>
      <c r="F434" s="25"/>
      <c r="G434" s="24"/>
      <c r="H434" s="9"/>
      <c r="I434" s="9"/>
      <c r="J434" s="26">
        <f>SUM(V425:V433)</f>
        <v>1135.46</v>
      </c>
      <c r="K434" s="26"/>
    </row>
    <row r="435" spans="1:32" ht="14.25" x14ac:dyDescent="0.2">
      <c r="A435" s="21"/>
      <c r="B435" s="22"/>
      <c r="C435" s="22" t="s">
        <v>517</v>
      </c>
      <c r="D435" s="23" t="s">
        <v>518</v>
      </c>
      <c r="E435" s="9">
        <f>Source!AQ313</f>
        <v>342.54</v>
      </c>
      <c r="F435" s="25"/>
      <c r="G435" s="24" t="str">
        <f>Source!DI313</f>
        <v/>
      </c>
      <c r="H435" s="9">
        <f>Source!AV313</f>
        <v>1</v>
      </c>
      <c r="I435" s="9"/>
      <c r="J435" s="26"/>
      <c r="K435" s="26">
        <f>Source!U313</f>
        <v>41.104800000000004</v>
      </c>
    </row>
    <row r="436" spans="1:32" ht="15" x14ac:dyDescent="0.25">
      <c r="A436" s="30"/>
      <c r="B436" s="30"/>
      <c r="C436" s="30"/>
      <c r="D436" s="30"/>
      <c r="E436" s="30"/>
      <c r="F436" s="30"/>
      <c r="G436" s="30"/>
      <c r="H436" s="30"/>
      <c r="I436" s="51">
        <f>J427+J428+J430+J432+J433+J434+SUM(J431:J431)</f>
        <v>46720.310000000005</v>
      </c>
      <c r="J436" s="51"/>
      <c r="K436" s="31">
        <f>IF(Source!I313&lt;&gt;0, ROUND(I436/Source!I313, 2), 0)</f>
        <v>389335.92</v>
      </c>
      <c r="P436" s="29">
        <f>I436</f>
        <v>46720.310000000005</v>
      </c>
    </row>
    <row r="438" spans="1:32" ht="15" x14ac:dyDescent="0.25">
      <c r="A438" s="54" t="str">
        <f>CONCATENATE("Итого по разделу: ",IF(Source!G316&lt;&gt;"Новый раздел", Source!G316, ""))</f>
        <v>Итого по разделу: Установка ИДН - 6 шт.</v>
      </c>
      <c r="B438" s="54"/>
      <c r="C438" s="54"/>
      <c r="D438" s="54"/>
      <c r="E438" s="54"/>
      <c r="F438" s="54"/>
      <c r="G438" s="54"/>
      <c r="H438" s="54"/>
      <c r="I438" s="52">
        <f>SUM(P402:P437)</f>
        <v>218743.96000000002</v>
      </c>
      <c r="J438" s="53"/>
      <c r="K438" s="33"/>
    </row>
    <row r="440" spans="1:32" ht="15" x14ac:dyDescent="0.25">
      <c r="A440" s="54" t="str">
        <f>CONCATENATE("Итого по локальной смете: ",IF(Source!G349&lt;&gt;"Новая локальная смета", Source!G349, ""))</f>
        <v>Итого по локальной смете: ул. Домодедовская д.22 корп.1</v>
      </c>
      <c r="B440" s="54"/>
      <c r="C440" s="54"/>
      <c r="D440" s="54"/>
      <c r="E440" s="54"/>
      <c r="F440" s="54"/>
      <c r="G440" s="54"/>
      <c r="H440" s="54"/>
      <c r="I440" s="52">
        <f>SUM(P33:P439)</f>
        <v>1898866.34</v>
      </c>
      <c r="J440" s="53"/>
      <c r="K440" s="33"/>
    </row>
    <row r="442" spans="1:32" ht="30" x14ac:dyDescent="0.25">
      <c r="A442" s="54" t="s">
        <v>571</v>
      </c>
      <c r="B442" s="54"/>
      <c r="C442" s="54"/>
      <c r="D442" s="54"/>
      <c r="E442" s="54"/>
      <c r="F442" s="54"/>
      <c r="G442" s="54"/>
      <c r="H442" s="54"/>
      <c r="I442" s="52">
        <f>SUM(P1:P441)</f>
        <v>1898866.34</v>
      </c>
      <c r="J442" s="53"/>
      <c r="K442" s="33"/>
      <c r="AF442" s="34" t="str">
        <f>CONCATENATE("Итого по смете: ",IF(Source!G382&lt;&gt;"Новый объект", Source!G382, ""))</f>
        <v>Итого по смете: Комплексное благоустройство территории жилой застройки района Орехово-Борисово Северное за счет средств стимулирования управ районов в 2021 году</v>
      </c>
    </row>
    <row r="443" spans="1:32" ht="14.25" x14ac:dyDescent="0.2">
      <c r="C443" s="47" t="str">
        <f>Source!H411</f>
        <v>Итого</v>
      </c>
      <c r="D443" s="47"/>
      <c r="E443" s="47"/>
      <c r="F443" s="47"/>
      <c r="G443" s="47"/>
      <c r="H443" s="47"/>
      <c r="I443" s="44">
        <f>IF(Source!F411=0, "", Source!F411)</f>
        <v>1898866.34</v>
      </c>
      <c r="J443" s="44"/>
    </row>
    <row r="444" spans="1:32" ht="14.25" x14ac:dyDescent="0.2">
      <c r="C444" s="47" t="str">
        <f>Source!H412</f>
        <v>НДС 20%</v>
      </c>
      <c r="D444" s="47"/>
      <c r="E444" s="47"/>
      <c r="F444" s="47"/>
      <c r="G444" s="47"/>
      <c r="H444" s="47"/>
      <c r="I444" s="44">
        <f>IF(Source!F412=0, "", Source!F412)</f>
        <v>379773.27</v>
      </c>
      <c r="J444" s="44"/>
    </row>
    <row r="445" spans="1:32" ht="14.25" x14ac:dyDescent="0.2">
      <c r="C445" s="47" t="str">
        <f>Source!H413</f>
        <v>Всего с НДС</v>
      </c>
      <c r="D445" s="47"/>
      <c r="E445" s="47"/>
      <c r="F445" s="47"/>
      <c r="G445" s="47"/>
      <c r="H445" s="47"/>
      <c r="I445" s="44">
        <f>IF(Source!F413=0, "", Source!F413)</f>
        <v>2278639.61</v>
      </c>
      <c r="J445" s="44"/>
    </row>
    <row r="448" spans="1:32" ht="14.25" x14ac:dyDescent="0.2">
      <c r="A448" s="56" t="s">
        <v>528</v>
      </c>
      <c r="B448" s="56"/>
      <c r="C448" s="35" t="str">
        <f>IF(Source!AC12&lt;&gt;"", Source!AC12," ")</f>
        <v>инженер-сметчик</v>
      </c>
      <c r="D448" s="35"/>
      <c r="E448" s="35"/>
      <c r="F448" s="35"/>
      <c r="G448" s="35"/>
      <c r="H448" s="10" t="str">
        <f>IF(Source!AB12&lt;&gt;"", Source!AB12," ")</f>
        <v>Туманова Г.Н.</v>
      </c>
      <c r="I448" s="10"/>
      <c r="J448" s="10"/>
      <c r="K448" s="10"/>
    </row>
    <row r="449" spans="1:11" ht="14.25" x14ac:dyDescent="0.2">
      <c r="A449" s="10"/>
      <c r="B449" s="10"/>
      <c r="C449" s="57" t="s">
        <v>529</v>
      </c>
      <c r="D449" s="57"/>
      <c r="E449" s="57"/>
      <c r="F449" s="57"/>
      <c r="G449" s="57"/>
      <c r="H449" s="10"/>
      <c r="I449" s="10"/>
      <c r="J449" s="10"/>
      <c r="K449" s="10"/>
    </row>
    <row r="450" spans="1:11" ht="14.2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</row>
    <row r="451" spans="1:11" ht="14.25" x14ac:dyDescent="0.2">
      <c r="A451" s="56" t="s">
        <v>530</v>
      </c>
      <c r="B451" s="56"/>
      <c r="C451" s="35" t="str">
        <f>IF(Source!AE12&lt;&gt;"", Source!AE12," ")</f>
        <v>начальник отдела благоустройства</v>
      </c>
      <c r="D451" s="35"/>
      <c r="E451" s="35"/>
      <c r="F451" s="35"/>
      <c r="G451" s="35"/>
      <c r="H451" s="10" t="str">
        <f>IF(Source!AD12&lt;&gt;"", Source!AD12," ")</f>
        <v>Пекова Е.С.</v>
      </c>
      <c r="I451" s="10"/>
      <c r="J451" s="10"/>
      <c r="K451" s="10"/>
    </row>
    <row r="452" spans="1:11" ht="14.25" x14ac:dyDescent="0.2">
      <c r="A452" s="10"/>
      <c r="B452" s="10"/>
      <c r="C452" s="57" t="s">
        <v>529</v>
      </c>
      <c r="D452" s="57"/>
      <c r="E452" s="57"/>
      <c r="F452" s="57"/>
      <c r="G452" s="57"/>
      <c r="H452" s="10"/>
      <c r="I452" s="10"/>
      <c r="J452" s="10"/>
      <c r="K452" s="10"/>
    </row>
  </sheetData>
  <mergeCells count="120">
    <mergeCell ref="G2:K2"/>
    <mergeCell ref="C445:H445"/>
    <mergeCell ref="I445:J445"/>
    <mergeCell ref="A448:B448"/>
    <mergeCell ref="C449:G449"/>
    <mergeCell ref="A451:B451"/>
    <mergeCell ref="C452:G452"/>
    <mergeCell ref="I442:J442"/>
    <mergeCell ref="A442:H442"/>
    <mergeCell ref="C443:H443"/>
    <mergeCell ref="I443:J443"/>
    <mergeCell ref="C444:H444"/>
    <mergeCell ref="I444:J444"/>
    <mergeCell ref="I424:J424"/>
    <mergeCell ref="I436:J436"/>
    <mergeCell ref="I438:J438"/>
    <mergeCell ref="A438:H438"/>
    <mergeCell ref="I440:J440"/>
    <mergeCell ref="A440:H440"/>
    <mergeCell ref="I387:J387"/>
    <mergeCell ref="I398:J398"/>
    <mergeCell ref="I400:J400"/>
    <mergeCell ref="A400:H400"/>
    <mergeCell ref="A402:K402"/>
    <mergeCell ref="I413:J413"/>
    <mergeCell ref="I355:J355"/>
    <mergeCell ref="I366:J366"/>
    <mergeCell ref="I368:J368"/>
    <mergeCell ref="A368:H368"/>
    <mergeCell ref="A370:K370"/>
    <mergeCell ref="I379:J379"/>
    <mergeCell ref="I320:J320"/>
    <mergeCell ref="I332:J332"/>
    <mergeCell ref="I334:J334"/>
    <mergeCell ref="A334:H334"/>
    <mergeCell ref="A336:K336"/>
    <mergeCell ref="I347:J347"/>
    <mergeCell ref="I277:J277"/>
    <mergeCell ref="I282:J282"/>
    <mergeCell ref="I286:J286"/>
    <mergeCell ref="I289:J289"/>
    <mergeCell ref="I300:J300"/>
    <mergeCell ref="I311:J311"/>
    <mergeCell ref="I248:J248"/>
    <mergeCell ref="I259:J259"/>
    <mergeCell ref="I261:J261"/>
    <mergeCell ref="A261:H261"/>
    <mergeCell ref="A263:K263"/>
    <mergeCell ref="I270:J270"/>
    <mergeCell ref="I205:J205"/>
    <mergeCell ref="I210:J210"/>
    <mergeCell ref="I214:J214"/>
    <mergeCell ref="I217:J217"/>
    <mergeCell ref="I228:J228"/>
    <mergeCell ref="I239:J239"/>
    <mergeCell ref="I183:J183"/>
    <mergeCell ref="I187:J187"/>
    <mergeCell ref="I189:J189"/>
    <mergeCell ref="A189:H189"/>
    <mergeCell ref="A191:K191"/>
    <mergeCell ref="I198:J198"/>
    <mergeCell ref="A142:K142"/>
    <mergeCell ref="I152:J152"/>
    <mergeCell ref="I162:J162"/>
    <mergeCell ref="I168:J168"/>
    <mergeCell ref="I175:J175"/>
    <mergeCell ref="I179:J179"/>
    <mergeCell ref="I106:J106"/>
    <mergeCell ref="I118:J118"/>
    <mergeCell ref="I129:J129"/>
    <mergeCell ref="I138:J138"/>
    <mergeCell ref="I140:J140"/>
    <mergeCell ref="A140:H140"/>
    <mergeCell ref="I59:J59"/>
    <mergeCell ref="I64:J64"/>
    <mergeCell ref="I68:J68"/>
    <mergeCell ref="I71:J71"/>
    <mergeCell ref="I82:J82"/>
    <mergeCell ref="I93:J93"/>
    <mergeCell ref="I28:I30"/>
    <mergeCell ref="J28:J30"/>
    <mergeCell ref="A33:K33"/>
    <mergeCell ref="A35:K35"/>
    <mergeCell ref="I45:J45"/>
    <mergeCell ref="I52:J52"/>
    <mergeCell ref="F26:H26"/>
    <mergeCell ref="I26:J26"/>
    <mergeCell ref="A28:A30"/>
    <mergeCell ref="B28:B30"/>
    <mergeCell ref="C28:C30"/>
    <mergeCell ref="D28:D30"/>
    <mergeCell ref="E28:E30"/>
    <mergeCell ref="F28:F30"/>
    <mergeCell ref="G28:G30"/>
    <mergeCell ref="H28:H30"/>
    <mergeCell ref="F23:H23"/>
    <mergeCell ref="I23:J23"/>
    <mergeCell ref="F24:H24"/>
    <mergeCell ref="I24:J24"/>
    <mergeCell ref="F25:H25"/>
    <mergeCell ref="I25:J25"/>
    <mergeCell ref="A16:K16"/>
    <mergeCell ref="A17:K17"/>
    <mergeCell ref="A19:K19"/>
    <mergeCell ref="F21:H21"/>
    <mergeCell ref="I21:J21"/>
    <mergeCell ref="F22:H22"/>
    <mergeCell ref="I22:J22"/>
    <mergeCell ref="B8:E8"/>
    <mergeCell ref="G8:K8"/>
    <mergeCell ref="J3:K3"/>
    <mergeCell ref="A11:K11"/>
    <mergeCell ref="A12:K12"/>
    <mergeCell ref="A14:K14"/>
    <mergeCell ref="B4:E4"/>
    <mergeCell ref="G4:K4"/>
    <mergeCell ref="B5:E5"/>
    <mergeCell ref="G5:K5"/>
    <mergeCell ref="B7:E7"/>
    <mergeCell ref="G7:K7"/>
  </mergeCells>
  <pageMargins left="0.4" right="0.2" top="0.2" bottom="0.4" header="0.2" footer="0.2"/>
  <pageSetup paperSize="9" scale="60" fitToHeight="0" orientation="portrait" r:id="rId1"/>
  <headerFooter>
    <oddHeader>&amp;L&amp;8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9"/>
  <sheetViews>
    <sheetView workbookViewId="0"/>
  </sheetViews>
  <sheetFormatPr defaultRowHeight="12.75" x14ac:dyDescent="0.2"/>
  <sheetData>
    <row r="1" spans="1:24" x14ac:dyDescent="0.2">
      <c r="A1" t="s">
        <v>555</v>
      </c>
      <c r="B1" t="s">
        <v>556</v>
      </c>
      <c r="C1" t="s">
        <v>557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564</v>
      </c>
      <c r="K1" t="s">
        <v>565</v>
      </c>
      <c r="L1" t="s">
        <v>566</v>
      </c>
    </row>
    <row r="2" spans="1:24" x14ac:dyDescent="0.2">
      <c r="A2">
        <v>1</v>
      </c>
      <c r="B2">
        <v>0</v>
      </c>
      <c r="C2">
        <v>0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49707740</v>
      </c>
    </row>
    <row r="4" spans="1:24" x14ac:dyDescent="0.2">
      <c r="A4" t="s">
        <v>531</v>
      </c>
      <c r="B4" t="s">
        <v>532</v>
      </c>
      <c r="C4" t="s">
        <v>533</v>
      </c>
      <c r="D4" t="s">
        <v>534</v>
      </c>
      <c r="E4" t="s">
        <v>535</v>
      </c>
      <c r="F4" t="s">
        <v>536</v>
      </c>
      <c r="G4" t="s">
        <v>537</v>
      </c>
      <c r="H4" t="s">
        <v>538</v>
      </c>
      <c r="I4" t="s">
        <v>539</v>
      </c>
      <c r="J4" t="s">
        <v>540</v>
      </c>
      <c r="K4" t="s">
        <v>541</v>
      </c>
      <c r="L4" t="s">
        <v>542</v>
      </c>
      <c r="M4" t="s">
        <v>543</v>
      </c>
      <c r="N4" t="s">
        <v>544</v>
      </c>
      <c r="O4" t="s">
        <v>545</v>
      </c>
      <c r="P4" t="s">
        <v>546</v>
      </c>
      <c r="Q4" t="s">
        <v>547</v>
      </c>
      <c r="R4" t="s">
        <v>548</v>
      </c>
      <c r="S4" t="s">
        <v>549</v>
      </c>
      <c r="T4" t="s">
        <v>550</v>
      </c>
      <c r="U4" t="s">
        <v>551</v>
      </c>
      <c r="V4" t="s">
        <v>552</v>
      </c>
      <c r="W4" t="s">
        <v>553</v>
      </c>
      <c r="X4" t="s">
        <v>554</v>
      </c>
    </row>
    <row r="6" spans="1:24" x14ac:dyDescent="0.2">
      <c r="A6">
        <f>Source!A20</f>
        <v>3</v>
      </c>
      <c r="B6">
        <v>20</v>
      </c>
      <c r="G6" t="str">
        <f>Source!G20</f>
        <v>ул. Домодедовская д.22 корп.1</v>
      </c>
    </row>
    <row r="7" spans="1:24" x14ac:dyDescent="0.2">
      <c r="A7">
        <f>Source!A24</f>
        <v>4</v>
      </c>
      <c r="B7">
        <v>24</v>
      </c>
      <c r="G7" t="str">
        <f>Source!G24</f>
        <v>Ремонт спортивной площадки с заменой песчаного покрытия на синтетическое 260 м2 (резина)</v>
      </c>
    </row>
    <row r="8" spans="1:24" x14ac:dyDescent="0.2">
      <c r="A8">
        <f>Source!A33</f>
        <v>17</v>
      </c>
      <c r="B8">
        <v>33</v>
      </c>
      <c r="C8">
        <v>3</v>
      </c>
      <c r="D8">
        <f>Source!BI33</f>
        <v>1</v>
      </c>
      <c r="E8">
        <f>Source!FS33</f>
        <v>0</v>
      </c>
      <c r="F8" t="str">
        <f>Source!F33</f>
        <v>коммерч. предлож.</v>
      </c>
      <c r="G8" t="str">
        <f>Source!G33</f>
        <v>Утилизация незамусоренного грунта</v>
      </c>
      <c r="H8" t="str">
        <f>Source!H33</f>
        <v>т</v>
      </c>
      <c r="I8">
        <f>Source!I33</f>
        <v>91</v>
      </c>
      <c r="J8">
        <v>1</v>
      </c>
      <c r="K8">
        <f>Source!AC33</f>
        <v>100.3</v>
      </c>
      <c r="M8">
        <f>ROUND(K8*I8, 2)</f>
        <v>9127.2999999999993</v>
      </c>
      <c r="N8">
        <f>Source!AC33*IF(Source!BC33&lt;&gt; 0, Source!BC33, 1)</f>
        <v>100.3</v>
      </c>
      <c r="O8">
        <f>ROUND(N8*I8, 2)</f>
        <v>9127.2999999999993</v>
      </c>
      <c r="P8">
        <f>Source!AE33</f>
        <v>0</v>
      </c>
      <c r="R8">
        <f>ROUND(P8*I8, 2)</f>
        <v>0</v>
      </c>
      <c r="S8">
        <f>Source!AE33*IF(Source!BS33&lt;&gt; 0, Source!BS33, 1)</f>
        <v>0</v>
      </c>
      <c r="T8">
        <f>ROUND(S8*I8, 2)</f>
        <v>0</v>
      </c>
      <c r="U8">
        <f>Source!GF33</f>
        <v>-1632517758</v>
      </c>
      <c r="V8">
        <v>-2107414830</v>
      </c>
      <c r="W8">
        <v>-2107414830</v>
      </c>
      <c r="X8">
        <v>3</v>
      </c>
    </row>
    <row r="9" spans="1:24" x14ac:dyDescent="0.2">
      <c r="A9">
        <v>20</v>
      </c>
      <c r="B9">
        <v>16</v>
      </c>
      <c r="C9">
        <v>3</v>
      </c>
      <c r="D9">
        <v>0</v>
      </c>
      <c r="E9">
        <f>SmtRes!AV16</f>
        <v>0</v>
      </c>
      <c r="F9" t="str">
        <f>SmtRes!I16</f>
        <v>21.1-25-13</v>
      </c>
      <c r="G9" t="str">
        <f>SmtRes!K16</f>
        <v>Вода</v>
      </c>
      <c r="H9" t="str">
        <f>SmtRes!O16</f>
        <v>м3</v>
      </c>
      <c r="I9">
        <f>SmtRes!Y16*Source!I34</f>
        <v>1.3</v>
      </c>
      <c r="J9">
        <f>SmtRes!AO16</f>
        <v>1</v>
      </c>
      <c r="K9">
        <f>SmtRes!AE16</f>
        <v>35.25</v>
      </c>
      <c r="L9">
        <f>SmtRes!DB16</f>
        <v>176.25</v>
      </c>
      <c r="M9">
        <f>ROUND(ROUND(L9*Source!I34, 6)*1, 2)</f>
        <v>45.83</v>
      </c>
      <c r="N9">
        <f>SmtRes!AA16</f>
        <v>35.25</v>
      </c>
      <c r="O9">
        <f>ROUND(ROUND(L9*Source!I34, 6)*SmtRes!DA16, 2)</f>
        <v>45.83</v>
      </c>
      <c r="P9">
        <f>SmtRes!AG16</f>
        <v>0</v>
      </c>
      <c r="Q9">
        <f>SmtRes!DC16</f>
        <v>0</v>
      </c>
      <c r="R9">
        <f>ROUND(ROUND(Q9*Source!I34, 6)*1, 2)</f>
        <v>0</v>
      </c>
      <c r="S9">
        <f>SmtRes!AC16</f>
        <v>0</v>
      </c>
      <c r="T9">
        <f>ROUND(ROUND(Q9*Source!I34, 6)*SmtRes!AK16, 2)</f>
        <v>0</v>
      </c>
      <c r="U9">
        <f>SmtRes!X16</f>
        <v>2028445372</v>
      </c>
      <c r="V9">
        <v>1411454429</v>
      </c>
      <c r="W9">
        <v>1411454429</v>
      </c>
      <c r="X9">
        <v>3</v>
      </c>
    </row>
    <row r="10" spans="1:24" x14ac:dyDescent="0.2">
      <c r="A10">
        <v>20</v>
      </c>
      <c r="B10">
        <v>15</v>
      </c>
      <c r="C10">
        <v>3</v>
      </c>
      <c r="D10">
        <v>0</v>
      </c>
      <c r="E10">
        <f>SmtRes!AV15</f>
        <v>0</v>
      </c>
      <c r="F10" t="str">
        <f>SmtRes!I15</f>
        <v>21.1-12-10</v>
      </c>
      <c r="G10" t="str">
        <f>SmtRes!K15</f>
        <v>Песок для дорожных работ, рядовой</v>
      </c>
      <c r="H10" t="str">
        <f>SmtRes!O15</f>
        <v>м3</v>
      </c>
      <c r="I10">
        <f>SmtRes!Y15*Source!I34</f>
        <v>28.6</v>
      </c>
      <c r="J10">
        <f>SmtRes!AO15</f>
        <v>1</v>
      </c>
      <c r="K10">
        <f>SmtRes!AE15</f>
        <v>590.78</v>
      </c>
      <c r="L10">
        <f>SmtRes!DB15</f>
        <v>64985.8</v>
      </c>
      <c r="M10">
        <f>ROUND(ROUND(L10*Source!I34, 6)*1, 2)</f>
        <v>16896.310000000001</v>
      </c>
      <c r="N10">
        <f>SmtRes!AA15</f>
        <v>590.78</v>
      </c>
      <c r="O10">
        <f>ROUND(ROUND(L10*Source!I34, 6)*SmtRes!DA15, 2)</f>
        <v>16896.310000000001</v>
      </c>
      <c r="P10">
        <f>SmtRes!AG15</f>
        <v>0</v>
      </c>
      <c r="Q10">
        <f>SmtRes!DC15</f>
        <v>0</v>
      </c>
      <c r="R10">
        <f>ROUND(ROUND(Q10*Source!I34, 6)*1, 2)</f>
        <v>0</v>
      </c>
      <c r="S10">
        <f>SmtRes!AC15</f>
        <v>0</v>
      </c>
      <c r="T10">
        <f>ROUND(ROUND(Q10*Source!I34, 6)*SmtRes!AK15, 2)</f>
        <v>0</v>
      </c>
      <c r="U10">
        <f>SmtRes!X15</f>
        <v>-840107338</v>
      </c>
      <c r="V10">
        <v>1585412624</v>
      </c>
      <c r="W10">
        <v>1585412624</v>
      </c>
      <c r="X10">
        <v>3</v>
      </c>
    </row>
    <row r="11" spans="1:24" x14ac:dyDescent="0.2">
      <c r="A11">
        <v>20</v>
      </c>
      <c r="B11">
        <v>25</v>
      </c>
      <c r="C11">
        <v>3</v>
      </c>
      <c r="D11">
        <v>0</v>
      </c>
      <c r="E11">
        <f>SmtRes!AV25</f>
        <v>0</v>
      </c>
      <c r="F11" t="str">
        <f>SmtRes!I25</f>
        <v>21.1-25-13</v>
      </c>
      <c r="G11" t="str">
        <f>SmtRes!K25</f>
        <v>Вода</v>
      </c>
      <c r="H11" t="str">
        <f>SmtRes!O25</f>
        <v>м3</v>
      </c>
      <c r="I11">
        <f>SmtRes!Y25*Source!I35</f>
        <v>2.73</v>
      </c>
      <c r="J11">
        <f>SmtRes!AO25</f>
        <v>1</v>
      </c>
      <c r="K11">
        <f>SmtRes!AE25</f>
        <v>35.25</v>
      </c>
      <c r="L11">
        <f>SmtRes!DB25</f>
        <v>246.75</v>
      </c>
      <c r="M11">
        <f>ROUND(ROUND(L11*Source!I35, 6)*1, 2)</f>
        <v>96.23</v>
      </c>
      <c r="N11">
        <f>SmtRes!AA25</f>
        <v>35.25</v>
      </c>
      <c r="O11">
        <f>ROUND(ROUND(L11*Source!I35, 6)*SmtRes!DA25, 2)</f>
        <v>96.23</v>
      </c>
      <c r="P11">
        <f>SmtRes!AG25</f>
        <v>0</v>
      </c>
      <c r="Q11">
        <f>SmtRes!DC25</f>
        <v>0</v>
      </c>
      <c r="R11">
        <f>ROUND(ROUND(Q11*Source!I35, 6)*1, 2)</f>
        <v>0</v>
      </c>
      <c r="S11">
        <f>SmtRes!AC25</f>
        <v>0</v>
      </c>
      <c r="T11">
        <f>ROUND(ROUND(Q11*Source!I35, 6)*SmtRes!AK25, 2)</f>
        <v>0</v>
      </c>
      <c r="U11">
        <f>SmtRes!X25</f>
        <v>2028445372</v>
      </c>
      <c r="V11">
        <v>1411454429</v>
      </c>
      <c r="W11">
        <v>1411454429</v>
      </c>
      <c r="X11">
        <v>3</v>
      </c>
    </row>
    <row r="12" spans="1:24" x14ac:dyDescent="0.2">
      <c r="A12">
        <v>20</v>
      </c>
      <c r="B12">
        <v>24</v>
      </c>
      <c r="C12">
        <v>3</v>
      </c>
      <c r="D12">
        <v>0</v>
      </c>
      <c r="E12">
        <f>SmtRes!AV24</f>
        <v>0</v>
      </c>
      <c r="F12" t="str">
        <f>SmtRes!I24</f>
        <v>21.1-12-36</v>
      </c>
      <c r="G12" t="str">
        <f>SmtRes!K24</f>
        <v>Щебень из естественного камня для строительных работ, марка 1200-800, фракция 20-40 мм</v>
      </c>
      <c r="H12" t="str">
        <f>SmtRes!O24</f>
        <v>м3</v>
      </c>
      <c r="I12">
        <f>SmtRes!Y24*Source!I35</f>
        <v>49.14</v>
      </c>
      <c r="J12">
        <f>SmtRes!AO24</f>
        <v>1</v>
      </c>
      <c r="K12">
        <f>SmtRes!AE24</f>
        <v>1763.75</v>
      </c>
      <c r="L12">
        <f>SmtRes!DB24</f>
        <v>222232.5</v>
      </c>
      <c r="M12">
        <f>ROUND(ROUND(L12*Source!I35, 6)*1, 2)</f>
        <v>86670.68</v>
      </c>
      <c r="N12">
        <f>SmtRes!AA24</f>
        <v>1763.75</v>
      </c>
      <c r="O12">
        <f>ROUND(ROUND(L12*Source!I35, 6)*SmtRes!DA24, 2)</f>
        <v>86670.68</v>
      </c>
      <c r="P12">
        <f>SmtRes!AG24</f>
        <v>0</v>
      </c>
      <c r="Q12">
        <f>SmtRes!DC24</f>
        <v>0</v>
      </c>
      <c r="R12">
        <f>ROUND(ROUND(Q12*Source!I35, 6)*1, 2)</f>
        <v>0</v>
      </c>
      <c r="S12">
        <f>SmtRes!AC24</f>
        <v>0</v>
      </c>
      <c r="T12">
        <f>ROUND(ROUND(Q12*Source!I35, 6)*SmtRes!AK24, 2)</f>
        <v>0</v>
      </c>
      <c r="U12">
        <f>SmtRes!X24</f>
        <v>811973350</v>
      </c>
      <c r="V12">
        <v>-100050385</v>
      </c>
      <c r="W12">
        <v>-100050385</v>
      </c>
      <c r="X12">
        <v>3</v>
      </c>
    </row>
    <row r="13" spans="1:24" x14ac:dyDescent="0.2">
      <c r="A13">
        <f>Source!A38</f>
        <v>18</v>
      </c>
      <c r="B13">
        <v>38</v>
      </c>
      <c r="C13">
        <v>3</v>
      </c>
      <c r="D13">
        <f>Source!BI38</f>
        <v>4</v>
      </c>
      <c r="E13">
        <f>Source!FS38</f>
        <v>0</v>
      </c>
      <c r="F13" t="str">
        <f>Source!F38</f>
        <v>21.3-3-19</v>
      </c>
      <c r="G13" t="str">
        <f>Source!G38</f>
        <v>Смеси асфальтобетонные дорожные горячие мелкозернистые, марка II, тип В</v>
      </c>
      <c r="H13" t="str">
        <f>Source!H38</f>
        <v>т</v>
      </c>
      <c r="I13">
        <f>Source!I38</f>
        <v>25.116</v>
      </c>
      <c r="J13">
        <v>1</v>
      </c>
      <c r="K13">
        <f>Source!AC38</f>
        <v>2562.79</v>
      </c>
      <c r="M13">
        <f>ROUND(K13*I13, 2)</f>
        <v>64367.03</v>
      </c>
      <c r="N13">
        <f>Source!AC38*IF(Source!BC38&lt;&gt; 0, Source!BC38, 1)</f>
        <v>2562.79</v>
      </c>
      <c r="O13">
        <f>ROUND(N13*I13, 2)</f>
        <v>64367.03</v>
      </c>
      <c r="P13">
        <f>Source!AE38</f>
        <v>0</v>
      </c>
      <c r="R13">
        <f>ROUND(P13*I13, 2)</f>
        <v>0</v>
      </c>
      <c r="S13">
        <f>Source!AE38*IF(Source!BS38&lt;&gt; 0, Source!BS38, 1)</f>
        <v>0</v>
      </c>
      <c r="T13">
        <f>ROUND(S13*I13, 2)</f>
        <v>0</v>
      </c>
      <c r="U13">
        <f>Source!GF38</f>
        <v>1103439754</v>
      </c>
      <c r="V13">
        <v>1846978656</v>
      </c>
      <c r="W13">
        <v>1846978656</v>
      </c>
      <c r="X13">
        <v>3</v>
      </c>
    </row>
    <row r="14" spans="1:24" x14ac:dyDescent="0.2">
      <c r="A14">
        <v>20</v>
      </c>
      <c r="B14">
        <v>39</v>
      </c>
      <c r="C14">
        <v>3</v>
      </c>
      <c r="D14">
        <v>0</v>
      </c>
      <c r="E14">
        <f>SmtRes!AV39</f>
        <v>0</v>
      </c>
      <c r="F14" t="str">
        <f>SmtRes!I39</f>
        <v>21.1-25-776</v>
      </c>
      <c r="G14" t="str">
        <f>SmtRes!K39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4" t="str">
        <f>SmtRes!O39</f>
        <v>кг</v>
      </c>
      <c r="I14">
        <f>SmtRes!Y39*Source!I39</f>
        <v>627.9</v>
      </c>
      <c r="J14">
        <f>SmtRes!AO39</f>
        <v>1</v>
      </c>
      <c r="K14">
        <f>SmtRes!AE39</f>
        <v>202.34</v>
      </c>
      <c r="L14">
        <f>SmtRes!DB39</f>
        <v>48865.11</v>
      </c>
      <c r="M14">
        <f>ROUND(ROUND(L14*Source!I39, 6)*1, 2)</f>
        <v>127049.29</v>
      </c>
      <c r="N14">
        <f>SmtRes!AA39</f>
        <v>202.34</v>
      </c>
      <c r="O14">
        <f>ROUND(ROUND(L14*Source!I39, 6)*SmtRes!DA39, 2)</f>
        <v>127049.29</v>
      </c>
      <c r="P14">
        <f>SmtRes!AG39</f>
        <v>0</v>
      </c>
      <c r="Q14">
        <f>SmtRes!DC39</f>
        <v>0</v>
      </c>
      <c r="R14">
        <f>ROUND(ROUND(Q14*Source!I39, 6)*1, 2)</f>
        <v>0</v>
      </c>
      <c r="S14">
        <f>SmtRes!AC39</f>
        <v>0</v>
      </c>
      <c r="T14">
        <f>ROUND(ROUND(Q14*Source!I39, 6)*SmtRes!AK39, 2)</f>
        <v>0</v>
      </c>
      <c r="U14">
        <f>SmtRes!X39</f>
        <v>1434584530</v>
      </c>
      <c r="V14">
        <v>2130616076</v>
      </c>
      <c r="W14">
        <v>2130616076</v>
      </c>
      <c r="X14">
        <v>3</v>
      </c>
    </row>
    <row r="15" spans="1:24" x14ac:dyDescent="0.2">
      <c r="A15">
        <v>20</v>
      </c>
      <c r="B15">
        <v>38</v>
      </c>
      <c r="C15">
        <v>3</v>
      </c>
      <c r="D15">
        <v>0</v>
      </c>
      <c r="E15">
        <f>SmtRes!AV38</f>
        <v>0</v>
      </c>
      <c r="F15" t="str">
        <f>SmtRes!I38</f>
        <v>21.1-25-769</v>
      </c>
      <c r="G15" t="str">
        <f>SmtRes!K38</f>
        <v>Крошка резиновая гранулированная, фракция 2-3 мм</v>
      </c>
      <c r="H15" t="str">
        <f>SmtRes!O38</f>
        <v>кг</v>
      </c>
      <c r="I15">
        <f>SmtRes!Y38*Source!I39</f>
        <v>1911</v>
      </c>
      <c r="J15">
        <f>SmtRes!AO38</f>
        <v>1</v>
      </c>
      <c r="K15">
        <f>SmtRes!AE38</f>
        <v>17.77</v>
      </c>
      <c r="L15">
        <f>SmtRes!DB38</f>
        <v>13060.95</v>
      </c>
      <c r="M15">
        <f>ROUND(ROUND(L15*Source!I39, 6)*1, 2)</f>
        <v>33958.47</v>
      </c>
      <c r="N15">
        <f>SmtRes!AA38</f>
        <v>17.77</v>
      </c>
      <c r="O15">
        <f>ROUND(ROUND(L15*Source!I39, 6)*SmtRes!DA38, 2)</f>
        <v>33958.47</v>
      </c>
      <c r="P15">
        <f>SmtRes!AG38</f>
        <v>0</v>
      </c>
      <c r="Q15">
        <f>SmtRes!DC38</f>
        <v>0</v>
      </c>
      <c r="R15">
        <f>ROUND(ROUND(Q15*Source!I39, 6)*1, 2)</f>
        <v>0</v>
      </c>
      <c r="S15">
        <f>SmtRes!AC38</f>
        <v>0</v>
      </c>
      <c r="T15">
        <f>ROUND(ROUND(Q15*Source!I39, 6)*SmtRes!AK38, 2)</f>
        <v>0</v>
      </c>
      <c r="U15">
        <f>SmtRes!X38</f>
        <v>-78256104</v>
      </c>
      <c r="V15">
        <v>-735317913</v>
      </c>
      <c r="W15">
        <v>-735317913</v>
      </c>
      <c r="X15">
        <v>3</v>
      </c>
    </row>
    <row r="16" spans="1:24" x14ac:dyDescent="0.2">
      <c r="A16">
        <v>20</v>
      </c>
      <c r="B16">
        <v>37</v>
      </c>
      <c r="C16">
        <v>3</v>
      </c>
      <c r="D16">
        <v>0</v>
      </c>
      <c r="E16">
        <f>SmtRes!AV37</f>
        <v>0</v>
      </c>
      <c r="F16" t="str">
        <f>SmtRes!I37</f>
        <v>21.1-25-343</v>
      </c>
      <c r="G16" t="str">
        <f>SmtRes!K37</f>
        <v>Скипидар живичный</v>
      </c>
      <c r="H16" t="str">
        <f>SmtRes!O37</f>
        <v>т</v>
      </c>
      <c r="I16">
        <f>SmtRes!Y37*Source!I39</f>
        <v>8.1900000000000011E-3</v>
      </c>
      <c r="J16">
        <f>SmtRes!AO37</f>
        <v>1</v>
      </c>
      <c r="K16">
        <f>SmtRes!AE37</f>
        <v>343020.03</v>
      </c>
      <c r="L16">
        <f>SmtRes!DB37</f>
        <v>1080.51</v>
      </c>
      <c r="M16">
        <f>ROUND(ROUND(L16*Source!I39, 6)*1, 2)</f>
        <v>2809.33</v>
      </c>
      <c r="N16">
        <f>SmtRes!AA37</f>
        <v>343020.03</v>
      </c>
      <c r="O16">
        <f>ROUND(ROUND(L16*Source!I39, 6)*SmtRes!DA37, 2)</f>
        <v>2809.33</v>
      </c>
      <c r="P16">
        <f>SmtRes!AG37</f>
        <v>0</v>
      </c>
      <c r="Q16">
        <f>SmtRes!DC37</f>
        <v>0</v>
      </c>
      <c r="R16">
        <f>ROUND(ROUND(Q16*Source!I39, 6)*1, 2)</f>
        <v>0</v>
      </c>
      <c r="S16">
        <f>SmtRes!AC37</f>
        <v>0</v>
      </c>
      <c r="T16">
        <f>ROUND(ROUND(Q16*Source!I39, 6)*SmtRes!AK37, 2)</f>
        <v>0</v>
      </c>
      <c r="U16">
        <f>SmtRes!X37</f>
        <v>2135985724</v>
      </c>
      <c r="V16">
        <v>-588394673</v>
      </c>
      <c r="W16">
        <v>-588394673</v>
      </c>
      <c r="X16">
        <v>3</v>
      </c>
    </row>
    <row r="17" spans="1:24" x14ac:dyDescent="0.2">
      <c r="A17">
        <v>20</v>
      </c>
      <c r="B17">
        <v>36</v>
      </c>
      <c r="C17">
        <v>3</v>
      </c>
      <c r="D17">
        <v>0</v>
      </c>
      <c r="E17">
        <f>SmtRes!AV36</f>
        <v>0</v>
      </c>
      <c r="F17" t="str">
        <f>SmtRes!I36</f>
        <v>21.1-25-255</v>
      </c>
      <c r="G17" t="str">
        <f>SmtRes!K36</f>
        <v>Пленка полиэтиленовая, толщина 0,12 - 0,15 мм</v>
      </c>
      <c r="H17" t="str">
        <f>SmtRes!O36</f>
        <v>м2</v>
      </c>
      <c r="I17">
        <f>SmtRes!Y36*Source!I39</f>
        <v>14.559999999999999</v>
      </c>
      <c r="J17">
        <f>SmtRes!AO36</f>
        <v>1</v>
      </c>
      <c r="K17">
        <f>SmtRes!AE36</f>
        <v>12.02</v>
      </c>
      <c r="L17">
        <f>SmtRes!DB36</f>
        <v>67.31</v>
      </c>
      <c r="M17">
        <f>ROUND(ROUND(L17*Source!I39, 6)*1, 2)</f>
        <v>175.01</v>
      </c>
      <c r="N17">
        <f>SmtRes!AA36</f>
        <v>12.02</v>
      </c>
      <c r="O17">
        <f>ROUND(ROUND(L17*Source!I39, 6)*SmtRes!DA36, 2)</f>
        <v>175.01</v>
      </c>
      <c r="P17">
        <f>SmtRes!AG36</f>
        <v>0</v>
      </c>
      <c r="Q17">
        <f>SmtRes!DC36</f>
        <v>0</v>
      </c>
      <c r="R17">
        <f>ROUND(ROUND(Q17*Source!I39, 6)*1, 2)</f>
        <v>0</v>
      </c>
      <c r="S17">
        <f>SmtRes!AC36</f>
        <v>0</v>
      </c>
      <c r="T17">
        <f>ROUND(ROUND(Q17*Source!I39, 6)*SmtRes!AK36, 2)</f>
        <v>0</v>
      </c>
      <c r="U17">
        <f>SmtRes!X36</f>
        <v>-656702110</v>
      </c>
      <c r="V17">
        <v>657210226</v>
      </c>
      <c r="W17">
        <v>657210226</v>
      </c>
      <c r="X17">
        <v>3</v>
      </c>
    </row>
    <row r="18" spans="1:24" x14ac:dyDescent="0.2">
      <c r="A18">
        <v>20</v>
      </c>
      <c r="B18">
        <v>50</v>
      </c>
      <c r="C18">
        <v>3</v>
      </c>
      <c r="D18">
        <v>0</v>
      </c>
      <c r="E18">
        <f>SmtRes!AV50</f>
        <v>0</v>
      </c>
      <c r="F18" t="str">
        <f>SmtRes!I50</f>
        <v>21.1-6-101</v>
      </c>
      <c r="G18" t="str">
        <f>SmtRes!K50</f>
        <v>Пигменты сухие для красок, кислотный желтый</v>
      </c>
      <c r="H18" t="str">
        <f>SmtRes!O50</f>
        <v>т</v>
      </c>
      <c r="I18">
        <f>SmtRes!Y50*Source!I41</f>
        <v>0.13650000000000001</v>
      </c>
      <c r="J18">
        <f>SmtRes!AO50</f>
        <v>1</v>
      </c>
      <c r="K18">
        <f>SmtRes!AE50</f>
        <v>748299.67</v>
      </c>
      <c r="L18">
        <f>SmtRes!DB50</f>
        <v>39285.730000000003</v>
      </c>
      <c r="M18">
        <f>ROUND(ROUND(L18*Source!I41, 6)*1, 2)</f>
        <v>102142.9</v>
      </c>
      <c r="N18">
        <f>SmtRes!AA50</f>
        <v>748299.67</v>
      </c>
      <c r="O18">
        <f>ROUND(ROUND(L18*Source!I41, 6)*SmtRes!DA50, 2)</f>
        <v>102142.9</v>
      </c>
      <c r="P18">
        <f>SmtRes!AG50</f>
        <v>0</v>
      </c>
      <c r="Q18">
        <f>SmtRes!DC50</f>
        <v>0</v>
      </c>
      <c r="R18">
        <f>ROUND(ROUND(Q18*Source!I41, 6)*1, 2)</f>
        <v>0</v>
      </c>
      <c r="S18">
        <f>SmtRes!AC50</f>
        <v>0</v>
      </c>
      <c r="T18">
        <f>ROUND(ROUND(Q18*Source!I41, 6)*SmtRes!AK50, 2)</f>
        <v>0</v>
      </c>
      <c r="U18">
        <f>SmtRes!X50</f>
        <v>-629368275</v>
      </c>
      <c r="V18">
        <v>-308535249</v>
      </c>
      <c r="W18">
        <v>-308535249</v>
      </c>
      <c r="X18">
        <v>3</v>
      </c>
    </row>
    <row r="19" spans="1:24" x14ac:dyDescent="0.2">
      <c r="A19">
        <v>20</v>
      </c>
      <c r="B19">
        <v>49</v>
      </c>
      <c r="C19">
        <v>3</v>
      </c>
      <c r="D19">
        <v>0</v>
      </c>
      <c r="E19">
        <f>SmtRes!AV49</f>
        <v>0</v>
      </c>
      <c r="F19" t="str">
        <f>SmtRes!I49</f>
        <v>21.1-25-776</v>
      </c>
      <c r="G19" t="str">
        <f>SmtRes!K49</f>
        <v>Средство связующее универсальное полиуретановое на основе резиновой и каучуковой крошки для устройства высокопрочных эластичных покрытий</v>
      </c>
      <c r="H19" t="str">
        <f>SmtRes!O49</f>
        <v>кг</v>
      </c>
      <c r="I19">
        <f>SmtRes!Y49*Source!I41</f>
        <v>627.9</v>
      </c>
      <c r="J19">
        <f>SmtRes!AO49</f>
        <v>1</v>
      </c>
      <c r="K19">
        <f>SmtRes!AE49</f>
        <v>202.34</v>
      </c>
      <c r="L19">
        <f>SmtRes!DB49</f>
        <v>48865.11</v>
      </c>
      <c r="M19">
        <f>ROUND(ROUND(L19*Source!I41, 6)*1, 2)</f>
        <v>127049.29</v>
      </c>
      <c r="N19">
        <f>SmtRes!AA49</f>
        <v>202.34</v>
      </c>
      <c r="O19">
        <f>ROUND(ROUND(L19*Source!I41, 6)*SmtRes!DA49, 2)</f>
        <v>127049.29</v>
      </c>
      <c r="P19">
        <f>SmtRes!AG49</f>
        <v>0</v>
      </c>
      <c r="Q19">
        <f>SmtRes!DC49</f>
        <v>0</v>
      </c>
      <c r="R19">
        <f>ROUND(ROUND(Q19*Source!I41, 6)*1, 2)</f>
        <v>0</v>
      </c>
      <c r="S19">
        <f>SmtRes!AC49</f>
        <v>0</v>
      </c>
      <c r="T19">
        <f>ROUND(ROUND(Q19*Source!I41, 6)*SmtRes!AK49, 2)</f>
        <v>0</v>
      </c>
      <c r="U19">
        <f>SmtRes!X49</f>
        <v>1434584530</v>
      </c>
      <c r="V19">
        <v>2130616076</v>
      </c>
      <c r="W19">
        <v>2130616076</v>
      </c>
      <c r="X19">
        <v>3</v>
      </c>
    </row>
    <row r="20" spans="1:24" x14ac:dyDescent="0.2">
      <c r="A20">
        <v>20</v>
      </c>
      <c r="B20">
        <v>48</v>
      </c>
      <c r="C20">
        <v>3</v>
      </c>
      <c r="D20">
        <v>0</v>
      </c>
      <c r="E20">
        <f>SmtRes!AV48</f>
        <v>0</v>
      </c>
      <c r="F20" t="str">
        <f>SmtRes!I48</f>
        <v>21.1-25-769</v>
      </c>
      <c r="G20" t="str">
        <f>SmtRes!K48</f>
        <v>Крошка резиновая гранулированная, фракция 2-3 мм</v>
      </c>
      <c r="H20" t="str">
        <f>SmtRes!O48</f>
        <v>кг</v>
      </c>
      <c r="I20">
        <f>SmtRes!Y48*Source!I41</f>
        <v>1911</v>
      </c>
      <c r="J20">
        <f>SmtRes!AO48</f>
        <v>1</v>
      </c>
      <c r="K20">
        <f>SmtRes!AE48</f>
        <v>17.77</v>
      </c>
      <c r="L20">
        <f>SmtRes!DB48</f>
        <v>13060.95</v>
      </c>
      <c r="M20">
        <f>ROUND(ROUND(L20*Source!I41, 6)*1, 2)</f>
        <v>33958.47</v>
      </c>
      <c r="N20">
        <f>SmtRes!AA48</f>
        <v>17.77</v>
      </c>
      <c r="O20">
        <f>ROUND(ROUND(L20*Source!I41, 6)*SmtRes!DA48, 2)</f>
        <v>33958.47</v>
      </c>
      <c r="P20">
        <f>SmtRes!AG48</f>
        <v>0</v>
      </c>
      <c r="Q20">
        <f>SmtRes!DC48</f>
        <v>0</v>
      </c>
      <c r="R20">
        <f>ROUND(ROUND(Q20*Source!I41, 6)*1, 2)</f>
        <v>0</v>
      </c>
      <c r="S20">
        <f>SmtRes!AC48</f>
        <v>0</v>
      </c>
      <c r="T20">
        <f>ROUND(ROUND(Q20*Source!I41, 6)*SmtRes!AK48, 2)</f>
        <v>0</v>
      </c>
      <c r="U20">
        <f>SmtRes!X48</f>
        <v>-78256104</v>
      </c>
      <c r="V20">
        <v>-735317913</v>
      </c>
      <c r="W20">
        <v>-735317913</v>
      </c>
      <c r="X20">
        <v>3</v>
      </c>
    </row>
    <row r="21" spans="1:24" x14ac:dyDescent="0.2">
      <c r="A21">
        <v>20</v>
      </c>
      <c r="B21">
        <v>47</v>
      </c>
      <c r="C21">
        <v>3</v>
      </c>
      <c r="D21">
        <v>0</v>
      </c>
      <c r="E21">
        <f>SmtRes!AV47</f>
        <v>0</v>
      </c>
      <c r="F21" t="str">
        <f>SmtRes!I47</f>
        <v>21.1-25-343</v>
      </c>
      <c r="G21" t="str">
        <f>SmtRes!K47</f>
        <v>Скипидар живичный</v>
      </c>
      <c r="H21" t="str">
        <f>SmtRes!O47</f>
        <v>т</v>
      </c>
      <c r="I21">
        <f>SmtRes!Y47*Source!I41</f>
        <v>8.1900000000000011E-3</v>
      </c>
      <c r="J21">
        <f>SmtRes!AO47</f>
        <v>1</v>
      </c>
      <c r="K21">
        <f>SmtRes!AE47</f>
        <v>343020.03</v>
      </c>
      <c r="L21">
        <f>SmtRes!DB47</f>
        <v>1080.51</v>
      </c>
      <c r="M21">
        <f>ROUND(ROUND(L21*Source!I41, 6)*1, 2)</f>
        <v>2809.33</v>
      </c>
      <c r="N21">
        <f>SmtRes!AA47</f>
        <v>343020.03</v>
      </c>
      <c r="O21">
        <f>ROUND(ROUND(L21*Source!I41, 6)*SmtRes!DA47, 2)</f>
        <v>2809.33</v>
      </c>
      <c r="P21">
        <f>SmtRes!AG47</f>
        <v>0</v>
      </c>
      <c r="Q21">
        <f>SmtRes!DC47</f>
        <v>0</v>
      </c>
      <c r="R21">
        <f>ROUND(ROUND(Q21*Source!I41, 6)*1, 2)</f>
        <v>0</v>
      </c>
      <c r="S21">
        <f>SmtRes!AC47</f>
        <v>0</v>
      </c>
      <c r="T21">
        <f>ROUND(ROUND(Q21*Source!I41, 6)*SmtRes!AK47, 2)</f>
        <v>0</v>
      </c>
      <c r="U21">
        <f>SmtRes!X47</f>
        <v>2135985724</v>
      </c>
      <c r="V21">
        <v>-588394673</v>
      </c>
      <c r="W21">
        <v>-588394673</v>
      </c>
      <c r="X21">
        <v>3</v>
      </c>
    </row>
    <row r="22" spans="1:24" x14ac:dyDescent="0.2">
      <c r="A22">
        <v>20</v>
      </c>
      <c r="B22">
        <v>46</v>
      </c>
      <c r="C22">
        <v>3</v>
      </c>
      <c r="D22">
        <v>0</v>
      </c>
      <c r="E22">
        <f>SmtRes!AV46</f>
        <v>0</v>
      </c>
      <c r="F22" t="str">
        <f>SmtRes!I46</f>
        <v>21.1-25-255</v>
      </c>
      <c r="G22" t="str">
        <f>SmtRes!K46</f>
        <v>Пленка полиэтиленовая, толщина 0,12 - 0,15 мм</v>
      </c>
      <c r="H22" t="str">
        <f>SmtRes!O46</f>
        <v>м2</v>
      </c>
      <c r="I22">
        <f>SmtRes!Y46*Source!I41</f>
        <v>14.559999999999999</v>
      </c>
      <c r="J22">
        <f>SmtRes!AO46</f>
        <v>1</v>
      </c>
      <c r="K22">
        <f>SmtRes!AE46</f>
        <v>12.02</v>
      </c>
      <c r="L22">
        <f>SmtRes!DB46</f>
        <v>67.31</v>
      </c>
      <c r="M22">
        <f>ROUND(ROUND(L22*Source!I41, 6)*1, 2)</f>
        <v>175.01</v>
      </c>
      <c r="N22">
        <f>SmtRes!AA46</f>
        <v>12.02</v>
      </c>
      <c r="O22">
        <f>ROUND(ROUND(L22*Source!I41, 6)*SmtRes!DA46, 2)</f>
        <v>175.01</v>
      </c>
      <c r="P22">
        <f>SmtRes!AG46</f>
        <v>0</v>
      </c>
      <c r="Q22">
        <f>SmtRes!DC46</f>
        <v>0</v>
      </c>
      <c r="R22">
        <f>ROUND(ROUND(Q22*Source!I41, 6)*1, 2)</f>
        <v>0</v>
      </c>
      <c r="S22">
        <f>SmtRes!AC46</f>
        <v>0</v>
      </c>
      <c r="T22">
        <f>ROUND(ROUND(Q22*Source!I41, 6)*SmtRes!AK46, 2)</f>
        <v>0</v>
      </c>
      <c r="U22">
        <f>SmtRes!X46</f>
        <v>-656702110</v>
      </c>
      <c r="V22">
        <v>657210226</v>
      </c>
      <c r="W22">
        <v>657210226</v>
      </c>
      <c r="X22">
        <v>3</v>
      </c>
    </row>
    <row r="23" spans="1:24" x14ac:dyDescent="0.2">
      <c r="A23">
        <v>20</v>
      </c>
      <c r="B23">
        <v>53</v>
      </c>
      <c r="C23">
        <v>3</v>
      </c>
      <c r="D23">
        <v>0</v>
      </c>
      <c r="E23">
        <f>SmtRes!AV53</f>
        <v>0</v>
      </c>
      <c r="F23" t="str">
        <f>SmtRes!I53</f>
        <v>21.3-2-15</v>
      </c>
      <c r="G23" t="str">
        <f>SmtRes!K53</f>
        <v>Растворы цементные, марка 100</v>
      </c>
      <c r="H23" t="str">
        <f>SmtRes!O53</f>
        <v>м3</v>
      </c>
      <c r="I23">
        <f>SmtRes!Y53*Source!I42</f>
        <v>4.1399999999999992E-2</v>
      </c>
      <c r="J23">
        <f>SmtRes!AO53</f>
        <v>1</v>
      </c>
      <c r="K23">
        <f>SmtRes!AE53</f>
        <v>3392.59</v>
      </c>
      <c r="L23">
        <f>SmtRes!DB53</f>
        <v>203.56</v>
      </c>
      <c r="M23">
        <f>ROUND(ROUND(L23*Source!I42, 6)*1, 2)</f>
        <v>140.46</v>
      </c>
      <c r="N23">
        <f>SmtRes!AA53</f>
        <v>3392.59</v>
      </c>
      <c r="O23">
        <f>ROUND(ROUND(L23*Source!I42, 6)*SmtRes!DA53, 2)</f>
        <v>140.46</v>
      </c>
      <c r="P23">
        <f>SmtRes!AG53</f>
        <v>0</v>
      </c>
      <c r="Q23">
        <f>SmtRes!DC53</f>
        <v>0</v>
      </c>
      <c r="R23">
        <f>ROUND(ROUND(Q23*Source!I42, 6)*1, 2)</f>
        <v>0</v>
      </c>
      <c r="S23">
        <f>SmtRes!AC53</f>
        <v>0</v>
      </c>
      <c r="T23">
        <f>ROUND(ROUND(Q23*Source!I42, 6)*SmtRes!AK53, 2)</f>
        <v>0</v>
      </c>
      <c r="U23">
        <f>SmtRes!X53</f>
        <v>253260963</v>
      </c>
      <c r="V23">
        <v>1066234070</v>
      </c>
      <c r="W23">
        <v>1066234070</v>
      </c>
      <c r="X23">
        <v>3</v>
      </c>
    </row>
    <row r="24" spans="1:24" x14ac:dyDescent="0.2">
      <c r="A24">
        <v>20</v>
      </c>
      <c r="B24">
        <v>52</v>
      </c>
      <c r="C24">
        <v>3</v>
      </c>
      <c r="D24">
        <v>0</v>
      </c>
      <c r="E24">
        <f>SmtRes!AV52</f>
        <v>0</v>
      </c>
      <c r="F24" t="str">
        <f>SmtRes!I52</f>
        <v>21.3-1-69</v>
      </c>
      <c r="G24" t="str">
        <f>SmtRes!K52</f>
        <v>Смеси бетонные, БСГ, тяжелого бетона на гранитном щебне, класс прочности: В15 (М200); П3, фракция 5-20, F50-100, W0-2</v>
      </c>
      <c r="H24" t="str">
        <f>SmtRes!O52</f>
        <v>м3</v>
      </c>
      <c r="I24">
        <f>SmtRes!Y52*Source!I42</f>
        <v>4.0709999999999997</v>
      </c>
      <c r="J24">
        <f>SmtRes!AO52</f>
        <v>1</v>
      </c>
      <c r="K24">
        <f>SmtRes!AE52</f>
        <v>3714.73</v>
      </c>
      <c r="L24">
        <f>SmtRes!DB52</f>
        <v>21916.91</v>
      </c>
      <c r="M24">
        <f>ROUND(ROUND(L24*Source!I42, 6)*1, 2)</f>
        <v>15122.67</v>
      </c>
      <c r="N24">
        <f>SmtRes!AA52</f>
        <v>3714.73</v>
      </c>
      <c r="O24">
        <f>ROUND(ROUND(L24*Source!I42, 6)*SmtRes!DA52, 2)</f>
        <v>15122.67</v>
      </c>
      <c r="P24">
        <f>SmtRes!AG52</f>
        <v>0</v>
      </c>
      <c r="Q24">
        <f>SmtRes!DC52</f>
        <v>0</v>
      </c>
      <c r="R24">
        <f>ROUND(ROUND(Q24*Source!I42, 6)*1, 2)</f>
        <v>0</v>
      </c>
      <c r="S24">
        <f>SmtRes!AC52</f>
        <v>0</v>
      </c>
      <c r="T24">
        <f>ROUND(ROUND(Q24*Source!I42, 6)*SmtRes!AK52, 2)</f>
        <v>0</v>
      </c>
      <c r="U24">
        <f>SmtRes!X52</f>
        <v>-697630842</v>
      </c>
      <c r="V24">
        <v>-887866689</v>
      </c>
      <c r="W24">
        <v>-887866689</v>
      </c>
      <c r="X24">
        <v>3</v>
      </c>
    </row>
    <row r="25" spans="1:24" x14ac:dyDescent="0.2">
      <c r="A25">
        <f>Source!A79</f>
        <v>4</v>
      </c>
      <c r="B25">
        <v>79</v>
      </c>
      <c r="G25" t="str">
        <f>Source!G79</f>
        <v>Демонтаж решеточного ограждения 68 м Н=3 м</v>
      </c>
    </row>
    <row r="26" spans="1:24" x14ac:dyDescent="0.2">
      <c r="A26">
        <f>Source!A124</f>
        <v>4</v>
      </c>
      <c r="B26">
        <v>124</v>
      </c>
      <c r="G26" t="str">
        <f>Source!G124</f>
        <v>Установка хоккейной коробки</v>
      </c>
    </row>
    <row r="27" spans="1:24" x14ac:dyDescent="0.2">
      <c r="A27">
        <f>Source!A133</f>
        <v>17</v>
      </c>
      <c r="B27">
        <v>133</v>
      </c>
      <c r="C27">
        <v>3</v>
      </c>
      <c r="D27">
        <f>Source!BI133</f>
        <v>1</v>
      </c>
      <c r="E27">
        <f>Source!FS133</f>
        <v>0</v>
      </c>
      <c r="F27" t="str">
        <f>Source!F133</f>
        <v>коммерч. предлож.</v>
      </c>
      <c r="G27" t="str">
        <f>Source!G133</f>
        <v>Утилизация незамусоренного грунта</v>
      </c>
      <c r="H27" t="str">
        <f>Source!H133</f>
        <v>т</v>
      </c>
      <c r="I27">
        <f>Source!I133</f>
        <v>3.2759999999999998</v>
      </c>
      <c r="J27">
        <v>1</v>
      </c>
      <c r="K27">
        <f>Source!AC133</f>
        <v>100.3</v>
      </c>
      <c r="M27">
        <f>ROUND(K27*I27, 2)</f>
        <v>328.58</v>
      </c>
      <c r="N27">
        <f>Source!AC133*IF(Source!BC133&lt;&gt; 0, Source!BC133, 1)</f>
        <v>100.3</v>
      </c>
      <c r="O27">
        <f>ROUND(N27*I27, 2)</f>
        <v>328.58</v>
      </c>
      <c r="P27">
        <f>Source!AE133</f>
        <v>0</v>
      </c>
      <c r="R27">
        <f>ROUND(P27*I27, 2)</f>
        <v>0</v>
      </c>
      <c r="S27">
        <f>Source!AE133*IF(Source!BS133&lt;&gt; 0, Source!BS133, 1)</f>
        <v>0</v>
      </c>
      <c r="T27">
        <f>ROUND(S27*I27, 2)</f>
        <v>0</v>
      </c>
      <c r="U27">
        <f>Source!GF133</f>
        <v>-1632517758</v>
      </c>
      <c r="V27">
        <v>-2107414830</v>
      </c>
      <c r="W27">
        <v>-2107414830</v>
      </c>
      <c r="X27">
        <v>3</v>
      </c>
    </row>
    <row r="28" spans="1:24" x14ac:dyDescent="0.2">
      <c r="A28">
        <v>20</v>
      </c>
      <c r="B28">
        <v>84</v>
      </c>
      <c r="C28">
        <v>3</v>
      </c>
      <c r="D28">
        <v>0</v>
      </c>
      <c r="E28">
        <f>SmtRes!AV84</f>
        <v>0</v>
      </c>
      <c r="F28" t="str">
        <f>SmtRes!I84</f>
        <v>21.1-25-13</v>
      </c>
      <c r="G28" t="str">
        <f>SmtRes!K84</f>
        <v>Вода</v>
      </c>
      <c r="H28" t="str">
        <f>SmtRes!O84</f>
        <v>м3</v>
      </c>
      <c r="I28">
        <f>SmtRes!Y84*Source!I134</f>
        <v>7.0199999999999999E-2</v>
      </c>
      <c r="J28">
        <f>SmtRes!AO84</f>
        <v>1</v>
      </c>
      <c r="K28">
        <f>SmtRes!AE84</f>
        <v>35.25</v>
      </c>
      <c r="L28">
        <f>SmtRes!DB84</f>
        <v>5.29</v>
      </c>
      <c r="M28">
        <f>ROUND(ROUND(L28*Source!I134, 6)*1, 2)</f>
        <v>2.48</v>
      </c>
      <c r="N28">
        <f>SmtRes!AA84</f>
        <v>35.25</v>
      </c>
      <c r="O28">
        <f>ROUND(ROUND(L28*Source!I134, 6)*SmtRes!DA84, 2)</f>
        <v>2.48</v>
      </c>
      <c r="P28">
        <f>SmtRes!AG84</f>
        <v>0</v>
      </c>
      <c r="Q28">
        <f>SmtRes!DC84</f>
        <v>0</v>
      </c>
      <c r="R28">
        <f>ROUND(ROUND(Q28*Source!I134, 6)*1, 2)</f>
        <v>0</v>
      </c>
      <c r="S28">
        <f>SmtRes!AC84</f>
        <v>0</v>
      </c>
      <c r="T28">
        <f>ROUND(ROUND(Q28*Source!I134, 6)*SmtRes!AK84, 2)</f>
        <v>0</v>
      </c>
      <c r="U28">
        <f>SmtRes!X84</f>
        <v>1927597627</v>
      </c>
      <c r="V28">
        <v>-1829664509</v>
      </c>
      <c r="W28">
        <v>-1829664509</v>
      </c>
      <c r="X28">
        <v>3</v>
      </c>
    </row>
    <row r="29" spans="1:24" x14ac:dyDescent="0.2">
      <c r="A29">
        <v>20</v>
      </c>
      <c r="B29">
        <v>83</v>
      </c>
      <c r="C29">
        <v>3</v>
      </c>
      <c r="D29">
        <v>0</v>
      </c>
      <c r="E29">
        <f>SmtRes!AV83</f>
        <v>0</v>
      </c>
      <c r="F29" t="str">
        <f>SmtRes!I83</f>
        <v>21.1-12-11</v>
      </c>
      <c r="G29" t="str">
        <f>SmtRes!K83</f>
        <v>Песок для строительных работ, рядовой</v>
      </c>
      <c r="H29" t="str">
        <f>SmtRes!O83</f>
        <v>м3</v>
      </c>
      <c r="I29">
        <f>SmtRes!Y83*Source!I134</f>
        <v>0.51480000000000004</v>
      </c>
      <c r="J29">
        <f>SmtRes!AO83</f>
        <v>1</v>
      </c>
      <c r="K29">
        <f>SmtRes!AE83</f>
        <v>590.78</v>
      </c>
      <c r="L29">
        <f>SmtRes!DB83</f>
        <v>649.86</v>
      </c>
      <c r="M29">
        <f>ROUND(ROUND(L29*Source!I134, 6)*1, 2)</f>
        <v>304.13</v>
      </c>
      <c r="N29">
        <f>SmtRes!AA83</f>
        <v>590.78</v>
      </c>
      <c r="O29">
        <f>ROUND(ROUND(L29*Source!I134, 6)*SmtRes!DA83, 2)</f>
        <v>304.13</v>
      </c>
      <c r="P29">
        <f>SmtRes!AG83</f>
        <v>0</v>
      </c>
      <c r="Q29">
        <f>SmtRes!DC83</f>
        <v>0</v>
      </c>
      <c r="R29">
        <f>ROUND(ROUND(Q29*Source!I134, 6)*1, 2)</f>
        <v>0</v>
      </c>
      <c r="S29">
        <f>SmtRes!AC83</f>
        <v>0</v>
      </c>
      <c r="T29">
        <f>ROUND(ROUND(Q29*Source!I134, 6)*SmtRes!AK83, 2)</f>
        <v>0</v>
      </c>
      <c r="U29">
        <f>SmtRes!X83</f>
        <v>909340900</v>
      </c>
      <c r="V29">
        <v>339149647</v>
      </c>
      <c r="W29">
        <v>339149647</v>
      </c>
      <c r="X29">
        <v>3</v>
      </c>
    </row>
    <row r="30" spans="1:24" x14ac:dyDescent="0.2">
      <c r="A30">
        <v>20</v>
      </c>
      <c r="B30">
        <v>90</v>
      </c>
      <c r="C30">
        <v>3</v>
      </c>
      <c r="D30">
        <v>0</v>
      </c>
      <c r="E30">
        <f>SmtRes!AV90</f>
        <v>0</v>
      </c>
      <c r="F30" t="str">
        <f>SmtRes!I90</f>
        <v>21.1-25-13</v>
      </c>
      <c r="G30" t="str">
        <f>SmtRes!K90</f>
        <v>Вода</v>
      </c>
      <c r="H30" t="str">
        <f>SmtRes!O90</f>
        <v>м3</v>
      </c>
      <c r="I30">
        <f>SmtRes!Y90*Source!I135</f>
        <v>7.0199999999999999E-2</v>
      </c>
      <c r="J30">
        <f>SmtRes!AO90</f>
        <v>1</v>
      </c>
      <c r="K30">
        <f>SmtRes!AE90</f>
        <v>35.25</v>
      </c>
      <c r="L30">
        <f>SmtRes!DB90</f>
        <v>5.29</v>
      </c>
      <c r="M30">
        <f>ROUND(ROUND(L30*Source!I135, 6)*1, 2)</f>
        <v>2.48</v>
      </c>
      <c r="N30">
        <f>SmtRes!AA90</f>
        <v>35.25</v>
      </c>
      <c r="O30">
        <f>ROUND(ROUND(L30*Source!I135, 6)*SmtRes!DA90, 2)</f>
        <v>2.48</v>
      </c>
      <c r="P30">
        <f>SmtRes!AG90</f>
        <v>0</v>
      </c>
      <c r="Q30">
        <f>SmtRes!DC90</f>
        <v>0</v>
      </c>
      <c r="R30">
        <f>ROUND(ROUND(Q30*Source!I135, 6)*1, 2)</f>
        <v>0</v>
      </c>
      <c r="S30">
        <f>SmtRes!AC90</f>
        <v>0</v>
      </c>
      <c r="T30">
        <f>ROUND(ROUND(Q30*Source!I135, 6)*SmtRes!AK90, 2)</f>
        <v>0</v>
      </c>
      <c r="U30">
        <f>SmtRes!X90</f>
        <v>1927597627</v>
      </c>
      <c r="V30">
        <v>-1829664509</v>
      </c>
      <c r="W30">
        <v>-1829664509</v>
      </c>
      <c r="X30">
        <v>3</v>
      </c>
    </row>
    <row r="31" spans="1:24" x14ac:dyDescent="0.2">
      <c r="A31">
        <v>20</v>
      </c>
      <c r="B31">
        <v>89</v>
      </c>
      <c r="C31">
        <v>3</v>
      </c>
      <c r="D31">
        <v>0</v>
      </c>
      <c r="E31">
        <f>SmtRes!AV89</f>
        <v>0</v>
      </c>
      <c r="F31" t="str">
        <f>SmtRes!I89</f>
        <v>21.1-12-45</v>
      </c>
      <c r="G31" t="str">
        <f>SmtRes!K89</f>
        <v>Щебень из естественного камня для строительных работ, рядовой, марка 300-200</v>
      </c>
      <c r="H31" t="str">
        <f>SmtRes!O89</f>
        <v>м3</v>
      </c>
      <c r="I31">
        <f>SmtRes!Y89*Source!I135</f>
        <v>0.53820000000000001</v>
      </c>
      <c r="J31">
        <f>SmtRes!AO89</f>
        <v>1</v>
      </c>
      <c r="K31">
        <f>SmtRes!AE89</f>
        <v>1436.5</v>
      </c>
      <c r="L31">
        <f>SmtRes!DB89</f>
        <v>1651.98</v>
      </c>
      <c r="M31">
        <f>ROUND(ROUND(L31*Source!I135, 6)*1, 2)</f>
        <v>773.13</v>
      </c>
      <c r="N31">
        <f>SmtRes!AA89</f>
        <v>1436.5</v>
      </c>
      <c r="O31">
        <f>ROUND(ROUND(L31*Source!I135, 6)*SmtRes!DA89, 2)</f>
        <v>773.13</v>
      </c>
      <c r="P31">
        <f>SmtRes!AG89</f>
        <v>0</v>
      </c>
      <c r="Q31">
        <f>SmtRes!DC89</f>
        <v>0</v>
      </c>
      <c r="R31">
        <f>ROUND(ROUND(Q31*Source!I135, 6)*1, 2)</f>
        <v>0</v>
      </c>
      <c r="S31">
        <f>SmtRes!AC89</f>
        <v>0</v>
      </c>
      <c r="T31">
        <f>ROUND(ROUND(Q31*Source!I135, 6)*SmtRes!AK89, 2)</f>
        <v>0</v>
      </c>
      <c r="U31">
        <f>SmtRes!X89</f>
        <v>23642594</v>
      </c>
      <c r="V31">
        <v>960680793</v>
      </c>
      <c r="W31">
        <v>960680793</v>
      </c>
      <c r="X31">
        <v>3</v>
      </c>
    </row>
    <row r="32" spans="1:24" x14ac:dyDescent="0.2">
      <c r="A32">
        <v>20</v>
      </c>
      <c r="B32">
        <v>95</v>
      </c>
      <c r="C32">
        <v>3</v>
      </c>
      <c r="D32">
        <v>0</v>
      </c>
      <c r="E32">
        <f>SmtRes!AV95</f>
        <v>0</v>
      </c>
      <c r="F32" t="str">
        <f>SmtRes!I95</f>
        <v>21.3-1-64</v>
      </c>
      <c r="G32" t="str">
        <f>SmtRes!K95</f>
        <v>Смеси бетонные, БСГ, тяжелого бетона на гранитном щебне, класс прочности: В7,5 (М100); П3, фракция 5-20</v>
      </c>
      <c r="H32" t="str">
        <f>SmtRes!O95</f>
        <v>м3</v>
      </c>
      <c r="I32">
        <f>SmtRes!Y95*Source!I136</f>
        <v>1.4279999999999999</v>
      </c>
      <c r="J32">
        <f>SmtRes!AO95</f>
        <v>1</v>
      </c>
      <c r="K32">
        <f>SmtRes!AE95</f>
        <v>3247.23</v>
      </c>
      <c r="L32">
        <f>SmtRes!DB95</f>
        <v>331217.46000000002</v>
      </c>
      <c r="M32">
        <f>ROUND(ROUND(L32*Source!I136, 6)*1, 2)</f>
        <v>4637.04</v>
      </c>
      <c r="N32">
        <f>SmtRes!AA95</f>
        <v>3247.23</v>
      </c>
      <c r="O32">
        <f>ROUND(ROUND(L32*Source!I136, 6)*SmtRes!DA95, 2)</f>
        <v>4637.04</v>
      </c>
      <c r="P32">
        <f>SmtRes!AG95</f>
        <v>0</v>
      </c>
      <c r="Q32">
        <f>SmtRes!DC95</f>
        <v>0</v>
      </c>
      <c r="R32">
        <f>ROUND(ROUND(Q32*Source!I136, 6)*1, 2)</f>
        <v>0</v>
      </c>
      <c r="S32">
        <f>SmtRes!AC95</f>
        <v>0</v>
      </c>
      <c r="T32">
        <f>ROUND(ROUND(Q32*Source!I136, 6)*SmtRes!AK95, 2)</f>
        <v>0</v>
      </c>
      <c r="U32">
        <f>SmtRes!X95</f>
        <v>1860113861</v>
      </c>
      <c r="V32">
        <v>1007544638</v>
      </c>
      <c r="W32">
        <v>1007544638</v>
      </c>
      <c r="X32">
        <v>3</v>
      </c>
    </row>
    <row r="33" spans="1:24" x14ac:dyDescent="0.2">
      <c r="A33">
        <v>20</v>
      </c>
      <c r="B33">
        <v>94</v>
      </c>
      <c r="C33">
        <v>3</v>
      </c>
      <c r="D33">
        <v>0</v>
      </c>
      <c r="E33">
        <f>SmtRes!AV94</f>
        <v>0</v>
      </c>
      <c r="F33" t="str">
        <f>SmtRes!I94</f>
        <v>21.1-25-13</v>
      </c>
      <c r="G33" t="str">
        <f>SmtRes!K94</f>
        <v>Вода</v>
      </c>
      <c r="H33" t="str">
        <f>SmtRes!O94</f>
        <v>м3</v>
      </c>
      <c r="I33">
        <f>SmtRes!Y94*Source!I136</f>
        <v>2.4500000000000001E-2</v>
      </c>
      <c r="J33">
        <f>SmtRes!AO94</f>
        <v>1</v>
      </c>
      <c r="K33">
        <f>SmtRes!AE94</f>
        <v>35.25</v>
      </c>
      <c r="L33">
        <f>SmtRes!DB94</f>
        <v>61.69</v>
      </c>
      <c r="M33">
        <f>ROUND(ROUND(L33*Source!I136, 6)*1, 2)</f>
        <v>0.86</v>
      </c>
      <c r="N33">
        <f>SmtRes!AA94</f>
        <v>35.25</v>
      </c>
      <c r="O33">
        <f>ROUND(ROUND(L33*Source!I136, 6)*SmtRes!DA94, 2)</f>
        <v>0.86</v>
      </c>
      <c r="P33">
        <f>SmtRes!AG94</f>
        <v>0</v>
      </c>
      <c r="Q33">
        <f>SmtRes!DC94</f>
        <v>0</v>
      </c>
      <c r="R33">
        <f>ROUND(ROUND(Q33*Source!I136, 6)*1, 2)</f>
        <v>0</v>
      </c>
      <c r="S33">
        <f>SmtRes!AC94</f>
        <v>0</v>
      </c>
      <c r="T33">
        <f>ROUND(ROUND(Q33*Source!I136, 6)*SmtRes!AK94, 2)</f>
        <v>0</v>
      </c>
      <c r="U33">
        <f>SmtRes!X94</f>
        <v>1927597627</v>
      </c>
      <c r="V33">
        <v>-1829664509</v>
      </c>
      <c r="W33">
        <v>-1829664509</v>
      </c>
      <c r="X33">
        <v>3</v>
      </c>
    </row>
    <row r="34" spans="1:24" x14ac:dyDescent="0.2">
      <c r="A34">
        <v>20</v>
      </c>
      <c r="B34">
        <v>93</v>
      </c>
      <c r="C34">
        <v>3</v>
      </c>
      <c r="D34">
        <v>0</v>
      </c>
      <c r="E34">
        <f>SmtRes!AV93</f>
        <v>0</v>
      </c>
      <c r="F34" t="str">
        <f>SmtRes!I93</f>
        <v>21.1-20-17</v>
      </c>
      <c r="G34" t="str">
        <f>SmtRes!K93</f>
        <v>Мешковина</v>
      </c>
      <c r="H34" t="str">
        <f>SmtRes!O93</f>
        <v>м2</v>
      </c>
      <c r="I34">
        <f>SmtRes!Y93*Source!I136</f>
        <v>3.5</v>
      </c>
      <c r="J34">
        <f>SmtRes!AO93</f>
        <v>1</v>
      </c>
      <c r="K34">
        <f>SmtRes!AE93</f>
        <v>91.89</v>
      </c>
      <c r="L34">
        <f>SmtRes!DB93</f>
        <v>22972.5</v>
      </c>
      <c r="M34">
        <f>ROUND(ROUND(L34*Source!I136, 6)*1, 2)</f>
        <v>321.62</v>
      </c>
      <c r="N34">
        <f>SmtRes!AA93</f>
        <v>91.89</v>
      </c>
      <c r="O34">
        <f>ROUND(ROUND(L34*Source!I136, 6)*SmtRes!DA93, 2)</f>
        <v>321.62</v>
      </c>
      <c r="P34">
        <f>SmtRes!AG93</f>
        <v>0</v>
      </c>
      <c r="Q34">
        <f>SmtRes!DC93</f>
        <v>0</v>
      </c>
      <c r="R34">
        <f>ROUND(ROUND(Q34*Source!I136, 6)*1, 2)</f>
        <v>0</v>
      </c>
      <c r="S34">
        <f>SmtRes!AC93</f>
        <v>0</v>
      </c>
      <c r="T34">
        <f>ROUND(ROUND(Q34*Source!I136, 6)*SmtRes!AK93, 2)</f>
        <v>0</v>
      </c>
      <c r="U34">
        <f>SmtRes!X93</f>
        <v>-2047649341</v>
      </c>
      <c r="V34">
        <v>-1336012766</v>
      </c>
      <c r="W34">
        <v>-1336012766</v>
      </c>
      <c r="X34">
        <v>3</v>
      </c>
    </row>
    <row r="35" spans="1:24" x14ac:dyDescent="0.2">
      <c r="A35">
        <v>20</v>
      </c>
      <c r="B35">
        <v>99</v>
      </c>
      <c r="C35">
        <v>3</v>
      </c>
      <c r="D35">
        <v>0</v>
      </c>
      <c r="E35">
        <f>SmtRes!AV99</f>
        <v>0</v>
      </c>
      <c r="F35" t="str">
        <f>SmtRes!I99</f>
        <v>21.3-4-24</v>
      </c>
      <c r="G35" t="str">
        <f>SmtRes!K99</f>
        <v>Арматурные заготовки (стержни, хомуты и т.п.), не собранные в каркасы или сетки, закладные и накладные детали, со сваркой</v>
      </c>
      <c r="H35" t="str">
        <f>SmtRes!O99</f>
        <v>т</v>
      </c>
      <c r="I35">
        <f>SmtRes!Y99*Source!I137</f>
        <v>1.8</v>
      </c>
      <c r="J35">
        <f>SmtRes!AO99</f>
        <v>1</v>
      </c>
      <c r="K35">
        <f>SmtRes!AE99</f>
        <v>53233.52</v>
      </c>
      <c r="L35">
        <f>SmtRes!DB99</f>
        <v>53233.52</v>
      </c>
      <c r="M35">
        <f>ROUND(ROUND(L35*Source!I137, 6)*1, 2)</f>
        <v>95820.34</v>
      </c>
      <c r="N35">
        <f>SmtRes!AA99</f>
        <v>53233.52</v>
      </c>
      <c r="O35">
        <f>ROUND(ROUND(L35*Source!I137, 6)*SmtRes!DA99, 2)</f>
        <v>95820.34</v>
      </c>
      <c r="P35">
        <f>SmtRes!AG99</f>
        <v>0</v>
      </c>
      <c r="Q35">
        <f>SmtRes!DC99</f>
        <v>0</v>
      </c>
      <c r="R35">
        <f>ROUND(ROUND(Q35*Source!I137, 6)*1, 2)</f>
        <v>0</v>
      </c>
      <c r="S35">
        <f>SmtRes!AC99</f>
        <v>0</v>
      </c>
      <c r="T35">
        <f>ROUND(ROUND(Q35*Source!I137, 6)*SmtRes!AK99, 2)</f>
        <v>0</v>
      </c>
      <c r="U35">
        <f>SmtRes!X99</f>
        <v>-1958973042</v>
      </c>
      <c r="V35">
        <v>-593828415</v>
      </c>
      <c r="W35">
        <v>-593828415</v>
      </c>
      <c r="X35">
        <v>3</v>
      </c>
    </row>
    <row r="36" spans="1:24" x14ac:dyDescent="0.2">
      <c r="A36">
        <v>20</v>
      </c>
      <c r="B36">
        <v>98</v>
      </c>
      <c r="C36">
        <v>3</v>
      </c>
      <c r="D36">
        <v>0</v>
      </c>
      <c r="E36">
        <f>SmtRes!AV98</f>
        <v>0</v>
      </c>
      <c r="F36" t="str">
        <f>SmtRes!I98</f>
        <v>21.1-23-9</v>
      </c>
      <c r="G36" t="str">
        <f>SmtRes!K98</f>
        <v>Электроды, тип Э-42, 46, 50, диаметр 4 - 6 мм</v>
      </c>
      <c r="H36" t="str">
        <f>SmtRes!O98</f>
        <v>т</v>
      </c>
      <c r="I36">
        <f>SmtRes!Y98*Source!I137</f>
        <v>5.3999999999999999E-2</v>
      </c>
      <c r="J36">
        <f>SmtRes!AO98</f>
        <v>1</v>
      </c>
      <c r="K36">
        <f>SmtRes!AE98</f>
        <v>110781.14</v>
      </c>
      <c r="L36">
        <f>SmtRes!DB98</f>
        <v>3323.43</v>
      </c>
      <c r="M36">
        <f>ROUND(ROUND(L36*Source!I137, 6)*1, 2)</f>
        <v>5982.17</v>
      </c>
      <c r="N36">
        <f>SmtRes!AA98</f>
        <v>110781.14</v>
      </c>
      <c r="O36">
        <f>ROUND(ROUND(L36*Source!I137, 6)*SmtRes!DA98, 2)</f>
        <v>5982.17</v>
      </c>
      <c r="P36">
        <f>SmtRes!AG98</f>
        <v>0</v>
      </c>
      <c r="Q36">
        <f>SmtRes!DC98</f>
        <v>0</v>
      </c>
      <c r="R36">
        <f>ROUND(ROUND(Q36*Source!I137, 6)*1, 2)</f>
        <v>0</v>
      </c>
      <c r="S36">
        <f>SmtRes!AC98</f>
        <v>0</v>
      </c>
      <c r="T36">
        <f>ROUND(ROUND(Q36*Source!I137, 6)*SmtRes!AK98, 2)</f>
        <v>0</v>
      </c>
      <c r="U36">
        <f>SmtRes!X98</f>
        <v>-672771621</v>
      </c>
      <c r="V36">
        <v>-1526606762</v>
      </c>
      <c r="W36">
        <v>-1526606762</v>
      </c>
      <c r="X36">
        <v>3</v>
      </c>
    </row>
    <row r="37" spans="1:24" x14ac:dyDescent="0.2">
      <c r="A37">
        <f>Source!A138</f>
        <v>18</v>
      </c>
      <c r="B37">
        <v>138</v>
      </c>
      <c r="C37">
        <v>3</v>
      </c>
      <c r="D37">
        <f>Source!BI138</f>
        <v>1</v>
      </c>
      <c r="E37">
        <f>Source!FS138</f>
        <v>0</v>
      </c>
      <c r="F37" t="str">
        <f>Source!F138</f>
        <v>коммерч. предлож.</v>
      </c>
      <c r="G37" t="str">
        <f>Source!G138</f>
        <v>Хоккейная коробка, корт 23х11 м с ограждением стеклопластиковыми бортами, с доставкой и установкой</v>
      </c>
      <c r="H37" t="str">
        <f>Source!H138</f>
        <v>шт.</v>
      </c>
      <c r="I37">
        <f>Source!I138</f>
        <v>1</v>
      </c>
      <c r="J37">
        <v>1</v>
      </c>
      <c r="K37">
        <f>Source!AC138</f>
        <v>419815</v>
      </c>
      <c r="M37">
        <f>ROUND(K37*I37, 2)</f>
        <v>419815</v>
      </c>
      <c r="N37">
        <f>Source!AC138*IF(Source!BC138&lt;&gt; 0, Source!BC138, 1)</f>
        <v>419815</v>
      </c>
      <c r="O37">
        <f>ROUND(N37*I37, 2)</f>
        <v>419815</v>
      </c>
      <c r="P37">
        <f>Source!AE138</f>
        <v>0</v>
      </c>
      <c r="R37">
        <f>ROUND(P37*I37, 2)</f>
        <v>0</v>
      </c>
      <c r="S37">
        <f>Source!AE138*IF(Source!BS138&lt;&gt; 0, Source!BS138, 1)</f>
        <v>0</v>
      </c>
      <c r="T37">
        <f>ROUND(S37*I37, 2)</f>
        <v>0</v>
      </c>
      <c r="U37">
        <f>Source!GF138</f>
        <v>-821138886</v>
      </c>
      <c r="V37">
        <v>204789145</v>
      </c>
      <c r="W37">
        <v>204789145</v>
      </c>
      <c r="X37">
        <v>3</v>
      </c>
    </row>
    <row r="38" spans="1:24" x14ac:dyDescent="0.2">
      <c r="A38">
        <f>Source!A173</f>
        <v>4</v>
      </c>
      <c r="B38">
        <v>173</v>
      </c>
      <c r="G38" t="str">
        <f>Source!G173</f>
        <v>Спортивное оборудование</v>
      </c>
    </row>
    <row r="39" spans="1:24" x14ac:dyDescent="0.2">
      <c r="A39">
        <f>Source!A182</f>
        <v>17</v>
      </c>
      <c r="B39">
        <v>182</v>
      </c>
      <c r="C39">
        <v>3</v>
      </c>
      <c r="D39">
        <f>Source!BI182</f>
        <v>1</v>
      </c>
      <c r="E39">
        <f>Source!FS182</f>
        <v>0</v>
      </c>
      <c r="F39" t="str">
        <f>Source!F182</f>
        <v>коммерч. предлож.</v>
      </c>
      <c r="G39" t="str">
        <f>Source!G182</f>
        <v>Утилизация незамусоренного грунта</v>
      </c>
      <c r="H39" t="str">
        <f>Source!H182</f>
        <v>т</v>
      </c>
      <c r="I39">
        <f>Source!I182</f>
        <v>0.434</v>
      </c>
      <c r="J39">
        <v>1</v>
      </c>
      <c r="K39">
        <f>Source!AC182</f>
        <v>100.3</v>
      </c>
      <c r="M39">
        <f>ROUND(K39*I39, 2)</f>
        <v>43.53</v>
      </c>
      <c r="N39">
        <f>Source!AC182*IF(Source!BC182&lt;&gt; 0, Source!BC182, 1)</f>
        <v>100.3</v>
      </c>
      <c r="O39">
        <f>ROUND(N39*I39, 2)</f>
        <v>43.53</v>
      </c>
      <c r="P39">
        <f>Source!AE182</f>
        <v>0</v>
      </c>
      <c r="R39">
        <f>ROUND(P39*I39, 2)</f>
        <v>0</v>
      </c>
      <c r="S39">
        <f>Source!AE182*IF(Source!BS182&lt;&gt; 0, Source!BS182, 1)</f>
        <v>0</v>
      </c>
      <c r="T39">
        <f>ROUND(S39*I39, 2)</f>
        <v>0</v>
      </c>
      <c r="U39">
        <f>Source!GF182</f>
        <v>-1632517758</v>
      </c>
      <c r="V39">
        <v>-2107414830</v>
      </c>
      <c r="W39">
        <v>-2107414830</v>
      </c>
      <c r="X39">
        <v>3</v>
      </c>
    </row>
    <row r="40" spans="1:24" x14ac:dyDescent="0.2">
      <c r="A40">
        <v>20</v>
      </c>
      <c r="B40">
        <v>111</v>
      </c>
      <c r="C40">
        <v>3</v>
      </c>
      <c r="D40">
        <v>0</v>
      </c>
      <c r="E40">
        <f>SmtRes!AV111</f>
        <v>0</v>
      </c>
      <c r="F40" t="str">
        <f>SmtRes!I111</f>
        <v>21.1-25-13</v>
      </c>
      <c r="G40" t="str">
        <f>SmtRes!K111</f>
        <v>Вода</v>
      </c>
      <c r="H40" t="str">
        <f>SmtRes!O111</f>
        <v>м3</v>
      </c>
      <c r="I40">
        <f>SmtRes!Y111*Source!I183</f>
        <v>8.0999999999999996E-3</v>
      </c>
      <c r="J40">
        <f>SmtRes!AO111</f>
        <v>1</v>
      </c>
      <c r="K40">
        <f>SmtRes!AE111</f>
        <v>35.25</v>
      </c>
      <c r="L40">
        <f>SmtRes!DB111</f>
        <v>5.29</v>
      </c>
      <c r="M40">
        <f>ROUND(ROUND(L40*Source!I183, 6)*1, 2)</f>
        <v>0.28999999999999998</v>
      </c>
      <c r="N40">
        <f>SmtRes!AA111</f>
        <v>35.25</v>
      </c>
      <c r="O40">
        <f>ROUND(ROUND(L40*Source!I183, 6)*SmtRes!DA111, 2)</f>
        <v>0.28999999999999998</v>
      </c>
      <c r="P40">
        <f>SmtRes!AG111</f>
        <v>0</v>
      </c>
      <c r="Q40">
        <f>SmtRes!DC111</f>
        <v>0</v>
      </c>
      <c r="R40">
        <f>ROUND(ROUND(Q40*Source!I183, 6)*1, 2)</f>
        <v>0</v>
      </c>
      <c r="S40">
        <f>SmtRes!AC111</f>
        <v>0</v>
      </c>
      <c r="T40">
        <f>ROUND(ROUND(Q40*Source!I183, 6)*SmtRes!AK111, 2)</f>
        <v>0</v>
      </c>
      <c r="U40">
        <f>SmtRes!X111</f>
        <v>1927597627</v>
      </c>
      <c r="V40">
        <v>-1829664509</v>
      </c>
      <c r="W40">
        <v>-1829664509</v>
      </c>
      <c r="X40">
        <v>3</v>
      </c>
    </row>
    <row r="41" spans="1:24" x14ac:dyDescent="0.2">
      <c r="A41">
        <v>20</v>
      </c>
      <c r="B41">
        <v>110</v>
      </c>
      <c r="C41">
        <v>3</v>
      </c>
      <c r="D41">
        <v>0</v>
      </c>
      <c r="E41">
        <f>SmtRes!AV110</f>
        <v>0</v>
      </c>
      <c r="F41" t="str">
        <f>SmtRes!I110</f>
        <v>21.1-12-11</v>
      </c>
      <c r="G41" t="str">
        <f>SmtRes!K110</f>
        <v>Песок для строительных работ, рядовой</v>
      </c>
      <c r="H41" t="str">
        <f>SmtRes!O110</f>
        <v>м3</v>
      </c>
      <c r="I41">
        <f>SmtRes!Y110*Source!I183</f>
        <v>5.9400000000000001E-2</v>
      </c>
      <c r="J41">
        <f>SmtRes!AO110</f>
        <v>1</v>
      </c>
      <c r="K41">
        <f>SmtRes!AE110</f>
        <v>590.78</v>
      </c>
      <c r="L41">
        <f>SmtRes!DB110</f>
        <v>649.86</v>
      </c>
      <c r="M41">
        <f>ROUND(ROUND(L41*Source!I183, 6)*1, 2)</f>
        <v>35.090000000000003</v>
      </c>
      <c r="N41">
        <f>SmtRes!AA110</f>
        <v>590.78</v>
      </c>
      <c r="O41">
        <f>ROUND(ROUND(L41*Source!I183, 6)*SmtRes!DA110, 2)</f>
        <v>35.090000000000003</v>
      </c>
      <c r="P41">
        <f>SmtRes!AG110</f>
        <v>0</v>
      </c>
      <c r="Q41">
        <f>SmtRes!DC110</f>
        <v>0</v>
      </c>
      <c r="R41">
        <f>ROUND(ROUND(Q41*Source!I183, 6)*1, 2)</f>
        <v>0</v>
      </c>
      <c r="S41">
        <f>SmtRes!AC110</f>
        <v>0</v>
      </c>
      <c r="T41">
        <f>ROUND(ROUND(Q41*Source!I183, 6)*SmtRes!AK110, 2)</f>
        <v>0</v>
      </c>
      <c r="U41">
        <f>SmtRes!X110</f>
        <v>909340900</v>
      </c>
      <c r="V41">
        <v>339149647</v>
      </c>
      <c r="W41">
        <v>339149647</v>
      </c>
      <c r="X41">
        <v>3</v>
      </c>
    </row>
    <row r="42" spans="1:24" x14ac:dyDescent="0.2">
      <c r="A42">
        <v>20</v>
      </c>
      <c r="B42">
        <v>117</v>
      </c>
      <c r="C42">
        <v>3</v>
      </c>
      <c r="D42">
        <v>0</v>
      </c>
      <c r="E42">
        <f>SmtRes!AV117</f>
        <v>0</v>
      </c>
      <c r="F42" t="str">
        <f>SmtRes!I117</f>
        <v>21.1-25-13</v>
      </c>
      <c r="G42" t="str">
        <f>SmtRes!K117</f>
        <v>Вода</v>
      </c>
      <c r="H42" t="str">
        <f>SmtRes!O117</f>
        <v>м3</v>
      </c>
      <c r="I42">
        <f>SmtRes!Y117*Source!I184</f>
        <v>8.0999999999999996E-3</v>
      </c>
      <c r="J42">
        <f>SmtRes!AO117</f>
        <v>1</v>
      </c>
      <c r="K42">
        <f>SmtRes!AE117</f>
        <v>35.25</v>
      </c>
      <c r="L42">
        <f>SmtRes!DB117</f>
        <v>5.29</v>
      </c>
      <c r="M42">
        <f>ROUND(ROUND(L42*Source!I184, 6)*1, 2)</f>
        <v>0.28999999999999998</v>
      </c>
      <c r="N42">
        <f>SmtRes!AA117</f>
        <v>35.25</v>
      </c>
      <c r="O42">
        <f>ROUND(ROUND(L42*Source!I184, 6)*SmtRes!DA117, 2)</f>
        <v>0.28999999999999998</v>
      </c>
      <c r="P42">
        <f>SmtRes!AG117</f>
        <v>0</v>
      </c>
      <c r="Q42">
        <f>SmtRes!DC117</f>
        <v>0</v>
      </c>
      <c r="R42">
        <f>ROUND(ROUND(Q42*Source!I184, 6)*1, 2)</f>
        <v>0</v>
      </c>
      <c r="S42">
        <f>SmtRes!AC117</f>
        <v>0</v>
      </c>
      <c r="T42">
        <f>ROUND(ROUND(Q42*Source!I184, 6)*SmtRes!AK117, 2)</f>
        <v>0</v>
      </c>
      <c r="U42">
        <f>SmtRes!X117</f>
        <v>1927597627</v>
      </c>
      <c r="V42">
        <v>-1829664509</v>
      </c>
      <c r="W42">
        <v>-1829664509</v>
      </c>
      <c r="X42">
        <v>3</v>
      </c>
    </row>
    <row r="43" spans="1:24" x14ac:dyDescent="0.2">
      <c r="A43">
        <v>20</v>
      </c>
      <c r="B43">
        <v>116</v>
      </c>
      <c r="C43">
        <v>3</v>
      </c>
      <c r="D43">
        <v>0</v>
      </c>
      <c r="E43">
        <f>SmtRes!AV116</f>
        <v>0</v>
      </c>
      <c r="F43" t="str">
        <f>SmtRes!I116</f>
        <v>21.1-12-45</v>
      </c>
      <c r="G43" t="str">
        <f>SmtRes!K116</f>
        <v>Щебень из естественного камня для строительных работ, рядовой, марка 300-200</v>
      </c>
      <c r="H43" t="str">
        <f>SmtRes!O116</f>
        <v>м3</v>
      </c>
      <c r="I43">
        <f>SmtRes!Y116*Source!I184</f>
        <v>6.2099999999999995E-2</v>
      </c>
      <c r="J43">
        <f>SmtRes!AO116</f>
        <v>1</v>
      </c>
      <c r="K43">
        <f>SmtRes!AE116</f>
        <v>1436.5</v>
      </c>
      <c r="L43">
        <f>SmtRes!DB116</f>
        <v>1651.98</v>
      </c>
      <c r="M43">
        <f>ROUND(ROUND(L43*Source!I184, 6)*1, 2)</f>
        <v>89.21</v>
      </c>
      <c r="N43">
        <f>SmtRes!AA116</f>
        <v>1436.5</v>
      </c>
      <c r="O43">
        <f>ROUND(ROUND(L43*Source!I184, 6)*SmtRes!DA116, 2)</f>
        <v>89.21</v>
      </c>
      <c r="P43">
        <f>SmtRes!AG116</f>
        <v>0</v>
      </c>
      <c r="Q43">
        <f>SmtRes!DC116</f>
        <v>0</v>
      </c>
      <c r="R43">
        <f>ROUND(ROUND(Q43*Source!I184, 6)*1, 2)</f>
        <v>0</v>
      </c>
      <c r="S43">
        <f>SmtRes!AC116</f>
        <v>0</v>
      </c>
      <c r="T43">
        <f>ROUND(ROUND(Q43*Source!I184, 6)*SmtRes!AK116, 2)</f>
        <v>0</v>
      </c>
      <c r="U43">
        <f>SmtRes!X116</f>
        <v>23642594</v>
      </c>
      <c r="V43">
        <v>960680793</v>
      </c>
      <c r="W43">
        <v>960680793</v>
      </c>
      <c r="X43">
        <v>3</v>
      </c>
    </row>
    <row r="44" spans="1:24" x14ac:dyDescent="0.2">
      <c r="A44">
        <v>20</v>
      </c>
      <c r="B44">
        <v>122</v>
      </c>
      <c r="C44">
        <v>3</v>
      </c>
      <c r="D44">
        <v>0</v>
      </c>
      <c r="E44">
        <f>SmtRes!AV122</f>
        <v>0</v>
      </c>
      <c r="F44" t="str">
        <f>SmtRes!I122</f>
        <v>21.3-1-64</v>
      </c>
      <c r="G44" t="str">
        <f>SmtRes!K122</f>
        <v>Смеси бетонные, БСГ, тяжелого бетона на гранитном щебне, класс прочности: В7,5 (М100); П3, фракция 5-20</v>
      </c>
      <c r="H44" t="str">
        <f>SmtRes!O122</f>
        <v>м3</v>
      </c>
      <c r="I44">
        <f>SmtRes!Y122*Source!I185</f>
        <v>0.20400000000000001</v>
      </c>
      <c r="J44">
        <f>SmtRes!AO122</f>
        <v>1</v>
      </c>
      <c r="K44">
        <f>SmtRes!AE122</f>
        <v>3247.23</v>
      </c>
      <c r="L44">
        <f>SmtRes!DB122</f>
        <v>331217.46000000002</v>
      </c>
      <c r="M44">
        <f>ROUND(ROUND(L44*Source!I185, 6)*1, 2)</f>
        <v>662.43</v>
      </c>
      <c r="N44">
        <f>SmtRes!AA122</f>
        <v>3247.23</v>
      </c>
      <c r="O44">
        <f>ROUND(ROUND(L44*Source!I185, 6)*SmtRes!DA122, 2)</f>
        <v>662.43</v>
      </c>
      <c r="P44">
        <f>SmtRes!AG122</f>
        <v>0</v>
      </c>
      <c r="Q44">
        <f>SmtRes!DC122</f>
        <v>0</v>
      </c>
      <c r="R44">
        <f>ROUND(ROUND(Q44*Source!I185, 6)*1, 2)</f>
        <v>0</v>
      </c>
      <c r="S44">
        <f>SmtRes!AC122</f>
        <v>0</v>
      </c>
      <c r="T44">
        <f>ROUND(ROUND(Q44*Source!I185, 6)*SmtRes!AK122, 2)</f>
        <v>0</v>
      </c>
      <c r="U44">
        <f>SmtRes!X122</f>
        <v>1860113861</v>
      </c>
      <c r="V44">
        <v>1007544638</v>
      </c>
      <c r="W44">
        <v>1007544638</v>
      </c>
      <c r="X44">
        <v>3</v>
      </c>
    </row>
    <row r="45" spans="1:24" x14ac:dyDescent="0.2">
      <c r="A45">
        <v>20</v>
      </c>
      <c r="B45">
        <v>121</v>
      </c>
      <c r="C45">
        <v>3</v>
      </c>
      <c r="D45">
        <v>0</v>
      </c>
      <c r="E45">
        <f>SmtRes!AV121</f>
        <v>0</v>
      </c>
      <c r="F45" t="str">
        <f>SmtRes!I121</f>
        <v>21.1-25-13</v>
      </c>
      <c r="G45" t="str">
        <f>SmtRes!K121</f>
        <v>Вода</v>
      </c>
      <c r="H45" t="str">
        <f>SmtRes!O121</f>
        <v>м3</v>
      </c>
      <c r="I45">
        <f>SmtRes!Y121*Source!I185</f>
        <v>3.5000000000000001E-3</v>
      </c>
      <c r="J45">
        <f>SmtRes!AO121</f>
        <v>1</v>
      </c>
      <c r="K45">
        <f>SmtRes!AE121</f>
        <v>35.25</v>
      </c>
      <c r="L45">
        <f>SmtRes!DB121</f>
        <v>61.69</v>
      </c>
      <c r="M45">
        <f>ROUND(ROUND(L45*Source!I185, 6)*1, 2)</f>
        <v>0.12</v>
      </c>
      <c r="N45">
        <f>SmtRes!AA121</f>
        <v>35.25</v>
      </c>
      <c r="O45">
        <f>ROUND(ROUND(L45*Source!I185, 6)*SmtRes!DA121, 2)</f>
        <v>0.12</v>
      </c>
      <c r="P45">
        <f>SmtRes!AG121</f>
        <v>0</v>
      </c>
      <c r="Q45">
        <f>SmtRes!DC121</f>
        <v>0</v>
      </c>
      <c r="R45">
        <f>ROUND(ROUND(Q45*Source!I185, 6)*1, 2)</f>
        <v>0</v>
      </c>
      <c r="S45">
        <f>SmtRes!AC121</f>
        <v>0</v>
      </c>
      <c r="T45">
        <f>ROUND(ROUND(Q45*Source!I185, 6)*SmtRes!AK121, 2)</f>
        <v>0</v>
      </c>
      <c r="U45">
        <f>SmtRes!X121</f>
        <v>1927597627</v>
      </c>
      <c r="V45">
        <v>-1829664509</v>
      </c>
      <c r="W45">
        <v>-1829664509</v>
      </c>
      <c r="X45">
        <v>3</v>
      </c>
    </row>
    <row r="46" spans="1:24" x14ac:dyDescent="0.2">
      <c r="A46">
        <v>20</v>
      </c>
      <c r="B46">
        <v>120</v>
      </c>
      <c r="C46">
        <v>3</v>
      </c>
      <c r="D46">
        <v>0</v>
      </c>
      <c r="E46">
        <f>SmtRes!AV120</f>
        <v>0</v>
      </c>
      <c r="F46" t="str">
        <f>SmtRes!I120</f>
        <v>21.1-20-17</v>
      </c>
      <c r="G46" t="str">
        <f>SmtRes!K120</f>
        <v>Мешковина</v>
      </c>
      <c r="H46" t="str">
        <f>SmtRes!O120</f>
        <v>м2</v>
      </c>
      <c r="I46">
        <f>SmtRes!Y120*Source!I185</f>
        <v>0.5</v>
      </c>
      <c r="J46">
        <f>SmtRes!AO120</f>
        <v>1</v>
      </c>
      <c r="K46">
        <f>SmtRes!AE120</f>
        <v>91.89</v>
      </c>
      <c r="L46">
        <f>SmtRes!DB120</f>
        <v>22972.5</v>
      </c>
      <c r="M46">
        <f>ROUND(ROUND(L46*Source!I185, 6)*1, 2)</f>
        <v>45.95</v>
      </c>
      <c r="N46">
        <f>SmtRes!AA120</f>
        <v>91.89</v>
      </c>
      <c r="O46">
        <f>ROUND(ROUND(L46*Source!I185, 6)*SmtRes!DA120, 2)</f>
        <v>45.95</v>
      </c>
      <c r="P46">
        <f>SmtRes!AG120</f>
        <v>0</v>
      </c>
      <c r="Q46">
        <f>SmtRes!DC120</f>
        <v>0</v>
      </c>
      <c r="R46">
        <f>ROUND(ROUND(Q46*Source!I185, 6)*1, 2)</f>
        <v>0</v>
      </c>
      <c r="S46">
        <f>SmtRes!AC120</f>
        <v>0</v>
      </c>
      <c r="T46">
        <f>ROUND(ROUND(Q46*Source!I185, 6)*SmtRes!AK120, 2)</f>
        <v>0</v>
      </c>
      <c r="U46">
        <f>SmtRes!X120</f>
        <v>-2047649341</v>
      </c>
      <c r="V46">
        <v>-1336012766</v>
      </c>
      <c r="W46">
        <v>-1336012766</v>
      </c>
      <c r="X46">
        <v>3</v>
      </c>
    </row>
    <row r="47" spans="1:24" x14ac:dyDescent="0.2">
      <c r="A47">
        <v>20</v>
      </c>
      <c r="B47">
        <v>126</v>
      </c>
      <c r="C47">
        <v>3</v>
      </c>
      <c r="D47">
        <v>0</v>
      </c>
      <c r="E47">
        <f>SmtRes!AV126</f>
        <v>0</v>
      </c>
      <c r="F47" t="str">
        <f>SmtRes!I126</f>
        <v>21.3-4-24</v>
      </c>
      <c r="G47" t="str">
        <f>SmtRes!K126</f>
        <v>Арматурные заготовки (стержни, хомуты и т.п.), не собранные в каркасы или сетки, закладные и накладные детали, со сваркой</v>
      </c>
      <c r="H47" t="str">
        <f>SmtRes!O126</f>
        <v>т</v>
      </c>
      <c r="I47">
        <f>SmtRes!Y126*Source!I186</f>
        <v>0.246</v>
      </c>
      <c r="J47">
        <f>SmtRes!AO126</f>
        <v>1</v>
      </c>
      <c r="K47">
        <f>SmtRes!AE126</f>
        <v>53233.52</v>
      </c>
      <c r="L47">
        <f>SmtRes!DB126</f>
        <v>53233.52</v>
      </c>
      <c r="M47">
        <f>ROUND(ROUND(L47*Source!I186, 6)*1, 2)</f>
        <v>13095.45</v>
      </c>
      <c r="N47">
        <f>SmtRes!AA126</f>
        <v>53233.52</v>
      </c>
      <c r="O47">
        <f>ROUND(ROUND(L47*Source!I186, 6)*SmtRes!DA126, 2)</f>
        <v>13095.45</v>
      </c>
      <c r="P47">
        <f>SmtRes!AG126</f>
        <v>0</v>
      </c>
      <c r="Q47">
        <f>SmtRes!DC126</f>
        <v>0</v>
      </c>
      <c r="R47">
        <f>ROUND(ROUND(Q47*Source!I186, 6)*1, 2)</f>
        <v>0</v>
      </c>
      <c r="S47">
        <f>SmtRes!AC126</f>
        <v>0</v>
      </c>
      <c r="T47">
        <f>ROUND(ROUND(Q47*Source!I186, 6)*SmtRes!AK126, 2)</f>
        <v>0</v>
      </c>
      <c r="U47">
        <f>SmtRes!X126</f>
        <v>-1958973042</v>
      </c>
      <c r="V47">
        <v>-593828415</v>
      </c>
      <c r="W47">
        <v>-593828415</v>
      </c>
      <c r="X47">
        <v>3</v>
      </c>
    </row>
    <row r="48" spans="1:24" x14ac:dyDescent="0.2">
      <c r="A48">
        <v>20</v>
      </c>
      <c r="B48">
        <v>125</v>
      </c>
      <c r="C48">
        <v>3</v>
      </c>
      <c r="D48">
        <v>0</v>
      </c>
      <c r="E48">
        <f>SmtRes!AV125</f>
        <v>0</v>
      </c>
      <c r="F48" t="str">
        <f>SmtRes!I125</f>
        <v>21.1-23-9</v>
      </c>
      <c r="G48" t="str">
        <f>SmtRes!K125</f>
        <v>Электроды, тип Э-42, 46, 50, диаметр 4 - 6 мм</v>
      </c>
      <c r="H48" t="str">
        <f>SmtRes!O125</f>
        <v>т</v>
      </c>
      <c r="I48">
        <f>SmtRes!Y125*Source!I186</f>
        <v>7.3799999999999994E-3</v>
      </c>
      <c r="J48">
        <f>SmtRes!AO125</f>
        <v>1</v>
      </c>
      <c r="K48">
        <f>SmtRes!AE125</f>
        <v>110781.14</v>
      </c>
      <c r="L48">
        <f>SmtRes!DB125</f>
        <v>3323.43</v>
      </c>
      <c r="M48">
        <f>ROUND(ROUND(L48*Source!I186, 6)*1, 2)</f>
        <v>817.56</v>
      </c>
      <c r="N48">
        <f>SmtRes!AA125</f>
        <v>110781.14</v>
      </c>
      <c r="O48">
        <f>ROUND(ROUND(L48*Source!I186, 6)*SmtRes!DA125, 2)</f>
        <v>817.56</v>
      </c>
      <c r="P48">
        <f>SmtRes!AG125</f>
        <v>0</v>
      </c>
      <c r="Q48">
        <f>SmtRes!DC125</f>
        <v>0</v>
      </c>
      <c r="R48">
        <f>ROUND(ROUND(Q48*Source!I186, 6)*1, 2)</f>
        <v>0</v>
      </c>
      <c r="S48">
        <f>SmtRes!AC125</f>
        <v>0</v>
      </c>
      <c r="T48">
        <f>ROUND(ROUND(Q48*Source!I186, 6)*SmtRes!AK125, 2)</f>
        <v>0</v>
      </c>
      <c r="U48">
        <f>SmtRes!X125</f>
        <v>-672771621</v>
      </c>
      <c r="V48">
        <v>-1526606762</v>
      </c>
      <c r="W48">
        <v>-1526606762</v>
      </c>
      <c r="X48">
        <v>3</v>
      </c>
    </row>
    <row r="49" spans="1:24" x14ac:dyDescent="0.2">
      <c r="A49">
        <f>Source!A187</f>
        <v>18</v>
      </c>
      <c r="B49">
        <v>187</v>
      </c>
      <c r="C49">
        <v>3</v>
      </c>
      <c r="D49">
        <f>Source!BI187</f>
        <v>1</v>
      </c>
      <c r="E49">
        <f>Source!FS187</f>
        <v>0</v>
      </c>
      <c r="F49" t="str">
        <f>Source!F187</f>
        <v>коммерч. предлож.</v>
      </c>
      <c r="G49" t="str">
        <f>Source!G187</f>
        <v>Баскетбольный щит, с ЗСР 2% (0,085т*2шт.)</v>
      </c>
      <c r="H49" t="str">
        <f>Source!H187</f>
        <v>шт.</v>
      </c>
      <c r="I49">
        <f>Source!I187</f>
        <v>2</v>
      </c>
      <c r="J49">
        <v>1</v>
      </c>
      <c r="K49">
        <f>Source!AC187</f>
        <v>21663.95</v>
      </c>
      <c r="M49">
        <f>ROUND(K49*I49, 2)</f>
        <v>43327.9</v>
      </c>
      <c r="N49">
        <f>Source!AC187*IF(Source!BC187&lt;&gt; 0, Source!BC187, 1)</f>
        <v>21663.95</v>
      </c>
      <c r="O49">
        <f>ROUND(N49*I49, 2)</f>
        <v>43327.9</v>
      </c>
      <c r="P49">
        <f>Source!AE187</f>
        <v>0</v>
      </c>
      <c r="R49">
        <f>ROUND(P49*I49, 2)</f>
        <v>0</v>
      </c>
      <c r="S49">
        <f>Source!AE187*IF(Source!BS187&lt;&gt; 0, Source!BS187, 1)</f>
        <v>0</v>
      </c>
      <c r="T49">
        <f>ROUND(S49*I49, 2)</f>
        <v>0</v>
      </c>
      <c r="U49">
        <f>Source!GF187</f>
        <v>1406858603</v>
      </c>
      <c r="V49">
        <v>2030500470</v>
      </c>
      <c r="W49">
        <v>2030500470</v>
      </c>
      <c r="X49">
        <v>3</v>
      </c>
    </row>
    <row r="50" spans="1:24" x14ac:dyDescent="0.2">
      <c r="A50">
        <f>Source!A188</f>
        <v>18</v>
      </c>
      <c r="B50">
        <v>188</v>
      </c>
      <c r="C50">
        <v>3</v>
      </c>
      <c r="D50">
        <f>Source!BI188</f>
        <v>1</v>
      </c>
      <c r="E50">
        <f>Source!FS188</f>
        <v>0</v>
      </c>
      <c r="F50" t="str">
        <f>Source!F188</f>
        <v>коммерч. предлож.</v>
      </c>
      <c r="G50" t="str">
        <f>Source!G188</f>
        <v>Хоккейные ворота, с ЗСР 2% (0,038т*2шт.)</v>
      </c>
      <c r="H50" t="str">
        <f>Source!H188</f>
        <v>шт.</v>
      </c>
      <c r="I50">
        <f>Source!I188</f>
        <v>2</v>
      </c>
      <c r="J50">
        <v>1</v>
      </c>
      <c r="K50">
        <f>Source!AC188</f>
        <v>14960</v>
      </c>
      <c r="M50">
        <f>ROUND(K50*I50, 2)</f>
        <v>29920</v>
      </c>
      <c r="N50">
        <f>Source!AC188*IF(Source!BC188&lt;&gt; 0, Source!BC188, 1)</f>
        <v>14960</v>
      </c>
      <c r="O50">
        <f>ROUND(N50*I50, 2)</f>
        <v>29920</v>
      </c>
      <c r="P50">
        <f>Source!AE188</f>
        <v>0</v>
      </c>
      <c r="R50">
        <f>ROUND(P50*I50, 2)</f>
        <v>0</v>
      </c>
      <c r="S50">
        <f>Source!AE188*IF(Source!BS188&lt;&gt; 0, Source!BS188, 1)</f>
        <v>0</v>
      </c>
      <c r="T50">
        <f>ROUND(S50*I50, 2)</f>
        <v>0</v>
      </c>
      <c r="U50">
        <f>Source!GF188</f>
        <v>-2138184854</v>
      </c>
      <c r="V50">
        <v>-987443511</v>
      </c>
      <c r="W50">
        <v>-987443511</v>
      </c>
      <c r="X50">
        <v>3</v>
      </c>
    </row>
    <row r="51" spans="1:24" x14ac:dyDescent="0.2">
      <c r="A51">
        <f>Source!A223</f>
        <v>4</v>
      </c>
      <c r="B51">
        <v>223</v>
      </c>
      <c r="G51" t="str">
        <f>Source!G223</f>
        <v>Установка лавочек 2 шт.</v>
      </c>
    </row>
    <row r="52" spans="1:24" x14ac:dyDescent="0.2">
      <c r="A52">
        <v>20</v>
      </c>
      <c r="B52">
        <v>131</v>
      </c>
      <c r="C52">
        <v>3</v>
      </c>
      <c r="D52">
        <v>0</v>
      </c>
      <c r="E52">
        <f>SmtRes!AV131</f>
        <v>0</v>
      </c>
      <c r="F52" t="str">
        <f>SmtRes!I131</f>
        <v>21.7-3-52</v>
      </c>
      <c r="G52" t="str">
        <f>SmtRes!K131</f>
        <v>Сверло победитовое, диаметр 25 мм, длина 400 мм</v>
      </c>
      <c r="H52" t="str">
        <f>SmtRes!O131</f>
        <v>шт.</v>
      </c>
      <c r="I52">
        <f>SmtRes!Y131*Source!I227</f>
        <v>0.8</v>
      </c>
      <c r="J52">
        <f>SmtRes!AO131</f>
        <v>1</v>
      </c>
      <c r="K52">
        <f>SmtRes!AE131</f>
        <v>2035.41</v>
      </c>
      <c r="L52">
        <f>SmtRes!DB131</f>
        <v>20354.099999999999</v>
      </c>
      <c r="M52">
        <f>ROUND(ROUND(L52*Source!I227, 6)*1, 2)</f>
        <v>1628.33</v>
      </c>
      <c r="N52">
        <f>SmtRes!AA131</f>
        <v>2035.41</v>
      </c>
      <c r="O52">
        <f>ROUND(ROUND(L52*Source!I227, 6)*SmtRes!DA131, 2)</f>
        <v>1628.33</v>
      </c>
      <c r="P52">
        <f>SmtRes!AG131</f>
        <v>0</v>
      </c>
      <c r="Q52">
        <f>SmtRes!DC131</f>
        <v>0</v>
      </c>
      <c r="R52">
        <f>ROUND(ROUND(Q52*Source!I227, 6)*1, 2)</f>
        <v>0</v>
      </c>
      <c r="S52">
        <f>SmtRes!AC131</f>
        <v>0</v>
      </c>
      <c r="T52">
        <f>ROUND(ROUND(Q52*Source!I227, 6)*SmtRes!AK131, 2)</f>
        <v>0</v>
      </c>
      <c r="U52">
        <f>SmtRes!X131</f>
        <v>1692200663</v>
      </c>
      <c r="V52">
        <v>-1221656824</v>
      </c>
      <c r="W52">
        <v>-1221656824</v>
      </c>
      <c r="X52">
        <v>3</v>
      </c>
    </row>
    <row r="53" spans="1:24" x14ac:dyDescent="0.2">
      <c r="A53">
        <v>20</v>
      </c>
      <c r="B53">
        <v>135</v>
      </c>
      <c r="C53">
        <v>3</v>
      </c>
      <c r="D53">
        <v>0</v>
      </c>
      <c r="E53">
        <f>SmtRes!AV135</f>
        <v>0</v>
      </c>
      <c r="F53" t="str">
        <f>SmtRes!I135</f>
        <v>21.7-5-28</v>
      </c>
      <c r="G53" t="str">
        <f>SmtRes!K135</f>
        <v>Анкер-шпилька распорный, оцинкованный, для установки в бетон, HSA-F M16x190/75/95</v>
      </c>
      <c r="H53" t="str">
        <f>SmtRes!O135</f>
        <v>шт.</v>
      </c>
      <c r="I53">
        <f>SmtRes!Y135*Source!I228</f>
        <v>2.6663999999999999</v>
      </c>
      <c r="J53">
        <f>SmtRes!AO135</f>
        <v>1</v>
      </c>
      <c r="K53">
        <f>SmtRes!AE135</f>
        <v>281.63</v>
      </c>
      <c r="L53">
        <f>SmtRes!DB135</f>
        <v>9386.73</v>
      </c>
      <c r="M53">
        <f>ROUND(ROUND(L53*Source!I228, 6)*1, 2)</f>
        <v>750.94</v>
      </c>
      <c r="N53">
        <f>SmtRes!AA135</f>
        <v>281.63</v>
      </c>
      <c r="O53">
        <f>ROUND(ROUND(L53*Source!I228, 6)*SmtRes!DA135, 2)</f>
        <v>750.94</v>
      </c>
      <c r="P53">
        <f>SmtRes!AG135</f>
        <v>0</v>
      </c>
      <c r="Q53">
        <f>SmtRes!DC135</f>
        <v>0</v>
      </c>
      <c r="R53">
        <f>ROUND(ROUND(Q53*Source!I228, 6)*1, 2)</f>
        <v>0</v>
      </c>
      <c r="S53">
        <f>SmtRes!AC135</f>
        <v>0</v>
      </c>
      <c r="T53">
        <f>ROUND(ROUND(Q53*Source!I228, 6)*SmtRes!AK135, 2)</f>
        <v>0</v>
      </c>
      <c r="U53">
        <f>SmtRes!X135</f>
        <v>-781299594</v>
      </c>
      <c r="V53">
        <v>289960420</v>
      </c>
      <c r="W53">
        <v>289960420</v>
      </c>
      <c r="X53">
        <v>3</v>
      </c>
    </row>
    <row r="54" spans="1:24" x14ac:dyDescent="0.2">
      <c r="A54">
        <v>20</v>
      </c>
      <c r="B54">
        <v>134</v>
      </c>
      <c r="C54">
        <v>3</v>
      </c>
      <c r="D54">
        <v>0</v>
      </c>
      <c r="E54">
        <f>SmtRes!AV134</f>
        <v>0</v>
      </c>
      <c r="F54" t="str">
        <f>SmtRes!I134</f>
        <v>21.7-5-27</v>
      </c>
      <c r="G54" t="str">
        <f>SmtRes!K134</f>
        <v>Анкер-шпилька распорный, оцинкованный, для установки в бетон, HSA-F M16x140/25/45</v>
      </c>
      <c r="H54" t="str">
        <f>SmtRes!O134</f>
        <v>шт.</v>
      </c>
      <c r="I54">
        <f>SmtRes!Y134*Source!I228</f>
        <v>2.6672000000000002</v>
      </c>
      <c r="J54">
        <f>SmtRes!AO134</f>
        <v>1</v>
      </c>
      <c r="K54">
        <f>SmtRes!AE134</f>
        <v>229.66</v>
      </c>
      <c r="L54">
        <f>SmtRes!DB134</f>
        <v>7656.86</v>
      </c>
      <c r="M54">
        <f>ROUND(ROUND(L54*Source!I228, 6)*1, 2)</f>
        <v>612.54999999999995</v>
      </c>
      <c r="N54">
        <f>SmtRes!AA134</f>
        <v>229.66</v>
      </c>
      <c r="O54">
        <f>ROUND(ROUND(L54*Source!I228, 6)*SmtRes!DA134, 2)</f>
        <v>612.54999999999995</v>
      </c>
      <c r="P54">
        <f>SmtRes!AG134</f>
        <v>0</v>
      </c>
      <c r="Q54">
        <f>SmtRes!DC134</f>
        <v>0</v>
      </c>
      <c r="R54">
        <f>ROUND(ROUND(Q54*Source!I228, 6)*1, 2)</f>
        <v>0</v>
      </c>
      <c r="S54">
        <f>SmtRes!AC134</f>
        <v>0</v>
      </c>
      <c r="T54">
        <f>ROUND(ROUND(Q54*Source!I228, 6)*SmtRes!AK134, 2)</f>
        <v>0</v>
      </c>
      <c r="U54">
        <f>SmtRes!X134</f>
        <v>-902437743</v>
      </c>
      <c r="V54">
        <v>-347589412</v>
      </c>
      <c r="W54">
        <v>-347589412</v>
      </c>
      <c r="X54">
        <v>3</v>
      </c>
    </row>
    <row r="55" spans="1:24" x14ac:dyDescent="0.2">
      <c r="A55">
        <v>20</v>
      </c>
      <c r="B55">
        <v>133</v>
      </c>
      <c r="C55">
        <v>3</v>
      </c>
      <c r="D55">
        <v>0</v>
      </c>
      <c r="E55">
        <f>SmtRes!AV133</f>
        <v>0</v>
      </c>
      <c r="F55" t="str">
        <f>SmtRes!I133</f>
        <v>21.7-5-26</v>
      </c>
      <c r="G55" t="str">
        <f>SmtRes!K133</f>
        <v>Анкер-шпилька распорный, оцинкованный, для установки в бетон, HSA-F M16x100</v>
      </c>
      <c r="H55" t="str">
        <f>SmtRes!O133</f>
        <v>шт.</v>
      </c>
      <c r="I55">
        <f>SmtRes!Y133*Source!I228</f>
        <v>2.6663999999999999</v>
      </c>
      <c r="J55">
        <f>SmtRes!AO133</f>
        <v>1</v>
      </c>
      <c r="K55">
        <f>SmtRes!AE133</f>
        <v>209.77</v>
      </c>
      <c r="L55">
        <f>SmtRes!DB133</f>
        <v>6991.63</v>
      </c>
      <c r="M55">
        <f>ROUND(ROUND(L55*Source!I228, 6)*1, 2)</f>
        <v>559.33000000000004</v>
      </c>
      <c r="N55">
        <f>SmtRes!AA133</f>
        <v>209.77</v>
      </c>
      <c r="O55">
        <f>ROUND(ROUND(L55*Source!I228, 6)*SmtRes!DA133, 2)</f>
        <v>559.33000000000004</v>
      </c>
      <c r="P55">
        <f>SmtRes!AG133</f>
        <v>0</v>
      </c>
      <c r="Q55">
        <f>SmtRes!DC133</f>
        <v>0</v>
      </c>
      <c r="R55">
        <f>ROUND(ROUND(Q55*Source!I228, 6)*1, 2)</f>
        <v>0</v>
      </c>
      <c r="S55">
        <f>SmtRes!AC133</f>
        <v>0</v>
      </c>
      <c r="T55">
        <f>ROUND(ROUND(Q55*Source!I228, 6)*SmtRes!AK133, 2)</f>
        <v>0</v>
      </c>
      <c r="U55">
        <f>SmtRes!X133</f>
        <v>-1109127227</v>
      </c>
      <c r="V55">
        <v>-514720397</v>
      </c>
      <c r="W55">
        <v>-514720397</v>
      </c>
      <c r="X55">
        <v>3</v>
      </c>
    </row>
    <row r="56" spans="1:24" x14ac:dyDescent="0.2">
      <c r="A56">
        <v>20</v>
      </c>
      <c r="B56">
        <v>139</v>
      </c>
      <c r="C56">
        <v>3</v>
      </c>
      <c r="D56">
        <v>0</v>
      </c>
      <c r="E56">
        <f>SmtRes!AV139</f>
        <v>0</v>
      </c>
      <c r="F56" t="str">
        <f>SmtRes!I139</f>
        <v>21.3-4-24</v>
      </c>
      <c r="G56" t="str">
        <f>SmtRes!K139</f>
        <v>Арматурные заготовки (стержни, хомуты и т.п.), не собранные в каркасы или сетки, закладные и накладные детали, со сваркой</v>
      </c>
      <c r="H56" t="str">
        <f>SmtRes!O139</f>
        <v>т</v>
      </c>
      <c r="I56">
        <f>SmtRes!Y139*Source!I229</f>
        <v>8.6199999999999999E-2</v>
      </c>
      <c r="J56">
        <f>SmtRes!AO139</f>
        <v>1</v>
      </c>
      <c r="K56">
        <f>SmtRes!AE139</f>
        <v>53233.52</v>
      </c>
      <c r="L56">
        <f>SmtRes!DB139</f>
        <v>53233.52</v>
      </c>
      <c r="M56">
        <f>ROUND(ROUND(L56*Source!I229, 6)*1, 2)</f>
        <v>4588.7299999999996</v>
      </c>
      <c r="N56">
        <f>SmtRes!AA139</f>
        <v>53233.52</v>
      </c>
      <c r="O56">
        <f>ROUND(ROUND(L56*Source!I229, 6)*SmtRes!DA139, 2)</f>
        <v>4588.7299999999996</v>
      </c>
      <c r="P56">
        <f>SmtRes!AG139</f>
        <v>0</v>
      </c>
      <c r="Q56">
        <f>SmtRes!DC139</f>
        <v>0</v>
      </c>
      <c r="R56">
        <f>ROUND(ROUND(Q56*Source!I229, 6)*1, 2)</f>
        <v>0</v>
      </c>
      <c r="S56">
        <f>SmtRes!AC139</f>
        <v>0</v>
      </c>
      <c r="T56">
        <f>ROUND(ROUND(Q56*Source!I229, 6)*SmtRes!AK139, 2)</f>
        <v>0</v>
      </c>
      <c r="U56">
        <f>SmtRes!X139</f>
        <v>-1958973042</v>
      </c>
      <c r="V56">
        <v>-593828415</v>
      </c>
      <c r="W56">
        <v>-593828415</v>
      </c>
      <c r="X56">
        <v>3</v>
      </c>
    </row>
    <row r="57" spans="1:24" x14ac:dyDescent="0.2">
      <c r="A57">
        <v>20</v>
      </c>
      <c r="B57">
        <v>138</v>
      </c>
      <c r="C57">
        <v>3</v>
      </c>
      <c r="D57">
        <v>0</v>
      </c>
      <c r="E57">
        <f>SmtRes!AV138</f>
        <v>0</v>
      </c>
      <c r="F57" t="str">
        <f>SmtRes!I138</f>
        <v>21.1-23-9</v>
      </c>
      <c r="G57" t="str">
        <f>SmtRes!K138</f>
        <v>Электроды, тип Э-42, 46, 50, диаметр 4 - 6 мм</v>
      </c>
      <c r="H57" t="str">
        <f>SmtRes!O138</f>
        <v>т</v>
      </c>
      <c r="I57">
        <f>SmtRes!Y138*Source!I229</f>
        <v>2.5859999999999998E-3</v>
      </c>
      <c r="J57">
        <f>SmtRes!AO138</f>
        <v>1</v>
      </c>
      <c r="K57">
        <f>SmtRes!AE138</f>
        <v>110781.14</v>
      </c>
      <c r="L57">
        <f>SmtRes!DB138</f>
        <v>3323.43</v>
      </c>
      <c r="M57">
        <f>ROUND(ROUND(L57*Source!I229, 6)*1, 2)</f>
        <v>286.48</v>
      </c>
      <c r="N57">
        <f>SmtRes!AA138</f>
        <v>110781.14</v>
      </c>
      <c r="O57">
        <f>ROUND(ROUND(L57*Source!I229, 6)*SmtRes!DA138, 2)</f>
        <v>286.48</v>
      </c>
      <c r="P57">
        <f>SmtRes!AG138</f>
        <v>0</v>
      </c>
      <c r="Q57">
        <f>SmtRes!DC138</f>
        <v>0</v>
      </c>
      <c r="R57">
        <f>ROUND(ROUND(Q57*Source!I229, 6)*1, 2)</f>
        <v>0</v>
      </c>
      <c r="S57">
        <f>SmtRes!AC138</f>
        <v>0</v>
      </c>
      <c r="T57">
        <f>ROUND(ROUND(Q57*Source!I229, 6)*SmtRes!AK138, 2)</f>
        <v>0</v>
      </c>
      <c r="U57">
        <f>SmtRes!X138</f>
        <v>-672771621</v>
      </c>
      <c r="V57">
        <v>-1526606762</v>
      </c>
      <c r="W57">
        <v>-1526606762</v>
      </c>
      <c r="X57">
        <v>3</v>
      </c>
    </row>
    <row r="58" spans="1:24" x14ac:dyDescent="0.2">
      <c r="A58">
        <f>Source!A230</f>
        <v>18</v>
      </c>
      <c r="B58">
        <v>230</v>
      </c>
      <c r="C58">
        <v>3</v>
      </c>
      <c r="D58">
        <f>Source!BI230</f>
        <v>1</v>
      </c>
      <c r="E58">
        <f>Source!FS230</f>
        <v>0</v>
      </c>
      <c r="F58" t="str">
        <f>Source!F230</f>
        <v>коммерч. предлож.</v>
      </c>
      <c r="G58" t="str">
        <f>Source!G230</f>
        <v>Лавочка "Сплетница", темная рейка, с ЗСР 2% (0,0431т)</v>
      </c>
      <c r="H58" t="str">
        <f>Source!H230</f>
        <v>шт.</v>
      </c>
      <c r="I58">
        <f>Source!I230</f>
        <v>2</v>
      </c>
      <c r="J58">
        <v>1</v>
      </c>
      <c r="K58">
        <f>Source!AC230</f>
        <v>12835</v>
      </c>
      <c r="M58">
        <f>ROUND(K58*I58, 2)</f>
        <v>25670</v>
      </c>
      <c r="N58">
        <f>Source!AC230*IF(Source!BC230&lt;&gt; 0, Source!BC230, 1)</f>
        <v>12835</v>
      </c>
      <c r="O58">
        <f>ROUND(N58*I58, 2)</f>
        <v>25670</v>
      </c>
      <c r="P58">
        <f>Source!AE230</f>
        <v>0</v>
      </c>
      <c r="R58">
        <f>ROUND(P58*I58, 2)</f>
        <v>0</v>
      </c>
      <c r="S58">
        <f>Source!AE230*IF(Source!BS230&lt;&gt; 0, Source!BS230, 1)</f>
        <v>0</v>
      </c>
      <c r="T58">
        <f>ROUND(S58*I58, 2)</f>
        <v>0</v>
      </c>
      <c r="U58">
        <f>Source!GF230</f>
        <v>2096180198</v>
      </c>
      <c r="V58">
        <v>-1224727785</v>
      </c>
      <c r="W58">
        <v>-1224727785</v>
      </c>
      <c r="X58">
        <v>3</v>
      </c>
    </row>
    <row r="59" spans="1:24" x14ac:dyDescent="0.2">
      <c r="A59">
        <f>Source!A265</f>
        <v>4</v>
      </c>
      <c r="B59">
        <v>265</v>
      </c>
      <c r="G59" t="str">
        <f>Source!G265</f>
        <v>Установка урн 2 шт.</v>
      </c>
    </row>
    <row r="60" spans="1:24" x14ac:dyDescent="0.2">
      <c r="A60">
        <v>20</v>
      </c>
      <c r="B60">
        <v>143</v>
      </c>
      <c r="C60">
        <v>3</v>
      </c>
      <c r="D60">
        <v>0</v>
      </c>
      <c r="E60">
        <f>SmtRes!AV143</f>
        <v>0</v>
      </c>
      <c r="F60" t="str">
        <f>SmtRes!I143</f>
        <v>21.7-3-52</v>
      </c>
      <c r="G60" t="str">
        <f>SmtRes!K143</f>
        <v>Сверло победитовое, диаметр 25 мм, длина 400 мм</v>
      </c>
      <c r="H60" t="str">
        <f>SmtRes!O143</f>
        <v>шт.</v>
      </c>
      <c r="I60">
        <f>SmtRes!Y143*Source!I269</f>
        <v>0.4</v>
      </c>
      <c r="J60">
        <f>SmtRes!AO143</f>
        <v>1</v>
      </c>
      <c r="K60">
        <f>SmtRes!AE143</f>
        <v>2035.41</v>
      </c>
      <c r="L60">
        <f>SmtRes!DB143</f>
        <v>20354.099999999999</v>
      </c>
      <c r="M60">
        <f>ROUND(ROUND(L60*Source!I269, 6)*1, 2)</f>
        <v>814.16</v>
      </c>
      <c r="N60">
        <f>SmtRes!AA143</f>
        <v>2035.41</v>
      </c>
      <c r="O60">
        <f>ROUND(ROUND(L60*Source!I269, 6)*SmtRes!DA143, 2)</f>
        <v>814.16</v>
      </c>
      <c r="P60">
        <f>SmtRes!AG143</f>
        <v>0</v>
      </c>
      <c r="Q60">
        <f>SmtRes!DC143</f>
        <v>0</v>
      </c>
      <c r="R60">
        <f>ROUND(ROUND(Q60*Source!I269, 6)*1, 2)</f>
        <v>0</v>
      </c>
      <c r="S60">
        <f>SmtRes!AC143</f>
        <v>0</v>
      </c>
      <c r="T60">
        <f>ROUND(ROUND(Q60*Source!I269, 6)*SmtRes!AK143, 2)</f>
        <v>0</v>
      </c>
      <c r="U60">
        <f>SmtRes!X143</f>
        <v>1692200663</v>
      </c>
      <c r="V60">
        <v>-1221656824</v>
      </c>
      <c r="W60">
        <v>-1221656824</v>
      </c>
      <c r="X60">
        <v>3</v>
      </c>
    </row>
    <row r="61" spans="1:24" x14ac:dyDescent="0.2">
      <c r="A61">
        <v>20</v>
      </c>
      <c r="B61">
        <v>147</v>
      </c>
      <c r="C61">
        <v>3</v>
      </c>
      <c r="D61">
        <v>0</v>
      </c>
      <c r="E61">
        <f>SmtRes!AV147</f>
        <v>0</v>
      </c>
      <c r="F61" t="str">
        <f>SmtRes!I147</f>
        <v>21.7-5-28</v>
      </c>
      <c r="G61" t="str">
        <f>SmtRes!K147</f>
        <v>Анкер-шпилька распорный, оцинкованный, для установки в бетон, HSA-F M16x190/75/95</v>
      </c>
      <c r="H61" t="str">
        <f>SmtRes!O147</f>
        <v>шт.</v>
      </c>
      <c r="I61">
        <f>SmtRes!Y147*Source!I270</f>
        <v>1.3331999999999999</v>
      </c>
      <c r="J61">
        <f>SmtRes!AO147</f>
        <v>1</v>
      </c>
      <c r="K61">
        <f>SmtRes!AE147</f>
        <v>281.63</v>
      </c>
      <c r="L61">
        <f>SmtRes!DB147</f>
        <v>9386.73</v>
      </c>
      <c r="M61">
        <f>ROUND(ROUND(L61*Source!I270, 6)*1, 2)</f>
        <v>375.47</v>
      </c>
      <c r="N61">
        <f>SmtRes!AA147</f>
        <v>281.63</v>
      </c>
      <c r="O61">
        <f>ROUND(ROUND(L61*Source!I270, 6)*SmtRes!DA147, 2)</f>
        <v>375.47</v>
      </c>
      <c r="P61">
        <f>SmtRes!AG147</f>
        <v>0</v>
      </c>
      <c r="Q61">
        <f>SmtRes!DC147</f>
        <v>0</v>
      </c>
      <c r="R61">
        <f>ROUND(ROUND(Q61*Source!I270, 6)*1, 2)</f>
        <v>0</v>
      </c>
      <c r="S61">
        <f>SmtRes!AC147</f>
        <v>0</v>
      </c>
      <c r="T61">
        <f>ROUND(ROUND(Q61*Source!I270, 6)*SmtRes!AK147, 2)</f>
        <v>0</v>
      </c>
      <c r="U61">
        <f>SmtRes!X147</f>
        <v>-781299594</v>
      </c>
      <c r="V61">
        <v>289960420</v>
      </c>
      <c r="W61">
        <v>289960420</v>
      </c>
      <c r="X61">
        <v>3</v>
      </c>
    </row>
    <row r="62" spans="1:24" x14ac:dyDescent="0.2">
      <c r="A62">
        <v>20</v>
      </c>
      <c r="B62">
        <v>146</v>
      </c>
      <c r="C62">
        <v>3</v>
      </c>
      <c r="D62">
        <v>0</v>
      </c>
      <c r="E62">
        <f>SmtRes!AV146</f>
        <v>0</v>
      </c>
      <c r="F62" t="str">
        <f>SmtRes!I146</f>
        <v>21.7-5-27</v>
      </c>
      <c r="G62" t="str">
        <f>SmtRes!K146</f>
        <v>Анкер-шпилька распорный, оцинкованный, для установки в бетон, HSA-F M16x140/25/45</v>
      </c>
      <c r="H62" t="str">
        <f>SmtRes!O146</f>
        <v>шт.</v>
      </c>
      <c r="I62">
        <f>SmtRes!Y146*Source!I270</f>
        <v>1.3336000000000001</v>
      </c>
      <c r="J62">
        <f>SmtRes!AO146</f>
        <v>1</v>
      </c>
      <c r="K62">
        <f>SmtRes!AE146</f>
        <v>229.66</v>
      </c>
      <c r="L62">
        <f>SmtRes!DB146</f>
        <v>7656.86</v>
      </c>
      <c r="M62">
        <f>ROUND(ROUND(L62*Source!I270, 6)*1, 2)</f>
        <v>306.27</v>
      </c>
      <c r="N62">
        <f>SmtRes!AA146</f>
        <v>229.66</v>
      </c>
      <c r="O62">
        <f>ROUND(ROUND(L62*Source!I270, 6)*SmtRes!DA146, 2)</f>
        <v>306.27</v>
      </c>
      <c r="P62">
        <f>SmtRes!AG146</f>
        <v>0</v>
      </c>
      <c r="Q62">
        <f>SmtRes!DC146</f>
        <v>0</v>
      </c>
      <c r="R62">
        <f>ROUND(ROUND(Q62*Source!I270, 6)*1, 2)</f>
        <v>0</v>
      </c>
      <c r="S62">
        <f>SmtRes!AC146</f>
        <v>0</v>
      </c>
      <c r="T62">
        <f>ROUND(ROUND(Q62*Source!I270, 6)*SmtRes!AK146, 2)</f>
        <v>0</v>
      </c>
      <c r="U62">
        <f>SmtRes!X146</f>
        <v>-902437743</v>
      </c>
      <c r="V62">
        <v>-347589412</v>
      </c>
      <c r="W62">
        <v>-347589412</v>
      </c>
      <c r="X62">
        <v>3</v>
      </c>
    </row>
    <row r="63" spans="1:24" x14ac:dyDescent="0.2">
      <c r="A63">
        <v>20</v>
      </c>
      <c r="B63">
        <v>145</v>
      </c>
      <c r="C63">
        <v>3</v>
      </c>
      <c r="D63">
        <v>0</v>
      </c>
      <c r="E63">
        <f>SmtRes!AV145</f>
        <v>0</v>
      </c>
      <c r="F63" t="str">
        <f>SmtRes!I145</f>
        <v>21.7-5-26</v>
      </c>
      <c r="G63" t="str">
        <f>SmtRes!K145</f>
        <v>Анкер-шпилька распорный, оцинкованный, для установки в бетон, HSA-F M16x100</v>
      </c>
      <c r="H63" t="str">
        <f>SmtRes!O145</f>
        <v>шт.</v>
      </c>
      <c r="I63">
        <f>SmtRes!Y145*Source!I270</f>
        <v>1.3331999999999999</v>
      </c>
      <c r="J63">
        <f>SmtRes!AO145</f>
        <v>1</v>
      </c>
      <c r="K63">
        <f>SmtRes!AE145</f>
        <v>209.77</v>
      </c>
      <c r="L63">
        <f>SmtRes!DB145</f>
        <v>6991.63</v>
      </c>
      <c r="M63">
        <f>ROUND(ROUND(L63*Source!I270, 6)*1, 2)</f>
        <v>279.67</v>
      </c>
      <c r="N63">
        <f>SmtRes!AA145</f>
        <v>209.77</v>
      </c>
      <c r="O63">
        <f>ROUND(ROUND(L63*Source!I270, 6)*SmtRes!DA145, 2)</f>
        <v>279.67</v>
      </c>
      <c r="P63">
        <f>SmtRes!AG145</f>
        <v>0</v>
      </c>
      <c r="Q63">
        <f>SmtRes!DC145</f>
        <v>0</v>
      </c>
      <c r="R63">
        <f>ROUND(ROUND(Q63*Source!I270, 6)*1, 2)</f>
        <v>0</v>
      </c>
      <c r="S63">
        <f>SmtRes!AC145</f>
        <v>0</v>
      </c>
      <c r="T63">
        <f>ROUND(ROUND(Q63*Source!I270, 6)*SmtRes!AK145, 2)</f>
        <v>0</v>
      </c>
      <c r="U63">
        <f>SmtRes!X145</f>
        <v>-1109127227</v>
      </c>
      <c r="V63">
        <v>-514720397</v>
      </c>
      <c r="W63">
        <v>-514720397</v>
      </c>
      <c r="X63">
        <v>3</v>
      </c>
    </row>
    <row r="64" spans="1:24" x14ac:dyDescent="0.2">
      <c r="A64">
        <v>20</v>
      </c>
      <c r="B64">
        <v>151</v>
      </c>
      <c r="C64">
        <v>3</v>
      </c>
      <c r="D64">
        <v>0</v>
      </c>
      <c r="E64">
        <f>SmtRes!AV151</f>
        <v>0</v>
      </c>
      <c r="F64" t="str">
        <f>SmtRes!I151</f>
        <v>21.3-4-24</v>
      </c>
      <c r="G64" t="str">
        <f>SmtRes!K151</f>
        <v>Арматурные заготовки (стержни, хомуты и т.п.), не собранные в каркасы или сетки, закладные и накладные детали, со сваркой</v>
      </c>
      <c r="H64" t="str">
        <f>SmtRes!O151</f>
        <v>т</v>
      </c>
      <c r="I64">
        <f>SmtRes!Y151*Source!I271</f>
        <v>2.2200000000000001E-2</v>
      </c>
      <c r="J64">
        <f>SmtRes!AO151</f>
        <v>1</v>
      </c>
      <c r="K64">
        <f>SmtRes!AE151</f>
        <v>53233.52</v>
      </c>
      <c r="L64">
        <f>SmtRes!DB151</f>
        <v>53233.52</v>
      </c>
      <c r="M64">
        <f>ROUND(ROUND(L64*Source!I271, 6)*1, 2)</f>
        <v>1181.78</v>
      </c>
      <c r="N64">
        <f>SmtRes!AA151</f>
        <v>53233.52</v>
      </c>
      <c r="O64">
        <f>ROUND(ROUND(L64*Source!I271, 6)*SmtRes!DA151, 2)</f>
        <v>1181.78</v>
      </c>
      <c r="P64">
        <f>SmtRes!AG151</f>
        <v>0</v>
      </c>
      <c r="Q64">
        <f>SmtRes!DC151</f>
        <v>0</v>
      </c>
      <c r="R64">
        <f>ROUND(ROUND(Q64*Source!I271, 6)*1, 2)</f>
        <v>0</v>
      </c>
      <c r="S64">
        <f>SmtRes!AC151</f>
        <v>0</v>
      </c>
      <c r="T64">
        <f>ROUND(ROUND(Q64*Source!I271, 6)*SmtRes!AK151, 2)</f>
        <v>0</v>
      </c>
      <c r="U64">
        <f>SmtRes!X151</f>
        <v>-1958973042</v>
      </c>
      <c r="V64">
        <v>-593828415</v>
      </c>
      <c r="W64">
        <v>-593828415</v>
      </c>
      <c r="X64">
        <v>3</v>
      </c>
    </row>
    <row r="65" spans="1:24" x14ac:dyDescent="0.2">
      <c r="A65">
        <v>20</v>
      </c>
      <c r="B65">
        <v>150</v>
      </c>
      <c r="C65">
        <v>3</v>
      </c>
      <c r="D65">
        <v>0</v>
      </c>
      <c r="E65">
        <f>SmtRes!AV150</f>
        <v>0</v>
      </c>
      <c r="F65" t="str">
        <f>SmtRes!I150</f>
        <v>21.1-23-9</v>
      </c>
      <c r="G65" t="str">
        <f>SmtRes!K150</f>
        <v>Электроды, тип Э-42, 46, 50, диаметр 4 - 6 мм</v>
      </c>
      <c r="H65" t="str">
        <f>SmtRes!O150</f>
        <v>т</v>
      </c>
      <c r="I65">
        <f>SmtRes!Y150*Source!I271</f>
        <v>6.6600000000000003E-4</v>
      </c>
      <c r="J65">
        <f>SmtRes!AO150</f>
        <v>1</v>
      </c>
      <c r="K65">
        <f>SmtRes!AE150</f>
        <v>110781.14</v>
      </c>
      <c r="L65">
        <f>SmtRes!DB150</f>
        <v>3323.43</v>
      </c>
      <c r="M65">
        <f>ROUND(ROUND(L65*Source!I271, 6)*1, 2)</f>
        <v>73.78</v>
      </c>
      <c r="N65">
        <f>SmtRes!AA150</f>
        <v>110781.14</v>
      </c>
      <c r="O65">
        <f>ROUND(ROUND(L65*Source!I271, 6)*SmtRes!DA150, 2)</f>
        <v>73.78</v>
      </c>
      <c r="P65">
        <f>SmtRes!AG150</f>
        <v>0</v>
      </c>
      <c r="Q65">
        <f>SmtRes!DC150</f>
        <v>0</v>
      </c>
      <c r="R65">
        <f>ROUND(ROUND(Q65*Source!I271, 6)*1, 2)</f>
        <v>0</v>
      </c>
      <c r="S65">
        <f>SmtRes!AC150</f>
        <v>0</v>
      </c>
      <c r="T65">
        <f>ROUND(ROUND(Q65*Source!I271, 6)*SmtRes!AK150, 2)</f>
        <v>0</v>
      </c>
      <c r="U65">
        <f>SmtRes!X150</f>
        <v>-672771621</v>
      </c>
      <c r="V65">
        <v>-1526606762</v>
      </c>
      <c r="W65">
        <v>-1526606762</v>
      </c>
      <c r="X65">
        <v>3</v>
      </c>
    </row>
    <row r="66" spans="1:24" x14ac:dyDescent="0.2">
      <c r="A66">
        <f>Source!A272</f>
        <v>18</v>
      </c>
      <c r="B66">
        <v>272</v>
      </c>
      <c r="C66">
        <v>3</v>
      </c>
      <c r="D66">
        <f>Source!BI272</f>
        <v>1</v>
      </c>
      <c r="E66">
        <f>Source!FS272</f>
        <v>0</v>
      </c>
      <c r="F66" t="str">
        <f>Source!F272</f>
        <v>коммерч. предлож.</v>
      </c>
      <c r="G66" t="str">
        <f>Source!G272</f>
        <v>Урна УД-001, с ЗСР 2% (0,0111т)</v>
      </c>
      <c r="H66" t="str">
        <f>Source!H272</f>
        <v>шт.</v>
      </c>
      <c r="I66">
        <f>Source!I272</f>
        <v>2</v>
      </c>
      <c r="J66">
        <v>1</v>
      </c>
      <c r="K66">
        <f>Source!AC272</f>
        <v>3570</v>
      </c>
      <c r="M66">
        <f>ROUND(K66*I66, 2)</f>
        <v>7140</v>
      </c>
      <c r="N66">
        <f>Source!AC272*IF(Source!BC272&lt;&gt; 0, Source!BC272, 1)</f>
        <v>3570</v>
      </c>
      <c r="O66">
        <f>ROUND(N66*I66, 2)</f>
        <v>7140</v>
      </c>
      <c r="P66">
        <f>Source!AE272</f>
        <v>0</v>
      </c>
      <c r="R66">
        <f>ROUND(P66*I66, 2)</f>
        <v>0</v>
      </c>
      <c r="S66">
        <f>Source!AE272*IF(Source!BS272&lt;&gt; 0, Source!BS272, 1)</f>
        <v>0</v>
      </c>
      <c r="T66">
        <f>ROUND(S66*I66, 2)</f>
        <v>0</v>
      </c>
      <c r="U66">
        <f>Source!GF272</f>
        <v>-2028074538</v>
      </c>
      <c r="V66">
        <v>-1352746114</v>
      </c>
      <c r="W66">
        <v>-1352746114</v>
      </c>
      <c r="X66">
        <v>3</v>
      </c>
    </row>
    <row r="67" spans="1:24" x14ac:dyDescent="0.2">
      <c r="A67">
        <f>Source!A307</f>
        <v>4</v>
      </c>
      <c r="B67">
        <v>307</v>
      </c>
      <c r="G67" t="str">
        <f>Source!G307</f>
        <v>Установка ИДН - 6 шт.</v>
      </c>
    </row>
    <row r="68" spans="1:24" x14ac:dyDescent="0.2">
      <c r="A68">
        <v>20</v>
      </c>
      <c r="B68">
        <v>159</v>
      </c>
      <c r="C68">
        <v>3</v>
      </c>
      <c r="D68">
        <v>0</v>
      </c>
      <c r="E68">
        <f>SmtRes!AV159</f>
        <v>0</v>
      </c>
      <c r="F68" t="str">
        <f>SmtRes!I159</f>
        <v>21.7-5-12</v>
      </c>
      <c r="G68" t="str">
        <f>SmtRes!K159</f>
        <v>Анкер-болт оцинкованный с пластиковой втулкой, для крепления искусственных дорожных неровностей, размеры 10х135 мм</v>
      </c>
      <c r="H68" t="str">
        <f>SmtRes!O159</f>
        <v>шт.</v>
      </c>
      <c r="I68">
        <f>SmtRes!Y159*Source!I311</f>
        <v>324</v>
      </c>
      <c r="J68">
        <f>SmtRes!AO159</f>
        <v>1</v>
      </c>
      <c r="K68">
        <f>SmtRes!AE159</f>
        <v>30.72</v>
      </c>
      <c r="L68">
        <f>SmtRes!DB159</f>
        <v>1843.2</v>
      </c>
      <c r="M68">
        <f>ROUND(ROUND(L68*Source!I311, 6)*1, 2)</f>
        <v>9953.2800000000007</v>
      </c>
      <c r="N68">
        <f>SmtRes!AA159</f>
        <v>30.72</v>
      </c>
      <c r="O68">
        <f>ROUND(ROUND(L68*Source!I311, 6)*SmtRes!DA159, 2)</f>
        <v>9953.2800000000007</v>
      </c>
      <c r="P68">
        <f>SmtRes!AG159</f>
        <v>0</v>
      </c>
      <c r="Q68">
        <f>SmtRes!DC159</f>
        <v>0</v>
      </c>
      <c r="R68">
        <f>ROUND(ROUND(Q68*Source!I311, 6)*1, 2)</f>
        <v>0</v>
      </c>
      <c r="S68">
        <f>SmtRes!AC159</f>
        <v>0</v>
      </c>
      <c r="T68">
        <f>ROUND(ROUND(Q68*Source!I311, 6)*SmtRes!AK159, 2)</f>
        <v>0</v>
      </c>
      <c r="U68">
        <f>SmtRes!X159</f>
        <v>1946893366</v>
      </c>
      <c r="V68">
        <v>953723280</v>
      </c>
      <c r="W68">
        <v>953723280</v>
      </c>
      <c r="X68">
        <v>3</v>
      </c>
    </row>
    <row r="69" spans="1:24" x14ac:dyDescent="0.2">
      <c r="A69">
        <v>20</v>
      </c>
      <c r="B69">
        <v>158</v>
      </c>
      <c r="C69">
        <v>3</v>
      </c>
      <c r="D69">
        <v>0</v>
      </c>
      <c r="E69">
        <f>SmtRes!AV158</f>
        <v>0</v>
      </c>
      <c r="F69" t="str">
        <f>SmtRes!I158</f>
        <v>21.7-3-3</v>
      </c>
      <c r="G69" t="str">
        <f>SmtRes!K158</f>
        <v>Буры с победитовым наконечником, с хвостовиком SDS MAX, размеры 16х200 мм</v>
      </c>
      <c r="H69" t="str">
        <f>SmtRes!O158</f>
        <v>шт.</v>
      </c>
      <c r="I69">
        <f>SmtRes!Y158*Source!I311</f>
        <v>21.6</v>
      </c>
      <c r="J69">
        <f>SmtRes!AO158</f>
        <v>1</v>
      </c>
      <c r="K69">
        <f>SmtRes!AE158</f>
        <v>1999.67</v>
      </c>
      <c r="L69">
        <f>SmtRes!DB158</f>
        <v>7998.68</v>
      </c>
      <c r="M69">
        <f>ROUND(ROUND(L69*Source!I311, 6)*1, 2)</f>
        <v>43192.87</v>
      </c>
      <c r="N69">
        <f>SmtRes!AA158</f>
        <v>1999.67</v>
      </c>
      <c r="O69">
        <f>ROUND(ROUND(L69*Source!I311, 6)*SmtRes!DA158, 2)</f>
        <v>43192.87</v>
      </c>
      <c r="P69">
        <f>SmtRes!AG158</f>
        <v>0</v>
      </c>
      <c r="Q69">
        <f>SmtRes!DC158</f>
        <v>0</v>
      </c>
      <c r="R69">
        <f>ROUND(ROUND(Q69*Source!I311, 6)*1, 2)</f>
        <v>0</v>
      </c>
      <c r="S69">
        <f>SmtRes!AC158</f>
        <v>0</v>
      </c>
      <c r="T69">
        <f>ROUND(ROUND(Q69*Source!I311, 6)*SmtRes!AK158, 2)</f>
        <v>0</v>
      </c>
      <c r="U69">
        <f>SmtRes!X158</f>
        <v>-1967693514</v>
      </c>
      <c r="V69">
        <v>-896421937</v>
      </c>
      <c r="W69">
        <v>-896421937</v>
      </c>
      <c r="X69">
        <v>3</v>
      </c>
    </row>
    <row r="70" spans="1:24" x14ac:dyDescent="0.2">
      <c r="A70">
        <v>20</v>
      </c>
      <c r="B70">
        <v>157</v>
      </c>
      <c r="C70">
        <v>3</v>
      </c>
      <c r="D70">
        <v>0</v>
      </c>
      <c r="E70">
        <f>SmtRes!AV157</f>
        <v>0</v>
      </c>
      <c r="F70" t="str">
        <f>SmtRes!I157</f>
        <v>21.1-25-751</v>
      </c>
      <c r="G70" t="str">
        <f>SmtRes!K157</f>
        <v>Клей полиуретановый двухкомпонентный</v>
      </c>
      <c r="H70" t="str">
        <f>SmtRes!O157</f>
        <v>кг</v>
      </c>
      <c r="I70">
        <f>SmtRes!Y157*Source!I311</f>
        <v>21.060000000000002</v>
      </c>
      <c r="J70">
        <f>SmtRes!AO157</f>
        <v>1</v>
      </c>
      <c r="K70">
        <f>SmtRes!AE157</f>
        <v>534.36</v>
      </c>
      <c r="L70">
        <f>SmtRes!DB157</f>
        <v>2084</v>
      </c>
      <c r="M70">
        <f>ROUND(ROUND(L70*Source!I311, 6)*1, 2)</f>
        <v>11253.6</v>
      </c>
      <c r="N70">
        <f>SmtRes!AA157</f>
        <v>534.36</v>
      </c>
      <c r="O70">
        <f>ROUND(ROUND(L70*Source!I311, 6)*SmtRes!DA157, 2)</f>
        <v>11253.6</v>
      </c>
      <c r="P70">
        <f>SmtRes!AG157</f>
        <v>0</v>
      </c>
      <c r="Q70">
        <f>SmtRes!DC157</f>
        <v>0</v>
      </c>
      <c r="R70">
        <f>ROUND(ROUND(Q70*Source!I311, 6)*1, 2)</f>
        <v>0</v>
      </c>
      <c r="S70">
        <f>SmtRes!AC157</f>
        <v>0</v>
      </c>
      <c r="T70">
        <f>ROUND(ROUND(Q70*Source!I311, 6)*SmtRes!AK157, 2)</f>
        <v>0</v>
      </c>
      <c r="U70">
        <f>SmtRes!X157</f>
        <v>-2070786500</v>
      </c>
      <c r="V70">
        <v>-454548029</v>
      </c>
      <c r="W70">
        <v>-454548029</v>
      </c>
      <c r="X70">
        <v>3</v>
      </c>
    </row>
    <row r="71" spans="1:24" x14ac:dyDescent="0.2">
      <c r="A71">
        <v>20</v>
      </c>
      <c r="B71">
        <v>156</v>
      </c>
      <c r="C71">
        <v>3</v>
      </c>
      <c r="D71">
        <v>0</v>
      </c>
      <c r="E71">
        <f>SmtRes!AV156</f>
        <v>0</v>
      </c>
      <c r="F71" t="str">
        <f>SmtRes!I156</f>
        <v>21.1-25-1058</v>
      </c>
      <c r="G71" t="str">
        <f>SmtRes!K156</f>
        <v>Элемент средней части искусственной дорожной неровности из резины, размеры 500х500х50 мм</v>
      </c>
      <c r="H71" t="str">
        <f>SmtRes!O156</f>
        <v>шт.</v>
      </c>
      <c r="I71">
        <f>SmtRes!Y156*Source!I311</f>
        <v>54</v>
      </c>
      <c r="J71">
        <f>SmtRes!AO156</f>
        <v>1</v>
      </c>
      <c r="K71">
        <f>SmtRes!AE156</f>
        <v>779.48</v>
      </c>
      <c r="L71">
        <f>SmtRes!DB156</f>
        <v>7794.8</v>
      </c>
      <c r="M71">
        <f>ROUND(ROUND(L71*Source!I311, 6)*1, 2)</f>
        <v>42091.92</v>
      </c>
      <c r="N71">
        <f>SmtRes!AA156</f>
        <v>779.48</v>
      </c>
      <c r="O71">
        <f>ROUND(ROUND(L71*Source!I311, 6)*SmtRes!DA156, 2)</f>
        <v>42091.92</v>
      </c>
      <c r="P71">
        <f>SmtRes!AG156</f>
        <v>0</v>
      </c>
      <c r="Q71">
        <f>SmtRes!DC156</f>
        <v>0</v>
      </c>
      <c r="R71">
        <f>ROUND(ROUND(Q71*Source!I311, 6)*1, 2)</f>
        <v>0</v>
      </c>
      <c r="S71">
        <f>SmtRes!AC156</f>
        <v>0</v>
      </c>
      <c r="T71">
        <f>ROUND(ROUND(Q71*Source!I311, 6)*SmtRes!AK156, 2)</f>
        <v>0</v>
      </c>
      <c r="U71">
        <f>SmtRes!X156</f>
        <v>-1468002338</v>
      </c>
      <c r="V71">
        <v>1328962180</v>
      </c>
      <c r="W71">
        <v>1328962180</v>
      </c>
      <c r="X71">
        <v>3</v>
      </c>
    </row>
    <row r="72" spans="1:24" x14ac:dyDescent="0.2">
      <c r="A72">
        <v>20</v>
      </c>
      <c r="B72">
        <v>166</v>
      </c>
      <c r="C72">
        <v>3</v>
      </c>
      <c r="D72">
        <v>0</v>
      </c>
      <c r="E72">
        <f>SmtRes!AV166</f>
        <v>0</v>
      </c>
      <c r="F72" t="str">
        <f>SmtRes!I166</f>
        <v>21.7-5-12</v>
      </c>
      <c r="G72" t="str">
        <f>SmtRes!K166</f>
        <v>Анкер-болт оцинкованный с пластиковой втулкой, для крепления искусственных дорожных неровностей, размеры 10х135 мм</v>
      </c>
      <c r="H72" t="str">
        <f>SmtRes!O166</f>
        <v>шт.</v>
      </c>
      <c r="I72">
        <f>SmtRes!Y166*Source!I312</f>
        <v>48</v>
      </c>
      <c r="J72">
        <f>SmtRes!AO166</f>
        <v>1</v>
      </c>
      <c r="K72">
        <f>SmtRes!AE166</f>
        <v>30.72</v>
      </c>
      <c r="L72">
        <f>SmtRes!DB166</f>
        <v>1228.8</v>
      </c>
      <c r="M72">
        <f>ROUND(ROUND(L72*Source!I312, 6)*1, 2)</f>
        <v>1474.56</v>
      </c>
      <c r="N72">
        <f>SmtRes!AA166</f>
        <v>30.72</v>
      </c>
      <c r="O72">
        <f>ROUND(ROUND(L72*Source!I312, 6)*SmtRes!DA166, 2)</f>
        <v>1474.56</v>
      </c>
      <c r="P72">
        <f>SmtRes!AG166</f>
        <v>0</v>
      </c>
      <c r="Q72">
        <f>SmtRes!DC166</f>
        <v>0</v>
      </c>
      <c r="R72">
        <f>ROUND(ROUND(Q72*Source!I312, 6)*1, 2)</f>
        <v>0</v>
      </c>
      <c r="S72">
        <f>SmtRes!AC166</f>
        <v>0</v>
      </c>
      <c r="T72">
        <f>ROUND(ROUND(Q72*Source!I312, 6)*SmtRes!AK166, 2)</f>
        <v>0</v>
      </c>
      <c r="U72">
        <f>SmtRes!X166</f>
        <v>1946893366</v>
      </c>
      <c r="V72">
        <v>953723280</v>
      </c>
      <c r="W72">
        <v>953723280</v>
      </c>
      <c r="X72">
        <v>3</v>
      </c>
    </row>
    <row r="73" spans="1:24" x14ac:dyDescent="0.2">
      <c r="A73">
        <v>20</v>
      </c>
      <c r="B73">
        <v>165</v>
      </c>
      <c r="C73">
        <v>3</v>
      </c>
      <c r="D73">
        <v>0</v>
      </c>
      <c r="E73">
        <f>SmtRes!AV165</f>
        <v>0</v>
      </c>
      <c r="F73" t="str">
        <f>SmtRes!I165</f>
        <v>21.7-3-3</v>
      </c>
      <c r="G73" t="str">
        <f>SmtRes!K165</f>
        <v>Буры с победитовым наконечником, с хвостовиком SDS MAX, размеры 16х200 мм</v>
      </c>
      <c r="H73" t="str">
        <f>SmtRes!O165</f>
        <v>шт.</v>
      </c>
      <c r="I73">
        <f>SmtRes!Y165*Source!I312</f>
        <v>3.24</v>
      </c>
      <c r="J73">
        <f>SmtRes!AO165</f>
        <v>1</v>
      </c>
      <c r="K73">
        <f>SmtRes!AE165</f>
        <v>1999.67</v>
      </c>
      <c r="L73">
        <f>SmtRes!DB165</f>
        <v>5399.11</v>
      </c>
      <c r="M73">
        <f>ROUND(ROUND(L73*Source!I312, 6)*1, 2)</f>
        <v>6478.93</v>
      </c>
      <c r="N73">
        <f>SmtRes!AA165</f>
        <v>1999.67</v>
      </c>
      <c r="O73">
        <f>ROUND(ROUND(L73*Source!I312, 6)*SmtRes!DA165, 2)</f>
        <v>6478.93</v>
      </c>
      <c r="P73">
        <f>SmtRes!AG165</f>
        <v>0</v>
      </c>
      <c r="Q73">
        <f>SmtRes!DC165</f>
        <v>0</v>
      </c>
      <c r="R73">
        <f>ROUND(ROUND(Q73*Source!I312, 6)*1, 2)</f>
        <v>0</v>
      </c>
      <c r="S73">
        <f>SmtRes!AC165</f>
        <v>0</v>
      </c>
      <c r="T73">
        <f>ROUND(ROUND(Q73*Source!I312, 6)*SmtRes!AK165, 2)</f>
        <v>0</v>
      </c>
      <c r="U73">
        <f>SmtRes!X165</f>
        <v>-1967693514</v>
      </c>
      <c r="V73">
        <v>-896421937</v>
      </c>
      <c r="W73">
        <v>-896421937</v>
      </c>
      <c r="X73">
        <v>3</v>
      </c>
    </row>
    <row r="74" spans="1:24" x14ac:dyDescent="0.2">
      <c r="A74">
        <v>20</v>
      </c>
      <c r="B74">
        <v>164</v>
      </c>
      <c r="C74">
        <v>3</v>
      </c>
      <c r="D74">
        <v>0</v>
      </c>
      <c r="E74">
        <f>SmtRes!AV164</f>
        <v>0</v>
      </c>
      <c r="F74" t="str">
        <f>SmtRes!I164</f>
        <v>21.1-25-751</v>
      </c>
      <c r="G74" t="str">
        <f>SmtRes!K164</f>
        <v>Клей полиуретановый двухкомпонентный</v>
      </c>
      <c r="H74" t="str">
        <f>SmtRes!O164</f>
        <v>кг</v>
      </c>
      <c r="I74">
        <f>SmtRes!Y164*Source!I312</f>
        <v>3.12</v>
      </c>
      <c r="J74">
        <f>SmtRes!AO164</f>
        <v>1</v>
      </c>
      <c r="K74">
        <f>SmtRes!AE164</f>
        <v>534.36</v>
      </c>
      <c r="L74">
        <f>SmtRes!DB164</f>
        <v>1389.34</v>
      </c>
      <c r="M74">
        <f>ROUND(ROUND(L74*Source!I312, 6)*1, 2)</f>
        <v>1667.21</v>
      </c>
      <c r="N74">
        <f>SmtRes!AA164</f>
        <v>534.36</v>
      </c>
      <c r="O74">
        <f>ROUND(ROUND(L74*Source!I312, 6)*SmtRes!DA164, 2)</f>
        <v>1667.21</v>
      </c>
      <c r="P74">
        <f>SmtRes!AG164</f>
        <v>0</v>
      </c>
      <c r="Q74">
        <f>SmtRes!DC164</f>
        <v>0</v>
      </c>
      <c r="R74">
        <f>ROUND(ROUND(Q74*Source!I312, 6)*1, 2)</f>
        <v>0</v>
      </c>
      <c r="S74">
        <f>SmtRes!AC164</f>
        <v>0</v>
      </c>
      <c r="T74">
        <f>ROUND(ROUND(Q74*Source!I312, 6)*SmtRes!AK164, 2)</f>
        <v>0</v>
      </c>
      <c r="U74">
        <f>SmtRes!X164</f>
        <v>-2070786500</v>
      </c>
      <c r="V74">
        <v>-454548029</v>
      </c>
      <c r="W74">
        <v>-454548029</v>
      </c>
      <c r="X74">
        <v>3</v>
      </c>
    </row>
    <row r="75" spans="1:24" x14ac:dyDescent="0.2">
      <c r="A75">
        <v>20</v>
      </c>
      <c r="B75">
        <v>163</v>
      </c>
      <c r="C75">
        <v>3</v>
      </c>
      <c r="D75">
        <v>0</v>
      </c>
      <c r="E75">
        <f>SmtRes!AV163</f>
        <v>0</v>
      </c>
      <c r="F75" t="str">
        <f>SmtRes!I163</f>
        <v>21.1-25-1059</v>
      </c>
      <c r="G75" t="str">
        <f>SmtRes!K163</f>
        <v>Элемент краевой части искусственной дорожной неровности из резины, размеры 500х250х50 мм</v>
      </c>
      <c r="H75" t="str">
        <f>SmtRes!O163</f>
        <v>шт.</v>
      </c>
      <c r="I75">
        <f>SmtRes!Y163*Source!I312</f>
        <v>12</v>
      </c>
      <c r="J75">
        <f>SmtRes!AO163</f>
        <v>1</v>
      </c>
      <c r="K75">
        <f>SmtRes!AE163</f>
        <v>385.19</v>
      </c>
      <c r="L75">
        <f>SmtRes!DB163</f>
        <v>3851.9</v>
      </c>
      <c r="M75">
        <f>ROUND(ROUND(L75*Source!I312, 6)*1, 2)</f>
        <v>4622.28</v>
      </c>
      <c r="N75">
        <f>SmtRes!AA163</f>
        <v>385.19</v>
      </c>
      <c r="O75">
        <f>ROUND(ROUND(L75*Source!I312, 6)*SmtRes!DA163, 2)</f>
        <v>4622.28</v>
      </c>
      <c r="P75">
        <f>SmtRes!AG163</f>
        <v>0</v>
      </c>
      <c r="Q75">
        <f>SmtRes!DC163</f>
        <v>0</v>
      </c>
      <c r="R75">
        <f>ROUND(ROUND(Q75*Source!I312, 6)*1, 2)</f>
        <v>0</v>
      </c>
      <c r="S75">
        <f>SmtRes!AC163</f>
        <v>0</v>
      </c>
      <c r="T75">
        <f>ROUND(ROUND(Q75*Source!I312, 6)*SmtRes!AK163, 2)</f>
        <v>0</v>
      </c>
      <c r="U75">
        <f>SmtRes!X163</f>
        <v>615831013</v>
      </c>
      <c r="V75">
        <v>1648829373</v>
      </c>
      <c r="W75">
        <v>1648829373</v>
      </c>
      <c r="X75">
        <v>3</v>
      </c>
    </row>
    <row r="76" spans="1:24" x14ac:dyDescent="0.2">
      <c r="A76">
        <v>20</v>
      </c>
      <c r="B76">
        <v>170</v>
      </c>
      <c r="C76">
        <v>3</v>
      </c>
      <c r="D76">
        <v>0</v>
      </c>
      <c r="E76">
        <f>SmtRes!AV170</f>
        <v>0</v>
      </c>
      <c r="F76" t="str">
        <f>SmtRes!I170</f>
        <v>21.7-13-35</v>
      </c>
      <c r="G76" t="str">
        <f>SmtRes!K170</f>
        <v>Стойки из оцинкованной стали, диаметр 76 мм, длина 3 м</v>
      </c>
      <c r="H76" t="str">
        <f>SmtRes!O170</f>
        <v>шт.</v>
      </c>
      <c r="I76">
        <f>SmtRes!Y170*Source!I313</f>
        <v>12</v>
      </c>
      <c r="J76">
        <f>SmtRes!AO170</f>
        <v>1</v>
      </c>
      <c r="K76">
        <f>SmtRes!AE170</f>
        <v>1800.41</v>
      </c>
      <c r="L76">
        <f>SmtRes!DB170</f>
        <v>180041</v>
      </c>
      <c r="M76">
        <f>ROUND(ROUND(L76*Source!I313, 6)*1, 2)</f>
        <v>21604.92</v>
      </c>
      <c r="N76">
        <f>SmtRes!AA170</f>
        <v>1800.41</v>
      </c>
      <c r="O76">
        <f>ROUND(ROUND(L76*Source!I313, 6)*SmtRes!DA170, 2)</f>
        <v>21604.92</v>
      </c>
      <c r="P76">
        <f>SmtRes!AG170</f>
        <v>0</v>
      </c>
      <c r="Q76">
        <f>SmtRes!DC170</f>
        <v>0</v>
      </c>
      <c r="R76">
        <f>ROUND(ROUND(Q76*Source!I313, 6)*1, 2)</f>
        <v>0</v>
      </c>
      <c r="S76">
        <f>SmtRes!AC170</f>
        <v>0</v>
      </c>
      <c r="T76">
        <f>ROUND(ROUND(Q76*Source!I313, 6)*SmtRes!AK170, 2)</f>
        <v>0</v>
      </c>
      <c r="U76">
        <f>SmtRes!X170</f>
        <v>611244235</v>
      </c>
      <c r="V76">
        <v>-844583660</v>
      </c>
      <c r="W76">
        <v>-844583660</v>
      </c>
      <c r="X76">
        <v>3</v>
      </c>
    </row>
    <row r="77" spans="1:24" x14ac:dyDescent="0.2">
      <c r="A77">
        <v>20</v>
      </c>
      <c r="B77">
        <v>169</v>
      </c>
      <c r="C77">
        <v>3</v>
      </c>
      <c r="D77">
        <v>0</v>
      </c>
      <c r="E77">
        <f>SmtRes!AV169</f>
        <v>0</v>
      </c>
      <c r="F77" t="str">
        <f>SmtRes!I169</f>
        <v>21.1-11-14</v>
      </c>
      <c r="G77" t="str">
        <f>SmtRes!K169</f>
        <v>Болты строительные с гайками оцинкованные (10х100мм)</v>
      </c>
      <c r="H77" t="str">
        <f>SmtRes!O169</f>
        <v>т</v>
      </c>
      <c r="I77">
        <f>SmtRes!Y169*Source!I313</f>
        <v>5.7599999999999995E-3</v>
      </c>
      <c r="J77">
        <f>SmtRes!AO169</f>
        <v>1</v>
      </c>
      <c r="K77">
        <f>SmtRes!AE169</f>
        <v>116855.43</v>
      </c>
      <c r="L77">
        <f>SmtRes!DB169</f>
        <v>5609.06</v>
      </c>
      <c r="M77">
        <f>ROUND(ROUND(L77*Source!I313, 6)*1, 2)</f>
        <v>673.09</v>
      </c>
      <c r="N77">
        <f>SmtRes!AA169</f>
        <v>116855.43</v>
      </c>
      <c r="O77">
        <f>ROUND(ROUND(L77*Source!I313, 6)*SmtRes!DA169, 2)</f>
        <v>673.09</v>
      </c>
      <c r="P77">
        <f>SmtRes!AG169</f>
        <v>0</v>
      </c>
      <c r="Q77">
        <f>SmtRes!DC169</f>
        <v>0</v>
      </c>
      <c r="R77">
        <f>ROUND(ROUND(Q77*Source!I313, 6)*1, 2)</f>
        <v>0</v>
      </c>
      <c r="S77">
        <f>SmtRes!AC169</f>
        <v>0</v>
      </c>
      <c r="T77">
        <f>ROUND(ROUND(Q77*Source!I313, 6)*SmtRes!AK169, 2)</f>
        <v>0</v>
      </c>
      <c r="U77">
        <f>SmtRes!X169</f>
        <v>-1651770909</v>
      </c>
      <c r="V77">
        <v>1561493737</v>
      </c>
      <c r="W77">
        <v>1561493737</v>
      </c>
      <c r="X77">
        <v>3</v>
      </c>
    </row>
    <row r="78" spans="1:24" x14ac:dyDescent="0.2">
      <c r="A78">
        <f>Source!A314</f>
        <v>18</v>
      </c>
      <c r="B78">
        <v>314</v>
      </c>
      <c r="C78">
        <v>3</v>
      </c>
      <c r="D78">
        <f>Source!BI314</f>
        <v>4</v>
      </c>
      <c r="E78">
        <f>Source!FS314</f>
        <v>0</v>
      </c>
      <c r="F78" t="str">
        <f>Source!F314</f>
        <v>коммерч. предлож.</v>
      </c>
      <c r="G78" t="str">
        <f>Source!G314</f>
        <v>Дорожный знак с крепежом "Искусственная неровность" 5.20, с ЗСР 2%</v>
      </c>
      <c r="H78" t="str">
        <f>Source!H314</f>
        <v>шт.</v>
      </c>
      <c r="I78">
        <f>Source!I314</f>
        <v>12</v>
      </c>
      <c r="J78">
        <v>1</v>
      </c>
      <c r="K78">
        <f>Source!AC314</f>
        <v>518.5</v>
      </c>
      <c r="M78">
        <f>ROUND(K78*I78, 2)</f>
        <v>6222</v>
      </c>
      <c r="N78">
        <f>Source!AC314*IF(Source!BC314&lt;&gt; 0, Source!BC314, 1)</f>
        <v>518.5</v>
      </c>
      <c r="O78">
        <f>ROUND(N78*I78, 2)</f>
        <v>6222</v>
      </c>
      <c r="P78">
        <f>Source!AE314</f>
        <v>0</v>
      </c>
      <c r="R78">
        <f>ROUND(P78*I78, 2)</f>
        <v>0</v>
      </c>
      <c r="S78">
        <f>Source!AE314*IF(Source!BS314&lt;&gt; 0, Source!BS314, 1)</f>
        <v>0</v>
      </c>
      <c r="T78">
        <f>ROUND(S78*I78, 2)</f>
        <v>0</v>
      </c>
      <c r="U78">
        <f>Source!GF314</f>
        <v>2083447218</v>
      </c>
      <c r="V78">
        <v>-257033119</v>
      </c>
      <c r="W78">
        <v>-257033119</v>
      </c>
      <c r="X78">
        <v>3</v>
      </c>
    </row>
    <row r="79" spans="1:24" x14ac:dyDescent="0.2">
      <c r="A79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422"/>
  <sheetViews>
    <sheetView workbookViewId="0">
      <selection activeCell="F13" sqref="F13"/>
    </sheetView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1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32921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418</v>
      </c>
      <c r="C12" s="1">
        <v>1</v>
      </c>
      <c r="D12" s="1">
        <f>ROW(A382)</f>
        <v>382</v>
      </c>
      <c r="E12" s="1">
        <v>0</v>
      </c>
      <c r="F12" s="1"/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3</v>
      </c>
      <c r="AG12" s="1" t="s">
        <v>3</v>
      </c>
      <c r="AH12" s="1" t="s">
        <v>10</v>
      </c>
      <c r="AI12" s="1" t="s">
        <v>11</v>
      </c>
      <c r="AJ12" s="1" t="s">
        <v>12</v>
      </c>
      <c r="AK12" s="1"/>
      <c r="AL12" s="1" t="s">
        <v>13</v>
      </c>
      <c r="AM12" s="1" t="s">
        <v>14</v>
      </c>
      <c r="AN12" s="1" t="s">
        <v>15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16</v>
      </c>
      <c r="AY12" s="1" t="s">
        <v>15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17</v>
      </c>
      <c r="BI12" s="1" t="s">
        <v>18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1</v>
      </c>
      <c r="BU12" s="1">
        <v>0</v>
      </c>
      <c r="BV12" s="1">
        <v>1</v>
      </c>
      <c r="BW12" s="1">
        <v>0</v>
      </c>
      <c r="BX12" s="1">
        <v>0</v>
      </c>
      <c r="BY12" s="1" t="s">
        <v>19</v>
      </c>
      <c r="BZ12" s="1" t="s">
        <v>20</v>
      </c>
      <c r="CA12" s="1" t="s">
        <v>21</v>
      </c>
      <c r="CB12" s="1" t="s">
        <v>21</v>
      </c>
      <c r="CC12" s="1" t="s">
        <v>21</v>
      </c>
      <c r="CD12" s="1" t="s">
        <v>21</v>
      </c>
      <c r="CE12" s="1" t="s">
        <v>22</v>
      </c>
      <c r="CF12" s="1">
        <v>0</v>
      </c>
      <c r="CG12" s="1">
        <v>0</v>
      </c>
      <c r="CH12" s="1">
        <v>17104906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5" spans="1:133" x14ac:dyDescent="0.2">
      <c r="A15" s="1">
        <v>15</v>
      </c>
      <c r="B15" s="1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</row>
    <row r="18" spans="1:245" x14ac:dyDescent="0.2">
      <c r="A18" s="2">
        <v>52</v>
      </c>
      <c r="B18" s="2">
        <f t="shared" ref="B18:G18" si="0">B382</f>
        <v>418</v>
      </c>
      <c r="C18" s="2">
        <f t="shared" si="0"/>
        <v>1</v>
      </c>
      <c r="D18" s="2">
        <f t="shared" si="0"/>
        <v>12</v>
      </c>
      <c r="E18" s="2">
        <f t="shared" si="0"/>
        <v>0</v>
      </c>
      <c r="F18" s="2" t="str">
        <f t="shared" si="0"/>
        <v/>
      </c>
      <c r="G18" s="2" t="str">
        <f t="shared" si="0"/>
        <v>Комплексное благоустройство территории жилой застройки района Орехово-Борисово Северное за счет средств стимулирования управ районов в 2021 году</v>
      </c>
      <c r="H18" s="2"/>
      <c r="I18" s="2"/>
      <c r="J18" s="2"/>
      <c r="K18" s="2"/>
      <c r="L18" s="2"/>
      <c r="M18" s="2"/>
      <c r="N18" s="2"/>
      <c r="O18" s="2">
        <f t="shared" ref="O18:AT18" si="1">O382</f>
        <v>1726561.43</v>
      </c>
      <c r="P18" s="2">
        <f t="shared" si="1"/>
        <v>1432121.4</v>
      </c>
      <c r="Q18" s="2">
        <f t="shared" si="1"/>
        <v>113603.69</v>
      </c>
      <c r="R18" s="2">
        <f t="shared" si="1"/>
        <v>59070.93</v>
      </c>
      <c r="S18" s="2">
        <f t="shared" si="1"/>
        <v>180836.34</v>
      </c>
      <c r="T18" s="2">
        <f t="shared" si="1"/>
        <v>0</v>
      </c>
      <c r="U18" s="2">
        <f t="shared" si="1"/>
        <v>872.20689400000003</v>
      </c>
      <c r="V18" s="2">
        <f t="shared" si="1"/>
        <v>0</v>
      </c>
      <c r="W18" s="2">
        <f t="shared" si="1"/>
        <v>0</v>
      </c>
      <c r="X18" s="2">
        <f t="shared" si="1"/>
        <v>126585.44</v>
      </c>
      <c r="Y18" s="2">
        <f t="shared" si="1"/>
        <v>18083.650000000001</v>
      </c>
      <c r="Z18" s="2">
        <f t="shared" si="1"/>
        <v>0</v>
      </c>
      <c r="AA18" s="2">
        <f t="shared" si="1"/>
        <v>0</v>
      </c>
      <c r="AB18" s="2">
        <f t="shared" si="1"/>
        <v>0</v>
      </c>
      <c r="AC18" s="2">
        <f t="shared" si="1"/>
        <v>0</v>
      </c>
      <c r="AD18" s="2">
        <f t="shared" si="1"/>
        <v>0</v>
      </c>
      <c r="AE18" s="2">
        <f t="shared" si="1"/>
        <v>0</v>
      </c>
      <c r="AF18" s="2">
        <f t="shared" si="1"/>
        <v>0</v>
      </c>
      <c r="AG18" s="2">
        <f t="shared" si="1"/>
        <v>0</v>
      </c>
      <c r="AH18" s="2">
        <f t="shared" si="1"/>
        <v>0</v>
      </c>
      <c r="AI18" s="2">
        <f t="shared" si="1"/>
        <v>0</v>
      </c>
      <c r="AJ18" s="2">
        <f t="shared" si="1"/>
        <v>0</v>
      </c>
      <c r="AK18" s="2">
        <f t="shared" si="1"/>
        <v>0</v>
      </c>
      <c r="AL18" s="2">
        <f t="shared" si="1"/>
        <v>0</v>
      </c>
      <c r="AM18" s="2">
        <f t="shared" si="1"/>
        <v>0</v>
      </c>
      <c r="AN18" s="2">
        <f t="shared" si="1"/>
        <v>0</v>
      </c>
      <c r="AO18" s="2">
        <f t="shared" si="1"/>
        <v>0</v>
      </c>
      <c r="AP18" s="2">
        <f t="shared" si="1"/>
        <v>0</v>
      </c>
      <c r="AQ18" s="2">
        <f t="shared" si="1"/>
        <v>0</v>
      </c>
      <c r="AR18" s="2">
        <f t="shared" si="1"/>
        <v>1898866.34</v>
      </c>
      <c r="AS18" s="2">
        <f t="shared" si="1"/>
        <v>535372.31000000006</v>
      </c>
      <c r="AT18" s="2">
        <f t="shared" si="1"/>
        <v>0</v>
      </c>
      <c r="AU18" s="2">
        <f t="shared" ref="AU18:BZ18" si="2">AU382</f>
        <v>1363494.03</v>
      </c>
      <c r="AV18" s="2">
        <f t="shared" si="2"/>
        <v>1432121.4</v>
      </c>
      <c r="AW18" s="2">
        <f t="shared" si="2"/>
        <v>1432121.4</v>
      </c>
      <c r="AX18" s="2">
        <f t="shared" si="2"/>
        <v>0</v>
      </c>
      <c r="AY18" s="2">
        <f t="shared" si="2"/>
        <v>1432121.4</v>
      </c>
      <c r="AZ18" s="2">
        <f t="shared" si="2"/>
        <v>0</v>
      </c>
      <c r="BA18" s="2">
        <f t="shared" si="2"/>
        <v>0</v>
      </c>
      <c r="BB18" s="2">
        <f t="shared" si="2"/>
        <v>0</v>
      </c>
      <c r="BC18" s="2">
        <f t="shared" si="2"/>
        <v>0</v>
      </c>
      <c r="BD18" s="2">
        <f t="shared" si="2"/>
        <v>0</v>
      </c>
      <c r="BE18" s="2">
        <f t="shared" si="2"/>
        <v>0</v>
      </c>
      <c r="BF18" s="2">
        <f t="shared" si="2"/>
        <v>0</v>
      </c>
      <c r="BG18" s="2">
        <f t="shared" si="2"/>
        <v>0</v>
      </c>
      <c r="BH18" s="2">
        <f t="shared" si="2"/>
        <v>0</v>
      </c>
      <c r="BI18" s="2">
        <f t="shared" si="2"/>
        <v>0</v>
      </c>
      <c r="BJ18" s="2">
        <f t="shared" si="2"/>
        <v>0</v>
      </c>
      <c r="BK18" s="2">
        <f t="shared" si="2"/>
        <v>0</v>
      </c>
      <c r="BL18" s="2">
        <f t="shared" si="2"/>
        <v>0</v>
      </c>
      <c r="BM18" s="2">
        <f t="shared" si="2"/>
        <v>0</v>
      </c>
      <c r="BN18" s="2">
        <f t="shared" si="2"/>
        <v>0</v>
      </c>
      <c r="BO18" s="2">
        <f t="shared" si="2"/>
        <v>0</v>
      </c>
      <c r="BP18" s="2">
        <f t="shared" si="2"/>
        <v>0</v>
      </c>
      <c r="BQ18" s="2">
        <f t="shared" si="2"/>
        <v>0</v>
      </c>
      <c r="BR18" s="2">
        <f t="shared" si="2"/>
        <v>0</v>
      </c>
      <c r="BS18" s="2">
        <f t="shared" si="2"/>
        <v>0</v>
      </c>
      <c r="BT18" s="2">
        <f t="shared" si="2"/>
        <v>0</v>
      </c>
      <c r="BU18" s="2">
        <f t="shared" si="2"/>
        <v>0</v>
      </c>
      <c r="BV18" s="2">
        <f t="shared" si="2"/>
        <v>0</v>
      </c>
      <c r="BW18" s="2">
        <f t="shared" si="2"/>
        <v>0</v>
      </c>
      <c r="BX18" s="2">
        <f t="shared" si="2"/>
        <v>0</v>
      </c>
      <c r="BY18" s="2">
        <f t="shared" si="2"/>
        <v>0</v>
      </c>
      <c r="BZ18" s="2">
        <f t="shared" si="2"/>
        <v>0</v>
      </c>
      <c r="CA18" s="2">
        <f t="shared" ref="CA18:DF18" si="3">CA382</f>
        <v>0</v>
      </c>
      <c r="CB18" s="2">
        <f t="shared" si="3"/>
        <v>0</v>
      </c>
      <c r="CC18" s="2">
        <f t="shared" si="3"/>
        <v>0</v>
      </c>
      <c r="CD18" s="2">
        <f t="shared" si="3"/>
        <v>0</v>
      </c>
      <c r="CE18" s="2">
        <f t="shared" si="3"/>
        <v>0</v>
      </c>
      <c r="CF18" s="2">
        <f t="shared" si="3"/>
        <v>0</v>
      </c>
      <c r="CG18" s="2">
        <f t="shared" si="3"/>
        <v>0</v>
      </c>
      <c r="CH18" s="2">
        <f t="shared" si="3"/>
        <v>0</v>
      </c>
      <c r="CI18" s="2">
        <f t="shared" si="3"/>
        <v>0</v>
      </c>
      <c r="CJ18" s="2">
        <f t="shared" si="3"/>
        <v>0</v>
      </c>
      <c r="CK18" s="2">
        <f t="shared" si="3"/>
        <v>0</v>
      </c>
      <c r="CL18" s="2">
        <f t="shared" si="3"/>
        <v>0</v>
      </c>
      <c r="CM18" s="2">
        <f t="shared" si="3"/>
        <v>0</v>
      </c>
      <c r="CN18" s="2">
        <f t="shared" si="3"/>
        <v>0</v>
      </c>
      <c r="CO18" s="2">
        <f t="shared" si="3"/>
        <v>0</v>
      </c>
      <c r="CP18" s="2">
        <f t="shared" si="3"/>
        <v>0</v>
      </c>
      <c r="CQ18" s="2">
        <f t="shared" si="3"/>
        <v>0</v>
      </c>
      <c r="CR18" s="2">
        <f t="shared" si="3"/>
        <v>0</v>
      </c>
      <c r="CS18" s="2">
        <f t="shared" si="3"/>
        <v>0</v>
      </c>
      <c r="CT18" s="2">
        <f t="shared" si="3"/>
        <v>0</v>
      </c>
      <c r="CU18" s="2">
        <f t="shared" si="3"/>
        <v>0</v>
      </c>
      <c r="CV18" s="2">
        <f t="shared" si="3"/>
        <v>0</v>
      </c>
      <c r="CW18" s="2">
        <f t="shared" si="3"/>
        <v>0</v>
      </c>
      <c r="CX18" s="2">
        <f t="shared" si="3"/>
        <v>0</v>
      </c>
      <c r="CY18" s="2">
        <f t="shared" si="3"/>
        <v>0</v>
      </c>
      <c r="CZ18" s="2">
        <f t="shared" si="3"/>
        <v>0</v>
      </c>
      <c r="DA18" s="2">
        <f t="shared" si="3"/>
        <v>0</v>
      </c>
      <c r="DB18" s="2">
        <f t="shared" si="3"/>
        <v>0</v>
      </c>
      <c r="DC18" s="2">
        <f t="shared" si="3"/>
        <v>0</v>
      </c>
      <c r="DD18" s="2">
        <f t="shared" si="3"/>
        <v>0</v>
      </c>
      <c r="DE18" s="2">
        <f t="shared" si="3"/>
        <v>0</v>
      </c>
      <c r="DF18" s="2">
        <f t="shared" si="3"/>
        <v>0</v>
      </c>
      <c r="DG18" s="3">
        <f t="shared" ref="DG18:EL18" si="4">DG382</f>
        <v>0</v>
      </c>
      <c r="DH18" s="3">
        <f t="shared" si="4"/>
        <v>0</v>
      </c>
      <c r="DI18" s="3">
        <f t="shared" si="4"/>
        <v>0</v>
      </c>
      <c r="DJ18" s="3">
        <f t="shared" si="4"/>
        <v>0</v>
      </c>
      <c r="DK18" s="3">
        <f t="shared" si="4"/>
        <v>0</v>
      </c>
      <c r="DL18" s="3">
        <f t="shared" si="4"/>
        <v>0</v>
      </c>
      <c r="DM18" s="3">
        <f t="shared" si="4"/>
        <v>0</v>
      </c>
      <c r="DN18" s="3">
        <f t="shared" si="4"/>
        <v>0</v>
      </c>
      <c r="DO18" s="3">
        <f t="shared" si="4"/>
        <v>0</v>
      </c>
      <c r="DP18" s="3">
        <f t="shared" si="4"/>
        <v>0</v>
      </c>
      <c r="DQ18" s="3">
        <f t="shared" si="4"/>
        <v>0</v>
      </c>
      <c r="DR18" s="3">
        <f t="shared" si="4"/>
        <v>0</v>
      </c>
      <c r="DS18" s="3">
        <f t="shared" si="4"/>
        <v>0</v>
      </c>
      <c r="DT18" s="3">
        <f t="shared" si="4"/>
        <v>0</v>
      </c>
      <c r="DU18" s="3">
        <f t="shared" si="4"/>
        <v>0</v>
      </c>
      <c r="DV18" s="3">
        <f t="shared" si="4"/>
        <v>0</v>
      </c>
      <c r="DW18" s="3">
        <f t="shared" si="4"/>
        <v>0</v>
      </c>
      <c r="DX18" s="3">
        <f t="shared" si="4"/>
        <v>0</v>
      </c>
      <c r="DY18" s="3">
        <f t="shared" si="4"/>
        <v>0</v>
      </c>
      <c r="DZ18" s="3">
        <f t="shared" si="4"/>
        <v>0</v>
      </c>
      <c r="EA18" s="3">
        <f t="shared" si="4"/>
        <v>0</v>
      </c>
      <c r="EB18" s="3">
        <f t="shared" si="4"/>
        <v>0</v>
      </c>
      <c r="EC18" s="3">
        <f t="shared" si="4"/>
        <v>0</v>
      </c>
      <c r="ED18" s="3">
        <f t="shared" si="4"/>
        <v>0</v>
      </c>
      <c r="EE18" s="3">
        <f t="shared" si="4"/>
        <v>0</v>
      </c>
      <c r="EF18" s="3">
        <f t="shared" si="4"/>
        <v>0</v>
      </c>
      <c r="EG18" s="3">
        <f t="shared" si="4"/>
        <v>0</v>
      </c>
      <c r="EH18" s="3">
        <f t="shared" si="4"/>
        <v>0</v>
      </c>
      <c r="EI18" s="3">
        <f t="shared" si="4"/>
        <v>0</v>
      </c>
      <c r="EJ18" s="3">
        <f t="shared" si="4"/>
        <v>0</v>
      </c>
      <c r="EK18" s="3">
        <f t="shared" si="4"/>
        <v>0</v>
      </c>
      <c r="EL18" s="3">
        <f t="shared" si="4"/>
        <v>0</v>
      </c>
      <c r="EM18" s="3">
        <f t="shared" ref="EM18:FR18" si="5">EM382</f>
        <v>0</v>
      </c>
      <c r="EN18" s="3">
        <f t="shared" si="5"/>
        <v>0</v>
      </c>
      <c r="EO18" s="3">
        <f t="shared" si="5"/>
        <v>0</v>
      </c>
      <c r="EP18" s="3">
        <f t="shared" si="5"/>
        <v>0</v>
      </c>
      <c r="EQ18" s="3">
        <f t="shared" si="5"/>
        <v>0</v>
      </c>
      <c r="ER18" s="3">
        <f t="shared" si="5"/>
        <v>0</v>
      </c>
      <c r="ES18" s="3">
        <f t="shared" si="5"/>
        <v>0</v>
      </c>
      <c r="ET18" s="3">
        <f t="shared" si="5"/>
        <v>0</v>
      </c>
      <c r="EU18" s="3">
        <f t="shared" si="5"/>
        <v>0</v>
      </c>
      <c r="EV18" s="3">
        <f t="shared" si="5"/>
        <v>0</v>
      </c>
      <c r="EW18" s="3">
        <f t="shared" si="5"/>
        <v>0</v>
      </c>
      <c r="EX18" s="3">
        <f t="shared" si="5"/>
        <v>0</v>
      </c>
      <c r="EY18" s="3">
        <f t="shared" si="5"/>
        <v>0</v>
      </c>
      <c r="EZ18" s="3">
        <f t="shared" si="5"/>
        <v>0</v>
      </c>
      <c r="FA18" s="3">
        <f t="shared" si="5"/>
        <v>0</v>
      </c>
      <c r="FB18" s="3">
        <f t="shared" si="5"/>
        <v>0</v>
      </c>
      <c r="FC18" s="3">
        <f t="shared" si="5"/>
        <v>0</v>
      </c>
      <c r="FD18" s="3">
        <f t="shared" si="5"/>
        <v>0</v>
      </c>
      <c r="FE18" s="3">
        <f t="shared" si="5"/>
        <v>0</v>
      </c>
      <c r="FF18" s="3">
        <f t="shared" si="5"/>
        <v>0</v>
      </c>
      <c r="FG18" s="3">
        <f t="shared" si="5"/>
        <v>0</v>
      </c>
      <c r="FH18" s="3">
        <f t="shared" si="5"/>
        <v>0</v>
      </c>
      <c r="FI18" s="3">
        <f t="shared" si="5"/>
        <v>0</v>
      </c>
      <c r="FJ18" s="3">
        <f t="shared" si="5"/>
        <v>0</v>
      </c>
      <c r="FK18" s="3">
        <f t="shared" si="5"/>
        <v>0</v>
      </c>
      <c r="FL18" s="3">
        <f t="shared" si="5"/>
        <v>0</v>
      </c>
      <c r="FM18" s="3">
        <f t="shared" si="5"/>
        <v>0</v>
      </c>
      <c r="FN18" s="3">
        <f t="shared" si="5"/>
        <v>0</v>
      </c>
      <c r="FO18" s="3">
        <f t="shared" si="5"/>
        <v>0</v>
      </c>
      <c r="FP18" s="3">
        <f t="shared" si="5"/>
        <v>0</v>
      </c>
      <c r="FQ18" s="3">
        <f t="shared" si="5"/>
        <v>0</v>
      </c>
      <c r="FR18" s="3">
        <f t="shared" si="5"/>
        <v>0</v>
      </c>
      <c r="FS18" s="3">
        <f t="shared" ref="FS18:GX18" si="6">FS382</f>
        <v>0</v>
      </c>
      <c r="FT18" s="3">
        <f t="shared" si="6"/>
        <v>0</v>
      </c>
      <c r="FU18" s="3">
        <f t="shared" si="6"/>
        <v>0</v>
      </c>
      <c r="FV18" s="3">
        <f t="shared" si="6"/>
        <v>0</v>
      </c>
      <c r="FW18" s="3">
        <f t="shared" si="6"/>
        <v>0</v>
      </c>
      <c r="FX18" s="3">
        <f t="shared" si="6"/>
        <v>0</v>
      </c>
      <c r="FY18" s="3">
        <f t="shared" si="6"/>
        <v>0</v>
      </c>
      <c r="FZ18" s="3">
        <f t="shared" si="6"/>
        <v>0</v>
      </c>
      <c r="GA18" s="3">
        <f t="shared" si="6"/>
        <v>0</v>
      </c>
      <c r="GB18" s="3">
        <f t="shared" si="6"/>
        <v>0</v>
      </c>
      <c r="GC18" s="3">
        <f t="shared" si="6"/>
        <v>0</v>
      </c>
      <c r="GD18" s="3">
        <f t="shared" si="6"/>
        <v>0</v>
      </c>
      <c r="GE18" s="3">
        <f t="shared" si="6"/>
        <v>0</v>
      </c>
      <c r="GF18" s="3">
        <f t="shared" si="6"/>
        <v>0</v>
      </c>
      <c r="GG18" s="3">
        <f t="shared" si="6"/>
        <v>0</v>
      </c>
      <c r="GH18" s="3">
        <f t="shared" si="6"/>
        <v>0</v>
      </c>
      <c r="GI18" s="3">
        <f t="shared" si="6"/>
        <v>0</v>
      </c>
      <c r="GJ18" s="3">
        <f t="shared" si="6"/>
        <v>0</v>
      </c>
      <c r="GK18" s="3">
        <f t="shared" si="6"/>
        <v>0</v>
      </c>
      <c r="GL18" s="3">
        <f t="shared" si="6"/>
        <v>0</v>
      </c>
      <c r="GM18" s="3">
        <f t="shared" si="6"/>
        <v>0</v>
      </c>
      <c r="GN18" s="3">
        <f t="shared" si="6"/>
        <v>0</v>
      </c>
      <c r="GO18" s="3">
        <f t="shared" si="6"/>
        <v>0</v>
      </c>
      <c r="GP18" s="3">
        <f t="shared" si="6"/>
        <v>0</v>
      </c>
      <c r="GQ18" s="3">
        <f t="shared" si="6"/>
        <v>0</v>
      </c>
      <c r="GR18" s="3">
        <f t="shared" si="6"/>
        <v>0</v>
      </c>
      <c r="GS18" s="3">
        <f t="shared" si="6"/>
        <v>0</v>
      </c>
      <c r="GT18" s="3">
        <f t="shared" si="6"/>
        <v>0</v>
      </c>
      <c r="GU18" s="3">
        <f t="shared" si="6"/>
        <v>0</v>
      </c>
      <c r="GV18" s="3">
        <f t="shared" si="6"/>
        <v>0</v>
      </c>
      <c r="GW18" s="3">
        <f t="shared" si="6"/>
        <v>0</v>
      </c>
      <c r="GX18" s="3">
        <f t="shared" si="6"/>
        <v>0</v>
      </c>
    </row>
    <row r="20" spans="1:245" x14ac:dyDescent="0.2">
      <c r="A20" s="1">
        <v>3</v>
      </c>
      <c r="B20" s="1">
        <v>1</v>
      </c>
      <c r="C20" s="1"/>
      <c r="D20" s="1">
        <f>ROW(A349)</f>
        <v>349</v>
      </c>
      <c r="E20" s="1"/>
      <c r="F20" s="1" t="s">
        <v>23</v>
      </c>
      <c r="G20" s="1" t="s">
        <v>24</v>
      </c>
      <c r="H20" s="1" t="s">
        <v>3</v>
      </c>
      <c r="I20" s="1">
        <v>0</v>
      </c>
      <c r="J20" s="1" t="s">
        <v>3</v>
      </c>
      <c r="K20" s="1">
        <v>-1</v>
      </c>
      <c r="L20" s="1" t="s">
        <v>3</v>
      </c>
      <c r="M20" s="1" t="s">
        <v>3</v>
      </c>
      <c r="N20" s="1"/>
      <c r="O20" s="1"/>
      <c r="P20" s="1"/>
      <c r="Q20" s="1"/>
      <c r="R20" s="1"/>
      <c r="S20" s="1">
        <v>0</v>
      </c>
      <c r="T20" s="1"/>
      <c r="U20" s="1" t="s">
        <v>3</v>
      </c>
      <c r="V20" s="1">
        <v>0</v>
      </c>
      <c r="W20" s="1"/>
      <c r="X20" s="1"/>
      <c r="Y20" s="1"/>
      <c r="Z20" s="1"/>
      <c r="AA20" s="1"/>
      <c r="AB20" s="1" t="s">
        <v>3</v>
      </c>
      <c r="AC20" s="1" t="s">
        <v>3</v>
      </c>
      <c r="AD20" s="1" t="s">
        <v>3</v>
      </c>
      <c r="AE20" s="1" t="s">
        <v>3</v>
      </c>
      <c r="AF20" s="1" t="s">
        <v>3</v>
      </c>
      <c r="AG20" s="1" t="s">
        <v>3</v>
      </c>
      <c r="AH20" s="1"/>
      <c r="AI20" s="1"/>
      <c r="AJ20" s="1"/>
      <c r="AK20" s="1"/>
      <c r="AL20" s="1"/>
      <c r="AM20" s="1"/>
      <c r="AN20" s="1"/>
      <c r="AO20" s="1"/>
      <c r="AP20" s="1" t="s">
        <v>3</v>
      </c>
      <c r="AQ20" s="1" t="s">
        <v>3</v>
      </c>
      <c r="AR20" s="1" t="s">
        <v>3</v>
      </c>
      <c r="AS20" s="1"/>
      <c r="AT20" s="1"/>
      <c r="AU20" s="1"/>
      <c r="AV20" s="1"/>
      <c r="AW20" s="1"/>
      <c r="AX20" s="1"/>
      <c r="AY20" s="1"/>
      <c r="AZ20" s="1" t="s">
        <v>3</v>
      </c>
      <c r="BA20" s="1"/>
      <c r="BB20" s="1" t="s">
        <v>3</v>
      </c>
      <c r="BC20" s="1" t="s">
        <v>3</v>
      </c>
      <c r="BD20" s="1" t="s">
        <v>3</v>
      </c>
      <c r="BE20" s="1" t="s">
        <v>3</v>
      </c>
      <c r="BF20" s="1" t="s">
        <v>3</v>
      </c>
      <c r="BG20" s="1" t="s">
        <v>3</v>
      </c>
      <c r="BH20" s="1" t="s">
        <v>3</v>
      </c>
      <c r="BI20" s="1" t="s">
        <v>3</v>
      </c>
      <c r="BJ20" s="1" t="s">
        <v>3</v>
      </c>
      <c r="BK20" s="1" t="s">
        <v>3</v>
      </c>
      <c r="BL20" s="1" t="s">
        <v>3</v>
      </c>
      <c r="BM20" s="1" t="s">
        <v>3</v>
      </c>
      <c r="BN20" s="1" t="s">
        <v>3</v>
      </c>
      <c r="BO20" s="1" t="s">
        <v>3</v>
      </c>
      <c r="BP20" s="1" t="s">
        <v>3</v>
      </c>
      <c r="BQ20" s="1"/>
      <c r="BR20" s="1"/>
      <c r="BS20" s="1"/>
      <c r="BT20" s="1"/>
      <c r="BU20" s="1"/>
      <c r="BV20" s="1"/>
      <c r="BW20" s="1"/>
      <c r="BX20" s="1">
        <v>0</v>
      </c>
      <c r="BY20" s="1"/>
      <c r="BZ20" s="1"/>
      <c r="CA20" s="1"/>
      <c r="CB20" s="1"/>
      <c r="CC20" s="1"/>
      <c r="CD20" s="1"/>
      <c r="CE20" s="1"/>
      <c r="CF20" s="1">
        <v>0</v>
      </c>
      <c r="CG20" s="1">
        <v>0</v>
      </c>
      <c r="CH20" s="1"/>
      <c r="CI20" s="1" t="s">
        <v>3</v>
      </c>
      <c r="CJ20" s="1" t="s">
        <v>3</v>
      </c>
      <c r="CK20" t="s">
        <v>3</v>
      </c>
      <c r="CL20" t="s">
        <v>3</v>
      </c>
      <c r="CM20" t="s">
        <v>3</v>
      </c>
      <c r="CN20" t="s">
        <v>3</v>
      </c>
      <c r="CO20" t="s">
        <v>3</v>
      </c>
      <c r="CP20" t="s">
        <v>3</v>
      </c>
      <c r="CQ20" t="s">
        <v>3</v>
      </c>
    </row>
    <row r="22" spans="1:245" x14ac:dyDescent="0.2">
      <c r="A22" s="2">
        <v>52</v>
      </c>
      <c r="B22" s="2">
        <f t="shared" ref="B22:G22" si="7">B349</f>
        <v>1</v>
      </c>
      <c r="C22" s="2">
        <f t="shared" si="7"/>
        <v>3</v>
      </c>
      <c r="D22" s="2">
        <f t="shared" si="7"/>
        <v>20</v>
      </c>
      <c r="E22" s="2">
        <f t="shared" si="7"/>
        <v>0</v>
      </c>
      <c r="F22" s="2" t="str">
        <f t="shared" si="7"/>
        <v>Домод.22к1</v>
      </c>
      <c r="G22" s="2" t="str">
        <f t="shared" si="7"/>
        <v>ул. Домодедовская д.22 корп.1</v>
      </c>
      <c r="H22" s="2"/>
      <c r="I22" s="2"/>
      <c r="J22" s="2"/>
      <c r="K22" s="2"/>
      <c r="L22" s="2"/>
      <c r="M22" s="2"/>
      <c r="N22" s="2"/>
      <c r="O22" s="2">
        <f t="shared" ref="O22:AT22" si="8">O349</f>
        <v>1726561.43</v>
      </c>
      <c r="P22" s="2">
        <f t="shared" si="8"/>
        <v>1432121.4</v>
      </c>
      <c r="Q22" s="2">
        <f t="shared" si="8"/>
        <v>113603.69</v>
      </c>
      <c r="R22" s="2">
        <f t="shared" si="8"/>
        <v>59070.93</v>
      </c>
      <c r="S22" s="2">
        <f t="shared" si="8"/>
        <v>180836.34</v>
      </c>
      <c r="T22" s="2">
        <f t="shared" si="8"/>
        <v>0</v>
      </c>
      <c r="U22" s="2">
        <f t="shared" si="8"/>
        <v>872.20689400000003</v>
      </c>
      <c r="V22" s="2">
        <f t="shared" si="8"/>
        <v>0</v>
      </c>
      <c r="W22" s="2">
        <f t="shared" si="8"/>
        <v>0</v>
      </c>
      <c r="X22" s="2">
        <f t="shared" si="8"/>
        <v>126585.44</v>
      </c>
      <c r="Y22" s="2">
        <f t="shared" si="8"/>
        <v>18083.650000000001</v>
      </c>
      <c r="Z22" s="2">
        <f t="shared" si="8"/>
        <v>0</v>
      </c>
      <c r="AA22" s="2">
        <f t="shared" si="8"/>
        <v>0</v>
      </c>
      <c r="AB22" s="2">
        <f t="shared" si="8"/>
        <v>0</v>
      </c>
      <c r="AC22" s="2">
        <f t="shared" si="8"/>
        <v>0</v>
      </c>
      <c r="AD22" s="2">
        <f t="shared" si="8"/>
        <v>0</v>
      </c>
      <c r="AE22" s="2">
        <f t="shared" si="8"/>
        <v>0</v>
      </c>
      <c r="AF22" s="2">
        <f t="shared" si="8"/>
        <v>0</v>
      </c>
      <c r="AG22" s="2">
        <f t="shared" si="8"/>
        <v>0</v>
      </c>
      <c r="AH22" s="2">
        <f t="shared" si="8"/>
        <v>0</v>
      </c>
      <c r="AI22" s="2">
        <f t="shared" si="8"/>
        <v>0</v>
      </c>
      <c r="AJ22" s="2">
        <f t="shared" si="8"/>
        <v>0</v>
      </c>
      <c r="AK22" s="2">
        <f t="shared" si="8"/>
        <v>0</v>
      </c>
      <c r="AL22" s="2">
        <f t="shared" si="8"/>
        <v>0</v>
      </c>
      <c r="AM22" s="2">
        <f t="shared" si="8"/>
        <v>0</v>
      </c>
      <c r="AN22" s="2">
        <f t="shared" si="8"/>
        <v>0</v>
      </c>
      <c r="AO22" s="2">
        <f t="shared" si="8"/>
        <v>0</v>
      </c>
      <c r="AP22" s="2">
        <f t="shared" si="8"/>
        <v>0</v>
      </c>
      <c r="AQ22" s="2">
        <f t="shared" si="8"/>
        <v>0</v>
      </c>
      <c r="AR22" s="2">
        <f t="shared" si="8"/>
        <v>1898866.34</v>
      </c>
      <c r="AS22" s="2">
        <f t="shared" si="8"/>
        <v>535372.31000000006</v>
      </c>
      <c r="AT22" s="2">
        <f t="shared" si="8"/>
        <v>0</v>
      </c>
      <c r="AU22" s="2">
        <f t="shared" ref="AU22:BZ22" si="9">AU349</f>
        <v>1363494.03</v>
      </c>
      <c r="AV22" s="2">
        <f t="shared" si="9"/>
        <v>1432121.4</v>
      </c>
      <c r="AW22" s="2">
        <f t="shared" si="9"/>
        <v>1432121.4</v>
      </c>
      <c r="AX22" s="2">
        <f t="shared" si="9"/>
        <v>0</v>
      </c>
      <c r="AY22" s="2">
        <f t="shared" si="9"/>
        <v>1432121.4</v>
      </c>
      <c r="AZ22" s="2">
        <f t="shared" si="9"/>
        <v>0</v>
      </c>
      <c r="BA22" s="2">
        <f t="shared" si="9"/>
        <v>0</v>
      </c>
      <c r="BB22" s="2">
        <f t="shared" si="9"/>
        <v>0</v>
      </c>
      <c r="BC22" s="2">
        <f t="shared" si="9"/>
        <v>0</v>
      </c>
      <c r="BD22" s="2">
        <f t="shared" si="9"/>
        <v>0</v>
      </c>
      <c r="BE22" s="2">
        <f t="shared" si="9"/>
        <v>0</v>
      </c>
      <c r="BF22" s="2">
        <f t="shared" si="9"/>
        <v>0</v>
      </c>
      <c r="BG22" s="2">
        <f t="shared" si="9"/>
        <v>0</v>
      </c>
      <c r="BH22" s="2">
        <f t="shared" si="9"/>
        <v>0</v>
      </c>
      <c r="BI22" s="2">
        <f t="shared" si="9"/>
        <v>0</v>
      </c>
      <c r="BJ22" s="2">
        <f t="shared" si="9"/>
        <v>0</v>
      </c>
      <c r="BK22" s="2">
        <f t="shared" si="9"/>
        <v>0</v>
      </c>
      <c r="BL22" s="2">
        <f t="shared" si="9"/>
        <v>0</v>
      </c>
      <c r="BM22" s="2">
        <f t="shared" si="9"/>
        <v>0</v>
      </c>
      <c r="BN22" s="2">
        <f t="shared" si="9"/>
        <v>0</v>
      </c>
      <c r="BO22" s="2">
        <f t="shared" si="9"/>
        <v>0</v>
      </c>
      <c r="BP22" s="2">
        <f t="shared" si="9"/>
        <v>0</v>
      </c>
      <c r="BQ22" s="2">
        <f t="shared" si="9"/>
        <v>0</v>
      </c>
      <c r="BR22" s="2">
        <f t="shared" si="9"/>
        <v>0</v>
      </c>
      <c r="BS22" s="2">
        <f t="shared" si="9"/>
        <v>0</v>
      </c>
      <c r="BT22" s="2">
        <f t="shared" si="9"/>
        <v>0</v>
      </c>
      <c r="BU22" s="2">
        <f t="shared" si="9"/>
        <v>0</v>
      </c>
      <c r="BV22" s="2">
        <f t="shared" si="9"/>
        <v>0</v>
      </c>
      <c r="BW22" s="2">
        <f t="shared" si="9"/>
        <v>0</v>
      </c>
      <c r="BX22" s="2">
        <f t="shared" si="9"/>
        <v>0</v>
      </c>
      <c r="BY22" s="2">
        <f t="shared" si="9"/>
        <v>0</v>
      </c>
      <c r="BZ22" s="2">
        <f t="shared" si="9"/>
        <v>0</v>
      </c>
      <c r="CA22" s="2">
        <f t="shared" ref="CA22:DF22" si="10">CA349</f>
        <v>0</v>
      </c>
      <c r="CB22" s="2">
        <f t="shared" si="10"/>
        <v>0</v>
      </c>
      <c r="CC22" s="2">
        <f t="shared" si="10"/>
        <v>0</v>
      </c>
      <c r="CD22" s="2">
        <f t="shared" si="10"/>
        <v>0</v>
      </c>
      <c r="CE22" s="2">
        <f t="shared" si="10"/>
        <v>0</v>
      </c>
      <c r="CF22" s="2">
        <f t="shared" si="10"/>
        <v>0</v>
      </c>
      <c r="CG22" s="2">
        <f t="shared" si="10"/>
        <v>0</v>
      </c>
      <c r="CH22" s="2">
        <f t="shared" si="10"/>
        <v>0</v>
      </c>
      <c r="CI22" s="2">
        <f t="shared" si="10"/>
        <v>0</v>
      </c>
      <c r="CJ22" s="2">
        <f t="shared" si="10"/>
        <v>0</v>
      </c>
      <c r="CK22" s="2">
        <f t="shared" si="10"/>
        <v>0</v>
      </c>
      <c r="CL22" s="2">
        <f t="shared" si="10"/>
        <v>0</v>
      </c>
      <c r="CM22" s="2">
        <f t="shared" si="10"/>
        <v>0</v>
      </c>
      <c r="CN22" s="2">
        <f t="shared" si="10"/>
        <v>0</v>
      </c>
      <c r="CO22" s="2">
        <f t="shared" si="10"/>
        <v>0</v>
      </c>
      <c r="CP22" s="2">
        <f t="shared" si="10"/>
        <v>0</v>
      </c>
      <c r="CQ22" s="2">
        <f t="shared" si="10"/>
        <v>0</v>
      </c>
      <c r="CR22" s="2">
        <f t="shared" si="10"/>
        <v>0</v>
      </c>
      <c r="CS22" s="2">
        <f t="shared" si="10"/>
        <v>0</v>
      </c>
      <c r="CT22" s="2">
        <f t="shared" si="10"/>
        <v>0</v>
      </c>
      <c r="CU22" s="2">
        <f t="shared" si="10"/>
        <v>0</v>
      </c>
      <c r="CV22" s="2">
        <f t="shared" si="10"/>
        <v>0</v>
      </c>
      <c r="CW22" s="2">
        <f t="shared" si="10"/>
        <v>0</v>
      </c>
      <c r="CX22" s="2">
        <f t="shared" si="10"/>
        <v>0</v>
      </c>
      <c r="CY22" s="2">
        <f t="shared" si="10"/>
        <v>0</v>
      </c>
      <c r="CZ22" s="2">
        <f t="shared" si="10"/>
        <v>0</v>
      </c>
      <c r="DA22" s="2">
        <f t="shared" si="10"/>
        <v>0</v>
      </c>
      <c r="DB22" s="2">
        <f t="shared" si="10"/>
        <v>0</v>
      </c>
      <c r="DC22" s="2">
        <f t="shared" si="10"/>
        <v>0</v>
      </c>
      <c r="DD22" s="2">
        <f t="shared" si="10"/>
        <v>0</v>
      </c>
      <c r="DE22" s="2">
        <f t="shared" si="10"/>
        <v>0</v>
      </c>
      <c r="DF22" s="2">
        <f t="shared" si="10"/>
        <v>0</v>
      </c>
      <c r="DG22" s="3">
        <f t="shared" ref="DG22:EL22" si="11">DG349</f>
        <v>0</v>
      </c>
      <c r="DH22" s="3">
        <f t="shared" si="11"/>
        <v>0</v>
      </c>
      <c r="DI22" s="3">
        <f t="shared" si="11"/>
        <v>0</v>
      </c>
      <c r="DJ22" s="3">
        <f t="shared" si="11"/>
        <v>0</v>
      </c>
      <c r="DK22" s="3">
        <f t="shared" si="11"/>
        <v>0</v>
      </c>
      <c r="DL22" s="3">
        <f t="shared" si="11"/>
        <v>0</v>
      </c>
      <c r="DM22" s="3">
        <f t="shared" si="11"/>
        <v>0</v>
      </c>
      <c r="DN22" s="3">
        <f t="shared" si="11"/>
        <v>0</v>
      </c>
      <c r="DO22" s="3">
        <f t="shared" si="11"/>
        <v>0</v>
      </c>
      <c r="DP22" s="3">
        <f t="shared" si="11"/>
        <v>0</v>
      </c>
      <c r="DQ22" s="3">
        <f t="shared" si="11"/>
        <v>0</v>
      </c>
      <c r="DR22" s="3">
        <f t="shared" si="11"/>
        <v>0</v>
      </c>
      <c r="DS22" s="3">
        <f t="shared" si="11"/>
        <v>0</v>
      </c>
      <c r="DT22" s="3">
        <f t="shared" si="11"/>
        <v>0</v>
      </c>
      <c r="DU22" s="3">
        <f t="shared" si="11"/>
        <v>0</v>
      </c>
      <c r="DV22" s="3">
        <f t="shared" si="11"/>
        <v>0</v>
      </c>
      <c r="DW22" s="3">
        <f t="shared" si="11"/>
        <v>0</v>
      </c>
      <c r="DX22" s="3">
        <f t="shared" si="11"/>
        <v>0</v>
      </c>
      <c r="DY22" s="3">
        <f t="shared" si="11"/>
        <v>0</v>
      </c>
      <c r="DZ22" s="3">
        <f t="shared" si="11"/>
        <v>0</v>
      </c>
      <c r="EA22" s="3">
        <f t="shared" si="11"/>
        <v>0</v>
      </c>
      <c r="EB22" s="3">
        <f t="shared" si="11"/>
        <v>0</v>
      </c>
      <c r="EC22" s="3">
        <f t="shared" si="11"/>
        <v>0</v>
      </c>
      <c r="ED22" s="3">
        <f t="shared" si="11"/>
        <v>0</v>
      </c>
      <c r="EE22" s="3">
        <f t="shared" si="11"/>
        <v>0</v>
      </c>
      <c r="EF22" s="3">
        <f t="shared" si="11"/>
        <v>0</v>
      </c>
      <c r="EG22" s="3">
        <f t="shared" si="11"/>
        <v>0</v>
      </c>
      <c r="EH22" s="3">
        <f t="shared" si="11"/>
        <v>0</v>
      </c>
      <c r="EI22" s="3">
        <f t="shared" si="11"/>
        <v>0</v>
      </c>
      <c r="EJ22" s="3">
        <f t="shared" si="11"/>
        <v>0</v>
      </c>
      <c r="EK22" s="3">
        <f t="shared" si="11"/>
        <v>0</v>
      </c>
      <c r="EL22" s="3">
        <f t="shared" si="11"/>
        <v>0</v>
      </c>
      <c r="EM22" s="3">
        <f t="shared" ref="EM22:FR22" si="12">EM349</f>
        <v>0</v>
      </c>
      <c r="EN22" s="3">
        <f t="shared" si="12"/>
        <v>0</v>
      </c>
      <c r="EO22" s="3">
        <f t="shared" si="12"/>
        <v>0</v>
      </c>
      <c r="EP22" s="3">
        <f t="shared" si="12"/>
        <v>0</v>
      </c>
      <c r="EQ22" s="3">
        <f t="shared" si="12"/>
        <v>0</v>
      </c>
      <c r="ER22" s="3">
        <f t="shared" si="12"/>
        <v>0</v>
      </c>
      <c r="ES22" s="3">
        <f t="shared" si="12"/>
        <v>0</v>
      </c>
      <c r="ET22" s="3">
        <f t="shared" si="12"/>
        <v>0</v>
      </c>
      <c r="EU22" s="3">
        <f t="shared" si="12"/>
        <v>0</v>
      </c>
      <c r="EV22" s="3">
        <f t="shared" si="12"/>
        <v>0</v>
      </c>
      <c r="EW22" s="3">
        <f t="shared" si="12"/>
        <v>0</v>
      </c>
      <c r="EX22" s="3">
        <f t="shared" si="12"/>
        <v>0</v>
      </c>
      <c r="EY22" s="3">
        <f t="shared" si="12"/>
        <v>0</v>
      </c>
      <c r="EZ22" s="3">
        <f t="shared" si="12"/>
        <v>0</v>
      </c>
      <c r="FA22" s="3">
        <f t="shared" si="12"/>
        <v>0</v>
      </c>
      <c r="FB22" s="3">
        <f t="shared" si="12"/>
        <v>0</v>
      </c>
      <c r="FC22" s="3">
        <f t="shared" si="12"/>
        <v>0</v>
      </c>
      <c r="FD22" s="3">
        <f t="shared" si="12"/>
        <v>0</v>
      </c>
      <c r="FE22" s="3">
        <f t="shared" si="12"/>
        <v>0</v>
      </c>
      <c r="FF22" s="3">
        <f t="shared" si="12"/>
        <v>0</v>
      </c>
      <c r="FG22" s="3">
        <f t="shared" si="12"/>
        <v>0</v>
      </c>
      <c r="FH22" s="3">
        <f t="shared" si="12"/>
        <v>0</v>
      </c>
      <c r="FI22" s="3">
        <f t="shared" si="12"/>
        <v>0</v>
      </c>
      <c r="FJ22" s="3">
        <f t="shared" si="12"/>
        <v>0</v>
      </c>
      <c r="FK22" s="3">
        <f t="shared" si="12"/>
        <v>0</v>
      </c>
      <c r="FL22" s="3">
        <f t="shared" si="12"/>
        <v>0</v>
      </c>
      <c r="FM22" s="3">
        <f t="shared" si="12"/>
        <v>0</v>
      </c>
      <c r="FN22" s="3">
        <f t="shared" si="12"/>
        <v>0</v>
      </c>
      <c r="FO22" s="3">
        <f t="shared" si="12"/>
        <v>0</v>
      </c>
      <c r="FP22" s="3">
        <f t="shared" si="12"/>
        <v>0</v>
      </c>
      <c r="FQ22" s="3">
        <f t="shared" si="12"/>
        <v>0</v>
      </c>
      <c r="FR22" s="3">
        <f t="shared" si="12"/>
        <v>0</v>
      </c>
      <c r="FS22" s="3">
        <f t="shared" ref="FS22:GX22" si="13">FS349</f>
        <v>0</v>
      </c>
      <c r="FT22" s="3">
        <f t="shared" si="13"/>
        <v>0</v>
      </c>
      <c r="FU22" s="3">
        <f t="shared" si="13"/>
        <v>0</v>
      </c>
      <c r="FV22" s="3">
        <f t="shared" si="13"/>
        <v>0</v>
      </c>
      <c r="FW22" s="3">
        <f t="shared" si="13"/>
        <v>0</v>
      </c>
      <c r="FX22" s="3">
        <f t="shared" si="13"/>
        <v>0</v>
      </c>
      <c r="FY22" s="3">
        <f t="shared" si="13"/>
        <v>0</v>
      </c>
      <c r="FZ22" s="3">
        <f t="shared" si="13"/>
        <v>0</v>
      </c>
      <c r="GA22" s="3">
        <f t="shared" si="13"/>
        <v>0</v>
      </c>
      <c r="GB22" s="3">
        <f t="shared" si="13"/>
        <v>0</v>
      </c>
      <c r="GC22" s="3">
        <f t="shared" si="13"/>
        <v>0</v>
      </c>
      <c r="GD22" s="3">
        <f t="shared" si="13"/>
        <v>0</v>
      </c>
      <c r="GE22" s="3">
        <f t="shared" si="13"/>
        <v>0</v>
      </c>
      <c r="GF22" s="3">
        <f t="shared" si="13"/>
        <v>0</v>
      </c>
      <c r="GG22" s="3">
        <f t="shared" si="13"/>
        <v>0</v>
      </c>
      <c r="GH22" s="3">
        <f t="shared" si="13"/>
        <v>0</v>
      </c>
      <c r="GI22" s="3">
        <f t="shared" si="13"/>
        <v>0</v>
      </c>
      <c r="GJ22" s="3">
        <f t="shared" si="13"/>
        <v>0</v>
      </c>
      <c r="GK22" s="3">
        <f t="shared" si="13"/>
        <v>0</v>
      </c>
      <c r="GL22" s="3">
        <f t="shared" si="13"/>
        <v>0</v>
      </c>
      <c r="GM22" s="3">
        <f t="shared" si="13"/>
        <v>0</v>
      </c>
      <c r="GN22" s="3">
        <f t="shared" si="13"/>
        <v>0</v>
      </c>
      <c r="GO22" s="3">
        <f t="shared" si="13"/>
        <v>0</v>
      </c>
      <c r="GP22" s="3">
        <f t="shared" si="13"/>
        <v>0</v>
      </c>
      <c r="GQ22" s="3">
        <f t="shared" si="13"/>
        <v>0</v>
      </c>
      <c r="GR22" s="3">
        <f t="shared" si="13"/>
        <v>0</v>
      </c>
      <c r="GS22" s="3">
        <f t="shared" si="13"/>
        <v>0</v>
      </c>
      <c r="GT22" s="3">
        <f t="shared" si="13"/>
        <v>0</v>
      </c>
      <c r="GU22" s="3">
        <f t="shared" si="13"/>
        <v>0</v>
      </c>
      <c r="GV22" s="3">
        <f t="shared" si="13"/>
        <v>0</v>
      </c>
      <c r="GW22" s="3">
        <f t="shared" si="13"/>
        <v>0</v>
      </c>
      <c r="GX22" s="3">
        <f t="shared" si="13"/>
        <v>0</v>
      </c>
    </row>
    <row r="24" spans="1:245" x14ac:dyDescent="0.2">
      <c r="A24" s="1">
        <v>4</v>
      </c>
      <c r="B24" s="1">
        <v>1</v>
      </c>
      <c r="C24" s="1"/>
      <c r="D24" s="1">
        <f>ROW(A46)</f>
        <v>46</v>
      </c>
      <c r="E24" s="1"/>
      <c r="F24" s="1" t="s">
        <v>25</v>
      </c>
      <c r="G24" s="1" t="s">
        <v>26</v>
      </c>
      <c r="H24" s="1" t="s">
        <v>3</v>
      </c>
      <c r="I24" s="1">
        <v>0</v>
      </c>
      <c r="J24" s="1"/>
      <c r="K24" s="1">
        <v>-1</v>
      </c>
      <c r="L24" s="1"/>
      <c r="M24" s="1" t="s">
        <v>3</v>
      </c>
      <c r="N24" s="1"/>
      <c r="O24" s="1"/>
      <c r="P24" s="1"/>
      <c r="Q24" s="1"/>
      <c r="R24" s="1"/>
      <c r="S24" s="1">
        <v>0</v>
      </c>
      <c r="T24" s="1"/>
      <c r="U24" s="1" t="s">
        <v>3</v>
      </c>
      <c r="V24" s="1">
        <v>0</v>
      </c>
      <c r="W24" s="1"/>
      <c r="X24" s="1"/>
      <c r="Y24" s="1"/>
      <c r="Z24" s="1"/>
      <c r="AA24" s="1"/>
      <c r="AB24" s="1" t="s">
        <v>3</v>
      </c>
      <c r="AC24" s="1" t="s">
        <v>3</v>
      </c>
      <c r="AD24" s="1" t="s">
        <v>3</v>
      </c>
      <c r="AE24" s="1" t="s">
        <v>3</v>
      </c>
      <c r="AF24" s="1" t="s">
        <v>3</v>
      </c>
      <c r="AG24" s="1" t="s">
        <v>3</v>
      </c>
      <c r="AH24" s="1"/>
      <c r="AI24" s="1"/>
      <c r="AJ24" s="1"/>
      <c r="AK24" s="1"/>
      <c r="AL24" s="1"/>
      <c r="AM24" s="1"/>
      <c r="AN24" s="1"/>
      <c r="AO24" s="1"/>
      <c r="AP24" s="1" t="s">
        <v>3</v>
      </c>
      <c r="AQ24" s="1" t="s">
        <v>3</v>
      </c>
      <c r="AR24" s="1" t="s">
        <v>3</v>
      </c>
      <c r="AS24" s="1"/>
      <c r="AT24" s="1"/>
      <c r="AU24" s="1"/>
      <c r="AV24" s="1"/>
      <c r="AW24" s="1"/>
      <c r="AX24" s="1"/>
      <c r="AY24" s="1"/>
      <c r="AZ24" s="1" t="s">
        <v>3</v>
      </c>
      <c r="BA24" s="1"/>
      <c r="BB24" s="1" t="s">
        <v>3</v>
      </c>
      <c r="BC24" s="1" t="s">
        <v>3</v>
      </c>
      <c r="BD24" s="1" t="s">
        <v>3</v>
      </c>
      <c r="BE24" s="1" t="s">
        <v>3</v>
      </c>
      <c r="BF24" s="1" t="s">
        <v>3</v>
      </c>
      <c r="BG24" s="1" t="s">
        <v>3</v>
      </c>
      <c r="BH24" s="1" t="s">
        <v>3</v>
      </c>
      <c r="BI24" s="1" t="s">
        <v>3</v>
      </c>
      <c r="BJ24" s="1" t="s">
        <v>3</v>
      </c>
      <c r="BK24" s="1" t="s">
        <v>3</v>
      </c>
      <c r="BL24" s="1" t="s">
        <v>3</v>
      </c>
      <c r="BM24" s="1" t="s">
        <v>3</v>
      </c>
      <c r="BN24" s="1" t="s">
        <v>3</v>
      </c>
      <c r="BO24" s="1" t="s">
        <v>3</v>
      </c>
      <c r="BP24" s="1" t="s">
        <v>3</v>
      </c>
      <c r="BQ24" s="1"/>
      <c r="BR24" s="1"/>
      <c r="BS24" s="1"/>
      <c r="BT24" s="1"/>
      <c r="BU24" s="1"/>
      <c r="BV24" s="1"/>
      <c r="BW24" s="1"/>
      <c r="BX24" s="1">
        <v>0</v>
      </c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>
        <v>0</v>
      </c>
    </row>
    <row r="26" spans="1:245" x14ac:dyDescent="0.2">
      <c r="A26" s="2">
        <v>52</v>
      </c>
      <c r="B26" s="2">
        <f t="shared" ref="B26:G26" si="14">B46</f>
        <v>1</v>
      </c>
      <c r="C26" s="2">
        <f t="shared" si="14"/>
        <v>4</v>
      </c>
      <c r="D26" s="2">
        <f t="shared" si="14"/>
        <v>24</v>
      </c>
      <c r="E26" s="2">
        <f t="shared" si="14"/>
        <v>0</v>
      </c>
      <c r="F26" s="2" t="str">
        <f t="shared" si="14"/>
        <v>зам. песка 260м2 (рез)</v>
      </c>
      <c r="G26" s="2" t="str">
        <f t="shared" si="14"/>
        <v>Ремонт спортивной площадки с заменой песчаного покрытия на синтетическое 260 м2 (резина)</v>
      </c>
      <c r="H26" s="2"/>
      <c r="I26" s="2"/>
      <c r="J26" s="2"/>
      <c r="K26" s="2"/>
      <c r="L26" s="2"/>
      <c r="M26" s="2"/>
      <c r="N26" s="2"/>
      <c r="O26" s="2">
        <f t="shared" ref="O26:AT26" si="15">O46</f>
        <v>773563.15</v>
      </c>
      <c r="P26" s="2">
        <f t="shared" si="15"/>
        <v>622593.62</v>
      </c>
      <c r="Q26" s="2">
        <f t="shared" si="15"/>
        <v>104506.83</v>
      </c>
      <c r="R26" s="2">
        <f t="shared" si="15"/>
        <v>56062.239999999998</v>
      </c>
      <c r="S26" s="2">
        <f t="shared" si="15"/>
        <v>46462.7</v>
      </c>
      <c r="T26" s="2">
        <f t="shared" si="15"/>
        <v>0</v>
      </c>
      <c r="U26" s="2">
        <f t="shared" si="15"/>
        <v>221.27865000000003</v>
      </c>
      <c r="V26" s="2">
        <f t="shared" si="15"/>
        <v>0</v>
      </c>
      <c r="W26" s="2">
        <f t="shared" si="15"/>
        <v>0</v>
      </c>
      <c r="X26" s="2">
        <f t="shared" si="15"/>
        <v>32523.89</v>
      </c>
      <c r="Y26" s="2">
        <f t="shared" si="15"/>
        <v>4646.26</v>
      </c>
      <c r="Z26" s="2">
        <f t="shared" si="15"/>
        <v>0</v>
      </c>
      <c r="AA26" s="2">
        <f t="shared" si="15"/>
        <v>0</v>
      </c>
      <c r="AB26" s="2">
        <f t="shared" si="15"/>
        <v>773563.15</v>
      </c>
      <c r="AC26" s="2">
        <f t="shared" si="15"/>
        <v>622593.62</v>
      </c>
      <c r="AD26" s="2">
        <f t="shared" si="15"/>
        <v>104506.83</v>
      </c>
      <c r="AE26" s="2">
        <f t="shared" si="15"/>
        <v>56062.239999999998</v>
      </c>
      <c r="AF26" s="2">
        <f t="shared" si="15"/>
        <v>46462.7</v>
      </c>
      <c r="AG26" s="2">
        <f t="shared" si="15"/>
        <v>0</v>
      </c>
      <c r="AH26" s="2">
        <f t="shared" si="15"/>
        <v>221.27865000000003</v>
      </c>
      <c r="AI26" s="2">
        <f t="shared" si="15"/>
        <v>0</v>
      </c>
      <c r="AJ26" s="2">
        <f t="shared" si="15"/>
        <v>0</v>
      </c>
      <c r="AK26" s="2">
        <f t="shared" si="15"/>
        <v>32523.89</v>
      </c>
      <c r="AL26" s="2">
        <f t="shared" si="15"/>
        <v>4646.26</v>
      </c>
      <c r="AM26" s="2">
        <f t="shared" si="15"/>
        <v>0</v>
      </c>
      <c r="AN26" s="2">
        <f t="shared" si="15"/>
        <v>0</v>
      </c>
      <c r="AO26" s="2">
        <f t="shared" si="15"/>
        <v>0</v>
      </c>
      <c r="AP26" s="2">
        <f t="shared" si="15"/>
        <v>0</v>
      </c>
      <c r="AQ26" s="2">
        <f t="shared" si="15"/>
        <v>0</v>
      </c>
      <c r="AR26" s="2">
        <f t="shared" si="15"/>
        <v>836928.86</v>
      </c>
      <c r="AS26" s="2">
        <f t="shared" si="15"/>
        <v>9127.2999999999993</v>
      </c>
      <c r="AT26" s="2">
        <f t="shared" si="15"/>
        <v>0</v>
      </c>
      <c r="AU26" s="2">
        <f t="shared" ref="AU26:BZ26" si="16">AU46</f>
        <v>827801.56</v>
      </c>
      <c r="AV26" s="2">
        <f t="shared" si="16"/>
        <v>622593.62</v>
      </c>
      <c r="AW26" s="2">
        <f t="shared" si="16"/>
        <v>622593.62</v>
      </c>
      <c r="AX26" s="2">
        <f t="shared" si="16"/>
        <v>0</v>
      </c>
      <c r="AY26" s="2">
        <f t="shared" si="16"/>
        <v>622593.62</v>
      </c>
      <c r="AZ26" s="2">
        <f t="shared" si="16"/>
        <v>0</v>
      </c>
      <c r="BA26" s="2">
        <f t="shared" si="16"/>
        <v>0</v>
      </c>
      <c r="BB26" s="2">
        <f t="shared" si="16"/>
        <v>0</v>
      </c>
      <c r="BC26" s="2">
        <f t="shared" si="16"/>
        <v>0</v>
      </c>
      <c r="BD26" s="2">
        <f t="shared" si="16"/>
        <v>0</v>
      </c>
      <c r="BE26" s="2">
        <f t="shared" si="16"/>
        <v>0</v>
      </c>
      <c r="BF26" s="2">
        <f t="shared" si="16"/>
        <v>0</v>
      </c>
      <c r="BG26" s="2">
        <f t="shared" si="16"/>
        <v>0</v>
      </c>
      <c r="BH26" s="2">
        <f t="shared" si="16"/>
        <v>0</v>
      </c>
      <c r="BI26" s="2">
        <f t="shared" si="16"/>
        <v>0</v>
      </c>
      <c r="BJ26" s="2">
        <f t="shared" si="16"/>
        <v>0</v>
      </c>
      <c r="BK26" s="2">
        <f t="shared" si="16"/>
        <v>0</v>
      </c>
      <c r="BL26" s="2">
        <f t="shared" si="16"/>
        <v>0</v>
      </c>
      <c r="BM26" s="2">
        <f t="shared" si="16"/>
        <v>0</v>
      </c>
      <c r="BN26" s="2">
        <f t="shared" si="16"/>
        <v>0</v>
      </c>
      <c r="BO26" s="2">
        <f t="shared" si="16"/>
        <v>0</v>
      </c>
      <c r="BP26" s="2">
        <f t="shared" si="16"/>
        <v>0</v>
      </c>
      <c r="BQ26" s="2">
        <f t="shared" si="16"/>
        <v>0</v>
      </c>
      <c r="BR26" s="2">
        <f t="shared" si="16"/>
        <v>0</v>
      </c>
      <c r="BS26" s="2">
        <f t="shared" si="16"/>
        <v>0</v>
      </c>
      <c r="BT26" s="2">
        <f t="shared" si="16"/>
        <v>0</v>
      </c>
      <c r="BU26" s="2">
        <f t="shared" si="16"/>
        <v>0</v>
      </c>
      <c r="BV26" s="2">
        <f t="shared" si="16"/>
        <v>0</v>
      </c>
      <c r="BW26" s="2">
        <f t="shared" si="16"/>
        <v>0</v>
      </c>
      <c r="BX26" s="2">
        <f t="shared" si="16"/>
        <v>0</v>
      </c>
      <c r="BY26" s="2">
        <f t="shared" si="16"/>
        <v>0</v>
      </c>
      <c r="BZ26" s="2">
        <f t="shared" si="16"/>
        <v>0</v>
      </c>
      <c r="CA26" s="2">
        <f t="shared" ref="CA26:DF26" si="17">CA46</f>
        <v>836928.86</v>
      </c>
      <c r="CB26" s="2">
        <f t="shared" si="17"/>
        <v>9127.2999999999993</v>
      </c>
      <c r="CC26" s="2">
        <f t="shared" si="17"/>
        <v>0</v>
      </c>
      <c r="CD26" s="2">
        <f t="shared" si="17"/>
        <v>827801.56</v>
      </c>
      <c r="CE26" s="2">
        <f t="shared" si="17"/>
        <v>622593.62</v>
      </c>
      <c r="CF26" s="2">
        <f t="shared" si="17"/>
        <v>622593.62</v>
      </c>
      <c r="CG26" s="2">
        <f t="shared" si="17"/>
        <v>0</v>
      </c>
      <c r="CH26" s="2">
        <f t="shared" si="17"/>
        <v>622593.62</v>
      </c>
      <c r="CI26" s="2">
        <f t="shared" si="17"/>
        <v>0</v>
      </c>
      <c r="CJ26" s="2">
        <f t="shared" si="17"/>
        <v>0</v>
      </c>
      <c r="CK26" s="2">
        <f t="shared" si="17"/>
        <v>0</v>
      </c>
      <c r="CL26" s="2">
        <f t="shared" si="17"/>
        <v>0</v>
      </c>
      <c r="CM26" s="2">
        <f t="shared" si="17"/>
        <v>0</v>
      </c>
      <c r="CN26" s="2">
        <f t="shared" si="17"/>
        <v>0</v>
      </c>
      <c r="CO26" s="2">
        <f t="shared" si="17"/>
        <v>0</v>
      </c>
      <c r="CP26" s="2">
        <f t="shared" si="17"/>
        <v>0</v>
      </c>
      <c r="CQ26" s="2">
        <f t="shared" si="17"/>
        <v>0</v>
      </c>
      <c r="CR26" s="2">
        <f t="shared" si="17"/>
        <v>0</v>
      </c>
      <c r="CS26" s="2">
        <f t="shared" si="17"/>
        <v>0</v>
      </c>
      <c r="CT26" s="2">
        <f t="shared" si="17"/>
        <v>0</v>
      </c>
      <c r="CU26" s="2">
        <f t="shared" si="17"/>
        <v>0</v>
      </c>
      <c r="CV26" s="2">
        <f t="shared" si="17"/>
        <v>0</v>
      </c>
      <c r="CW26" s="2">
        <f t="shared" si="17"/>
        <v>0</v>
      </c>
      <c r="CX26" s="2">
        <f t="shared" si="17"/>
        <v>0</v>
      </c>
      <c r="CY26" s="2">
        <f t="shared" si="17"/>
        <v>0</v>
      </c>
      <c r="CZ26" s="2">
        <f t="shared" si="17"/>
        <v>0</v>
      </c>
      <c r="DA26" s="2">
        <f t="shared" si="17"/>
        <v>0</v>
      </c>
      <c r="DB26" s="2">
        <f t="shared" si="17"/>
        <v>0</v>
      </c>
      <c r="DC26" s="2">
        <f t="shared" si="17"/>
        <v>0</v>
      </c>
      <c r="DD26" s="2">
        <f t="shared" si="17"/>
        <v>0</v>
      </c>
      <c r="DE26" s="2">
        <f t="shared" si="17"/>
        <v>0</v>
      </c>
      <c r="DF26" s="2">
        <f t="shared" si="17"/>
        <v>0</v>
      </c>
      <c r="DG26" s="3">
        <f t="shared" ref="DG26:EL26" si="18">DG46</f>
        <v>0</v>
      </c>
      <c r="DH26" s="3">
        <f t="shared" si="18"/>
        <v>0</v>
      </c>
      <c r="DI26" s="3">
        <f t="shared" si="18"/>
        <v>0</v>
      </c>
      <c r="DJ26" s="3">
        <f t="shared" si="18"/>
        <v>0</v>
      </c>
      <c r="DK26" s="3">
        <f t="shared" si="18"/>
        <v>0</v>
      </c>
      <c r="DL26" s="3">
        <f t="shared" si="18"/>
        <v>0</v>
      </c>
      <c r="DM26" s="3">
        <f t="shared" si="18"/>
        <v>0</v>
      </c>
      <c r="DN26" s="3">
        <f t="shared" si="18"/>
        <v>0</v>
      </c>
      <c r="DO26" s="3">
        <f t="shared" si="18"/>
        <v>0</v>
      </c>
      <c r="DP26" s="3">
        <f t="shared" si="18"/>
        <v>0</v>
      </c>
      <c r="DQ26" s="3">
        <f t="shared" si="18"/>
        <v>0</v>
      </c>
      <c r="DR26" s="3">
        <f t="shared" si="18"/>
        <v>0</v>
      </c>
      <c r="DS26" s="3">
        <f t="shared" si="18"/>
        <v>0</v>
      </c>
      <c r="DT26" s="3">
        <f t="shared" si="18"/>
        <v>0</v>
      </c>
      <c r="DU26" s="3">
        <f t="shared" si="18"/>
        <v>0</v>
      </c>
      <c r="DV26" s="3">
        <f t="shared" si="18"/>
        <v>0</v>
      </c>
      <c r="DW26" s="3">
        <f t="shared" si="18"/>
        <v>0</v>
      </c>
      <c r="DX26" s="3">
        <f t="shared" si="18"/>
        <v>0</v>
      </c>
      <c r="DY26" s="3">
        <f t="shared" si="18"/>
        <v>0</v>
      </c>
      <c r="DZ26" s="3">
        <f t="shared" si="18"/>
        <v>0</v>
      </c>
      <c r="EA26" s="3">
        <f t="shared" si="18"/>
        <v>0</v>
      </c>
      <c r="EB26" s="3">
        <f t="shared" si="18"/>
        <v>0</v>
      </c>
      <c r="EC26" s="3">
        <f t="shared" si="18"/>
        <v>0</v>
      </c>
      <c r="ED26" s="3">
        <f t="shared" si="18"/>
        <v>0</v>
      </c>
      <c r="EE26" s="3">
        <f t="shared" si="18"/>
        <v>0</v>
      </c>
      <c r="EF26" s="3">
        <f t="shared" si="18"/>
        <v>0</v>
      </c>
      <c r="EG26" s="3">
        <f t="shared" si="18"/>
        <v>0</v>
      </c>
      <c r="EH26" s="3">
        <f t="shared" si="18"/>
        <v>0</v>
      </c>
      <c r="EI26" s="3">
        <f t="shared" si="18"/>
        <v>0</v>
      </c>
      <c r="EJ26" s="3">
        <f t="shared" si="18"/>
        <v>0</v>
      </c>
      <c r="EK26" s="3">
        <f t="shared" si="18"/>
        <v>0</v>
      </c>
      <c r="EL26" s="3">
        <f t="shared" si="18"/>
        <v>0</v>
      </c>
      <c r="EM26" s="3">
        <f t="shared" ref="EM26:FR26" si="19">EM46</f>
        <v>0</v>
      </c>
      <c r="EN26" s="3">
        <f t="shared" si="19"/>
        <v>0</v>
      </c>
      <c r="EO26" s="3">
        <f t="shared" si="19"/>
        <v>0</v>
      </c>
      <c r="EP26" s="3">
        <f t="shared" si="19"/>
        <v>0</v>
      </c>
      <c r="EQ26" s="3">
        <f t="shared" si="19"/>
        <v>0</v>
      </c>
      <c r="ER26" s="3">
        <f t="shared" si="19"/>
        <v>0</v>
      </c>
      <c r="ES26" s="3">
        <f t="shared" si="19"/>
        <v>0</v>
      </c>
      <c r="ET26" s="3">
        <f t="shared" si="19"/>
        <v>0</v>
      </c>
      <c r="EU26" s="3">
        <f t="shared" si="19"/>
        <v>0</v>
      </c>
      <c r="EV26" s="3">
        <f t="shared" si="19"/>
        <v>0</v>
      </c>
      <c r="EW26" s="3">
        <f t="shared" si="19"/>
        <v>0</v>
      </c>
      <c r="EX26" s="3">
        <f t="shared" si="19"/>
        <v>0</v>
      </c>
      <c r="EY26" s="3">
        <f t="shared" si="19"/>
        <v>0</v>
      </c>
      <c r="EZ26" s="3">
        <f t="shared" si="19"/>
        <v>0</v>
      </c>
      <c r="FA26" s="3">
        <f t="shared" si="19"/>
        <v>0</v>
      </c>
      <c r="FB26" s="3">
        <f t="shared" si="19"/>
        <v>0</v>
      </c>
      <c r="FC26" s="3">
        <f t="shared" si="19"/>
        <v>0</v>
      </c>
      <c r="FD26" s="3">
        <f t="shared" si="19"/>
        <v>0</v>
      </c>
      <c r="FE26" s="3">
        <f t="shared" si="19"/>
        <v>0</v>
      </c>
      <c r="FF26" s="3">
        <f t="shared" si="19"/>
        <v>0</v>
      </c>
      <c r="FG26" s="3">
        <f t="shared" si="19"/>
        <v>0</v>
      </c>
      <c r="FH26" s="3">
        <f t="shared" si="19"/>
        <v>0</v>
      </c>
      <c r="FI26" s="3">
        <f t="shared" si="19"/>
        <v>0</v>
      </c>
      <c r="FJ26" s="3">
        <f t="shared" si="19"/>
        <v>0</v>
      </c>
      <c r="FK26" s="3">
        <f t="shared" si="19"/>
        <v>0</v>
      </c>
      <c r="FL26" s="3">
        <f t="shared" si="19"/>
        <v>0</v>
      </c>
      <c r="FM26" s="3">
        <f t="shared" si="19"/>
        <v>0</v>
      </c>
      <c r="FN26" s="3">
        <f t="shared" si="19"/>
        <v>0</v>
      </c>
      <c r="FO26" s="3">
        <f t="shared" si="19"/>
        <v>0</v>
      </c>
      <c r="FP26" s="3">
        <f t="shared" si="19"/>
        <v>0</v>
      </c>
      <c r="FQ26" s="3">
        <f t="shared" si="19"/>
        <v>0</v>
      </c>
      <c r="FR26" s="3">
        <f t="shared" si="19"/>
        <v>0</v>
      </c>
      <c r="FS26" s="3">
        <f t="shared" ref="FS26:GX26" si="20">FS46</f>
        <v>0</v>
      </c>
      <c r="FT26" s="3">
        <f t="shared" si="20"/>
        <v>0</v>
      </c>
      <c r="FU26" s="3">
        <f t="shared" si="20"/>
        <v>0</v>
      </c>
      <c r="FV26" s="3">
        <f t="shared" si="20"/>
        <v>0</v>
      </c>
      <c r="FW26" s="3">
        <f t="shared" si="20"/>
        <v>0</v>
      </c>
      <c r="FX26" s="3">
        <f t="shared" si="20"/>
        <v>0</v>
      </c>
      <c r="FY26" s="3">
        <f t="shared" si="20"/>
        <v>0</v>
      </c>
      <c r="FZ26" s="3">
        <f t="shared" si="20"/>
        <v>0</v>
      </c>
      <c r="GA26" s="3">
        <f t="shared" si="20"/>
        <v>0</v>
      </c>
      <c r="GB26" s="3">
        <f t="shared" si="20"/>
        <v>0</v>
      </c>
      <c r="GC26" s="3">
        <f t="shared" si="20"/>
        <v>0</v>
      </c>
      <c r="GD26" s="3">
        <f t="shared" si="20"/>
        <v>0</v>
      </c>
      <c r="GE26" s="3">
        <f t="shared" si="20"/>
        <v>0</v>
      </c>
      <c r="GF26" s="3">
        <f t="shared" si="20"/>
        <v>0</v>
      </c>
      <c r="GG26" s="3">
        <f t="shared" si="20"/>
        <v>0</v>
      </c>
      <c r="GH26" s="3">
        <f t="shared" si="20"/>
        <v>0</v>
      </c>
      <c r="GI26" s="3">
        <f t="shared" si="20"/>
        <v>0</v>
      </c>
      <c r="GJ26" s="3">
        <f t="shared" si="20"/>
        <v>0</v>
      </c>
      <c r="GK26" s="3">
        <f t="shared" si="20"/>
        <v>0</v>
      </c>
      <c r="GL26" s="3">
        <f t="shared" si="20"/>
        <v>0</v>
      </c>
      <c r="GM26" s="3">
        <f t="shared" si="20"/>
        <v>0</v>
      </c>
      <c r="GN26" s="3">
        <f t="shared" si="20"/>
        <v>0</v>
      </c>
      <c r="GO26" s="3">
        <f t="shared" si="20"/>
        <v>0</v>
      </c>
      <c r="GP26" s="3">
        <f t="shared" si="20"/>
        <v>0</v>
      </c>
      <c r="GQ26" s="3">
        <f t="shared" si="20"/>
        <v>0</v>
      </c>
      <c r="GR26" s="3">
        <f t="shared" si="20"/>
        <v>0</v>
      </c>
      <c r="GS26" s="3">
        <f t="shared" si="20"/>
        <v>0</v>
      </c>
      <c r="GT26" s="3">
        <f t="shared" si="20"/>
        <v>0</v>
      </c>
      <c r="GU26" s="3">
        <f t="shared" si="20"/>
        <v>0</v>
      </c>
      <c r="GV26" s="3">
        <f t="shared" si="20"/>
        <v>0</v>
      </c>
      <c r="GW26" s="3">
        <f t="shared" si="20"/>
        <v>0</v>
      </c>
      <c r="GX26" s="3">
        <f t="shared" si="20"/>
        <v>0</v>
      </c>
    </row>
    <row r="28" spans="1:245" x14ac:dyDescent="0.2">
      <c r="A28">
        <v>17</v>
      </c>
      <c r="B28">
        <v>1</v>
      </c>
      <c r="C28">
        <f>ROW(SmtRes!A3)</f>
        <v>3</v>
      </c>
      <c r="D28">
        <f>ROW(EtalonRes!A3)</f>
        <v>3</v>
      </c>
      <c r="E28" t="s">
        <v>27</v>
      </c>
      <c r="F28" t="s">
        <v>28</v>
      </c>
      <c r="G28" t="s">
        <v>29</v>
      </c>
      <c r="H28" t="s">
        <v>30</v>
      </c>
      <c r="I28">
        <f>ROUND(260*0.25*0.9/100,4)</f>
        <v>0.58499999999999996</v>
      </c>
      <c r="J28">
        <v>0</v>
      </c>
      <c r="O28">
        <f t="shared" ref="O28:O44" si="21">ROUND(CP28,2)</f>
        <v>5303.84</v>
      </c>
      <c r="P28">
        <f t="shared" ref="P28:P44" si="22">ROUND(CQ28*I28,2)</f>
        <v>0</v>
      </c>
      <c r="Q28">
        <f t="shared" ref="Q28:Q44" si="23">ROUND(CR28*I28,2)</f>
        <v>5135.72</v>
      </c>
      <c r="R28">
        <f t="shared" ref="R28:R44" si="24">ROUND(CS28*I28,2)</f>
        <v>2008.82</v>
      </c>
      <c r="S28">
        <f t="shared" ref="S28:S44" si="25">ROUND(CT28*I28,2)</f>
        <v>168.12</v>
      </c>
      <c r="T28">
        <f t="shared" ref="T28:T44" si="26">ROUND(CU28*I28,2)</f>
        <v>0</v>
      </c>
      <c r="U28">
        <f t="shared" ref="U28:U44" si="27">CV28*I28</f>
        <v>0.93015000000000003</v>
      </c>
      <c r="V28">
        <f t="shared" ref="V28:V44" si="28">CW28*I28</f>
        <v>0</v>
      </c>
      <c r="W28">
        <f t="shared" ref="W28:W44" si="29">ROUND(CX28*I28,2)</f>
        <v>0</v>
      </c>
      <c r="X28">
        <f t="shared" ref="X28:X44" si="30">ROUND(CY28,2)</f>
        <v>117.68</v>
      </c>
      <c r="Y28">
        <f t="shared" ref="Y28:Y44" si="31">ROUND(CZ28,2)</f>
        <v>16.809999999999999</v>
      </c>
      <c r="AA28">
        <v>49707740</v>
      </c>
      <c r="AB28">
        <f t="shared" ref="AB28:AB44" si="32">ROUND((AC28+AD28+AF28),6)</f>
        <v>9066.39</v>
      </c>
      <c r="AC28">
        <f t="shared" ref="AC28:AC44" si="33">ROUND((ES28),6)</f>
        <v>0</v>
      </c>
      <c r="AD28">
        <f>ROUND((((ET28)-(EU28))+AE28),6)</f>
        <v>8779.01</v>
      </c>
      <c r="AE28">
        <f t="shared" ref="AE28:AF31" si="34">ROUND((EU28),6)</f>
        <v>3433.88</v>
      </c>
      <c r="AF28">
        <f t="shared" si="34"/>
        <v>287.38</v>
      </c>
      <c r="AG28">
        <f t="shared" ref="AG28:AG44" si="35">ROUND((AP28),6)</f>
        <v>0</v>
      </c>
      <c r="AH28">
        <f t="shared" ref="AH28:AI31" si="36">(EW28)</f>
        <v>1.59</v>
      </c>
      <c r="AI28">
        <f t="shared" si="36"/>
        <v>0</v>
      </c>
      <c r="AJ28">
        <f t="shared" ref="AJ28:AJ44" si="37">(AS28)</f>
        <v>0</v>
      </c>
      <c r="AK28">
        <v>9066.39</v>
      </c>
      <c r="AL28">
        <v>0</v>
      </c>
      <c r="AM28">
        <v>8779.01</v>
      </c>
      <c r="AN28">
        <v>3433.88</v>
      </c>
      <c r="AO28">
        <v>287.38</v>
      </c>
      <c r="AP28">
        <v>0</v>
      </c>
      <c r="AQ28">
        <v>1.59</v>
      </c>
      <c r="AR28">
        <v>0</v>
      </c>
      <c r="AS28">
        <v>0</v>
      </c>
      <c r="AT28">
        <v>70</v>
      </c>
      <c r="AU28">
        <v>10</v>
      </c>
      <c r="AV28">
        <v>1</v>
      </c>
      <c r="AW28">
        <v>1</v>
      </c>
      <c r="AZ28">
        <v>1</v>
      </c>
      <c r="BA28">
        <v>1</v>
      </c>
      <c r="BB28">
        <v>1</v>
      </c>
      <c r="BC28">
        <v>1</v>
      </c>
      <c r="BD28" t="s">
        <v>3</v>
      </c>
      <c r="BE28" t="s">
        <v>3</v>
      </c>
      <c r="BF28" t="s">
        <v>3</v>
      </c>
      <c r="BG28" t="s">
        <v>3</v>
      </c>
      <c r="BH28">
        <v>0</v>
      </c>
      <c r="BI28">
        <v>4</v>
      </c>
      <c r="BJ28" t="s">
        <v>31</v>
      </c>
      <c r="BM28">
        <v>0</v>
      </c>
      <c r="BN28">
        <v>0</v>
      </c>
      <c r="BO28" t="s">
        <v>3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 t="s">
        <v>3</v>
      </c>
      <c r="BZ28">
        <v>70</v>
      </c>
      <c r="CA28">
        <v>10</v>
      </c>
      <c r="CE28">
        <v>0</v>
      </c>
      <c r="CF28">
        <v>0</v>
      </c>
      <c r="CG28">
        <v>0</v>
      </c>
      <c r="CM28">
        <v>0</v>
      </c>
      <c r="CN28" t="s">
        <v>3</v>
      </c>
      <c r="CO28">
        <v>0</v>
      </c>
      <c r="CP28">
        <f t="shared" ref="CP28:CP44" si="38">(P28+Q28+S28)</f>
        <v>5303.84</v>
      </c>
      <c r="CQ28">
        <f t="shared" ref="CQ28:CQ44" si="39">(AC28*BC28*AW28)</f>
        <v>0</v>
      </c>
      <c r="CR28">
        <f>((((ET28)*BB28-(EU28)*BS28)+AE28*BS28)*AV28)</f>
        <v>8779.01</v>
      </c>
      <c r="CS28">
        <f t="shared" ref="CS28:CS44" si="40">(AE28*BS28*AV28)</f>
        <v>3433.88</v>
      </c>
      <c r="CT28">
        <f t="shared" ref="CT28:CT44" si="41">(AF28*BA28*AV28)</f>
        <v>287.38</v>
      </c>
      <c r="CU28">
        <f t="shared" ref="CU28:CU44" si="42">AG28</f>
        <v>0</v>
      </c>
      <c r="CV28">
        <f t="shared" ref="CV28:CV44" si="43">(AH28*AV28)</f>
        <v>1.59</v>
      </c>
      <c r="CW28">
        <f t="shared" ref="CW28:CW44" si="44">AI28</f>
        <v>0</v>
      </c>
      <c r="CX28">
        <f t="shared" ref="CX28:CX44" si="45">AJ28</f>
        <v>0</v>
      </c>
      <c r="CY28">
        <f t="shared" ref="CY28:CY44" si="46">((S28*BZ28)/100)</f>
        <v>117.684</v>
      </c>
      <c r="CZ28">
        <f t="shared" ref="CZ28:CZ44" si="47">((S28*CA28)/100)</f>
        <v>16.812000000000001</v>
      </c>
      <c r="DC28" t="s">
        <v>3</v>
      </c>
      <c r="DD28" t="s">
        <v>3</v>
      </c>
      <c r="DE28" t="s">
        <v>3</v>
      </c>
      <c r="DF28" t="s">
        <v>3</v>
      </c>
      <c r="DG28" t="s">
        <v>3</v>
      </c>
      <c r="DH28" t="s">
        <v>3</v>
      </c>
      <c r="DI28" t="s">
        <v>3</v>
      </c>
      <c r="DJ28" t="s">
        <v>3</v>
      </c>
      <c r="DK28" t="s">
        <v>3</v>
      </c>
      <c r="DL28" t="s">
        <v>3</v>
      </c>
      <c r="DM28" t="s">
        <v>3</v>
      </c>
      <c r="DN28">
        <v>0</v>
      </c>
      <c r="DO28">
        <v>0</v>
      </c>
      <c r="DP28">
        <v>1</v>
      </c>
      <c r="DQ28">
        <v>1</v>
      </c>
      <c r="DU28">
        <v>1007</v>
      </c>
      <c r="DV28" t="s">
        <v>30</v>
      </c>
      <c r="DW28" t="s">
        <v>30</v>
      </c>
      <c r="DX28">
        <v>100</v>
      </c>
      <c r="DZ28" t="s">
        <v>3</v>
      </c>
      <c r="EA28" t="s">
        <v>3</v>
      </c>
      <c r="EB28" t="s">
        <v>3</v>
      </c>
      <c r="EC28" t="s">
        <v>3</v>
      </c>
      <c r="EE28">
        <v>49145957</v>
      </c>
      <c r="EF28">
        <v>1</v>
      </c>
      <c r="EG28" t="s">
        <v>32</v>
      </c>
      <c r="EH28">
        <v>0</v>
      </c>
      <c r="EI28" t="s">
        <v>3</v>
      </c>
      <c r="EJ28">
        <v>4</v>
      </c>
      <c r="EK28">
        <v>0</v>
      </c>
      <c r="EL28" t="s">
        <v>33</v>
      </c>
      <c r="EM28" t="s">
        <v>34</v>
      </c>
      <c r="EO28" t="s">
        <v>3</v>
      </c>
      <c r="EQ28">
        <v>0</v>
      </c>
      <c r="ER28">
        <v>9066.39</v>
      </c>
      <c r="ES28">
        <v>0</v>
      </c>
      <c r="ET28">
        <v>8779.01</v>
      </c>
      <c r="EU28">
        <v>3433.88</v>
      </c>
      <c r="EV28">
        <v>287.38</v>
      </c>
      <c r="EW28">
        <v>1.59</v>
      </c>
      <c r="EX28">
        <v>0</v>
      </c>
      <c r="EY28">
        <v>0</v>
      </c>
      <c r="FQ28">
        <v>0</v>
      </c>
      <c r="FR28">
        <f t="shared" ref="FR28:FR44" si="48">ROUND(IF(AND(BH28=3,BI28=3),P28,0),2)</f>
        <v>0</v>
      </c>
      <c r="FS28">
        <v>0</v>
      </c>
      <c r="FX28">
        <v>70</v>
      </c>
      <c r="FY28">
        <v>10</v>
      </c>
      <c r="GA28" t="s">
        <v>3</v>
      </c>
      <c r="GD28">
        <v>0</v>
      </c>
      <c r="GF28">
        <v>786330748</v>
      </c>
      <c r="GG28">
        <v>2</v>
      </c>
      <c r="GH28">
        <v>1</v>
      </c>
      <c r="GI28">
        <v>-2</v>
      </c>
      <c r="GJ28">
        <v>0</v>
      </c>
      <c r="GK28">
        <f>ROUND(R28*(R12)/100,2)</f>
        <v>2169.5300000000002</v>
      </c>
      <c r="GL28">
        <f t="shared" ref="GL28:GL44" si="49">ROUND(IF(AND(BH28=3,BI28=3,FS28&lt;&gt;0),P28,0),2)</f>
        <v>0</v>
      </c>
      <c r="GM28">
        <f>ROUND(O28+X28+Y28+GK28,2)+GX28</f>
        <v>7607.86</v>
      </c>
      <c r="GN28">
        <f>IF(OR(BI28=0,BI28=1),ROUND(O28+X28+Y28+GK28,2),0)</f>
        <v>0</v>
      </c>
      <c r="GO28">
        <f>IF(BI28=2,ROUND(O28+X28+Y28+GK28,2),0)</f>
        <v>0</v>
      </c>
      <c r="GP28">
        <f>IF(BI28=4,ROUND(O28+X28+Y28+GK28,2)+GX28,0)</f>
        <v>7607.86</v>
      </c>
      <c r="GR28">
        <v>0</v>
      </c>
      <c r="GS28">
        <v>3</v>
      </c>
      <c r="GT28">
        <v>0</v>
      </c>
      <c r="GU28" t="s">
        <v>3</v>
      </c>
      <c r="GV28">
        <f t="shared" ref="GV28:GV44" si="50">ROUND((GT28),6)</f>
        <v>0</v>
      </c>
      <c r="GW28">
        <v>1</v>
      </c>
      <c r="GX28">
        <f t="shared" ref="GX28:GX44" si="51">ROUND(HC28*I28,2)</f>
        <v>0</v>
      </c>
      <c r="HA28">
        <v>0</v>
      </c>
      <c r="HB28">
        <v>0</v>
      </c>
      <c r="HC28">
        <f t="shared" ref="HC28:HC44" si="52">GV28*GW28</f>
        <v>0</v>
      </c>
      <c r="HE28" t="s">
        <v>3</v>
      </c>
      <c r="HF28" t="s">
        <v>3</v>
      </c>
      <c r="IK28">
        <v>0</v>
      </c>
    </row>
    <row r="29" spans="1:245" x14ac:dyDescent="0.2">
      <c r="A29">
        <v>17</v>
      </c>
      <c r="B29">
        <v>1</v>
      </c>
      <c r="C29">
        <f>ROW(SmtRes!A4)</f>
        <v>4</v>
      </c>
      <c r="D29">
        <f>ROW(EtalonRes!A4)</f>
        <v>4</v>
      </c>
      <c r="E29" t="s">
        <v>35</v>
      </c>
      <c r="F29" t="s">
        <v>36</v>
      </c>
      <c r="G29" t="s">
        <v>37</v>
      </c>
      <c r="H29" t="s">
        <v>30</v>
      </c>
      <c r="I29">
        <f>ROUND((260*0.25*0.1)/100,4)</f>
        <v>6.5000000000000002E-2</v>
      </c>
      <c r="J29">
        <v>0</v>
      </c>
      <c r="O29">
        <f t="shared" si="21"/>
        <v>2726.82</v>
      </c>
      <c r="P29">
        <f t="shared" si="22"/>
        <v>0</v>
      </c>
      <c r="Q29">
        <f t="shared" si="23"/>
        <v>0</v>
      </c>
      <c r="R29">
        <f t="shared" si="24"/>
        <v>0</v>
      </c>
      <c r="S29">
        <f t="shared" si="25"/>
        <v>2726.82</v>
      </c>
      <c r="T29">
        <f t="shared" si="26"/>
        <v>0</v>
      </c>
      <c r="U29">
        <f t="shared" si="27"/>
        <v>14.404</v>
      </c>
      <c r="V29">
        <f t="shared" si="28"/>
        <v>0</v>
      </c>
      <c r="W29">
        <f t="shared" si="29"/>
        <v>0</v>
      </c>
      <c r="X29">
        <f t="shared" si="30"/>
        <v>1908.77</v>
      </c>
      <c r="Y29">
        <f t="shared" si="31"/>
        <v>272.68</v>
      </c>
      <c r="AA29">
        <v>49707740</v>
      </c>
      <c r="AB29">
        <f t="shared" si="32"/>
        <v>41951.1</v>
      </c>
      <c r="AC29">
        <f t="shared" si="33"/>
        <v>0</v>
      </c>
      <c r="AD29">
        <f>ROUND((((ET29)-(EU29))+AE29),6)</f>
        <v>0</v>
      </c>
      <c r="AE29">
        <f t="shared" si="34"/>
        <v>0</v>
      </c>
      <c r="AF29">
        <f t="shared" si="34"/>
        <v>41951.1</v>
      </c>
      <c r="AG29">
        <f t="shared" si="35"/>
        <v>0</v>
      </c>
      <c r="AH29">
        <f t="shared" si="36"/>
        <v>221.6</v>
      </c>
      <c r="AI29">
        <f t="shared" si="36"/>
        <v>0</v>
      </c>
      <c r="AJ29">
        <f t="shared" si="37"/>
        <v>0</v>
      </c>
      <c r="AK29">
        <v>41951.1</v>
      </c>
      <c r="AL29">
        <v>0</v>
      </c>
      <c r="AM29">
        <v>0</v>
      </c>
      <c r="AN29">
        <v>0</v>
      </c>
      <c r="AO29">
        <v>41951.1</v>
      </c>
      <c r="AP29">
        <v>0</v>
      </c>
      <c r="AQ29">
        <v>221.6</v>
      </c>
      <c r="AR29">
        <v>0</v>
      </c>
      <c r="AS29">
        <v>0</v>
      </c>
      <c r="AT29">
        <v>70</v>
      </c>
      <c r="AU29">
        <v>10</v>
      </c>
      <c r="AV29">
        <v>1</v>
      </c>
      <c r="AW29">
        <v>1</v>
      </c>
      <c r="AZ29">
        <v>1</v>
      </c>
      <c r="BA29">
        <v>1</v>
      </c>
      <c r="BB29">
        <v>1</v>
      </c>
      <c r="BC29">
        <v>1</v>
      </c>
      <c r="BD29" t="s">
        <v>3</v>
      </c>
      <c r="BE29" t="s">
        <v>3</v>
      </c>
      <c r="BF29" t="s">
        <v>3</v>
      </c>
      <c r="BG29" t="s">
        <v>3</v>
      </c>
      <c r="BH29">
        <v>0</v>
      </c>
      <c r="BI29">
        <v>4</v>
      </c>
      <c r="BJ29" t="s">
        <v>38</v>
      </c>
      <c r="BM29">
        <v>0</v>
      </c>
      <c r="BN29">
        <v>0</v>
      </c>
      <c r="BO29" t="s">
        <v>3</v>
      </c>
      <c r="BP29">
        <v>0</v>
      </c>
      <c r="BQ29">
        <v>1</v>
      </c>
      <c r="BR29">
        <v>0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 t="s">
        <v>3</v>
      </c>
      <c r="BZ29">
        <v>70</v>
      </c>
      <c r="CA29">
        <v>10</v>
      </c>
      <c r="CE29">
        <v>0</v>
      </c>
      <c r="CF29">
        <v>0</v>
      </c>
      <c r="CG29">
        <v>0</v>
      </c>
      <c r="CM29">
        <v>0</v>
      </c>
      <c r="CN29" t="s">
        <v>3</v>
      </c>
      <c r="CO29">
        <v>0</v>
      </c>
      <c r="CP29">
        <f t="shared" si="38"/>
        <v>2726.82</v>
      </c>
      <c r="CQ29">
        <f t="shared" si="39"/>
        <v>0</v>
      </c>
      <c r="CR29">
        <f>((((ET29)*BB29-(EU29)*BS29)+AE29*BS29)*AV29)</f>
        <v>0</v>
      </c>
      <c r="CS29">
        <f t="shared" si="40"/>
        <v>0</v>
      </c>
      <c r="CT29">
        <f t="shared" si="41"/>
        <v>41951.1</v>
      </c>
      <c r="CU29">
        <f t="shared" si="42"/>
        <v>0</v>
      </c>
      <c r="CV29">
        <f t="shared" si="43"/>
        <v>221.6</v>
      </c>
      <c r="CW29">
        <f t="shared" si="44"/>
        <v>0</v>
      </c>
      <c r="CX29">
        <f t="shared" si="45"/>
        <v>0</v>
      </c>
      <c r="CY29">
        <f t="shared" si="46"/>
        <v>1908.7740000000003</v>
      </c>
      <c r="CZ29">
        <f t="shared" si="47"/>
        <v>272.68200000000002</v>
      </c>
      <c r="DC29" t="s">
        <v>3</v>
      </c>
      <c r="DD29" t="s">
        <v>3</v>
      </c>
      <c r="DE29" t="s">
        <v>3</v>
      </c>
      <c r="DF29" t="s">
        <v>3</v>
      </c>
      <c r="DG29" t="s">
        <v>3</v>
      </c>
      <c r="DH29" t="s">
        <v>3</v>
      </c>
      <c r="DI29" t="s">
        <v>3</v>
      </c>
      <c r="DJ29" t="s">
        <v>3</v>
      </c>
      <c r="DK29" t="s">
        <v>3</v>
      </c>
      <c r="DL29" t="s">
        <v>3</v>
      </c>
      <c r="DM29" t="s">
        <v>3</v>
      </c>
      <c r="DN29">
        <v>0</v>
      </c>
      <c r="DO29">
        <v>0</v>
      </c>
      <c r="DP29">
        <v>1</v>
      </c>
      <c r="DQ29">
        <v>1</v>
      </c>
      <c r="DU29">
        <v>1007</v>
      </c>
      <c r="DV29" t="s">
        <v>30</v>
      </c>
      <c r="DW29" t="s">
        <v>30</v>
      </c>
      <c r="DX29">
        <v>100</v>
      </c>
      <c r="DZ29" t="s">
        <v>3</v>
      </c>
      <c r="EA29" t="s">
        <v>3</v>
      </c>
      <c r="EB29" t="s">
        <v>3</v>
      </c>
      <c r="EC29" t="s">
        <v>3</v>
      </c>
      <c r="EE29">
        <v>49145957</v>
      </c>
      <c r="EF29">
        <v>1</v>
      </c>
      <c r="EG29" t="s">
        <v>32</v>
      </c>
      <c r="EH29">
        <v>0</v>
      </c>
      <c r="EI29" t="s">
        <v>3</v>
      </c>
      <c r="EJ29">
        <v>4</v>
      </c>
      <c r="EK29">
        <v>0</v>
      </c>
      <c r="EL29" t="s">
        <v>33</v>
      </c>
      <c r="EM29" t="s">
        <v>34</v>
      </c>
      <c r="EO29" t="s">
        <v>3</v>
      </c>
      <c r="EQ29">
        <v>0</v>
      </c>
      <c r="ER29">
        <v>41951.1</v>
      </c>
      <c r="ES29">
        <v>0</v>
      </c>
      <c r="ET29">
        <v>0</v>
      </c>
      <c r="EU29">
        <v>0</v>
      </c>
      <c r="EV29">
        <v>41951.1</v>
      </c>
      <c r="EW29">
        <v>221.6</v>
      </c>
      <c r="EX29">
        <v>0</v>
      </c>
      <c r="EY29">
        <v>0</v>
      </c>
      <c r="FQ29">
        <v>0</v>
      </c>
      <c r="FR29">
        <f t="shared" si="48"/>
        <v>0</v>
      </c>
      <c r="FS29">
        <v>0</v>
      </c>
      <c r="FX29">
        <v>70</v>
      </c>
      <c r="FY29">
        <v>10</v>
      </c>
      <c r="GA29" t="s">
        <v>3</v>
      </c>
      <c r="GD29">
        <v>0</v>
      </c>
      <c r="GF29">
        <v>-886337855</v>
      </c>
      <c r="GG29">
        <v>2</v>
      </c>
      <c r="GH29">
        <v>1</v>
      </c>
      <c r="GI29">
        <v>-2</v>
      </c>
      <c r="GJ29">
        <v>0</v>
      </c>
      <c r="GK29">
        <f>ROUND(R29*(R12)/100,2)</f>
        <v>0</v>
      </c>
      <c r="GL29">
        <f t="shared" si="49"/>
        <v>0</v>
      </c>
      <c r="GM29">
        <f>ROUND(O29+X29+Y29+GK29,2)+GX29</f>
        <v>4908.2700000000004</v>
      </c>
      <c r="GN29">
        <f>IF(OR(BI29=0,BI29=1),ROUND(O29+X29+Y29+GK29,2),0)</f>
        <v>0</v>
      </c>
      <c r="GO29">
        <f>IF(BI29=2,ROUND(O29+X29+Y29+GK29,2),0)</f>
        <v>0</v>
      </c>
      <c r="GP29">
        <f>IF(BI29=4,ROUND(O29+X29+Y29+GK29,2)+GX29,0)</f>
        <v>4908.2700000000004</v>
      </c>
      <c r="GR29">
        <v>0</v>
      </c>
      <c r="GS29">
        <v>3</v>
      </c>
      <c r="GT29">
        <v>0</v>
      </c>
      <c r="GU29" t="s">
        <v>3</v>
      </c>
      <c r="GV29">
        <f t="shared" si="50"/>
        <v>0</v>
      </c>
      <c r="GW29">
        <v>1</v>
      </c>
      <c r="GX29">
        <f t="shared" si="51"/>
        <v>0</v>
      </c>
      <c r="HA29">
        <v>0</v>
      </c>
      <c r="HB29">
        <v>0</v>
      </c>
      <c r="HC29">
        <f t="shared" si="52"/>
        <v>0</v>
      </c>
      <c r="HE29" t="s">
        <v>3</v>
      </c>
      <c r="HF29" t="s">
        <v>3</v>
      </c>
      <c r="IK29">
        <v>0</v>
      </c>
    </row>
    <row r="30" spans="1:245" x14ac:dyDescent="0.2">
      <c r="A30">
        <v>17</v>
      </c>
      <c r="B30">
        <v>1</v>
      </c>
      <c r="C30">
        <f>ROW(SmtRes!A6)</f>
        <v>6</v>
      </c>
      <c r="D30">
        <f>ROW(EtalonRes!A5)</f>
        <v>5</v>
      </c>
      <c r="E30" t="s">
        <v>39</v>
      </c>
      <c r="F30" t="s">
        <v>40</v>
      </c>
      <c r="G30" t="s">
        <v>41</v>
      </c>
      <c r="H30" t="s">
        <v>30</v>
      </c>
      <c r="I30">
        <f>ROUND(6.5/100,4)</f>
        <v>6.5000000000000002E-2</v>
      </c>
      <c r="J30">
        <v>0</v>
      </c>
      <c r="O30">
        <f t="shared" si="21"/>
        <v>723.47</v>
      </c>
      <c r="P30">
        <f t="shared" si="22"/>
        <v>0</v>
      </c>
      <c r="Q30">
        <f t="shared" si="23"/>
        <v>0</v>
      </c>
      <c r="R30">
        <f t="shared" si="24"/>
        <v>0</v>
      </c>
      <c r="S30">
        <f t="shared" si="25"/>
        <v>723.47</v>
      </c>
      <c r="T30">
        <f t="shared" si="26"/>
        <v>0</v>
      </c>
      <c r="U30">
        <f t="shared" si="27"/>
        <v>5.3950000000000005</v>
      </c>
      <c r="V30">
        <f t="shared" si="28"/>
        <v>0</v>
      </c>
      <c r="W30">
        <f t="shared" si="29"/>
        <v>0</v>
      </c>
      <c r="X30">
        <f t="shared" si="30"/>
        <v>506.43</v>
      </c>
      <c r="Y30">
        <f t="shared" si="31"/>
        <v>72.349999999999994</v>
      </c>
      <c r="AA30">
        <v>49707740</v>
      </c>
      <c r="AB30">
        <f t="shared" si="32"/>
        <v>11130.3</v>
      </c>
      <c r="AC30">
        <f t="shared" si="33"/>
        <v>0</v>
      </c>
      <c r="AD30">
        <f>ROUND((((ET30)-(EU30))+AE30),6)</f>
        <v>0</v>
      </c>
      <c r="AE30">
        <f t="shared" si="34"/>
        <v>0</v>
      </c>
      <c r="AF30">
        <f t="shared" si="34"/>
        <v>11130.3</v>
      </c>
      <c r="AG30">
        <f t="shared" si="35"/>
        <v>0</v>
      </c>
      <c r="AH30">
        <f t="shared" si="36"/>
        <v>83</v>
      </c>
      <c r="AI30">
        <f t="shared" si="36"/>
        <v>0</v>
      </c>
      <c r="AJ30">
        <f t="shared" si="37"/>
        <v>0</v>
      </c>
      <c r="AK30">
        <v>11130.3</v>
      </c>
      <c r="AL30">
        <v>0</v>
      </c>
      <c r="AM30">
        <v>0</v>
      </c>
      <c r="AN30">
        <v>0</v>
      </c>
      <c r="AO30">
        <v>11130.3</v>
      </c>
      <c r="AP30">
        <v>0</v>
      </c>
      <c r="AQ30">
        <v>83</v>
      </c>
      <c r="AR30">
        <v>0</v>
      </c>
      <c r="AS30">
        <v>0</v>
      </c>
      <c r="AT30">
        <v>70</v>
      </c>
      <c r="AU30">
        <v>10</v>
      </c>
      <c r="AV30">
        <v>1</v>
      </c>
      <c r="AW30">
        <v>1</v>
      </c>
      <c r="AZ30">
        <v>1</v>
      </c>
      <c r="BA30">
        <v>1</v>
      </c>
      <c r="BB30">
        <v>1</v>
      </c>
      <c r="BC30">
        <v>1</v>
      </c>
      <c r="BD30" t="s">
        <v>3</v>
      </c>
      <c r="BE30" t="s">
        <v>3</v>
      </c>
      <c r="BF30" t="s">
        <v>3</v>
      </c>
      <c r="BG30" t="s">
        <v>3</v>
      </c>
      <c r="BH30">
        <v>0</v>
      </c>
      <c r="BI30">
        <v>4</v>
      </c>
      <c r="BJ30" t="s">
        <v>42</v>
      </c>
      <c r="BM30">
        <v>0</v>
      </c>
      <c r="BN30">
        <v>0</v>
      </c>
      <c r="BO30" t="s">
        <v>3</v>
      </c>
      <c r="BP30">
        <v>0</v>
      </c>
      <c r="BQ30">
        <v>1</v>
      </c>
      <c r="BR30">
        <v>0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 t="s">
        <v>3</v>
      </c>
      <c r="BZ30">
        <v>70</v>
      </c>
      <c r="CA30">
        <v>10</v>
      </c>
      <c r="CE30">
        <v>0</v>
      </c>
      <c r="CF30">
        <v>0</v>
      </c>
      <c r="CG30">
        <v>0</v>
      </c>
      <c r="CM30">
        <v>0</v>
      </c>
      <c r="CN30" t="s">
        <v>3</v>
      </c>
      <c r="CO30">
        <v>0</v>
      </c>
      <c r="CP30">
        <f t="shared" si="38"/>
        <v>723.47</v>
      </c>
      <c r="CQ30">
        <f t="shared" si="39"/>
        <v>0</v>
      </c>
      <c r="CR30">
        <f>((((ET30)*BB30-(EU30)*BS30)+AE30*BS30)*AV30)</f>
        <v>0</v>
      </c>
      <c r="CS30">
        <f t="shared" si="40"/>
        <v>0</v>
      </c>
      <c r="CT30">
        <f t="shared" si="41"/>
        <v>11130.3</v>
      </c>
      <c r="CU30">
        <f t="shared" si="42"/>
        <v>0</v>
      </c>
      <c r="CV30">
        <f t="shared" si="43"/>
        <v>83</v>
      </c>
      <c r="CW30">
        <f t="shared" si="44"/>
        <v>0</v>
      </c>
      <c r="CX30">
        <f t="shared" si="45"/>
        <v>0</v>
      </c>
      <c r="CY30">
        <f t="shared" si="46"/>
        <v>506.42900000000003</v>
      </c>
      <c r="CZ30">
        <f t="shared" si="47"/>
        <v>72.347000000000008</v>
      </c>
      <c r="DC30" t="s">
        <v>3</v>
      </c>
      <c r="DD30" t="s">
        <v>3</v>
      </c>
      <c r="DE30" t="s">
        <v>3</v>
      </c>
      <c r="DF30" t="s">
        <v>3</v>
      </c>
      <c r="DG30" t="s">
        <v>3</v>
      </c>
      <c r="DH30" t="s">
        <v>3</v>
      </c>
      <c r="DI30" t="s">
        <v>3</v>
      </c>
      <c r="DJ30" t="s">
        <v>3</v>
      </c>
      <c r="DK30" t="s">
        <v>3</v>
      </c>
      <c r="DL30" t="s">
        <v>3</v>
      </c>
      <c r="DM30" t="s">
        <v>3</v>
      </c>
      <c r="DN30">
        <v>0</v>
      </c>
      <c r="DO30">
        <v>0</v>
      </c>
      <c r="DP30">
        <v>1</v>
      </c>
      <c r="DQ30">
        <v>1</v>
      </c>
      <c r="DU30">
        <v>1007</v>
      </c>
      <c r="DV30" t="s">
        <v>30</v>
      </c>
      <c r="DW30" t="s">
        <v>30</v>
      </c>
      <c r="DX30">
        <v>100</v>
      </c>
      <c r="DZ30" t="s">
        <v>3</v>
      </c>
      <c r="EA30" t="s">
        <v>3</v>
      </c>
      <c r="EB30" t="s">
        <v>3</v>
      </c>
      <c r="EC30" t="s">
        <v>3</v>
      </c>
      <c r="EE30">
        <v>49145957</v>
      </c>
      <c r="EF30">
        <v>1</v>
      </c>
      <c r="EG30" t="s">
        <v>32</v>
      </c>
      <c r="EH30">
        <v>0</v>
      </c>
      <c r="EI30" t="s">
        <v>3</v>
      </c>
      <c r="EJ30">
        <v>4</v>
      </c>
      <c r="EK30">
        <v>0</v>
      </c>
      <c r="EL30" t="s">
        <v>33</v>
      </c>
      <c r="EM30" t="s">
        <v>34</v>
      </c>
      <c r="EO30" t="s">
        <v>3</v>
      </c>
      <c r="EQ30">
        <v>0</v>
      </c>
      <c r="ER30">
        <v>11130.3</v>
      </c>
      <c r="ES30">
        <v>0</v>
      </c>
      <c r="ET30">
        <v>0</v>
      </c>
      <c r="EU30">
        <v>0</v>
      </c>
      <c r="EV30">
        <v>11130.3</v>
      </c>
      <c r="EW30">
        <v>83</v>
      </c>
      <c r="EX30">
        <v>0</v>
      </c>
      <c r="EY30">
        <v>0</v>
      </c>
      <c r="FQ30">
        <v>0</v>
      </c>
      <c r="FR30">
        <f t="shared" si="48"/>
        <v>0</v>
      </c>
      <c r="FS30">
        <v>0</v>
      </c>
      <c r="FX30">
        <v>70</v>
      </c>
      <c r="FY30">
        <v>10</v>
      </c>
      <c r="GA30" t="s">
        <v>3</v>
      </c>
      <c r="GD30">
        <v>0</v>
      </c>
      <c r="GF30">
        <v>-1624416853</v>
      </c>
      <c r="GG30">
        <v>2</v>
      </c>
      <c r="GH30">
        <v>1</v>
      </c>
      <c r="GI30">
        <v>-2</v>
      </c>
      <c r="GJ30">
        <v>0</v>
      </c>
      <c r="GK30">
        <f>ROUND(R30*(R12)/100,2)</f>
        <v>0</v>
      </c>
      <c r="GL30">
        <f t="shared" si="49"/>
        <v>0</v>
      </c>
      <c r="GM30">
        <f>ROUND(O30+X30+Y30+GK30,2)+GX30</f>
        <v>1302.25</v>
      </c>
      <c r="GN30">
        <f>IF(OR(BI30=0,BI30=1),ROUND(O30+X30+Y30+GK30,2),0)</f>
        <v>0</v>
      </c>
      <c r="GO30">
        <f>IF(BI30=2,ROUND(O30+X30+Y30+GK30,2),0)</f>
        <v>0</v>
      </c>
      <c r="GP30">
        <f>IF(BI30=4,ROUND(O30+X30+Y30+GK30,2)+GX30,0)</f>
        <v>1302.25</v>
      </c>
      <c r="GR30">
        <v>0</v>
      </c>
      <c r="GS30">
        <v>3</v>
      </c>
      <c r="GT30">
        <v>0</v>
      </c>
      <c r="GU30" t="s">
        <v>3</v>
      </c>
      <c r="GV30">
        <f t="shared" si="50"/>
        <v>0</v>
      </c>
      <c r="GW30">
        <v>1</v>
      </c>
      <c r="GX30">
        <f t="shared" si="51"/>
        <v>0</v>
      </c>
      <c r="HA30">
        <v>0</v>
      </c>
      <c r="HB30">
        <v>0</v>
      </c>
      <c r="HC30">
        <f t="shared" si="52"/>
        <v>0</v>
      </c>
      <c r="HE30" t="s">
        <v>3</v>
      </c>
      <c r="HF30" t="s">
        <v>3</v>
      </c>
      <c r="IK30">
        <v>0</v>
      </c>
    </row>
    <row r="31" spans="1:245" x14ac:dyDescent="0.2">
      <c r="A31">
        <v>17</v>
      </c>
      <c r="B31">
        <v>1</v>
      </c>
      <c r="C31">
        <f>ROW(SmtRes!A7)</f>
        <v>7</v>
      </c>
      <c r="D31">
        <f>ROW(EtalonRes!A6)</f>
        <v>6</v>
      </c>
      <c r="E31" t="s">
        <v>43</v>
      </c>
      <c r="F31" t="s">
        <v>44</v>
      </c>
      <c r="G31" t="s">
        <v>45</v>
      </c>
      <c r="H31" t="s">
        <v>46</v>
      </c>
      <c r="I31">
        <f>ROUND((I28+I29)*100,9)</f>
        <v>65</v>
      </c>
      <c r="J31">
        <v>0</v>
      </c>
      <c r="O31">
        <f t="shared" si="21"/>
        <v>3072.55</v>
      </c>
      <c r="P31">
        <f t="shared" si="22"/>
        <v>0</v>
      </c>
      <c r="Q31">
        <f t="shared" si="23"/>
        <v>3072.55</v>
      </c>
      <c r="R31">
        <f t="shared" si="24"/>
        <v>1667.9</v>
      </c>
      <c r="S31">
        <f t="shared" si="25"/>
        <v>0</v>
      </c>
      <c r="T31">
        <f t="shared" si="26"/>
        <v>0</v>
      </c>
      <c r="U31">
        <f t="shared" si="27"/>
        <v>0</v>
      </c>
      <c r="V31">
        <f t="shared" si="28"/>
        <v>0</v>
      </c>
      <c r="W31">
        <f t="shared" si="29"/>
        <v>0</v>
      </c>
      <c r="X31">
        <f t="shared" si="30"/>
        <v>0</v>
      </c>
      <c r="Y31">
        <f t="shared" si="31"/>
        <v>0</v>
      </c>
      <c r="AA31">
        <v>49707740</v>
      </c>
      <c r="AB31">
        <f t="shared" si="32"/>
        <v>47.27</v>
      </c>
      <c r="AC31">
        <f t="shared" si="33"/>
        <v>0</v>
      </c>
      <c r="AD31">
        <f>ROUND((((ET31)-(EU31))+AE31),6)</f>
        <v>47.27</v>
      </c>
      <c r="AE31">
        <f t="shared" si="34"/>
        <v>25.66</v>
      </c>
      <c r="AF31">
        <f t="shared" si="34"/>
        <v>0</v>
      </c>
      <c r="AG31">
        <f t="shared" si="35"/>
        <v>0</v>
      </c>
      <c r="AH31">
        <f t="shared" si="36"/>
        <v>0</v>
      </c>
      <c r="AI31">
        <f t="shared" si="36"/>
        <v>0</v>
      </c>
      <c r="AJ31">
        <f t="shared" si="37"/>
        <v>0</v>
      </c>
      <c r="AK31">
        <v>47.27</v>
      </c>
      <c r="AL31">
        <v>0</v>
      </c>
      <c r="AM31">
        <v>47.27</v>
      </c>
      <c r="AN31">
        <v>25.66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</v>
      </c>
      <c r="AW31">
        <v>1</v>
      </c>
      <c r="AZ31">
        <v>1</v>
      </c>
      <c r="BA31">
        <v>1</v>
      </c>
      <c r="BB31">
        <v>1</v>
      </c>
      <c r="BC31">
        <v>1</v>
      </c>
      <c r="BD31" t="s">
        <v>3</v>
      </c>
      <c r="BE31" t="s">
        <v>3</v>
      </c>
      <c r="BF31" t="s">
        <v>3</v>
      </c>
      <c r="BG31" t="s">
        <v>3</v>
      </c>
      <c r="BH31">
        <v>0</v>
      </c>
      <c r="BI31">
        <v>4</v>
      </c>
      <c r="BJ31" t="s">
        <v>47</v>
      </c>
      <c r="BM31">
        <v>1</v>
      </c>
      <c r="BN31">
        <v>0</v>
      </c>
      <c r="BO31" t="s">
        <v>3</v>
      </c>
      <c r="BP31">
        <v>0</v>
      </c>
      <c r="BQ31">
        <v>1</v>
      </c>
      <c r="BR31">
        <v>0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 t="s">
        <v>3</v>
      </c>
      <c r="BZ31">
        <v>0</v>
      </c>
      <c r="CA31">
        <v>0</v>
      </c>
      <c r="CE31">
        <v>0</v>
      </c>
      <c r="CF31">
        <v>0</v>
      </c>
      <c r="CG31">
        <v>0</v>
      </c>
      <c r="CM31">
        <v>0</v>
      </c>
      <c r="CN31" t="s">
        <v>3</v>
      </c>
      <c r="CO31">
        <v>0</v>
      </c>
      <c r="CP31">
        <f t="shared" si="38"/>
        <v>3072.55</v>
      </c>
      <c r="CQ31">
        <f t="shared" si="39"/>
        <v>0</v>
      </c>
      <c r="CR31">
        <f>((((ET31)*BB31-(EU31)*BS31)+AE31*BS31)*AV31)</f>
        <v>47.27</v>
      </c>
      <c r="CS31">
        <f t="shared" si="40"/>
        <v>25.66</v>
      </c>
      <c r="CT31">
        <f t="shared" si="41"/>
        <v>0</v>
      </c>
      <c r="CU31">
        <f t="shared" si="42"/>
        <v>0</v>
      </c>
      <c r="CV31">
        <f t="shared" si="43"/>
        <v>0</v>
      </c>
      <c r="CW31">
        <f t="shared" si="44"/>
        <v>0</v>
      </c>
      <c r="CX31">
        <f t="shared" si="45"/>
        <v>0</v>
      </c>
      <c r="CY31">
        <f t="shared" si="46"/>
        <v>0</v>
      </c>
      <c r="CZ31">
        <f t="shared" si="47"/>
        <v>0</v>
      </c>
      <c r="DC31" t="s">
        <v>3</v>
      </c>
      <c r="DD31" t="s">
        <v>3</v>
      </c>
      <c r="DE31" t="s">
        <v>3</v>
      </c>
      <c r="DF31" t="s">
        <v>3</v>
      </c>
      <c r="DG31" t="s">
        <v>3</v>
      </c>
      <c r="DH31" t="s">
        <v>3</v>
      </c>
      <c r="DI31" t="s">
        <v>3</v>
      </c>
      <c r="DJ31" t="s">
        <v>3</v>
      </c>
      <c r="DK31" t="s">
        <v>3</v>
      </c>
      <c r="DL31" t="s">
        <v>3</v>
      </c>
      <c r="DM31" t="s">
        <v>3</v>
      </c>
      <c r="DN31">
        <v>0</v>
      </c>
      <c r="DO31">
        <v>0</v>
      </c>
      <c r="DP31">
        <v>1</v>
      </c>
      <c r="DQ31">
        <v>1</v>
      </c>
      <c r="DU31">
        <v>1007</v>
      </c>
      <c r="DV31" t="s">
        <v>46</v>
      </c>
      <c r="DW31" t="s">
        <v>46</v>
      </c>
      <c r="DX31">
        <v>1</v>
      </c>
      <c r="DZ31" t="s">
        <v>3</v>
      </c>
      <c r="EA31" t="s">
        <v>3</v>
      </c>
      <c r="EB31" t="s">
        <v>3</v>
      </c>
      <c r="EC31" t="s">
        <v>3</v>
      </c>
      <c r="EE31">
        <v>49145959</v>
      </c>
      <c r="EF31">
        <v>1</v>
      </c>
      <c r="EG31" t="s">
        <v>32</v>
      </c>
      <c r="EH31">
        <v>0</v>
      </c>
      <c r="EI31" t="s">
        <v>3</v>
      </c>
      <c r="EJ31">
        <v>4</v>
      </c>
      <c r="EK31">
        <v>1</v>
      </c>
      <c r="EL31" t="s">
        <v>48</v>
      </c>
      <c r="EM31" t="s">
        <v>34</v>
      </c>
      <c r="EO31" t="s">
        <v>3</v>
      </c>
      <c r="EQ31">
        <v>0</v>
      </c>
      <c r="ER31">
        <v>47.27</v>
      </c>
      <c r="ES31">
        <v>0</v>
      </c>
      <c r="ET31">
        <v>47.27</v>
      </c>
      <c r="EU31">
        <v>25.66</v>
      </c>
      <c r="EV31">
        <v>0</v>
      </c>
      <c r="EW31">
        <v>0</v>
      </c>
      <c r="EX31">
        <v>0</v>
      </c>
      <c r="EY31">
        <v>0</v>
      </c>
      <c r="FQ31">
        <v>0</v>
      </c>
      <c r="FR31">
        <f t="shared" si="48"/>
        <v>0</v>
      </c>
      <c r="FS31">
        <v>0</v>
      </c>
      <c r="FX31">
        <v>0</v>
      </c>
      <c r="FY31">
        <v>0</v>
      </c>
      <c r="GA31" t="s">
        <v>3</v>
      </c>
      <c r="GD31">
        <v>1</v>
      </c>
      <c r="GF31">
        <v>-1249335408</v>
      </c>
      <c r="GG31">
        <v>2</v>
      </c>
      <c r="GH31">
        <v>1</v>
      </c>
      <c r="GI31">
        <v>-2</v>
      </c>
      <c r="GJ31">
        <v>0</v>
      </c>
      <c r="GK31">
        <v>0</v>
      </c>
      <c r="GL31">
        <f t="shared" si="49"/>
        <v>0</v>
      </c>
      <c r="GM31">
        <f>ROUND(O31+X31+Y31,2)+GX31</f>
        <v>3072.55</v>
      </c>
      <c r="GN31">
        <f>IF(OR(BI31=0,BI31=1),ROUND(O31+X31+Y31,2),0)</f>
        <v>0</v>
      </c>
      <c r="GO31">
        <f>IF(BI31=2,ROUND(O31+X31+Y31,2),0)</f>
        <v>0</v>
      </c>
      <c r="GP31">
        <f>IF(BI31=4,ROUND(O31+X31+Y31,2)+GX31,0)</f>
        <v>3072.55</v>
      </c>
      <c r="GR31">
        <v>0</v>
      </c>
      <c r="GS31">
        <v>3</v>
      </c>
      <c r="GT31">
        <v>0</v>
      </c>
      <c r="GU31" t="s">
        <v>3</v>
      </c>
      <c r="GV31">
        <f t="shared" si="50"/>
        <v>0</v>
      </c>
      <c r="GW31">
        <v>1</v>
      </c>
      <c r="GX31">
        <f t="shared" si="51"/>
        <v>0</v>
      </c>
      <c r="HA31">
        <v>0</v>
      </c>
      <c r="HB31">
        <v>0</v>
      </c>
      <c r="HC31">
        <f t="shared" si="52"/>
        <v>0</v>
      </c>
      <c r="HE31" t="s">
        <v>3</v>
      </c>
      <c r="HF31" t="s">
        <v>3</v>
      </c>
      <c r="IK31">
        <v>0</v>
      </c>
    </row>
    <row r="32" spans="1:245" x14ac:dyDescent="0.2">
      <c r="A32">
        <v>17</v>
      </c>
      <c r="B32">
        <v>1</v>
      </c>
      <c r="C32">
        <f>ROW(SmtRes!A8)</f>
        <v>8</v>
      </c>
      <c r="D32">
        <f>ROW(EtalonRes!A7)</f>
        <v>7</v>
      </c>
      <c r="E32" t="s">
        <v>49</v>
      </c>
      <c r="F32" t="s">
        <v>50</v>
      </c>
      <c r="G32" t="s">
        <v>51</v>
      </c>
      <c r="H32" t="s">
        <v>46</v>
      </c>
      <c r="I32">
        <f>ROUND(I31,4)</f>
        <v>65</v>
      </c>
      <c r="J32">
        <v>0</v>
      </c>
      <c r="O32">
        <f t="shared" si="21"/>
        <v>55510</v>
      </c>
      <c r="P32">
        <f t="shared" si="22"/>
        <v>0</v>
      </c>
      <c r="Q32">
        <f t="shared" si="23"/>
        <v>55510</v>
      </c>
      <c r="R32">
        <f t="shared" si="24"/>
        <v>30139.200000000001</v>
      </c>
      <c r="S32">
        <f t="shared" si="25"/>
        <v>0</v>
      </c>
      <c r="T32">
        <f t="shared" si="26"/>
        <v>0</v>
      </c>
      <c r="U32">
        <f t="shared" si="27"/>
        <v>0</v>
      </c>
      <c r="V32">
        <f t="shared" si="28"/>
        <v>0</v>
      </c>
      <c r="W32">
        <f t="shared" si="29"/>
        <v>0</v>
      </c>
      <c r="X32">
        <f t="shared" si="30"/>
        <v>0</v>
      </c>
      <c r="Y32">
        <f t="shared" si="31"/>
        <v>0</v>
      </c>
      <c r="AA32">
        <v>49707740</v>
      </c>
      <c r="AB32">
        <f t="shared" si="32"/>
        <v>854</v>
      </c>
      <c r="AC32">
        <f t="shared" si="33"/>
        <v>0</v>
      </c>
      <c r="AD32">
        <f>ROUND(((((ET32*56))-((EU32*56)))+AE32),6)</f>
        <v>854</v>
      </c>
      <c r="AE32">
        <f>ROUND(((EU32*56)),6)</f>
        <v>463.68</v>
      </c>
      <c r="AF32">
        <f t="shared" ref="AF32:AF44" si="53">ROUND((EV32),6)</f>
        <v>0</v>
      </c>
      <c r="AG32">
        <f t="shared" si="35"/>
        <v>0</v>
      </c>
      <c r="AH32">
        <f t="shared" ref="AH32:AH44" si="54">(EW32)</f>
        <v>0</v>
      </c>
      <c r="AI32">
        <f>((EX32*56))</f>
        <v>0</v>
      </c>
      <c r="AJ32">
        <f t="shared" si="37"/>
        <v>0</v>
      </c>
      <c r="AK32">
        <v>15.25</v>
      </c>
      <c r="AL32">
        <v>0</v>
      </c>
      <c r="AM32">
        <v>15.25</v>
      </c>
      <c r="AN32">
        <v>8.2799999999999994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1</v>
      </c>
      <c r="AZ32">
        <v>1</v>
      </c>
      <c r="BA32">
        <v>1</v>
      </c>
      <c r="BB32">
        <v>1</v>
      </c>
      <c r="BC32">
        <v>1</v>
      </c>
      <c r="BD32" t="s">
        <v>3</v>
      </c>
      <c r="BE32" t="s">
        <v>3</v>
      </c>
      <c r="BF32" t="s">
        <v>3</v>
      </c>
      <c r="BG32" t="s">
        <v>3</v>
      </c>
      <c r="BH32">
        <v>0</v>
      </c>
      <c r="BI32">
        <v>4</v>
      </c>
      <c r="BJ32" t="s">
        <v>52</v>
      </c>
      <c r="BM32">
        <v>1</v>
      </c>
      <c r="BN32">
        <v>0</v>
      </c>
      <c r="BO32" t="s">
        <v>3</v>
      </c>
      <c r="BP32">
        <v>0</v>
      </c>
      <c r="BQ32">
        <v>1</v>
      </c>
      <c r="BR32">
        <v>0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 t="s">
        <v>3</v>
      </c>
      <c r="BZ32">
        <v>0</v>
      </c>
      <c r="CA32">
        <v>0</v>
      </c>
      <c r="CE32">
        <v>0</v>
      </c>
      <c r="CF32">
        <v>0</v>
      </c>
      <c r="CG32">
        <v>0</v>
      </c>
      <c r="CM32">
        <v>0</v>
      </c>
      <c r="CN32" t="s">
        <v>3</v>
      </c>
      <c r="CO32">
        <v>0</v>
      </c>
      <c r="CP32">
        <f t="shared" si="38"/>
        <v>55510</v>
      </c>
      <c r="CQ32">
        <f t="shared" si="39"/>
        <v>0</v>
      </c>
      <c r="CR32">
        <f>(((((ET32*56))*BB32-((EU32*56))*BS32)+AE32*BS32)*AV32)</f>
        <v>854</v>
      </c>
      <c r="CS32">
        <f t="shared" si="40"/>
        <v>463.68</v>
      </c>
      <c r="CT32">
        <f t="shared" si="41"/>
        <v>0</v>
      </c>
      <c r="CU32">
        <f t="shared" si="42"/>
        <v>0</v>
      </c>
      <c r="CV32">
        <f t="shared" si="43"/>
        <v>0</v>
      </c>
      <c r="CW32">
        <f t="shared" si="44"/>
        <v>0</v>
      </c>
      <c r="CX32">
        <f t="shared" si="45"/>
        <v>0</v>
      </c>
      <c r="CY32">
        <f t="shared" si="46"/>
        <v>0</v>
      </c>
      <c r="CZ32">
        <f t="shared" si="47"/>
        <v>0</v>
      </c>
      <c r="DC32" t="s">
        <v>3</v>
      </c>
      <c r="DD32" t="s">
        <v>3</v>
      </c>
      <c r="DE32" t="s">
        <v>53</v>
      </c>
      <c r="DF32" t="s">
        <v>53</v>
      </c>
      <c r="DG32" t="s">
        <v>3</v>
      </c>
      <c r="DH32" t="s">
        <v>3</v>
      </c>
      <c r="DI32" t="s">
        <v>3</v>
      </c>
      <c r="DJ32" t="s">
        <v>53</v>
      </c>
      <c r="DK32" t="s">
        <v>3</v>
      </c>
      <c r="DL32" t="s">
        <v>3</v>
      </c>
      <c r="DM32" t="s">
        <v>3</v>
      </c>
      <c r="DN32">
        <v>0</v>
      </c>
      <c r="DO32">
        <v>0</v>
      </c>
      <c r="DP32">
        <v>1</v>
      </c>
      <c r="DQ32">
        <v>1</v>
      </c>
      <c r="DU32">
        <v>1007</v>
      </c>
      <c r="DV32" t="s">
        <v>46</v>
      </c>
      <c r="DW32" t="s">
        <v>46</v>
      </c>
      <c r="DX32">
        <v>1</v>
      </c>
      <c r="DZ32" t="s">
        <v>3</v>
      </c>
      <c r="EA32" t="s">
        <v>3</v>
      </c>
      <c r="EB32" t="s">
        <v>3</v>
      </c>
      <c r="EC32" t="s">
        <v>3</v>
      </c>
      <c r="EE32">
        <v>49145959</v>
      </c>
      <c r="EF32">
        <v>1</v>
      </c>
      <c r="EG32" t="s">
        <v>32</v>
      </c>
      <c r="EH32">
        <v>0</v>
      </c>
      <c r="EI32" t="s">
        <v>3</v>
      </c>
      <c r="EJ32">
        <v>4</v>
      </c>
      <c r="EK32">
        <v>1</v>
      </c>
      <c r="EL32" t="s">
        <v>48</v>
      </c>
      <c r="EM32" t="s">
        <v>34</v>
      </c>
      <c r="EO32" t="s">
        <v>3</v>
      </c>
      <c r="EQ32">
        <v>0</v>
      </c>
      <c r="ER32">
        <v>15.25</v>
      </c>
      <c r="ES32">
        <v>0</v>
      </c>
      <c r="ET32">
        <v>15.25</v>
      </c>
      <c r="EU32">
        <v>8.2799999999999994</v>
      </c>
      <c r="EV32">
        <v>0</v>
      </c>
      <c r="EW32">
        <v>0</v>
      </c>
      <c r="EX32">
        <v>0</v>
      </c>
      <c r="EY32">
        <v>0</v>
      </c>
      <c r="FQ32">
        <v>0</v>
      </c>
      <c r="FR32">
        <f t="shared" si="48"/>
        <v>0</v>
      </c>
      <c r="FS32">
        <v>0</v>
      </c>
      <c r="FX32">
        <v>0</v>
      </c>
      <c r="FY32">
        <v>0</v>
      </c>
      <c r="GA32" t="s">
        <v>3</v>
      </c>
      <c r="GD32">
        <v>1</v>
      </c>
      <c r="GF32">
        <v>1511999612</v>
      </c>
      <c r="GG32">
        <v>2</v>
      </c>
      <c r="GH32">
        <v>1</v>
      </c>
      <c r="GI32">
        <v>-2</v>
      </c>
      <c r="GJ32">
        <v>0</v>
      </c>
      <c r="GK32">
        <v>0</v>
      </c>
      <c r="GL32">
        <f t="shared" si="49"/>
        <v>0</v>
      </c>
      <c r="GM32">
        <f>ROUND(O32+X32+Y32,2)+GX32</f>
        <v>55510</v>
      </c>
      <c r="GN32">
        <f>IF(OR(BI32=0,BI32=1),ROUND(O32+X32+Y32,2),0)</f>
        <v>0</v>
      </c>
      <c r="GO32">
        <f>IF(BI32=2,ROUND(O32+X32+Y32,2),0)</f>
        <v>0</v>
      </c>
      <c r="GP32">
        <f>IF(BI32=4,ROUND(O32+X32+Y32,2)+GX32,0)</f>
        <v>55510</v>
      </c>
      <c r="GR32">
        <v>0</v>
      </c>
      <c r="GS32">
        <v>3</v>
      </c>
      <c r="GT32">
        <v>0</v>
      </c>
      <c r="GU32" t="s">
        <v>3</v>
      </c>
      <c r="GV32">
        <f t="shared" si="50"/>
        <v>0</v>
      </c>
      <c r="GW32">
        <v>1</v>
      </c>
      <c r="GX32">
        <f t="shared" si="51"/>
        <v>0</v>
      </c>
      <c r="HA32">
        <v>0</v>
      </c>
      <c r="HB32">
        <v>0</v>
      </c>
      <c r="HC32">
        <f t="shared" si="52"/>
        <v>0</v>
      </c>
      <c r="HE32" t="s">
        <v>3</v>
      </c>
      <c r="HF32" t="s">
        <v>3</v>
      </c>
      <c r="IK32">
        <v>0</v>
      </c>
    </row>
    <row r="33" spans="1:245" x14ac:dyDescent="0.2">
      <c r="A33">
        <v>17</v>
      </c>
      <c r="B33">
        <v>1</v>
      </c>
      <c r="E33" t="s">
        <v>54</v>
      </c>
      <c r="F33" t="s">
        <v>55</v>
      </c>
      <c r="G33" t="s">
        <v>56</v>
      </c>
      <c r="H33" t="s">
        <v>57</v>
      </c>
      <c r="I33">
        <f>ROUND(I32*1.4,4)</f>
        <v>91</v>
      </c>
      <c r="J33">
        <v>0</v>
      </c>
      <c r="O33">
        <f t="shared" si="21"/>
        <v>9127.2999999999993</v>
      </c>
      <c r="P33">
        <f t="shared" si="22"/>
        <v>9127.2999999999993</v>
      </c>
      <c r="Q33">
        <f t="shared" si="23"/>
        <v>0</v>
      </c>
      <c r="R33">
        <f t="shared" si="24"/>
        <v>0</v>
      </c>
      <c r="S33">
        <f t="shared" si="25"/>
        <v>0</v>
      </c>
      <c r="T33">
        <f t="shared" si="26"/>
        <v>0</v>
      </c>
      <c r="U33">
        <f t="shared" si="27"/>
        <v>0</v>
      </c>
      <c r="V33">
        <f t="shared" si="28"/>
        <v>0</v>
      </c>
      <c r="W33">
        <f t="shared" si="29"/>
        <v>0</v>
      </c>
      <c r="X33">
        <f t="shared" si="30"/>
        <v>0</v>
      </c>
      <c r="Y33">
        <f t="shared" si="31"/>
        <v>0</v>
      </c>
      <c r="AA33">
        <v>49707740</v>
      </c>
      <c r="AB33">
        <f t="shared" si="32"/>
        <v>100.3</v>
      </c>
      <c r="AC33">
        <f t="shared" si="33"/>
        <v>100.3</v>
      </c>
      <c r="AD33">
        <f t="shared" ref="AD33:AD44" si="55">ROUND((((ET33)-(EU33))+AE33),6)</f>
        <v>0</v>
      </c>
      <c r="AE33">
        <f t="shared" ref="AE33:AE44" si="56">ROUND((EU33),6)</f>
        <v>0</v>
      </c>
      <c r="AF33">
        <f t="shared" si="53"/>
        <v>0</v>
      </c>
      <c r="AG33">
        <f t="shared" si="35"/>
        <v>0</v>
      </c>
      <c r="AH33">
        <f t="shared" si="54"/>
        <v>0</v>
      </c>
      <c r="AI33">
        <f t="shared" ref="AI33:AI44" si="57">(EX33)</f>
        <v>0</v>
      </c>
      <c r="AJ33">
        <f t="shared" si="37"/>
        <v>0</v>
      </c>
      <c r="AK33">
        <v>100.3</v>
      </c>
      <c r="AL33">
        <v>100.3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1</v>
      </c>
      <c r="AZ33">
        <v>1</v>
      </c>
      <c r="BA33">
        <v>1</v>
      </c>
      <c r="BB33">
        <v>1</v>
      </c>
      <c r="BC33">
        <v>1</v>
      </c>
      <c r="BD33" t="s">
        <v>3</v>
      </c>
      <c r="BE33" t="s">
        <v>3</v>
      </c>
      <c r="BF33" t="s">
        <v>3</v>
      </c>
      <c r="BG33" t="s">
        <v>3</v>
      </c>
      <c r="BH33">
        <v>3</v>
      </c>
      <c r="BI33">
        <v>1</v>
      </c>
      <c r="BJ33" t="s">
        <v>3</v>
      </c>
      <c r="BM33">
        <v>6001</v>
      </c>
      <c r="BN33">
        <v>0</v>
      </c>
      <c r="BO33" t="s">
        <v>3</v>
      </c>
      <c r="BP33">
        <v>0</v>
      </c>
      <c r="BQ33">
        <v>0</v>
      </c>
      <c r="BR33">
        <v>0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 t="s">
        <v>3</v>
      </c>
      <c r="BZ33">
        <v>0</v>
      </c>
      <c r="CA33">
        <v>0</v>
      </c>
      <c r="CE33">
        <v>0</v>
      </c>
      <c r="CF33">
        <v>0</v>
      </c>
      <c r="CG33">
        <v>0</v>
      </c>
      <c r="CM33">
        <v>0</v>
      </c>
      <c r="CN33" t="s">
        <v>3</v>
      </c>
      <c r="CO33">
        <v>0</v>
      </c>
      <c r="CP33">
        <f t="shared" si="38"/>
        <v>9127.2999999999993</v>
      </c>
      <c r="CQ33">
        <f t="shared" si="39"/>
        <v>100.3</v>
      </c>
      <c r="CR33">
        <f t="shared" ref="CR33:CR44" si="58">((((ET33)*BB33-(EU33)*BS33)+AE33*BS33)*AV33)</f>
        <v>0</v>
      </c>
      <c r="CS33">
        <f t="shared" si="40"/>
        <v>0</v>
      </c>
      <c r="CT33">
        <f t="shared" si="41"/>
        <v>0</v>
      </c>
      <c r="CU33">
        <f t="shared" si="42"/>
        <v>0</v>
      </c>
      <c r="CV33">
        <f t="shared" si="43"/>
        <v>0</v>
      </c>
      <c r="CW33">
        <f t="shared" si="44"/>
        <v>0</v>
      </c>
      <c r="CX33">
        <f t="shared" si="45"/>
        <v>0</v>
      </c>
      <c r="CY33">
        <f t="shared" si="46"/>
        <v>0</v>
      </c>
      <c r="CZ33">
        <f t="shared" si="47"/>
        <v>0</v>
      </c>
      <c r="DC33" t="s">
        <v>3</v>
      </c>
      <c r="DD33" t="s">
        <v>3</v>
      </c>
      <c r="DE33" t="s">
        <v>3</v>
      </c>
      <c r="DF33" t="s">
        <v>3</v>
      </c>
      <c r="DG33" t="s">
        <v>3</v>
      </c>
      <c r="DH33" t="s">
        <v>3</v>
      </c>
      <c r="DI33" t="s">
        <v>3</v>
      </c>
      <c r="DJ33" t="s">
        <v>3</v>
      </c>
      <c r="DK33" t="s">
        <v>3</v>
      </c>
      <c r="DL33" t="s">
        <v>3</v>
      </c>
      <c r="DM33" t="s">
        <v>3</v>
      </c>
      <c r="DN33">
        <v>0</v>
      </c>
      <c r="DO33">
        <v>0</v>
      </c>
      <c r="DP33">
        <v>1</v>
      </c>
      <c r="DQ33">
        <v>1</v>
      </c>
      <c r="DU33">
        <v>1009</v>
      </c>
      <c r="DV33" t="s">
        <v>57</v>
      </c>
      <c r="DW33" t="s">
        <v>57</v>
      </c>
      <c r="DX33">
        <v>1000</v>
      </c>
      <c r="DZ33" t="s">
        <v>3</v>
      </c>
      <c r="EA33" t="s">
        <v>3</v>
      </c>
      <c r="EB33" t="s">
        <v>3</v>
      </c>
      <c r="EC33" t="s">
        <v>3</v>
      </c>
      <c r="EE33">
        <v>49387493</v>
      </c>
      <c r="EF33">
        <v>0</v>
      </c>
      <c r="EG33" t="s">
        <v>58</v>
      </c>
      <c r="EH33">
        <v>0</v>
      </c>
      <c r="EI33" t="s">
        <v>3</v>
      </c>
      <c r="EJ33">
        <v>1</v>
      </c>
      <c r="EK33">
        <v>6001</v>
      </c>
      <c r="EL33" t="s">
        <v>59</v>
      </c>
      <c r="EM33" t="s">
        <v>58</v>
      </c>
      <c r="EO33" t="s">
        <v>3</v>
      </c>
      <c r="EQ33">
        <v>0</v>
      </c>
      <c r="ER33">
        <v>100.3</v>
      </c>
      <c r="ES33">
        <v>100.3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5</v>
      </c>
      <c r="FC33">
        <v>1</v>
      </c>
      <c r="FD33">
        <v>18</v>
      </c>
      <c r="FF33">
        <v>120.36</v>
      </c>
      <c r="FQ33">
        <v>0</v>
      </c>
      <c r="FR33">
        <f t="shared" si="48"/>
        <v>0</v>
      </c>
      <c r="FS33">
        <v>0</v>
      </c>
      <c r="FX33">
        <v>0</v>
      </c>
      <c r="FY33">
        <v>0</v>
      </c>
      <c r="GA33" t="s">
        <v>60</v>
      </c>
      <c r="GD33">
        <v>0</v>
      </c>
      <c r="GF33">
        <v>-1632517758</v>
      </c>
      <c r="GG33">
        <v>2</v>
      </c>
      <c r="GH33">
        <v>3</v>
      </c>
      <c r="GI33">
        <v>-2</v>
      </c>
      <c r="GJ33">
        <v>0</v>
      </c>
      <c r="GK33">
        <f>ROUND(R33*(R12)/100,2)</f>
        <v>0</v>
      </c>
      <c r="GL33">
        <f t="shared" si="49"/>
        <v>0</v>
      </c>
      <c r="GM33">
        <f t="shared" ref="GM33:GM44" si="59">ROUND(O33+X33+Y33+GK33,2)+GX33</f>
        <v>9127.2999999999993</v>
      </c>
      <c r="GN33">
        <f t="shared" ref="GN33:GN44" si="60">IF(OR(BI33=0,BI33=1),ROUND(O33+X33+Y33+GK33,2),0)</f>
        <v>9127.2999999999993</v>
      </c>
      <c r="GO33">
        <f t="shared" ref="GO33:GO44" si="61">IF(BI33=2,ROUND(O33+X33+Y33+GK33,2),0)</f>
        <v>0</v>
      </c>
      <c r="GP33">
        <f t="shared" ref="GP33:GP44" si="62">IF(BI33=4,ROUND(O33+X33+Y33+GK33,2)+GX33,0)</f>
        <v>0</v>
      </c>
      <c r="GR33">
        <v>1</v>
      </c>
      <c r="GS33">
        <v>1</v>
      </c>
      <c r="GT33">
        <v>0</v>
      </c>
      <c r="GU33" t="s">
        <v>3</v>
      </c>
      <c r="GV33">
        <f t="shared" si="50"/>
        <v>0</v>
      </c>
      <c r="GW33">
        <v>1</v>
      </c>
      <c r="GX33">
        <f t="shared" si="51"/>
        <v>0</v>
      </c>
      <c r="HA33">
        <v>0</v>
      </c>
      <c r="HB33">
        <v>0</v>
      </c>
      <c r="HC33">
        <f t="shared" si="52"/>
        <v>0</v>
      </c>
      <c r="HE33" t="s">
        <v>61</v>
      </c>
      <c r="HF33" t="s">
        <v>61</v>
      </c>
      <c r="IK33">
        <v>0</v>
      </c>
    </row>
    <row r="34" spans="1:245" x14ac:dyDescent="0.2">
      <c r="A34">
        <v>17</v>
      </c>
      <c r="B34">
        <v>1</v>
      </c>
      <c r="C34">
        <f>ROW(SmtRes!A16)</f>
        <v>16</v>
      </c>
      <c r="D34">
        <f>ROW(EtalonRes!A15)</f>
        <v>15</v>
      </c>
      <c r="E34" t="s">
        <v>62</v>
      </c>
      <c r="F34" t="s">
        <v>63</v>
      </c>
      <c r="G34" t="s">
        <v>64</v>
      </c>
      <c r="H34" t="s">
        <v>30</v>
      </c>
      <c r="I34">
        <f>ROUND(260*0.1/100,4)</f>
        <v>0.26</v>
      </c>
      <c r="J34">
        <v>0</v>
      </c>
      <c r="O34">
        <f t="shared" si="21"/>
        <v>19724.59</v>
      </c>
      <c r="P34">
        <f t="shared" si="22"/>
        <v>16942.13</v>
      </c>
      <c r="Q34">
        <f t="shared" si="23"/>
        <v>1976.58</v>
      </c>
      <c r="R34">
        <f t="shared" si="24"/>
        <v>837.97</v>
      </c>
      <c r="S34">
        <f t="shared" si="25"/>
        <v>805.88</v>
      </c>
      <c r="T34">
        <f t="shared" si="26"/>
        <v>0</v>
      </c>
      <c r="U34">
        <f t="shared" si="27"/>
        <v>4.3056000000000001</v>
      </c>
      <c r="V34">
        <f t="shared" si="28"/>
        <v>0</v>
      </c>
      <c r="W34">
        <f t="shared" si="29"/>
        <v>0</v>
      </c>
      <c r="X34">
        <f t="shared" si="30"/>
        <v>564.12</v>
      </c>
      <c r="Y34">
        <f t="shared" si="31"/>
        <v>80.59</v>
      </c>
      <c r="AA34">
        <v>49707740</v>
      </c>
      <c r="AB34">
        <f t="shared" si="32"/>
        <v>75863.820000000007</v>
      </c>
      <c r="AC34">
        <f t="shared" si="33"/>
        <v>65162.05</v>
      </c>
      <c r="AD34">
        <f t="shared" si="55"/>
        <v>7602.23</v>
      </c>
      <c r="AE34">
        <f t="shared" si="56"/>
        <v>3222.98</v>
      </c>
      <c r="AF34">
        <f t="shared" si="53"/>
        <v>3099.54</v>
      </c>
      <c r="AG34">
        <f t="shared" si="35"/>
        <v>0</v>
      </c>
      <c r="AH34">
        <f t="shared" si="54"/>
        <v>16.559999999999999</v>
      </c>
      <c r="AI34">
        <f t="shared" si="57"/>
        <v>0</v>
      </c>
      <c r="AJ34">
        <f t="shared" si="37"/>
        <v>0</v>
      </c>
      <c r="AK34">
        <v>75863.820000000007</v>
      </c>
      <c r="AL34">
        <v>65162.05</v>
      </c>
      <c r="AM34">
        <v>7602.23</v>
      </c>
      <c r="AN34">
        <v>3222.98</v>
      </c>
      <c r="AO34">
        <v>3099.54</v>
      </c>
      <c r="AP34">
        <v>0</v>
      </c>
      <c r="AQ34">
        <v>16.559999999999999</v>
      </c>
      <c r="AR34">
        <v>0</v>
      </c>
      <c r="AS34">
        <v>0</v>
      </c>
      <c r="AT34">
        <v>70</v>
      </c>
      <c r="AU34">
        <v>10</v>
      </c>
      <c r="AV34">
        <v>1</v>
      </c>
      <c r="AW34">
        <v>1</v>
      </c>
      <c r="AZ34">
        <v>1</v>
      </c>
      <c r="BA34">
        <v>1</v>
      </c>
      <c r="BB34">
        <v>1</v>
      </c>
      <c r="BC34">
        <v>1</v>
      </c>
      <c r="BD34" t="s">
        <v>3</v>
      </c>
      <c r="BE34" t="s">
        <v>3</v>
      </c>
      <c r="BF34" t="s">
        <v>3</v>
      </c>
      <c r="BG34" t="s">
        <v>3</v>
      </c>
      <c r="BH34">
        <v>0</v>
      </c>
      <c r="BI34">
        <v>4</v>
      </c>
      <c r="BJ34" t="s">
        <v>65</v>
      </c>
      <c r="BM34">
        <v>0</v>
      </c>
      <c r="BN34">
        <v>0</v>
      </c>
      <c r="BO34" t="s">
        <v>3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 t="s">
        <v>3</v>
      </c>
      <c r="BZ34">
        <v>70</v>
      </c>
      <c r="CA34">
        <v>10</v>
      </c>
      <c r="CE34">
        <v>0</v>
      </c>
      <c r="CF34">
        <v>0</v>
      </c>
      <c r="CG34">
        <v>0</v>
      </c>
      <c r="CM34">
        <v>0</v>
      </c>
      <c r="CN34" t="s">
        <v>3</v>
      </c>
      <c r="CO34">
        <v>0</v>
      </c>
      <c r="CP34">
        <f t="shared" si="38"/>
        <v>19724.59</v>
      </c>
      <c r="CQ34">
        <f t="shared" si="39"/>
        <v>65162.05</v>
      </c>
      <c r="CR34">
        <f t="shared" si="58"/>
        <v>7602.23</v>
      </c>
      <c r="CS34">
        <f t="shared" si="40"/>
        <v>3222.98</v>
      </c>
      <c r="CT34">
        <f t="shared" si="41"/>
        <v>3099.54</v>
      </c>
      <c r="CU34">
        <f t="shared" si="42"/>
        <v>0</v>
      </c>
      <c r="CV34">
        <f t="shared" si="43"/>
        <v>16.559999999999999</v>
      </c>
      <c r="CW34">
        <f t="shared" si="44"/>
        <v>0</v>
      </c>
      <c r="CX34">
        <f t="shared" si="45"/>
        <v>0</v>
      </c>
      <c r="CY34">
        <f t="shared" si="46"/>
        <v>564.11599999999999</v>
      </c>
      <c r="CZ34">
        <f t="shared" si="47"/>
        <v>80.588000000000008</v>
      </c>
      <c r="DC34" t="s">
        <v>3</v>
      </c>
      <c r="DD34" t="s">
        <v>3</v>
      </c>
      <c r="DE34" t="s">
        <v>3</v>
      </c>
      <c r="DF34" t="s">
        <v>3</v>
      </c>
      <c r="DG34" t="s">
        <v>3</v>
      </c>
      <c r="DH34" t="s">
        <v>3</v>
      </c>
      <c r="DI34" t="s">
        <v>3</v>
      </c>
      <c r="DJ34" t="s">
        <v>3</v>
      </c>
      <c r="DK34" t="s">
        <v>3</v>
      </c>
      <c r="DL34" t="s">
        <v>3</v>
      </c>
      <c r="DM34" t="s">
        <v>3</v>
      </c>
      <c r="DN34">
        <v>0</v>
      </c>
      <c r="DO34">
        <v>0</v>
      </c>
      <c r="DP34">
        <v>1</v>
      </c>
      <c r="DQ34">
        <v>1</v>
      </c>
      <c r="DU34">
        <v>1007</v>
      </c>
      <c r="DV34" t="s">
        <v>30</v>
      </c>
      <c r="DW34" t="s">
        <v>30</v>
      </c>
      <c r="DX34">
        <v>100</v>
      </c>
      <c r="DZ34" t="s">
        <v>3</v>
      </c>
      <c r="EA34" t="s">
        <v>3</v>
      </c>
      <c r="EB34" t="s">
        <v>3</v>
      </c>
      <c r="EC34" t="s">
        <v>3</v>
      </c>
      <c r="EE34">
        <v>49145957</v>
      </c>
      <c r="EF34">
        <v>1</v>
      </c>
      <c r="EG34" t="s">
        <v>32</v>
      </c>
      <c r="EH34">
        <v>0</v>
      </c>
      <c r="EI34" t="s">
        <v>3</v>
      </c>
      <c r="EJ34">
        <v>4</v>
      </c>
      <c r="EK34">
        <v>0</v>
      </c>
      <c r="EL34" t="s">
        <v>33</v>
      </c>
      <c r="EM34" t="s">
        <v>34</v>
      </c>
      <c r="EO34" t="s">
        <v>3</v>
      </c>
      <c r="EQ34">
        <v>0</v>
      </c>
      <c r="ER34">
        <v>75863.820000000007</v>
      </c>
      <c r="ES34">
        <v>65162.05</v>
      </c>
      <c r="ET34">
        <v>7602.23</v>
      </c>
      <c r="EU34">
        <v>3222.98</v>
      </c>
      <c r="EV34">
        <v>3099.54</v>
      </c>
      <c r="EW34">
        <v>16.559999999999999</v>
      </c>
      <c r="EX34">
        <v>0</v>
      </c>
      <c r="EY34">
        <v>0</v>
      </c>
      <c r="FQ34">
        <v>0</v>
      </c>
      <c r="FR34">
        <f t="shared" si="48"/>
        <v>0</v>
      </c>
      <c r="FS34">
        <v>0</v>
      </c>
      <c r="FX34">
        <v>70</v>
      </c>
      <c r="FY34">
        <v>10</v>
      </c>
      <c r="GA34" t="s">
        <v>3</v>
      </c>
      <c r="GD34">
        <v>0</v>
      </c>
      <c r="GF34">
        <v>1047274101</v>
      </c>
      <c r="GG34">
        <v>2</v>
      </c>
      <c r="GH34">
        <v>1</v>
      </c>
      <c r="GI34">
        <v>-2</v>
      </c>
      <c r="GJ34">
        <v>0</v>
      </c>
      <c r="GK34">
        <f>ROUND(R34*(R12)/100,2)</f>
        <v>905.01</v>
      </c>
      <c r="GL34">
        <f t="shared" si="49"/>
        <v>0</v>
      </c>
      <c r="GM34">
        <f t="shared" si="59"/>
        <v>21274.31</v>
      </c>
      <c r="GN34">
        <f t="shared" si="60"/>
        <v>0</v>
      </c>
      <c r="GO34">
        <f t="shared" si="61"/>
        <v>0</v>
      </c>
      <c r="GP34">
        <f t="shared" si="62"/>
        <v>21274.31</v>
      </c>
      <c r="GR34">
        <v>0</v>
      </c>
      <c r="GS34">
        <v>3</v>
      </c>
      <c r="GT34">
        <v>0</v>
      </c>
      <c r="GU34" t="s">
        <v>3</v>
      </c>
      <c r="GV34">
        <f t="shared" si="50"/>
        <v>0</v>
      </c>
      <c r="GW34">
        <v>1</v>
      </c>
      <c r="GX34">
        <f t="shared" si="51"/>
        <v>0</v>
      </c>
      <c r="HA34">
        <v>0</v>
      </c>
      <c r="HB34">
        <v>0</v>
      </c>
      <c r="HC34">
        <f t="shared" si="52"/>
        <v>0</v>
      </c>
      <c r="HE34" t="s">
        <v>3</v>
      </c>
      <c r="HF34" t="s">
        <v>3</v>
      </c>
      <c r="IK34">
        <v>0</v>
      </c>
    </row>
    <row r="35" spans="1:245" x14ac:dyDescent="0.2">
      <c r="A35">
        <v>17</v>
      </c>
      <c r="B35">
        <v>1</v>
      </c>
      <c r="C35">
        <f>ROW(SmtRes!A25)</f>
        <v>25</v>
      </c>
      <c r="D35">
        <f>ROW(EtalonRes!A24)</f>
        <v>24</v>
      </c>
      <c r="E35" t="s">
        <v>66</v>
      </c>
      <c r="F35" t="s">
        <v>67</v>
      </c>
      <c r="G35" t="s">
        <v>68</v>
      </c>
      <c r="H35" t="s">
        <v>30</v>
      </c>
      <c r="I35">
        <f>ROUND(260*0.15/100,3)</f>
        <v>0.39</v>
      </c>
      <c r="J35">
        <v>0</v>
      </c>
      <c r="O35">
        <f t="shared" si="21"/>
        <v>109537.19</v>
      </c>
      <c r="P35">
        <f t="shared" si="22"/>
        <v>86766.91</v>
      </c>
      <c r="Q35">
        <f t="shared" si="23"/>
        <v>20957.05</v>
      </c>
      <c r="R35">
        <f t="shared" si="24"/>
        <v>8273.9</v>
      </c>
      <c r="S35">
        <f t="shared" si="25"/>
        <v>1813.23</v>
      </c>
      <c r="T35">
        <f t="shared" si="26"/>
        <v>0</v>
      </c>
      <c r="U35">
        <f t="shared" si="27"/>
        <v>9.6875999999999998</v>
      </c>
      <c r="V35">
        <f t="shared" si="28"/>
        <v>0</v>
      </c>
      <c r="W35">
        <f t="shared" si="29"/>
        <v>0</v>
      </c>
      <c r="X35">
        <f t="shared" si="30"/>
        <v>1269.26</v>
      </c>
      <c r="Y35">
        <f t="shared" si="31"/>
        <v>181.32</v>
      </c>
      <c r="AA35">
        <v>49707740</v>
      </c>
      <c r="AB35">
        <f t="shared" si="32"/>
        <v>280864.57</v>
      </c>
      <c r="AC35">
        <f t="shared" si="33"/>
        <v>222479.25</v>
      </c>
      <c r="AD35">
        <f t="shared" si="55"/>
        <v>53736.02</v>
      </c>
      <c r="AE35">
        <f t="shared" si="56"/>
        <v>21215.13</v>
      </c>
      <c r="AF35">
        <f t="shared" si="53"/>
        <v>4649.3</v>
      </c>
      <c r="AG35">
        <f t="shared" si="35"/>
        <v>0</v>
      </c>
      <c r="AH35">
        <f t="shared" si="54"/>
        <v>24.84</v>
      </c>
      <c r="AI35">
        <f t="shared" si="57"/>
        <v>0</v>
      </c>
      <c r="AJ35">
        <f t="shared" si="37"/>
        <v>0</v>
      </c>
      <c r="AK35">
        <v>280864.57</v>
      </c>
      <c r="AL35">
        <v>222479.25</v>
      </c>
      <c r="AM35">
        <v>53736.02</v>
      </c>
      <c r="AN35">
        <v>21215.13</v>
      </c>
      <c r="AO35">
        <v>4649.3</v>
      </c>
      <c r="AP35">
        <v>0</v>
      </c>
      <c r="AQ35">
        <v>24.84</v>
      </c>
      <c r="AR35">
        <v>0</v>
      </c>
      <c r="AS35">
        <v>0</v>
      </c>
      <c r="AT35">
        <v>70</v>
      </c>
      <c r="AU35">
        <v>10</v>
      </c>
      <c r="AV35">
        <v>1</v>
      </c>
      <c r="AW35">
        <v>1</v>
      </c>
      <c r="AZ35">
        <v>1</v>
      </c>
      <c r="BA35">
        <v>1</v>
      </c>
      <c r="BB35">
        <v>1</v>
      </c>
      <c r="BC35">
        <v>1</v>
      </c>
      <c r="BD35" t="s">
        <v>3</v>
      </c>
      <c r="BE35" t="s">
        <v>3</v>
      </c>
      <c r="BF35" t="s">
        <v>3</v>
      </c>
      <c r="BG35" t="s">
        <v>3</v>
      </c>
      <c r="BH35">
        <v>0</v>
      </c>
      <c r="BI35">
        <v>4</v>
      </c>
      <c r="BJ35" t="s">
        <v>69</v>
      </c>
      <c r="BM35">
        <v>0</v>
      </c>
      <c r="BN35">
        <v>0</v>
      </c>
      <c r="BO35" t="s">
        <v>3</v>
      </c>
      <c r="BP35">
        <v>0</v>
      </c>
      <c r="BQ35">
        <v>1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 t="s">
        <v>3</v>
      </c>
      <c r="BZ35">
        <v>70</v>
      </c>
      <c r="CA35">
        <v>10</v>
      </c>
      <c r="CE35">
        <v>0</v>
      </c>
      <c r="CF35">
        <v>0</v>
      </c>
      <c r="CG35">
        <v>0</v>
      </c>
      <c r="CM35">
        <v>0</v>
      </c>
      <c r="CN35" t="s">
        <v>3</v>
      </c>
      <c r="CO35">
        <v>0</v>
      </c>
      <c r="CP35">
        <f t="shared" si="38"/>
        <v>109537.19</v>
      </c>
      <c r="CQ35">
        <f t="shared" si="39"/>
        <v>222479.25</v>
      </c>
      <c r="CR35">
        <f t="shared" si="58"/>
        <v>53736.02</v>
      </c>
      <c r="CS35">
        <f t="shared" si="40"/>
        <v>21215.13</v>
      </c>
      <c r="CT35">
        <f t="shared" si="41"/>
        <v>4649.3</v>
      </c>
      <c r="CU35">
        <f t="shared" si="42"/>
        <v>0</v>
      </c>
      <c r="CV35">
        <f t="shared" si="43"/>
        <v>24.84</v>
      </c>
      <c r="CW35">
        <f t="shared" si="44"/>
        <v>0</v>
      </c>
      <c r="CX35">
        <f t="shared" si="45"/>
        <v>0</v>
      </c>
      <c r="CY35">
        <f t="shared" si="46"/>
        <v>1269.261</v>
      </c>
      <c r="CZ35">
        <f t="shared" si="47"/>
        <v>181.32299999999998</v>
      </c>
      <c r="DC35" t="s">
        <v>3</v>
      </c>
      <c r="DD35" t="s">
        <v>3</v>
      </c>
      <c r="DE35" t="s">
        <v>3</v>
      </c>
      <c r="DF35" t="s">
        <v>3</v>
      </c>
      <c r="DG35" t="s">
        <v>3</v>
      </c>
      <c r="DH35" t="s">
        <v>3</v>
      </c>
      <c r="DI35" t="s">
        <v>3</v>
      </c>
      <c r="DJ35" t="s">
        <v>3</v>
      </c>
      <c r="DK35" t="s">
        <v>3</v>
      </c>
      <c r="DL35" t="s">
        <v>3</v>
      </c>
      <c r="DM35" t="s">
        <v>3</v>
      </c>
      <c r="DN35">
        <v>0</v>
      </c>
      <c r="DO35">
        <v>0</v>
      </c>
      <c r="DP35">
        <v>1</v>
      </c>
      <c r="DQ35">
        <v>1</v>
      </c>
      <c r="DU35">
        <v>1007</v>
      </c>
      <c r="DV35" t="s">
        <v>30</v>
      </c>
      <c r="DW35" t="s">
        <v>30</v>
      </c>
      <c r="DX35">
        <v>100</v>
      </c>
      <c r="DZ35" t="s">
        <v>3</v>
      </c>
      <c r="EA35" t="s">
        <v>3</v>
      </c>
      <c r="EB35" t="s">
        <v>3</v>
      </c>
      <c r="EC35" t="s">
        <v>3</v>
      </c>
      <c r="EE35">
        <v>49145957</v>
      </c>
      <c r="EF35">
        <v>1</v>
      </c>
      <c r="EG35" t="s">
        <v>32</v>
      </c>
      <c r="EH35">
        <v>0</v>
      </c>
      <c r="EI35" t="s">
        <v>3</v>
      </c>
      <c r="EJ35">
        <v>4</v>
      </c>
      <c r="EK35">
        <v>0</v>
      </c>
      <c r="EL35" t="s">
        <v>33</v>
      </c>
      <c r="EM35" t="s">
        <v>34</v>
      </c>
      <c r="EO35" t="s">
        <v>3</v>
      </c>
      <c r="EQ35">
        <v>0</v>
      </c>
      <c r="ER35">
        <v>280864.57</v>
      </c>
      <c r="ES35">
        <v>222479.25</v>
      </c>
      <c r="ET35">
        <v>53736.02</v>
      </c>
      <c r="EU35">
        <v>21215.13</v>
      </c>
      <c r="EV35">
        <v>4649.3</v>
      </c>
      <c r="EW35">
        <v>24.84</v>
      </c>
      <c r="EX35">
        <v>0</v>
      </c>
      <c r="EY35">
        <v>0</v>
      </c>
      <c r="FQ35">
        <v>0</v>
      </c>
      <c r="FR35">
        <f t="shared" si="48"/>
        <v>0</v>
      </c>
      <c r="FS35">
        <v>0</v>
      </c>
      <c r="FX35">
        <v>70</v>
      </c>
      <c r="FY35">
        <v>10</v>
      </c>
      <c r="GA35" t="s">
        <v>3</v>
      </c>
      <c r="GD35">
        <v>0</v>
      </c>
      <c r="GF35">
        <v>-2081991386</v>
      </c>
      <c r="GG35">
        <v>2</v>
      </c>
      <c r="GH35">
        <v>1</v>
      </c>
      <c r="GI35">
        <v>-2</v>
      </c>
      <c r="GJ35">
        <v>0</v>
      </c>
      <c r="GK35">
        <f>ROUND(R35*(R12)/100,2)</f>
        <v>8935.81</v>
      </c>
      <c r="GL35">
        <f t="shared" si="49"/>
        <v>0</v>
      </c>
      <c r="GM35">
        <f t="shared" si="59"/>
        <v>119923.58</v>
      </c>
      <c r="GN35">
        <f t="shared" si="60"/>
        <v>0</v>
      </c>
      <c r="GO35">
        <f t="shared" si="61"/>
        <v>0</v>
      </c>
      <c r="GP35">
        <f t="shared" si="62"/>
        <v>119923.58</v>
      </c>
      <c r="GR35">
        <v>0</v>
      </c>
      <c r="GS35">
        <v>3</v>
      </c>
      <c r="GT35">
        <v>0</v>
      </c>
      <c r="GU35" t="s">
        <v>3</v>
      </c>
      <c r="GV35">
        <f t="shared" si="50"/>
        <v>0</v>
      </c>
      <c r="GW35">
        <v>1</v>
      </c>
      <c r="GX35">
        <f t="shared" si="51"/>
        <v>0</v>
      </c>
      <c r="HA35">
        <v>0</v>
      </c>
      <c r="HB35">
        <v>0</v>
      </c>
      <c r="HC35">
        <f t="shared" si="52"/>
        <v>0</v>
      </c>
      <c r="HE35" t="s">
        <v>3</v>
      </c>
      <c r="HF35" t="s">
        <v>3</v>
      </c>
      <c r="IK35">
        <v>0</v>
      </c>
    </row>
    <row r="36" spans="1:245" x14ac:dyDescent="0.2">
      <c r="A36">
        <v>17</v>
      </c>
      <c r="B36">
        <v>1</v>
      </c>
      <c r="C36">
        <f>ROW(SmtRes!A30)</f>
        <v>30</v>
      </c>
      <c r="D36">
        <f>ROW(EtalonRes!A28)</f>
        <v>28</v>
      </c>
      <c r="E36" t="s">
        <v>70</v>
      </c>
      <c r="F36" t="s">
        <v>71</v>
      </c>
      <c r="G36" t="s">
        <v>72</v>
      </c>
      <c r="H36" t="s">
        <v>73</v>
      </c>
      <c r="I36">
        <f>ROUND(260/100,4)</f>
        <v>2.6</v>
      </c>
      <c r="J36">
        <v>0</v>
      </c>
      <c r="O36">
        <f t="shared" si="21"/>
        <v>79321.84</v>
      </c>
      <c r="P36">
        <f t="shared" si="22"/>
        <v>67009.75</v>
      </c>
      <c r="Q36">
        <f t="shared" si="23"/>
        <v>4245.2299999999996</v>
      </c>
      <c r="R36">
        <f t="shared" si="24"/>
        <v>2404.4499999999998</v>
      </c>
      <c r="S36">
        <f t="shared" si="25"/>
        <v>8066.86</v>
      </c>
      <c r="T36">
        <f t="shared" si="26"/>
        <v>0</v>
      </c>
      <c r="U36">
        <f t="shared" si="27"/>
        <v>35.282000000000004</v>
      </c>
      <c r="V36">
        <f t="shared" si="28"/>
        <v>0</v>
      </c>
      <c r="W36">
        <f t="shared" si="29"/>
        <v>0</v>
      </c>
      <c r="X36">
        <f t="shared" si="30"/>
        <v>5646.8</v>
      </c>
      <c r="Y36">
        <f t="shared" si="31"/>
        <v>806.69</v>
      </c>
      <c r="AA36">
        <v>49707740</v>
      </c>
      <c r="AB36">
        <f t="shared" si="32"/>
        <v>30508.400000000001</v>
      </c>
      <c r="AC36">
        <f t="shared" si="33"/>
        <v>25772.98</v>
      </c>
      <c r="AD36">
        <f t="shared" si="55"/>
        <v>1632.78</v>
      </c>
      <c r="AE36">
        <f t="shared" si="56"/>
        <v>924.79</v>
      </c>
      <c r="AF36">
        <f t="shared" si="53"/>
        <v>3102.64</v>
      </c>
      <c r="AG36">
        <f t="shared" si="35"/>
        <v>0</v>
      </c>
      <c r="AH36">
        <f t="shared" si="54"/>
        <v>13.57</v>
      </c>
      <c r="AI36">
        <f t="shared" si="57"/>
        <v>0</v>
      </c>
      <c r="AJ36">
        <f t="shared" si="37"/>
        <v>0</v>
      </c>
      <c r="AK36">
        <v>30508.400000000001</v>
      </c>
      <c r="AL36">
        <v>25772.98</v>
      </c>
      <c r="AM36">
        <v>1632.78</v>
      </c>
      <c r="AN36">
        <v>924.79</v>
      </c>
      <c r="AO36">
        <v>3102.64</v>
      </c>
      <c r="AP36">
        <v>0</v>
      </c>
      <c r="AQ36">
        <v>13.57</v>
      </c>
      <c r="AR36">
        <v>0</v>
      </c>
      <c r="AS36">
        <v>0</v>
      </c>
      <c r="AT36">
        <v>70</v>
      </c>
      <c r="AU36">
        <v>10</v>
      </c>
      <c r="AV36">
        <v>1</v>
      </c>
      <c r="AW36">
        <v>1</v>
      </c>
      <c r="AZ36">
        <v>1</v>
      </c>
      <c r="BA36">
        <v>1</v>
      </c>
      <c r="BB36">
        <v>1</v>
      </c>
      <c r="BC36">
        <v>1</v>
      </c>
      <c r="BD36" t="s">
        <v>3</v>
      </c>
      <c r="BE36" t="s">
        <v>3</v>
      </c>
      <c r="BF36" t="s">
        <v>3</v>
      </c>
      <c r="BG36" t="s">
        <v>3</v>
      </c>
      <c r="BH36">
        <v>0</v>
      </c>
      <c r="BI36">
        <v>4</v>
      </c>
      <c r="BJ36" t="s">
        <v>74</v>
      </c>
      <c r="BM36">
        <v>0</v>
      </c>
      <c r="BN36">
        <v>0</v>
      </c>
      <c r="BO36" t="s">
        <v>3</v>
      </c>
      <c r="BP36">
        <v>0</v>
      </c>
      <c r="BQ36">
        <v>1</v>
      </c>
      <c r="BR36">
        <v>0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 t="s">
        <v>3</v>
      </c>
      <c r="BZ36">
        <v>70</v>
      </c>
      <c r="CA36">
        <v>10</v>
      </c>
      <c r="CE36">
        <v>0</v>
      </c>
      <c r="CF36">
        <v>0</v>
      </c>
      <c r="CG36">
        <v>0</v>
      </c>
      <c r="CM36">
        <v>0</v>
      </c>
      <c r="CN36" t="s">
        <v>3</v>
      </c>
      <c r="CO36">
        <v>0</v>
      </c>
      <c r="CP36">
        <f t="shared" si="38"/>
        <v>79321.84</v>
      </c>
      <c r="CQ36">
        <f t="shared" si="39"/>
        <v>25772.98</v>
      </c>
      <c r="CR36">
        <f t="shared" si="58"/>
        <v>1632.78</v>
      </c>
      <c r="CS36">
        <f t="shared" si="40"/>
        <v>924.79</v>
      </c>
      <c r="CT36">
        <f t="shared" si="41"/>
        <v>3102.64</v>
      </c>
      <c r="CU36">
        <f t="shared" si="42"/>
        <v>0</v>
      </c>
      <c r="CV36">
        <f t="shared" si="43"/>
        <v>13.57</v>
      </c>
      <c r="CW36">
        <f t="shared" si="44"/>
        <v>0</v>
      </c>
      <c r="CX36">
        <f t="shared" si="45"/>
        <v>0</v>
      </c>
      <c r="CY36">
        <f t="shared" si="46"/>
        <v>5646.8019999999997</v>
      </c>
      <c r="CZ36">
        <f t="shared" si="47"/>
        <v>806.68599999999992</v>
      </c>
      <c r="DC36" t="s">
        <v>3</v>
      </c>
      <c r="DD36" t="s">
        <v>3</v>
      </c>
      <c r="DE36" t="s">
        <v>3</v>
      </c>
      <c r="DF36" t="s">
        <v>3</v>
      </c>
      <c r="DG36" t="s">
        <v>3</v>
      </c>
      <c r="DH36" t="s">
        <v>3</v>
      </c>
      <c r="DI36" t="s">
        <v>3</v>
      </c>
      <c r="DJ36" t="s">
        <v>3</v>
      </c>
      <c r="DK36" t="s">
        <v>3</v>
      </c>
      <c r="DL36" t="s">
        <v>3</v>
      </c>
      <c r="DM36" t="s">
        <v>3</v>
      </c>
      <c r="DN36">
        <v>0</v>
      </c>
      <c r="DO36">
        <v>0</v>
      </c>
      <c r="DP36">
        <v>1</v>
      </c>
      <c r="DQ36">
        <v>1</v>
      </c>
      <c r="DU36">
        <v>1005</v>
      </c>
      <c r="DV36" t="s">
        <v>73</v>
      </c>
      <c r="DW36" t="s">
        <v>73</v>
      </c>
      <c r="DX36">
        <v>100</v>
      </c>
      <c r="DZ36" t="s">
        <v>3</v>
      </c>
      <c r="EA36" t="s">
        <v>3</v>
      </c>
      <c r="EB36" t="s">
        <v>3</v>
      </c>
      <c r="EC36" t="s">
        <v>3</v>
      </c>
      <c r="EE36">
        <v>49145957</v>
      </c>
      <c r="EF36">
        <v>1</v>
      </c>
      <c r="EG36" t="s">
        <v>32</v>
      </c>
      <c r="EH36">
        <v>0</v>
      </c>
      <c r="EI36" t="s">
        <v>3</v>
      </c>
      <c r="EJ36">
        <v>4</v>
      </c>
      <c r="EK36">
        <v>0</v>
      </c>
      <c r="EL36" t="s">
        <v>33</v>
      </c>
      <c r="EM36" t="s">
        <v>34</v>
      </c>
      <c r="EO36" t="s">
        <v>3</v>
      </c>
      <c r="EQ36">
        <v>0</v>
      </c>
      <c r="ER36">
        <v>30508.400000000001</v>
      </c>
      <c r="ES36">
        <v>25772.98</v>
      </c>
      <c r="ET36">
        <v>1632.78</v>
      </c>
      <c r="EU36">
        <v>924.79</v>
      </c>
      <c r="EV36">
        <v>3102.64</v>
      </c>
      <c r="EW36">
        <v>13.57</v>
      </c>
      <c r="EX36">
        <v>0</v>
      </c>
      <c r="EY36">
        <v>0</v>
      </c>
      <c r="FQ36">
        <v>0</v>
      </c>
      <c r="FR36">
        <f t="shared" si="48"/>
        <v>0</v>
      </c>
      <c r="FS36">
        <v>0</v>
      </c>
      <c r="FX36">
        <v>70</v>
      </c>
      <c r="FY36">
        <v>10</v>
      </c>
      <c r="GA36" t="s">
        <v>3</v>
      </c>
      <c r="GD36">
        <v>0</v>
      </c>
      <c r="GF36">
        <v>-1582666812</v>
      </c>
      <c r="GG36">
        <v>2</v>
      </c>
      <c r="GH36">
        <v>1</v>
      </c>
      <c r="GI36">
        <v>-2</v>
      </c>
      <c r="GJ36">
        <v>0</v>
      </c>
      <c r="GK36">
        <f>ROUND(R36*(R12)/100,2)</f>
        <v>2596.81</v>
      </c>
      <c r="GL36">
        <f t="shared" si="49"/>
        <v>0</v>
      </c>
      <c r="GM36">
        <f t="shared" si="59"/>
        <v>88372.14</v>
      </c>
      <c r="GN36">
        <f t="shared" si="60"/>
        <v>0</v>
      </c>
      <c r="GO36">
        <f t="shared" si="61"/>
        <v>0</v>
      </c>
      <c r="GP36">
        <f t="shared" si="62"/>
        <v>88372.14</v>
      </c>
      <c r="GR36">
        <v>0</v>
      </c>
      <c r="GS36">
        <v>3</v>
      </c>
      <c r="GT36">
        <v>0</v>
      </c>
      <c r="GU36" t="s">
        <v>3</v>
      </c>
      <c r="GV36">
        <f t="shared" si="50"/>
        <v>0</v>
      </c>
      <c r="GW36">
        <v>1</v>
      </c>
      <c r="GX36">
        <f t="shared" si="51"/>
        <v>0</v>
      </c>
      <c r="HA36">
        <v>0</v>
      </c>
      <c r="HB36">
        <v>0</v>
      </c>
      <c r="HC36">
        <f t="shared" si="52"/>
        <v>0</v>
      </c>
      <c r="HE36" t="s">
        <v>3</v>
      </c>
      <c r="HF36" t="s">
        <v>3</v>
      </c>
      <c r="IK36">
        <v>0</v>
      </c>
    </row>
    <row r="37" spans="1:245" x14ac:dyDescent="0.2">
      <c r="A37">
        <v>18</v>
      </c>
      <c r="B37">
        <v>1</v>
      </c>
      <c r="C37">
        <v>29</v>
      </c>
      <c r="E37" t="s">
        <v>75</v>
      </c>
      <c r="F37" t="s">
        <v>76</v>
      </c>
      <c r="G37" t="s">
        <v>77</v>
      </c>
      <c r="H37" t="s">
        <v>57</v>
      </c>
      <c r="I37">
        <f>I36*J37</f>
        <v>-24.908000000000001</v>
      </c>
      <c r="J37">
        <v>-9.58</v>
      </c>
      <c r="O37">
        <f t="shared" si="21"/>
        <v>-67009.740000000005</v>
      </c>
      <c r="P37">
        <f t="shared" si="22"/>
        <v>-67009.740000000005</v>
      </c>
      <c r="Q37">
        <f t="shared" si="23"/>
        <v>0</v>
      </c>
      <c r="R37">
        <f t="shared" si="24"/>
        <v>0</v>
      </c>
      <c r="S37">
        <f t="shared" si="25"/>
        <v>0</v>
      </c>
      <c r="T37">
        <f t="shared" si="26"/>
        <v>0</v>
      </c>
      <c r="U37">
        <f t="shared" si="27"/>
        <v>0</v>
      </c>
      <c r="V37">
        <f t="shared" si="28"/>
        <v>0</v>
      </c>
      <c r="W37">
        <f t="shared" si="29"/>
        <v>0</v>
      </c>
      <c r="X37">
        <f t="shared" si="30"/>
        <v>0</v>
      </c>
      <c r="Y37">
        <f t="shared" si="31"/>
        <v>0</v>
      </c>
      <c r="AA37">
        <v>49707740</v>
      </c>
      <c r="AB37">
        <f t="shared" si="32"/>
        <v>2690.29</v>
      </c>
      <c r="AC37">
        <f t="shared" si="33"/>
        <v>2690.29</v>
      </c>
      <c r="AD37">
        <f t="shared" si="55"/>
        <v>0</v>
      </c>
      <c r="AE37">
        <f t="shared" si="56"/>
        <v>0</v>
      </c>
      <c r="AF37">
        <f t="shared" si="53"/>
        <v>0</v>
      </c>
      <c r="AG37">
        <f t="shared" si="35"/>
        <v>0</v>
      </c>
      <c r="AH37">
        <f t="shared" si="54"/>
        <v>0</v>
      </c>
      <c r="AI37">
        <f t="shared" si="57"/>
        <v>0</v>
      </c>
      <c r="AJ37">
        <f t="shared" si="37"/>
        <v>0</v>
      </c>
      <c r="AK37">
        <v>2690.29</v>
      </c>
      <c r="AL37">
        <v>2690.29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70</v>
      </c>
      <c r="AU37">
        <v>10</v>
      </c>
      <c r="AV37">
        <v>1</v>
      </c>
      <c r="AW37">
        <v>1</v>
      </c>
      <c r="AZ37">
        <v>1</v>
      </c>
      <c r="BA37">
        <v>1</v>
      </c>
      <c r="BB37">
        <v>1</v>
      </c>
      <c r="BC37">
        <v>1</v>
      </c>
      <c r="BD37" t="s">
        <v>3</v>
      </c>
      <c r="BE37" t="s">
        <v>3</v>
      </c>
      <c r="BF37" t="s">
        <v>3</v>
      </c>
      <c r="BG37" t="s">
        <v>3</v>
      </c>
      <c r="BH37">
        <v>3</v>
      </c>
      <c r="BI37">
        <v>4</v>
      </c>
      <c r="BJ37" t="s">
        <v>78</v>
      </c>
      <c r="BM37">
        <v>0</v>
      </c>
      <c r="BN37">
        <v>0</v>
      </c>
      <c r="BO37" t="s">
        <v>3</v>
      </c>
      <c r="BP37">
        <v>0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 t="s">
        <v>3</v>
      </c>
      <c r="BZ37">
        <v>70</v>
      </c>
      <c r="CA37">
        <v>10</v>
      </c>
      <c r="CE37">
        <v>0</v>
      </c>
      <c r="CF37">
        <v>0</v>
      </c>
      <c r="CG37">
        <v>0</v>
      </c>
      <c r="CM37">
        <v>0</v>
      </c>
      <c r="CN37" t="s">
        <v>3</v>
      </c>
      <c r="CO37">
        <v>0</v>
      </c>
      <c r="CP37">
        <f t="shared" si="38"/>
        <v>-67009.740000000005</v>
      </c>
      <c r="CQ37">
        <f t="shared" si="39"/>
        <v>2690.29</v>
      </c>
      <c r="CR37">
        <f t="shared" si="58"/>
        <v>0</v>
      </c>
      <c r="CS37">
        <f t="shared" si="40"/>
        <v>0</v>
      </c>
      <c r="CT37">
        <f t="shared" si="41"/>
        <v>0</v>
      </c>
      <c r="CU37">
        <f t="shared" si="42"/>
        <v>0</v>
      </c>
      <c r="CV37">
        <f t="shared" si="43"/>
        <v>0</v>
      </c>
      <c r="CW37">
        <f t="shared" si="44"/>
        <v>0</v>
      </c>
      <c r="CX37">
        <f t="shared" si="45"/>
        <v>0</v>
      </c>
      <c r="CY37">
        <f t="shared" si="46"/>
        <v>0</v>
      </c>
      <c r="CZ37">
        <f t="shared" si="47"/>
        <v>0</v>
      </c>
      <c r="DC37" t="s">
        <v>3</v>
      </c>
      <c r="DD37" t="s">
        <v>3</v>
      </c>
      <c r="DE37" t="s">
        <v>3</v>
      </c>
      <c r="DF37" t="s">
        <v>3</v>
      </c>
      <c r="DG37" t="s">
        <v>3</v>
      </c>
      <c r="DH37" t="s">
        <v>3</v>
      </c>
      <c r="DI37" t="s">
        <v>3</v>
      </c>
      <c r="DJ37" t="s">
        <v>3</v>
      </c>
      <c r="DK37" t="s">
        <v>3</v>
      </c>
      <c r="DL37" t="s">
        <v>3</v>
      </c>
      <c r="DM37" t="s">
        <v>3</v>
      </c>
      <c r="DN37">
        <v>0</v>
      </c>
      <c r="DO37">
        <v>0</v>
      </c>
      <c r="DP37">
        <v>1</v>
      </c>
      <c r="DQ37">
        <v>1</v>
      </c>
      <c r="DU37">
        <v>1009</v>
      </c>
      <c r="DV37" t="s">
        <v>57</v>
      </c>
      <c r="DW37" t="s">
        <v>57</v>
      </c>
      <c r="DX37">
        <v>1000</v>
      </c>
      <c r="DZ37" t="s">
        <v>3</v>
      </c>
      <c r="EA37" t="s">
        <v>3</v>
      </c>
      <c r="EB37" t="s">
        <v>3</v>
      </c>
      <c r="EC37" t="s">
        <v>3</v>
      </c>
      <c r="EE37">
        <v>49145957</v>
      </c>
      <c r="EF37">
        <v>1</v>
      </c>
      <c r="EG37" t="s">
        <v>32</v>
      </c>
      <c r="EH37">
        <v>0</v>
      </c>
      <c r="EI37" t="s">
        <v>3</v>
      </c>
      <c r="EJ37">
        <v>4</v>
      </c>
      <c r="EK37">
        <v>0</v>
      </c>
      <c r="EL37" t="s">
        <v>33</v>
      </c>
      <c r="EM37" t="s">
        <v>34</v>
      </c>
      <c r="EO37" t="s">
        <v>3</v>
      </c>
      <c r="EQ37">
        <v>0</v>
      </c>
      <c r="ER37">
        <v>2690.29</v>
      </c>
      <c r="ES37">
        <v>2690.29</v>
      </c>
      <c r="ET37">
        <v>0</v>
      </c>
      <c r="EU37">
        <v>0</v>
      </c>
      <c r="EV37">
        <v>0</v>
      </c>
      <c r="EW37">
        <v>0</v>
      </c>
      <c r="EX37">
        <v>0</v>
      </c>
      <c r="FQ37">
        <v>0</v>
      </c>
      <c r="FR37">
        <f t="shared" si="48"/>
        <v>0</v>
      </c>
      <c r="FS37">
        <v>0</v>
      </c>
      <c r="FX37">
        <v>70</v>
      </c>
      <c r="FY37">
        <v>10</v>
      </c>
      <c r="GA37" t="s">
        <v>3</v>
      </c>
      <c r="GD37">
        <v>0</v>
      </c>
      <c r="GF37">
        <v>734291692</v>
      </c>
      <c r="GG37">
        <v>2</v>
      </c>
      <c r="GH37">
        <v>1</v>
      </c>
      <c r="GI37">
        <v>-2</v>
      </c>
      <c r="GJ37">
        <v>0</v>
      </c>
      <c r="GK37">
        <f>ROUND(R37*(R12)/100,2)</f>
        <v>0</v>
      </c>
      <c r="GL37">
        <f t="shared" si="49"/>
        <v>0</v>
      </c>
      <c r="GM37">
        <f t="shared" si="59"/>
        <v>-67009.740000000005</v>
      </c>
      <c r="GN37">
        <f t="shared" si="60"/>
        <v>0</v>
      </c>
      <c r="GO37">
        <f t="shared" si="61"/>
        <v>0</v>
      </c>
      <c r="GP37">
        <f t="shared" si="62"/>
        <v>-67009.740000000005</v>
      </c>
      <c r="GR37">
        <v>0</v>
      </c>
      <c r="GS37">
        <v>3</v>
      </c>
      <c r="GT37">
        <v>0</v>
      </c>
      <c r="GU37" t="s">
        <v>3</v>
      </c>
      <c r="GV37">
        <f t="shared" si="50"/>
        <v>0</v>
      </c>
      <c r="GW37">
        <v>1</v>
      </c>
      <c r="GX37">
        <f t="shared" si="51"/>
        <v>0</v>
      </c>
      <c r="HA37">
        <v>0</v>
      </c>
      <c r="HB37">
        <v>0</v>
      </c>
      <c r="HC37">
        <f t="shared" si="52"/>
        <v>0</v>
      </c>
      <c r="HE37" t="s">
        <v>3</v>
      </c>
      <c r="HF37" t="s">
        <v>3</v>
      </c>
      <c r="IK37">
        <v>0</v>
      </c>
    </row>
    <row r="38" spans="1:245" x14ac:dyDescent="0.2">
      <c r="A38">
        <v>18</v>
      </c>
      <c r="B38">
        <v>1</v>
      </c>
      <c r="C38">
        <v>30</v>
      </c>
      <c r="E38" t="s">
        <v>79</v>
      </c>
      <c r="F38" t="s">
        <v>80</v>
      </c>
      <c r="G38" t="s">
        <v>81</v>
      </c>
      <c r="H38" t="s">
        <v>57</v>
      </c>
      <c r="I38">
        <f>I36*J38</f>
        <v>25.116</v>
      </c>
      <c r="J38">
        <v>9.66</v>
      </c>
      <c r="O38">
        <f t="shared" si="21"/>
        <v>64367.03</v>
      </c>
      <c r="P38">
        <f t="shared" si="22"/>
        <v>64367.03</v>
      </c>
      <c r="Q38">
        <f t="shared" si="23"/>
        <v>0</v>
      </c>
      <c r="R38">
        <f t="shared" si="24"/>
        <v>0</v>
      </c>
      <c r="S38">
        <f t="shared" si="25"/>
        <v>0</v>
      </c>
      <c r="T38">
        <f t="shared" si="26"/>
        <v>0</v>
      </c>
      <c r="U38">
        <f t="shared" si="27"/>
        <v>0</v>
      </c>
      <c r="V38">
        <f t="shared" si="28"/>
        <v>0</v>
      </c>
      <c r="W38">
        <f t="shared" si="29"/>
        <v>0</v>
      </c>
      <c r="X38">
        <f t="shared" si="30"/>
        <v>0</v>
      </c>
      <c r="Y38">
        <f t="shared" si="31"/>
        <v>0</v>
      </c>
      <c r="AA38">
        <v>49707740</v>
      </c>
      <c r="AB38">
        <f t="shared" si="32"/>
        <v>2562.79</v>
      </c>
      <c r="AC38">
        <f t="shared" si="33"/>
        <v>2562.79</v>
      </c>
      <c r="AD38">
        <f t="shared" si="55"/>
        <v>0</v>
      </c>
      <c r="AE38">
        <f t="shared" si="56"/>
        <v>0</v>
      </c>
      <c r="AF38">
        <f t="shared" si="53"/>
        <v>0</v>
      </c>
      <c r="AG38">
        <f t="shared" si="35"/>
        <v>0</v>
      </c>
      <c r="AH38">
        <f t="shared" si="54"/>
        <v>0</v>
      </c>
      <c r="AI38">
        <f t="shared" si="57"/>
        <v>0</v>
      </c>
      <c r="AJ38">
        <f t="shared" si="37"/>
        <v>0</v>
      </c>
      <c r="AK38">
        <v>2562.79</v>
      </c>
      <c r="AL38">
        <v>2562.79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70</v>
      </c>
      <c r="AU38">
        <v>10</v>
      </c>
      <c r="AV38">
        <v>1</v>
      </c>
      <c r="AW38">
        <v>1</v>
      </c>
      <c r="AZ38">
        <v>1</v>
      </c>
      <c r="BA38">
        <v>1</v>
      </c>
      <c r="BB38">
        <v>1</v>
      </c>
      <c r="BC38">
        <v>1</v>
      </c>
      <c r="BD38" t="s">
        <v>3</v>
      </c>
      <c r="BE38" t="s">
        <v>3</v>
      </c>
      <c r="BF38" t="s">
        <v>3</v>
      </c>
      <c r="BG38" t="s">
        <v>3</v>
      </c>
      <c r="BH38">
        <v>3</v>
      </c>
      <c r="BI38">
        <v>4</v>
      </c>
      <c r="BJ38" t="s">
        <v>82</v>
      </c>
      <c r="BM38">
        <v>0</v>
      </c>
      <c r="BN38">
        <v>0</v>
      </c>
      <c r="BO38" t="s">
        <v>3</v>
      </c>
      <c r="BP38">
        <v>0</v>
      </c>
      <c r="BQ38">
        <v>1</v>
      </c>
      <c r="BR38">
        <v>0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 t="s">
        <v>3</v>
      </c>
      <c r="BZ38">
        <v>70</v>
      </c>
      <c r="CA38">
        <v>10</v>
      </c>
      <c r="CE38">
        <v>0</v>
      </c>
      <c r="CF38">
        <v>0</v>
      </c>
      <c r="CG38">
        <v>0</v>
      </c>
      <c r="CM38">
        <v>0</v>
      </c>
      <c r="CN38" t="s">
        <v>3</v>
      </c>
      <c r="CO38">
        <v>0</v>
      </c>
      <c r="CP38">
        <f t="shared" si="38"/>
        <v>64367.03</v>
      </c>
      <c r="CQ38">
        <f t="shared" si="39"/>
        <v>2562.79</v>
      </c>
      <c r="CR38">
        <f t="shared" si="58"/>
        <v>0</v>
      </c>
      <c r="CS38">
        <f t="shared" si="40"/>
        <v>0</v>
      </c>
      <c r="CT38">
        <f t="shared" si="41"/>
        <v>0</v>
      </c>
      <c r="CU38">
        <f t="shared" si="42"/>
        <v>0</v>
      </c>
      <c r="CV38">
        <f t="shared" si="43"/>
        <v>0</v>
      </c>
      <c r="CW38">
        <f t="shared" si="44"/>
        <v>0</v>
      </c>
      <c r="CX38">
        <f t="shared" si="45"/>
        <v>0</v>
      </c>
      <c r="CY38">
        <f t="shared" si="46"/>
        <v>0</v>
      </c>
      <c r="CZ38">
        <f t="shared" si="47"/>
        <v>0</v>
      </c>
      <c r="DC38" t="s">
        <v>3</v>
      </c>
      <c r="DD38" t="s">
        <v>3</v>
      </c>
      <c r="DE38" t="s">
        <v>3</v>
      </c>
      <c r="DF38" t="s">
        <v>3</v>
      </c>
      <c r="DG38" t="s">
        <v>3</v>
      </c>
      <c r="DH38" t="s">
        <v>3</v>
      </c>
      <c r="DI38" t="s">
        <v>3</v>
      </c>
      <c r="DJ38" t="s">
        <v>3</v>
      </c>
      <c r="DK38" t="s">
        <v>3</v>
      </c>
      <c r="DL38" t="s">
        <v>3</v>
      </c>
      <c r="DM38" t="s">
        <v>3</v>
      </c>
      <c r="DN38">
        <v>0</v>
      </c>
      <c r="DO38">
        <v>0</v>
      </c>
      <c r="DP38">
        <v>1</v>
      </c>
      <c r="DQ38">
        <v>1</v>
      </c>
      <c r="DU38">
        <v>1009</v>
      </c>
      <c r="DV38" t="s">
        <v>57</v>
      </c>
      <c r="DW38" t="s">
        <v>57</v>
      </c>
      <c r="DX38">
        <v>1000</v>
      </c>
      <c r="DZ38" t="s">
        <v>3</v>
      </c>
      <c r="EA38" t="s">
        <v>3</v>
      </c>
      <c r="EB38" t="s">
        <v>3</v>
      </c>
      <c r="EC38" t="s">
        <v>3</v>
      </c>
      <c r="EE38">
        <v>49145957</v>
      </c>
      <c r="EF38">
        <v>1</v>
      </c>
      <c r="EG38" t="s">
        <v>32</v>
      </c>
      <c r="EH38">
        <v>0</v>
      </c>
      <c r="EI38" t="s">
        <v>3</v>
      </c>
      <c r="EJ38">
        <v>4</v>
      </c>
      <c r="EK38">
        <v>0</v>
      </c>
      <c r="EL38" t="s">
        <v>33</v>
      </c>
      <c r="EM38" t="s">
        <v>34</v>
      </c>
      <c r="EO38" t="s">
        <v>3</v>
      </c>
      <c r="EQ38">
        <v>0</v>
      </c>
      <c r="ER38">
        <v>2562.79</v>
      </c>
      <c r="ES38">
        <v>2562.79</v>
      </c>
      <c r="ET38">
        <v>0</v>
      </c>
      <c r="EU38">
        <v>0</v>
      </c>
      <c r="EV38">
        <v>0</v>
      </c>
      <c r="EW38">
        <v>0</v>
      </c>
      <c r="EX38">
        <v>0</v>
      </c>
      <c r="FQ38">
        <v>0</v>
      </c>
      <c r="FR38">
        <f t="shared" si="48"/>
        <v>0</v>
      </c>
      <c r="FS38">
        <v>0</v>
      </c>
      <c r="FX38">
        <v>70</v>
      </c>
      <c r="FY38">
        <v>10</v>
      </c>
      <c r="GA38" t="s">
        <v>3</v>
      </c>
      <c r="GD38">
        <v>0</v>
      </c>
      <c r="GF38">
        <v>1103439754</v>
      </c>
      <c r="GG38">
        <v>2</v>
      </c>
      <c r="GH38">
        <v>1</v>
      </c>
      <c r="GI38">
        <v>-2</v>
      </c>
      <c r="GJ38">
        <v>0</v>
      </c>
      <c r="GK38">
        <f>ROUND(R38*(R12)/100,2)</f>
        <v>0</v>
      </c>
      <c r="GL38">
        <f t="shared" si="49"/>
        <v>0</v>
      </c>
      <c r="GM38">
        <f t="shared" si="59"/>
        <v>64367.03</v>
      </c>
      <c r="GN38">
        <f t="shared" si="60"/>
        <v>0</v>
      </c>
      <c r="GO38">
        <f t="shared" si="61"/>
        <v>0</v>
      </c>
      <c r="GP38">
        <f t="shared" si="62"/>
        <v>64367.03</v>
      </c>
      <c r="GR38">
        <v>0</v>
      </c>
      <c r="GS38">
        <v>3</v>
      </c>
      <c r="GT38">
        <v>0</v>
      </c>
      <c r="GU38" t="s">
        <v>3</v>
      </c>
      <c r="GV38">
        <f t="shared" si="50"/>
        <v>0</v>
      </c>
      <c r="GW38">
        <v>1</v>
      </c>
      <c r="GX38">
        <f t="shared" si="51"/>
        <v>0</v>
      </c>
      <c r="HA38">
        <v>0</v>
      </c>
      <c r="HB38">
        <v>0</v>
      </c>
      <c r="HC38">
        <f t="shared" si="52"/>
        <v>0</v>
      </c>
      <c r="HE38" t="s">
        <v>3</v>
      </c>
      <c r="HF38" t="s">
        <v>3</v>
      </c>
      <c r="IK38">
        <v>0</v>
      </c>
    </row>
    <row r="39" spans="1:245" x14ac:dyDescent="0.2">
      <c r="A39">
        <v>17</v>
      </c>
      <c r="B39">
        <v>1</v>
      </c>
      <c r="C39">
        <f>ROW(SmtRes!A40)</f>
        <v>40</v>
      </c>
      <c r="D39">
        <f>ROW(EtalonRes!A38)</f>
        <v>38</v>
      </c>
      <c r="E39" t="s">
        <v>83</v>
      </c>
      <c r="F39" t="s">
        <v>84</v>
      </c>
      <c r="G39" t="s">
        <v>85</v>
      </c>
      <c r="H39" t="s">
        <v>73</v>
      </c>
      <c r="I39">
        <f>ROUND((260)/100,9)</f>
        <v>2.6</v>
      </c>
      <c r="J39">
        <v>0</v>
      </c>
      <c r="O39">
        <f t="shared" si="21"/>
        <v>283539.09999999998</v>
      </c>
      <c r="P39">
        <f t="shared" si="22"/>
        <v>266135.01</v>
      </c>
      <c r="Q39">
        <f t="shared" si="23"/>
        <v>6804.85</v>
      </c>
      <c r="R39">
        <f t="shared" si="24"/>
        <v>5365</v>
      </c>
      <c r="S39">
        <f t="shared" si="25"/>
        <v>10599.24</v>
      </c>
      <c r="T39">
        <f t="shared" si="26"/>
        <v>0</v>
      </c>
      <c r="U39">
        <f t="shared" si="27"/>
        <v>47.944000000000003</v>
      </c>
      <c r="V39">
        <f t="shared" si="28"/>
        <v>0</v>
      </c>
      <c r="W39">
        <f t="shared" si="29"/>
        <v>0</v>
      </c>
      <c r="X39">
        <f t="shared" si="30"/>
        <v>7419.47</v>
      </c>
      <c r="Y39">
        <f t="shared" si="31"/>
        <v>1059.92</v>
      </c>
      <c r="AA39">
        <v>49707740</v>
      </c>
      <c r="AB39">
        <f t="shared" si="32"/>
        <v>109053.5</v>
      </c>
      <c r="AC39">
        <f t="shared" si="33"/>
        <v>102359.62</v>
      </c>
      <c r="AD39">
        <f t="shared" si="55"/>
        <v>2617.25</v>
      </c>
      <c r="AE39">
        <f t="shared" si="56"/>
        <v>2063.46</v>
      </c>
      <c r="AF39">
        <f t="shared" si="53"/>
        <v>4076.63</v>
      </c>
      <c r="AG39">
        <f t="shared" si="35"/>
        <v>0</v>
      </c>
      <c r="AH39">
        <f t="shared" si="54"/>
        <v>18.440000000000001</v>
      </c>
      <c r="AI39">
        <f t="shared" si="57"/>
        <v>0</v>
      </c>
      <c r="AJ39">
        <f t="shared" si="37"/>
        <v>0</v>
      </c>
      <c r="AK39">
        <v>109053.5</v>
      </c>
      <c r="AL39">
        <v>102359.62</v>
      </c>
      <c r="AM39">
        <v>2617.25</v>
      </c>
      <c r="AN39">
        <v>2063.46</v>
      </c>
      <c r="AO39">
        <v>4076.63</v>
      </c>
      <c r="AP39">
        <v>0</v>
      </c>
      <c r="AQ39">
        <v>18.440000000000001</v>
      </c>
      <c r="AR39">
        <v>0</v>
      </c>
      <c r="AS39">
        <v>0</v>
      </c>
      <c r="AT39">
        <v>70</v>
      </c>
      <c r="AU39">
        <v>10</v>
      </c>
      <c r="AV39">
        <v>1</v>
      </c>
      <c r="AW39">
        <v>1</v>
      </c>
      <c r="AZ39">
        <v>1</v>
      </c>
      <c r="BA39">
        <v>1</v>
      </c>
      <c r="BB39">
        <v>1</v>
      </c>
      <c r="BC39">
        <v>1</v>
      </c>
      <c r="BD39" t="s">
        <v>3</v>
      </c>
      <c r="BE39" t="s">
        <v>3</v>
      </c>
      <c r="BF39" t="s">
        <v>3</v>
      </c>
      <c r="BG39" t="s">
        <v>3</v>
      </c>
      <c r="BH39">
        <v>0</v>
      </c>
      <c r="BI39">
        <v>4</v>
      </c>
      <c r="BJ39" t="s">
        <v>86</v>
      </c>
      <c r="BM39">
        <v>0</v>
      </c>
      <c r="BN39">
        <v>0</v>
      </c>
      <c r="BO39" t="s">
        <v>3</v>
      </c>
      <c r="BP39">
        <v>0</v>
      </c>
      <c r="BQ39">
        <v>1</v>
      </c>
      <c r="BR39">
        <v>0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 t="s">
        <v>3</v>
      </c>
      <c r="BZ39">
        <v>70</v>
      </c>
      <c r="CA39">
        <v>10</v>
      </c>
      <c r="CE39">
        <v>0</v>
      </c>
      <c r="CF39">
        <v>0</v>
      </c>
      <c r="CG39">
        <v>0</v>
      </c>
      <c r="CM39">
        <v>0</v>
      </c>
      <c r="CN39" t="s">
        <v>3</v>
      </c>
      <c r="CO39">
        <v>0</v>
      </c>
      <c r="CP39">
        <f t="shared" si="38"/>
        <v>283539.09999999998</v>
      </c>
      <c r="CQ39">
        <f t="shared" si="39"/>
        <v>102359.62</v>
      </c>
      <c r="CR39">
        <f t="shared" si="58"/>
        <v>2617.25</v>
      </c>
      <c r="CS39">
        <f t="shared" si="40"/>
        <v>2063.46</v>
      </c>
      <c r="CT39">
        <f t="shared" si="41"/>
        <v>4076.63</v>
      </c>
      <c r="CU39">
        <f t="shared" si="42"/>
        <v>0</v>
      </c>
      <c r="CV39">
        <f t="shared" si="43"/>
        <v>18.440000000000001</v>
      </c>
      <c r="CW39">
        <f t="shared" si="44"/>
        <v>0</v>
      </c>
      <c r="CX39">
        <f t="shared" si="45"/>
        <v>0</v>
      </c>
      <c r="CY39">
        <f t="shared" si="46"/>
        <v>7419.4679999999989</v>
      </c>
      <c r="CZ39">
        <f t="shared" si="47"/>
        <v>1059.924</v>
      </c>
      <c r="DC39" t="s">
        <v>3</v>
      </c>
      <c r="DD39" t="s">
        <v>3</v>
      </c>
      <c r="DE39" t="s">
        <v>3</v>
      </c>
      <c r="DF39" t="s">
        <v>3</v>
      </c>
      <c r="DG39" t="s">
        <v>3</v>
      </c>
      <c r="DH39" t="s">
        <v>3</v>
      </c>
      <c r="DI39" t="s">
        <v>3</v>
      </c>
      <c r="DJ39" t="s">
        <v>3</v>
      </c>
      <c r="DK39" t="s">
        <v>3</v>
      </c>
      <c r="DL39" t="s">
        <v>3</v>
      </c>
      <c r="DM39" t="s">
        <v>3</v>
      </c>
      <c r="DN39">
        <v>0</v>
      </c>
      <c r="DO39">
        <v>0</v>
      </c>
      <c r="DP39">
        <v>1</v>
      </c>
      <c r="DQ39">
        <v>1</v>
      </c>
      <c r="DU39">
        <v>1005</v>
      </c>
      <c r="DV39" t="s">
        <v>73</v>
      </c>
      <c r="DW39" t="s">
        <v>73</v>
      </c>
      <c r="DX39">
        <v>100</v>
      </c>
      <c r="DZ39" t="s">
        <v>3</v>
      </c>
      <c r="EA39" t="s">
        <v>3</v>
      </c>
      <c r="EB39" t="s">
        <v>3</v>
      </c>
      <c r="EC39" t="s">
        <v>3</v>
      </c>
      <c r="EE39">
        <v>49145957</v>
      </c>
      <c r="EF39">
        <v>1</v>
      </c>
      <c r="EG39" t="s">
        <v>32</v>
      </c>
      <c r="EH39">
        <v>0</v>
      </c>
      <c r="EI39" t="s">
        <v>3</v>
      </c>
      <c r="EJ39">
        <v>4</v>
      </c>
      <c r="EK39">
        <v>0</v>
      </c>
      <c r="EL39" t="s">
        <v>33</v>
      </c>
      <c r="EM39" t="s">
        <v>34</v>
      </c>
      <c r="EO39" t="s">
        <v>3</v>
      </c>
      <c r="EQ39">
        <v>0</v>
      </c>
      <c r="ER39">
        <v>109053.5</v>
      </c>
      <c r="ES39">
        <v>102359.62</v>
      </c>
      <c r="ET39">
        <v>2617.25</v>
      </c>
      <c r="EU39">
        <v>2063.46</v>
      </c>
      <c r="EV39">
        <v>4076.63</v>
      </c>
      <c r="EW39">
        <v>18.440000000000001</v>
      </c>
      <c r="EX39">
        <v>0</v>
      </c>
      <c r="EY39">
        <v>0</v>
      </c>
      <c r="FQ39">
        <v>0</v>
      </c>
      <c r="FR39">
        <f t="shared" si="48"/>
        <v>0</v>
      </c>
      <c r="FS39">
        <v>0</v>
      </c>
      <c r="FX39">
        <v>70</v>
      </c>
      <c r="FY39">
        <v>10</v>
      </c>
      <c r="GA39" t="s">
        <v>3</v>
      </c>
      <c r="GD39">
        <v>0</v>
      </c>
      <c r="GF39">
        <v>1018568157</v>
      </c>
      <c r="GG39">
        <v>2</v>
      </c>
      <c r="GH39">
        <v>1</v>
      </c>
      <c r="GI39">
        <v>-2</v>
      </c>
      <c r="GJ39">
        <v>0</v>
      </c>
      <c r="GK39">
        <f>ROUND(R39*(R12)/100,2)</f>
        <v>5794.2</v>
      </c>
      <c r="GL39">
        <f t="shared" si="49"/>
        <v>0</v>
      </c>
      <c r="GM39">
        <f t="shared" si="59"/>
        <v>297812.69</v>
      </c>
      <c r="GN39">
        <f t="shared" si="60"/>
        <v>0</v>
      </c>
      <c r="GO39">
        <f t="shared" si="61"/>
        <v>0</v>
      </c>
      <c r="GP39">
        <f t="shared" si="62"/>
        <v>297812.69</v>
      </c>
      <c r="GR39">
        <v>0</v>
      </c>
      <c r="GS39">
        <v>3</v>
      </c>
      <c r="GT39">
        <v>0</v>
      </c>
      <c r="GU39" t="s">
        <v>3</v>
      </c>
      <c r="GV39">
        <f t="shared" si="50"/>
        <v>0</v>
      </c>
      <c r="GW39">
        <v>1</v>
      </c>
      <c r="GX39">
        <f t="shared" si="51"/>
        <v>0</v>
      </c>
      <c r="HA39">
        <v>0</v>
      </c>
      <c r="HB39">
        <v>0</v>
      </c>
      <c r="HC39">
        <f t="shared" si="52"/>
        <v>0</v>
      </c>
      <c r="HE39" t="s">
        <v>3</v>
      </c>
      <c r="HF39" t="s">
        <v>3</v>
      </c>
      <c r="IK39">
        <v>0</v>
      </c>
    </row>
    <row r="40" spans="1:245" x14ac:dyDescent="0.2">
      <c r="A40">
        <v>18</v>
      </c>
      <c r="B40">
        <v>1</v>
      </c>
      <c r="C40">
        <v>40</v>
      </c>
      <c r="E40" t="s">
        <v>87</v>
      </c>
      <c r="F40" t="s">
        <v>88</v>
      </c>
      <c r="G40" t="s">
        <v>89</v>
      </c>
      <c r="H40" t="s">
        <v>57</v>
      </c>
      <c r="I40">
        <f>I39*J40</f>
        <v>-0.13650000000000001</v>
      </c>
      <c r="J40">
        <v>-5.2500000000000005E-2</v>
      </c>
      <c r="O40">
        <f t="shared" si="21"/>
        <v>-102142.9</v>
      </c>
      <c r="P40">
        <f t="shared" si="22"/>
        <v>-102142.9</v>
      </c>
      <c r="Q40">
        <f t="shared" si="23"/>
        <v>0</v>
      </c>
      <c r="R40">
        <f t="shared" si="24"/>
        <v>0</v>
      </c>
      <c r="S40">
        <f t="shared" si="25"/>
        <v>0</v>
      </c>
      <c r="T40">
        <f t="shared" si="26"/>
        <v>0</v>
      </c>
      <c r="U40">
        <f t="shared" si="27"/>
        <v>0</v>
      </c>
      <c r="V40">
        <f t="shared" si="28"/>
        <v>0</v>
      </c>
      <c r="W40">
        <f t="shared" si="29"/>
        <v>0</v>
      </c>
      <c r="X40">
        <f t="shared" si="30"/>
        <v>0</v>
      </c>
      <c r="Y40">
        <f t="shared" si="31"/>
        <v>0</v>
      </c>
      <c r="AA40">
        <v>49707740</v>
      </c>
      <c r="AB40">
        <f t="shared" si="32"/>
        <v>748299.67</v>
      </c>
      <c r="AC40">
        <f t="shared" si="33"/>
        <v>748299.67</v>
      </c>
      <c r="AD40">
        <f t="shared" si="55"/>
        <v>0</v>
      </c>
      <c r="AE40">
        <f t="shared" si="56"/>
        <v>0</v>
      </c>
      <c r="AF40">
        <f t="shared" si="53"/>
        <v>0</v>
      </c>
      <c r="AG40">
        <f t="shared" si="35"/>
        <v>0</v>
      </c>
      <c r="AH40">
        <f t="shared" si="54"/>
        <v>0</v>
      </c>
      <c r="AI40">
        <f t="shared" si="57"/>
        <v>0</v>
      </c>
      <c r="AJ40">
        <f t="shared" si="37"/>
        <v>0</v>
      </c>
      <c r="AK40">
        <v>748299.67</v>
      </c>
      <c r="AL40">
        <v>748299.67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70</v>
      </c>
      <c r="AU40">
        <v>10</v>
      </c>
      <c r="AV40">
        <v>1</v>
      </c>
      <c r="AW40">
        <v>1</v>
      </c>
      <c r="AZ40">
        <v>1</v>
      </c>
      <c r="BA40">
        <v>1</v>
      </c>
      <c r="BB40">
        <v>1</v>
      </c>
      <c r="BC40">
        <v>1</v>
      </c>
      <c r="BD40" t="s">
        <v>3</v>
      </c>
      <c r="BE40" t="s">
        <v>3</v>
      </c>
      <c r="BF40" t="s">
        <v>3</v>
      </c>
      <c r="BG40" t="s">
        <v>3</v>
      </c>
      <c r="BH40">
        <v>3</v>
      </c>
      <c r="BI40">
        <v>4</v>
      </c>
      <c r="BJ40" t="s">
        <v>90</v>
      </c>
      <c r="BM40">
        <v>0</v>
      </c>
      <c r="BN40">
        <v>0</v>
      </c>
      <c r="BO40" t="s">
        <v>3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 t="s">
        <v>3</v>
      </c>
      <c r="BZ40">
        <v>70</v>
      </c>
      <c r="CA40">
        <v>10</v>
      </c>
      <c r="CE40">
        <v>0</v>
      </c>
      <c r="CF40">
        <v>0</v>
      </c>
      <c r="CG40">
        <v>0</v>
      </c>
      <c r="CM40">
        <v>0</v>
      </c>
      <c r="CN40" t="s">
        <v>3</v>
      </c>
      <c r="CO40">
        <v>0</v>
      </c>
      <c r="CP40">
        <f t="shared" si="38"/>
        <v>-102142.9</v>
      </c>
      <c r="CQ40">
        <f t="shared" si="39"/>
        <v>748299.67</v>
      </c>
      <c r="CR40">
        <f t="shared" si="58"/>
        <v>0</v>
      </c>
      <c r="CS40">
        <f t="shared" si="40"/>
        <v>0</v>
      </c>
      <c r="CT40">
        <f t="shared" si="41"/>
        <v>0</v>
      </c>
      <c r="CU40">
        <f t="shared" si="42"/>
        <v>0</v>
      </c>
      <c r="CV40">
        <f t="shared" si="43"/>
        <v>0</v>
      </c>
      <c r="CW40">
        <f t="shared" si="44"/>
        <v>0</v>
      </c>
      <c r="CX40">
        <f t="shared" si="45"/>
        <v>0</v>
      </c>
      <c r="CY40">
        <f t="shared" si="46"/>
        <v>0</v>
      </c>
      <c r="CZ40">
        <f t="shared" si="47"/>
        <v>0</v>
      </c>
      <c r="DC40" t="s">
        <v>3</v>
      </c>
      <c r="DD40" t="s">
        <v>3</v>
      </c>
      <c r="DE40" t="s">
        <v>3</v>
      </c>
      <c r="DF40" t="s">
        <v>3</v>
      </c>
      <c r="DG40" t="s">
        <v>3</v>
      </c>
      <c r="DH40" t="s">
        <v>3</v>
      </c>
      <c r="DI40" t="s">
        <v>3</v>
      </c>
      <c r="DJ40" t="s">
        <v>3</v>
      </c>
      <c r="DK40" t="s">
        <v>3</v>
      </c>
      <c r="DL40" t="s">
        <v>3</v>
      </c>
      <c r="DM40" t="s">
        <v>3</v>
      </c>
      <c r="DN40">
        <v>0</v>
      </c>
      <c r="DO40">
        <v>0</v>
      </c>
      <c r="DP40">
        <v>1</v>
      </c>
      <c r="DQ40">
        <v>1</v>
      </c>
      <c r="DU40">
        <v>1009</v>
      </c>
      <c r="DV40" t="s">
        <v>57</v>
      </c>
      <c r="DW40" t="s">
        <v>57</v>
      </c>
      <c r="DX40">
        <v>1000</v>
      </c>
      <c r="DZ40" t="s">
        <v>3</v>
      </c>
      <c r="EA40" t="s">
        <v>3</v>
      </c>
      <c r="EB40" t="s">
        <v>3</v>
      </c>
      <c r="EC40" t="s">
        <v>3</v>
      </c>
      <c r="EE40">
        <v>49145957</v>
      </c>
      <c r="EF40">
        <v>1</v>
      </c>
      <c r="EG40" t="s">
        <v>32</v>
      </c>
      <c r="EH40">
        <v>0</v>
      </c>
      <c r="EI40" t="s">
        <v>3</v>
      </c>
      <c r="EJ40">
        <v>4</v>
      </c>
      <c r="EK40">
        <v>0</v>
      </c>
      <c r="EL40" t="s">
        <v>33</v>
      </c>
      <c r="EM40" t="s">
        <v>34</v>
      </c>
      <c r="EO40" t="s">
        <v>3</v>
      </c>
      <c r="EQ40">
        <v>0</v>
      </c>
      <c r="ER40">
        <v>748299.67</v>
      </c>
      <c r="ES40">
        <v>748299.67</v>
      </c>
      <c r="ET40">
        <v>0</v>
      </c>
      <c r="EU40">
        <v>0</v>
      </c>
      <c r="EV40">
        <v>0</v>
      </c>
      <c r="EW40">
        <v>0</v>
      </c>
      <c r="EX40">
        <v>0</v>
      </c>
      <c r="FQ40">
        <v>0</v>
      </c>
      <c r="FR40">
        <f t="shared" si="48"/>
        <v>0</v>
      </c>
      <c r="FS40">
        <v>0</v>
      </c>
      <c r="FX40">
        <v>70</v>
      </c>
      <c r="FY40">
        <v>10</v>
      </c>
      <c r="GA40" t="s">
        <v>3</v>
      </c>
      <c r="GD40">
        <v>0</v>
      </c>
      <c r="GF40">
        <v>-629368275</v>
      </c>
      <c r="GG40">
        <v>2</v>
      </c>
      <c r="GH40">
        <v>1</v>
      </c>
      <c r="GI40">
        <v>-2</v>
      </c>
      <c r="GJ40">
        <v>0</v>
      </c>
      <c r="GK40">
        <f>ROUND(R40*(R12)/100,2)</f>
        <v>0</v>
      </c>
      <c r="GL40">
        <f t="shared" si="49"/>
        <v>0</v>
      </c>
      <c r="GM40">
        <f t="shared" si="59"/>
        <v>-102142.9</v>
      </c>
      <c r="GN40">
        <f t="shared" si="60"/>
        <v>0</v>
      </c>
      <c r="GO40">
        <f t="shared" si="61"/>
        <v>0</v>
      </c>
      <c r="GP40">
        <f t="shared" si="62"/>
        <v>-102142.9</v>
      </c>
      <c r="GR40">
        <v>0</v>
      </c>
      <c r="GS40">
        <v>3</v>
      </c>
      <c r="GT40">
        <v>0</v>
      </c>
      <c r="GU40" t="s">
        <v>3</v>
      </c>
      <c r="GV40">
        <f t="shared" si="50"/>
        <v>0</v>
      </c>
      <c r="GW40">
        <v>1</v>
      </c>
      <c r="GX40">
        <f t="shared" si="51"/>
        <v>0</v>
      </c>
      <c r="HA40">
        <v>0</v>
      </c>
      <c r="HB40">
        <v>0</v>
      </c>
      <c r="HC40">
        <f t="shared" si="52"/>
        <v>0</v>
      </c>
      <c r="HE40" t="s">
        <v>3</v>
      </c>
      <c r="HF40" t="s">
        <v>3</v>
      </c>
      <c r="IK40">
        <v>0</v>
      </c>
    </row>
    <row r="41" spans="1:245" x14ac:dyDescent="0.2">
      <c r="A41">
        <v>17</v>
      </c>
      <c r="B41">
        <v>1</v>
      </c>
      <c r="C41">
        <f>ROW(SmtRes!A50)</f>
        <v>50</v>
      </c>
      <c r="D41">
        <f>ROW(EtalonRes!A48)</f>
        <v>48</v>
      </c>
      <c r="E41" t="s">
        <v>91</v>
      </c>
      <c r="F41" t="s">
        <v>84</v>
      </c>
      <c r="G41" t="s">
        <v>85</v>
      </c>
      <c r="H41" t="s">
        <v>73</v>
      </c>
      <c r="I41">
        <f>ROUND((260)/100,9)</f>
        <v>2.6</v>
      </c>
      <c r="J41">
        <v>0</v>
      </c>
      <c r="O41">
        <f t="shared" si="21"/>
        <v>283539.09999999998</v>
      </c>
      <c r="P41">
        <f t="shared" si="22"/>
        <v>266135.01</v>
      </c>
      <c r="Q41">
        <f t="shared" si="23"/>
        <v>6804.85</v>
      </c>
      <c r="R41">
        <f t="shared" si="24"/>
        <v>5365</v>
      </c>
      <c r="S41">
        <f t="shared" si="25"/>
        <v>10599.24</v>
      </c>
      <c r="T41">
        <f t="shared" si="26"/>
        <v>0</v>
      </c>
      <c r="U41">
        <f t="shared" si="27"/>
        <v>47.944000000000003</v>
      </c>
      <c r="V41">
        <f t="shared" si="28"/>
        <v>0</v>
      </c>
      <c r="W41">
        <f t="shared" si="29"/>
        <v>0</v>
      </c>
      <c r="X41">
        <f t="shared" si="30"/>
        <v>7419.47</v>
      </c>
      <c r="Y41">
        <f t="shared" si="31"/>
        <v>1059.92</v>
      </c>
      <c r="AA41">
        <v>49707740</v>
      </c>
      <c r="AB41">
        <f t="shared" si="32"/>
        <v>109053.5</v>
      </c>
      <c r="AC41">
        <f t="shared" si="33"/>
        <v>102359.62</v>
      </c>
      <c r="AD41">
        <f t="shared" si="55"/>
        <v>2617.25</v>
      </c>
      <c r="AE41">
        <f t="shared" si="56"/>
        <v>2063.46</v>
      </c>
      <c r="AF41">
        <f t="shared" si="53"/>
        <v>4076.63</v>
      </c>
      <c r="AG41">
        <f t="shared" si="35"/>
        <v>0</v>
      </c>
      <c r="AH41">
        <f t="shared" si="54"/>
        <v>18.440000000000001</v>
      </c>
      <c r="AI41">
        <f t="shared" si="57"/>
        <v>0</v>
      </c>
      <c r="AJ41">
        <f t="shared" si="37"/>
        <v>0</v>
      </c>
      <c r="AK41">
        <v>109053.5</v>
      </c>
      <c r="AL41">
        <v>102359.62</v>
      </c>
      <c r="AM41">
        <v>2617.25</v>
      </c>
      <c r="AN41">
        <v>2063.46</v>
      </c>
      <c r="AO41">
        <v>4076.63</v>
      </c>
      <c r="AP41">
        <v>0</v>
      </c>
      <c r="AQ41">
        <v>18.440000000000001</v>
      </c>
      <c r="AR41">
        <v>0</v>
      </c>
      <c r="AS41">
        <v>0</v>
      </c>
      <c r="AT41">
        <v>70</v>
      </c>
      <c r="AU41">
        <v>10</v>
      </c>
      <c r="AV41">
        <v>1</v>
      </c>
      <c r="AW41">
        <v>1</v>
      </c>
      <c r="AZ41">
        <v>1</v>
      </c>
      <c r="BA41">
        <v>1</v>
      </c>
      <c r="BB41">
        <v>1</v>
      </c>
      <c r="BC41">
        <v>1</v>
      </c>
      <c r="BD41" t="s">
        <v>3</v>
      </c>
      <c r="BE41" t="s">
        <v>3</v>
      </c>
      <c r="BF41" t="s">
        <v>3</v>
      </c>
      <c r="BG41" t="s">
        <v>3</v>
      </c>
      <c r="BH41">
        <v>0</v>
      </c>
      <c r="BI41">
        <v>4</v>
      </c>
      <c r="BJ41" t="s">
        <v>86</v>
      </c>
      <c r="BM41">
        <v>0</v>
      </c>
      <c r="BN41">
        <v>0</v>
      </c>
      <c r="BO41" t="s">
        <v>3</v>
      </c>
      <c r="BP41">
        <v>0</v>
      </c>
      <c r="BQ41">
        <v>1</v>
      </c>
      <c r="BR41">
        <v>0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 t="s">
        <v>3</v>
      </c>
      <c r="BZ41">
        <v>70</v>
      </c>
      <c r="CA41">
        <v>10</v>
      </c>
      <c r="CE41">
        <v>0</v>
      </c>
      <c r="CF41">
        <v>0</v>
      </c>
      <c r="CG41">
        <v>0</v>
      </c>
      <c r="CM41">
        <v>0</v>
      </c>
      <c r="CN41" t="s">
        <v>3</v>
      </c>
      <c r="CO41">
        <v>0</v>
      </c>
      <c r="CP41">
        <f t="shared" si="38"/>
        <v>283539.09999999998</v>
      </c>
      <c r="CQ41">
        <f t="shared" si="39"/>
        <v>102359.62</v>
      </c>
      <c r="CR41">
        <f t="shared" si="58"/>
        <v>2617.25</v>
      </c>
      <c r="CS41">
        <f t="shared" si="40"/>
        <v>2063.46</v>
      </c>
      <c r="CT41">
        <f t="shared" si="41"/>
        <v>4076.63</v>
      </c>
      <c r="CU41">
        <f t="shared" si="42"/>
        <v>0</v>
      </c>
      <c r="CV41">
        <f t="shared" si="43"/>
        <v>18.440000000000001</v>
      </c>
      <c r="CW41">
        <f t="shared" si="44"/>
        <v>0</v>
      </c>
      <c r="CX41">
        <f t="shared" si="45"/>
        <v>0</v>
      </c>
      <c r="CY41">
        <f t="shared" si="46"/>
        <v>7419.4679999999989</v>
      </c>
      <c r="CZ41">
        <f t="shared" si="47"/>
        <v>1059.924</v>
      </c>
      <c r="DC41" t="s">
        <v>3</v>
      </c>
      <c r="DD41" t="s">
        <v>3</v>
      </c>
      <c r="DE41" t="s">
        <v>3</v>
      </c>
      <c r="DF41" t="s">
        <v>3</v>
      </c>
      <c r="DG41" t="s">
        <v>3</v>
      </c>
      <c r="DH41" t="s">
        <v>3</v>
      </c>
      <c r="DI41" t="s">
        <v>3</v>
      </c>
      <c r="DJ41" t="s">
        <v>3</v>
      </c>
      <c r="DK41" t="s">
        <v>3</v>
      </c>
      <c r="DL41" t="s">
        <v>3</v>
      </c>
      <c r="DM41" t="s">
        <v>3</v>
      </c>
      <c r="DN41">
        <v>0</v>
      </c>
      <c r="DO41">
        <v>0</v>
      </c>
      <c r="DP41">
        <v>1</v>
      </c>
      <c r="DQ41">
        <v>1</v>
      </c>
      <c r="DU41">
        <v>1005</v>
      </c>
      <c r="DV41" t="s">
        <v>73</v>
      </c>
      <c r="DW41" t="s">
        <v>73</v>
      </c>
      <c r="DX41">
        <v>100</v>
      </c>
      <c r="DZ41" t="s">
        <v>3</v>
      </c>
      <c r="EA41" t="s">
        <v>3</v>
      </c>
      <c r="EB41" t="s">
        <v>3</v>
      </c>
      <c r="EC41" t="s">
        <v>3</v>
      </c>
      <c r="EE41">
        <v>49145957</v>
      </c>
      <c r="EF41">
        <v>1</v>
      </c>
      <c r="EG41" t="s">
        <v>32</v>
      </c>
      <c r="EH41">
        <v>0</v>
      </c>
      <c r="EI41" t="s">
        <v>3</v>
      </c>
      <c r="EJ41">
        <v>4</v>
      </c>
      <c r="EK41">
        <v>0</v>
      </c>
      <c r="EL41" t="s">
        <v>33</v>
      </c>
      <c r="EM41" t="s">
        <v>34</v>
      </c>
      <c r="EO41" t="s">
        <v>3</v>
      </c>
      <c r="EQ41">
        <v>0</v>
      </c>
      <c r="ER41">
        <v>109053.5</v>
      </c>
      <c r="ES41">
        <v>102359.62</v>
      </c>
      <c r="ET41">
        <v>2617.25</v>
      </c>
      <c r="EU41">
        <v>2063.46</v>
      </c>
      <c r="EV41">
        <v>4076.63</v>
      </c>
      <c r="EW41">
        <v>18.440000000000001</v>
      </c>
      <c r="EX41">
        <v>0</v>
      </c>
      <c r="EY41">
        <v>0</v>
      </c>
      <c r="FQ41">
        <v>0</v>
      </c>
      <c r="FR41">
        <f t="shared" si="48"/>
        <v>0</v>
      </c>
      <c r="FS41">
        <v>0</v>
      </c>
      <c r="FX41">
        <v>70</v>
      </c>
      <c r="FY41">
        <v>10</v>
      </c>
      <c r="GA41" t="s">
        <v>3</v>
      </c>
      <c r="GD41">
        <v>0</v>
      </c>
      <c r="GF41">
        <v>1018568157</v>
      </c>
      <c r="GG41">
        <v>2</v>
      </c>
      <c r="GH41">
        <v>1</v>
      </c>
      <c r="GI41">
        <v>-2</v>
      </c>
      <c r="GJ41">
        <v>0</v>
      </c>
      <c r="GK41">
        <f>ROUND(R41*(R12)/100,2)</f>
        <v>5794.2</v>
      </c>
      <c r="GL41">
        <f t="shared" si="49"/>
        <v>0</v>
      </c>
      <c r="GM41">
        <f t="shared" si="59"/>
        <v>297812.69</v>
      </c>
      <c r="GN41">
        <f t="shared" si="60"/>
        <v>0</v>
      </c>
      <c r="GO41">
        <f t="shared" si="61"/>
        <v>0</v>
      </c>
      <c r="GP41">
        <f t="shared" si="62"/>
        <v>297812.69</v>
      </c>
      <c r="GR41">
        <v>0</v>
      </c>
      <c r="GS41">
        <v>3</v>
      </c>
      <c r="GT41">
        <v>0</v>
      </c>
      <c r="GU41" t="s">
        <v>3</v>
      </c>
      <c r="GV41">
        <f t="shared" si="50"/>
        <v>0</v>
      </c>
      <c r="GW41">
        <v>1</v>
      </c>
      <c r="GX41">
        <f t="shared" si="51"/>
        <v>0</v>
      </c>
      <c r="HA41">
        <v>0</v>
      </c>
      <c r="HB41">
        <v>0</v>
      </c>
      <c r="HC41">
        <f t="shared" si="52"/>
        <v>0</v>
      </c>
      <c r="HE41" t="s">
        <v>3</v>
      </c>
      <c r="HF41" t="s">
        <v>3</v>
      </c>
      <c r="IK41">
        <v>0</v>
      </c>
    </row>
    <row r="42" spans="1:245" x14ac:dyDescent="0.2">
      <c r="A42">
        <v>17</v>
      </c>
      <c r="B42">
        <v>1</v>
      </c>
      <c r="C42">
        <f>ROW(SmtRes!A55)</f>
        <v>55</v>
      </c>
      <c r="D42">
        <f>ROW(EtalonRes!A52)</f>
        <v>52</v>
      </c>
      <c r="E42" t="s">
        <v>92</v>
      </c>
      <c r="F42" t="s">
        <v>93</v>
      </c>
      <c r="G42" t="s">
        <v>94</v>
      </c>
      <c r="H42" t="s">
        <v>95</v>
      </c>
      <c r="I42">
        <f>ROUND(69/100,4)</f>
        <v>0.69</v>
      </c>
      <c r="J42">
        <v>0</v>
      </c>
      <c r="O42">
        <f t="shared" si="21"/>
        <v>49463.5</v>
      </c>
      <c r="P42">
        <f t="shared" si="22"/>
        <v>38503.660000000003</v>
      </c>
      <c r="Q42">
        <f t="shared" si="23"/>
        <v>0</v>
      </c>
      <c r="R42">
        <f t="shared" si="24"/>
        <v>0</v>
      </c>
      <c r="S42">
        <f t="shared" si="25"/>
        <v>10959.84</v>
      </c>
      <c r="T42">
        <f t="shared" si="26"/>
        <v>0</v>
      </c>
      <c r="U42">
        <f t="shared" si="27"/>
        <v>55.386299999999991</v>
      </c>
      <c r="V42">
        <f t="shared" si="28"/>
        <v>0</v>
      </c>
      <c r="W42">
        <f t="shared" si="29"/>
        <v>0</v>
      </c>
      <c r="X42">
        <f t="shared" si="30"/>
        <v>7671.89</v>
      </c>
      <c r="Y42">
        <f t="shared" si="31"/>
        <v>1095.98</v>
      </c>
      <c r="AA42">
        <v>49707740</v>
      </c>
      <c r="AB42">
        <f t="shared" si="32"/>
        <v>71686.240000000005</v>
      </c>
      <c r="AC42">
        <f t="shared" si="33"/>
        <v>55802.41</v>
      </c>
      <c r="AD42">
        <f t="shared" si="55"/>
        <v>0</v>
      </c>
      <c r="AE42">
        <f t="shared" si="56"/>
        <v>0</v>
      </c>
      <c r="AF42">
        <f t="shared" si="53"/>
        <v>15883.83</v>
      </c>
      <c r="AG42">
        <f t="shared" si="35"/>
        <v>0</v>
      </c>
      <c r="AH42">
        <f t="shared" si="54"/>
        <v>80.27</v>
      </c>
      <c r="AI42">
        <f t="shared" si="57"/>
        <v>0</v>
      </c>
      <c r="AJ42">
        <f t="shared" si="37"/>
        <v>0</v>
      </c>
      <c r="AK42">
        <v>71686.240000000005</v>
      </c>
      <c r="AL42">
        <v>55802.41</v>
      </c>
      <c r="AM42">
        <v>0</v>
      </c>
      <c r="AN42">
        <v>0</v>
      </c>
      <c r="AO42">
        <v>15883.83</v>
      </c>
      <c r="AP42">
        <v>0</v>
      </c>
      <c r="AQ42">
        <v>80.27</v>
      </c>
      <c r="AR42">
        <v>0</v>
      </c>
      <c r="AS42">
        <v>0</v>
      </c>
      <c r="AT42">
        <v>70</v>
      </c>
      <c r="AU42">
        <v>10</v>
      </c>
      <c r="AV42">
        <v>1</v>
      </c>
      <c r="AW42">
        <v>1</v>
      </c>
      <c r="AZ42">
        <v>1</v>
      </c>
      <c r="BA42">
        <v>1</v>
      </c>
      <c r="BB42">
        <v>1</v>
      </c>
      <c r="BC42">
        <v>1</v>
      </c>
      <c r="BD42" t="s">
        <v>3</v>
      </c>
      <c r="BE42" t="s">
        <v>3</v>
      </c>
      <c r="BF42" t="s">
        <v>3</v>
      </c>
      <c r="BG42" t="s">
        <v>3</v>
      </c>
      <c r="BH42">
        <v>0</v>
      </c>
      <c r="BI42">
        <v>4</v>
      </c>
      <c r="BJ42" t="s">
        <v>96</v>
      </c>
      <c r="BM42">
        <v>0</v>
      </c>
      <c r="BN42">
        <v>0</v>
      </c>
      <c r="BO42" t="s">
        <v>3</v>
      </c>
      <c r="BP42">
        <v>0</v>
      </c>
      <c r="BQ42">
        <v>1</v>
      </c>
      <c r="BR42">
        <v>0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 t="s">
        <v>3</v>
      </c>
      <c r="BZ42">
        <v>70</v>
      </c>
      <c r="CA42">
        <v>10</v>
      </c>
      <c r="CE42">
        <v>0</v>
      </c>
      <c r="CF42">
        <v>0</v>
      </c>
      <c r="CG42">
        <v>0</v>
      </c>
      <c r="CM42">
        <v>0</v>
      </c>
      <c r="CN42" t="s">
        <v>3</v>
      </c>
      <c r="CO42">
        <v>0</v>
      </c>
      <c r="CP42">
        <f t="shared" si="38"/>
        <v>49463.5</v>
      </c>
      <c r="CQ42">
        <f t="shared" si="39"/>
        <v>55802.41</v>
      </c>
      <c r="CR42">
        <f t="shared" si="58"/>
        <v>0</v>
      </c>
      <c r="CS42">
        <f t="shared" si="40"/>
        <v>0</v>
      </c>
      <c r="CT42">
        <f t="shared" si="41"/>
        <v>15883.83</v>
      </c>
      <c r="CU42">
        <f t="shared" si="42"/>
        <v>0</v>
      </c>
      <c r="CV42">
        <f t="shared" si="43"/>
        <v>80.27</v>
      </c>
      <c r="CW42">
        <f t="shared" si="44"/>
        <v>0</v>
      </c>
      <c r="CX42">
        <f t="shared" si="45"/>
        <v>0</v>
      </c>
      <c r="CY42">
        <f t="shared" si="46"/>
        <v>7671.8880000000008</v>
      </c>
      <c r="CZ42">
        <f t="shared" si="47"/>
        <v>1095.9839999999999</v>
      </c>
      <c r="DC42" t="s">
        <v>3</v>
      </c>
      <c r="DD42" t="s">
        <v>3</v>
      </c>
      <c r="DE42" t="s">
        <v>3</v>
      </c>
      <c r="DF42" t="s">
        <v>3</v>
      </c>
      <c r="DG42" t="s">
        <v>3</v>
      </c>
      <c r="DH42" t="s">
        <v>3</v>
      </c>
      <c r="DI42" t="s">
        <v>3</v>
      </c>
      <c r="DJ42" t="s">
        <v>3</v>
      </c>
      <c r="DK42" t="s">
        <v>3</v>
      </c>
      <c r="DL42" t="s">
        <v>3</v>
      </c>
      <c r="DM42" t="s">
        <v>3</v>
      </c>
      <c r="DN42">
        <v>0</v>
      </c>
      <c r="DO42">
        <v>0</v>
      </c>
      <c r="DP42">
        <v>1</v>
      </c>
      <c r="DQ42">
        <v>1</v>
      </c>
      <c r="DU42">
        <v>1003</v>
      </c>
      <c r="DV42" t="s">
        <v>95</v>
      </c>
      <c r="DW42" t="s">
        <v>95</v>
      </c>
      <c r="DX42">
        <v>100</v>
      </c>
      <c r="DZ42" t="s">
        <v>3</v>
      </c>
      <c r="EA42" t="s">
        <v>3</v>
      </c>
      <c r="EB42" t="s">
        <v>3</v>
      </c>
      <c r="EC42" t="s">
        <v>3</v>
      </c>
      <c r="EE42">
        <v>49145957</v>
      </c>
      <c r="EF42">
        <v>1</v>
      </c>
      <c r="EG42" t="s">
        <v>32</v>
      </c>
      <c r="EH42">
        <v>0</v>
      </c>
      <c r="EI42" t="s">
        <v>3</v>
      </c>
      <c r="EJ42">
        <v>4</v>
      </c>
      <c r="EK42">
        <v>0</v>
      </c>
      <c r="EL42" t="s">
        <v>33</v>
      </c>
      <c r="EM42" t="s">
        <v>34</v>
      </c>
      <c r="EO42" t="s">
        <v>3</v>
      </c>
      <c r="EQ42">
        <v>0</v>
      </c>
      <c r="ER42">
        <v>71686.240000000005</v>
      </c>
      <c r="ES42">
        <v>55802.41</v>
      </c>
      <c r="ET42">
        <v>0</v>
      </c>
      <c r="EU42">
        <v>0</v>
      </c>
      <c r="EV42">
        <v>15883.83</v>
      </c>
      <c r="EW42">
        <v>80.27</v>
      </c>
      <c r="EX42">
        <v>0</v>
      </c>
      <c r="EY42">
        <v>0</v>
      </c>
      <c r="FQ42">
        <v>0</v>
      </c>
      <c r="FR42">
        <f t="shared" si="48"/>
        <v>0</v>
      </c>
      <c r="FS42">
        <v>0</v>
      </c>
      <c r="FX42">
        <v>70</v>
      </c>
      <c r="FY42">
        <v>10</v>
      </c>
      <c r="GA42" t="s">
        <v>3</v>
      </c>
      <c r="GD42">
        <v>0</v>
      </c>
      <c r="GF42">
        <v>502696175</v>
      </c>
      <c r="GG42">
        <v>2</v>
      </c>
      <c r="GH42">
        <v>1</v>
      </c>
      <c r="GI42">
        <v>-2</v>
      </c>
      <c r="GJ42">
        <v>0</v>
      </c>
      <c r="GK42">
        <f>ROUND(R42*(R12)/100,2)</f>
        <v>0</v>
      </c>
      <c r="GL42">
        <f t="shared" si="49"/>
        <v>0</v>
      </c>
      <c r="GM42">
        <f t="shared" si="59"/>
        <v>58231.37</v>
      </c>
      <c r="GN42">
        <f t="shared" si="60"/>
        <v>0</v>
      </c>
      <c r="GO42">
        <f t="shared" si="61"/>
        <v>0</v>
      </c>
      <c r="GP42">
        <f t="shared" si="62"/>
        <v>58231.37</v>
      </c>
      <c r="GR42">
        <v>0</v>
      </c>
      <c r="GS42">
        <v>3</v>
      </c>
      <c r="GT42">
        <v>0</v>
      </c>
      <c r="GU42" t="s">
        <v>3</v>
      </c>
      <c r="GV42">
        <f t="shared" si="50"/>
        <v>0</v>
      </c>
      <c r="GW42">
        <v>1</v>
      </c>
      <c r="GX42">
        <f t="shared" si="51"/>
        <v>0</v>
      </c>
      <c r="HA42">
        <v>0</v>
      </c>
      <c r="HB42">
        <v>0</v>
      </c>
      <c r="HC42">
        <f t="shared" si="52"/>
        <v>0</v>
      </c>
      <c r="HE42" t="s">
        <v>3</v>
      </c>
      <c r="HF42" t="s">
        <v>3</v>
      </c>
      <c r="IK42">
        <v>0</v>
      </c>
    </row>
    <row r="43" spans="1:245" x14ac:dyDescent="0.2">
      <c r="A43">
        <v>18</v>
      </c>
      <c r="B43">
        <v>1</v>
      </c>
      <c r="C43">
        <v>55</v>
      </c>
      <c r="E43" t="s">
        <v>97</v>
      </c>
      <c r="F43" t="s">
        <v>98</v>
      </c>
      <c r="G43" t="s">
        <v>99</v>
      </c>
      <c r="H43" t="s">
        <v>100</v>
      </c>
      <c r="I43">
        <f>I42*J43</f>
        <v>0</v>
      </c>
      <c r="J43">
        <v>0</v>
      </c>
      <c r="O43">
        <f t="shared" si="21"/>
        <v>0</v>
      </c>
      <c r="P43">
        <f t="shared" si="22"/>
        <v>0</v>
      </c>
      <c r="Q43">
        <f t="shared" si="23"/>
        <v>0</v>
      </c>
      <c r="R43">
        <f t="shared" si="24"/>
        <v>0</v>
      </c>
      <c r="S43">
        <f t="shared" si="25"/>
        <v>0</v>
      </c>
      <c r="T43">
        <f t="shared" si="26"/>
        <v>0</v>
      </c>
      <c r="U43">
        <f t="shared" si="27"/>
        <v>0</v>
      </c>
      <c r="V43">
        <f t="shared" si="28"/>
        <v>0</v>
      </c>
      <c r="W43">
        <f t="shared" si="29"/>
        <v>0</v>
      </c>
      <c r="X43">
        <f t="shared" si="30"/>
        <v>0</v>
      </c>
      <c r="Y43">
        <f t="shared" si="31"/>
        <v>0</v>
      </c>
      <c r="AA43">
        <v>49707740</v>
      </c>
      <c r="AB43">
        <f t="shared" si="32"/>
        <v>372.6</v>
      </c>
      <c r="AC43">
        <f t="shared" si="33"/>
        <v>372.6</v>
      </c>
      <c r="AD43">
        <f t="shared" si="55"/>
        <v>0</v>
      </c>
      <c r="AE43">
        <f t="shared" si="56"/>
        <v>0</v>
      </c>
      <c r="AF43">
        <f t="shared" si="53"/>
        <v>0</v>
      </c>
      <c r="AG43">
        <f t="shared" si="35"/>
        <v>0</v>
      </c>
      <c r="AH43">
        <f t="shared" si="54"/>
        <v>0</v>
      </c>
      <c r="AI43">
        <f t="shared" si="57"/>
        <v>0</v>
      </c>
      <c r="AJ43">
        <f t="shared" si="37"/>
        <v>0</v>
      </c>
      <c r="AK43">
        <v>372.6</v>
      </c>
      <c r="AL43">
        <v>372.6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70</v>
      </c>
      <c r="AU43">
        <v>10</v>
      </c>
      <c r="AV43">
        <v>1</v>
      </c>
      <c r="AW43">
        <v>1</v>
      </c>
      <c r="AZ43">
        <v>1</v>
      </c>
      <c r="BA43">
        <v>1</v>
      </c>
      <c r="BB43">
        <v>1</v>
      </c>
      <c r="BC43">
        <v>1</v>
      </c>
      <c r="BD43" t="s">
        <v>3</v>
      </c>
      <c r="BE43" t="s">
        <v>3</v>
      </c>
      <c r="BF43" t="s">
        <v>3</v>
      </c>
      <c r="BG43" t="s">
        <v>3</v>
      </c>
      <c r="BH43">
        <v>3</v>
      </c>
      <c r="BI43">
        <v>4</v>
      </c>
      <c r="BJ43" t="s">
        <v>3</v>
      </c>
      <c r="BM43">
        <v>0</v>
      </c>
      <c r="BN43">
        <v>0</v>
      </c>
      <c r="BO43" t="s">
        <v>3</v>
      </c>
      <c r="BP43">
        <v>0</v>
      </c>
      <c r="BQ43">
        <v>1</v>
      </c>
      <c r="BR43">
        <v>0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 t="s">
        <v>3</v>
      </c>
      <c r="BZ43">
        <v>70</v>
      </c>
      <c r="CA43">
        <v>10</v>
      </c>
      <c r="CE43">
        <v>0</v>
      </c>
      <c r="CF43">
        <v>0</v>
      </c>
      <c r="CG43">
        <v>0</v>
      </c>
      <c r="CM43">
        <v>0</v>
      </c>
      <c r="CN43" t="s">
        <v>3</v>
      </c>
      <c r="CO43">
        <v>0</v>
      </c>
      <c r="CP43">
        <f t="shared" si="38"/>
        <v>0</v>
      </c>
      <c r="CQ43">
        <f t="shared" si="39"/>
        <v>372.6</v>
      </c>
      <c r="CR43">
        <f t="shared" si="58"/>
        <v>0</v>
      </c>
      <c r="CS43">
        <f t="shared" si="40"/>
        <v>0</v>
      </c>
      <c r="CT43">
        <f t="shared" si="41"/>
        <v>0</v>
      </c>
      <c r="CU43">
        <f t="shared" si="42"/>
        <v>0</v>
      </c>
      <c r="CV43">
        <f t="shared" si="43"/>
        <v>0</v>
      </c>
      <c r="CW43">
        <f t="shared" si="44"/>
        <v>0</v>
      </c>
      <c r="CX43">
        <f t="shared" si="45"/>
        <v>0</v>
      </c>
      <c r="CY43">
        <f t="shared" si="46"/>
        <v>0</v>
      </c>
      <c r="CZ43">
        <f t="shared" si="47"/>
        <v>0</v>
      </c>
      <c r="DC43" t="s">
        <v>3</v>
      </c>
      <c r="DD43" t="s">
        <v>3</v>
      </c>
      <c r="DE43" t="s">
        <v>3</v>
      </c>
      <c r="DF43" t="s">
        <v>3</v>
      </c>
      <c r="DG43" t="s">
        <v>3</v>
      </c>
      <c r="DH43" t="s">
        <v>3</v>
      </c>
      <c r="DI43" t="s">
        <v>3</v>
      </c>
      <c r="DJ43" t="s">
        <v>3</v>
      </c>
      <c r="DK43" t="s">
        <v>3</v>
      </c>
      <c r="DL43" t="s">
        <v>3</v>
      </c>
      <c r="DM43" t="s">
        <v>3</v>
      </c>
      <c r="DN43">
        <v>0</v>
      </c>
      <c r="DO43">
        <v>0</v>
      </c>
      <c r="DP43">
        <v>1</v>
      </c>
      <c r="DQ43">
        <v>1</v>
      </c>
      <c r="DU43">
        <v>1010</v>
      </c>
      <c r="DV43" t="s">
        <v>100</v>
      </c>
      <c r="DW43" t="s">
        <v>100</v>
      </c>
      <c r="DX43">
        <v>1</v>
      </c>
      <c r="DZ43" t="s">
        <v>3</v>
      </c>
      <c r="EA43" t="s">
        <v>3</v>
      </c>
      <c r="EB43" t="s">
        <v>3</v>
      </c>
      <c r="EC43" t="s">
        <v>3</v>
      </c>
      <c r="EE43">
        <v>49145957</v>
      </c>
      <c r="EF43">
        <v>1</v>
      </c>
      <c r="EG43" t="s">
        <v>32</v>
      </c>
      <c r="EH43">
        <v>0</v>
      </c>
      <c r="EI43" t="s">
        <v>3</v>
      </c>
      <c r="EJ43">
        <v>4</v>
      </c>
      <c r="EK43">
        <v>0</v>
      </c>
      <c r="EL43" t="s">
        <v>33</v>
      </c>
      <c r="EM43" t="s">
        <v>34</v>
      </c>
      <c r="EO43" t="s">
        <v>3</v>
      </c>
      <c r="EQ43">
        <v>0</v>
      </c>
      <c r="ER43">
        <v>372.6</v>
      </c>
      <c r="ES43">
        <v>372.6</v>
      </c>
      <c r="ET43">
        <v>0</v>
      </c>
      <c r="EU43">
        <v>0</v>
      </c>
      <c r="EV43">
        <v>0</v>
      </c>
      <c r="EW43">
        <v>0</v>
      </c>
      <c r="EX43">
        <v>0</v>
      </c>
      <c r="EZ43">
        <v>5</v>
      </c>
      <c r="FC43">
        <v>1</v>
      </c>
      <c r="FD43">
        <v>18</v>
      </c>
      <c r="FF43">
        <v>447.12</v>
      </c>
      <c r="FQ43">
        <v>0</v>
      </c>
      <c r="FR43">
        <f t="shared" si="48"/>
        <v>0</v>
      </c>
      <c r="FS43">
        <v>0</v>
      </c>
      <c r="FX43">
        <v>70</v>
      </c>
      <c r="FY43">
        <v>10</v>
      </c>
      <c r="GA43" t="s">
        <v>101</v>
      </c>
      <c r="GD43">
        <v>0</v>
      </c>
      <c r="GF43">
        <v>-589486669</v>
      </c>
      <c r="GG43">
        <v>2</v>
      </c>
      <c r="GH43">
        <v>3</v>
      </c>
      <c r="GI43">
        <v>-2</v>
      </c>
      <c r="GJ43">
        <v>0</v>
      </c>
      <c r="GK43">
        <f>ROUND(R43*(R12)/100,2)</f>
        <v>0</v>
      </c>
      <c r="GL43">
        <f t="shared" si="49"/>
        <v>0</v>
      </c>
      <c r="GM43">
        <f t="shared" si="59"/>
        <v>0</v>
      </c>
      <c r="GN43">
        <f t="shared" si="60"/>
        <v>0</v>
      </c>
      <c r="GO43">
        <f t="shared" si="61"/>
        <v>0</v>
      </c>
      <c r="GP43">
        <f t="shared" si="62"/>
        <v>0</v>
      </c>
      <c r="GR43">
        <v>1</v>
      </c>
      <c r="GS43">
        <v>1</v>
      </c>
      <c r="GT43">
        <v>0</v>
      </c>
      <c r="GU43" t="s">
        <v>3</v>
      </c>
      <c r="GV43">
        <f t="shared" si="50"/>
        <v>0</v>
      </c>
      <c r="GW43">
        <v>1</v>
      </c>
      <c r="GX43">
        <f t="shared" si="51"/>
        <v>0</v>
      </c>
      <c r="HA43">
        <v>0</v>
      </c>
      <c r="HB43">
        <v>0</v>
      </c>
      <c r="HC43">
        <f t="shared" si="52"/>
        <v>0</v>
      </c>
      <c r="HE43" t="s">
        <v>61</v>
      </c>
      <c r="HF43" t="s">
        <v>61</v>
      </c>
      <c r="IK43">
        <v>0</v>
      </c>
    </row>
    <row r="44" spans="1:245" x14ac:dyDescent="0.2">
      <c r="A44">
        <v>18</v>
      </c>
      <c r="B44">
        <v>1</v>
      </c>
      <c r="C44">
        <v>54</v>
      </c>
      <c r="E44" t="s">
        <v>102</v>
      </c>
      <c r="F44" t="s">
        <v>103</v>
      </c>
      <c r="G44" t="s">
        <v>104</v>
      </c>
      <c r="H44" t="s">
        <v>46</v>
      </c>
      <c r="I44">
        <f>I42*J44</f>
        <v>-2.9670000000000001</v>
      </c>
      <c r="J44">
        <v>-4.3000000000000007</v>
      </c>
      <c r="O44">
        <f t="shared" si="21"/>
        <v>-23240.54</v>
      </c>
      <c r="P44">
        <f t="shared" si="22"/>
        <v>-23240.54</v>
      </c>
      <c r="Q44">
        <f t="shared" si="23"/>
        <v>0</v>
      </c>
      <c r="R44">
        <f t="shared" si="24"/>
        <v>0</v>
      </c>
      <c r="S44">
        <f t="shared" si="25"/>
        <v>0</v>
      </c>
      <c r="T44">
        <f t="shared" si="26"/>
        <v>0</v>
      </c>
      <c r="U44">
        <f t="shared" si="27"/>
        <v>0</v>
      </c>
      <c r="V44">
        <f t="shared" si="28"/>
        <v>0</v>
      </c>
      <c r="W44">
        <f t="shared" si="29"/>
        <v>0</v>
      </c>
      <c r="X44">
        <f t="shared" si="30"/>
        <v>0</v>
      </c>
      <c r="Y44">
        <f t="shared" si="31"/>
        <v>0</v>
      </c>
      <c r="AA44">
        <v>49707740</v>
      </c>
      <c r="AB44">
        <f t="shared" si="32"/>
        <v>7833.01</v>
      </c>
      <c r="AC44">
        <f t="shared" si="33"/>
        <v>7833.01</v>
      </c>
      <c r="AD44">
        <f t="shared" si="55"/>
        <v>0</v>
      </c>
      <c r="AE44">
        <f t="shared" si="56"/>
        <v>0</v>
      </c>
      <c r="AF44">
        <f t="shared" si="53"/>
        <v>0</v>
      </c>
      <c r="AG44">
        <f t="shared" si="35"/>
        <v>0</v>
      </c>
      <c r="AH44">
        <f t="shared" si="54"/>
        <v>0</v>
      </c>
      <c r="AI44">
        <f t="shared" si="57"/>
        <v>0</v>
      </c>
      <c r="AJ44">
        <f t="shared" si="37"/>
        <v>0</v>
      </c>
      <c r="AK44">
        <v>7833.01</v>
      </c>
      <c r="AL44">
        <v>7833.01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70</v>
      </c>
      <c r="AU44">
        <v>10</v>
      </c>
      <c r="AV44">
        <v>1</v>
      </c>
      <c r="AW44">
        <v>1</v>
      </c>
      <c r="AZ44">
        <v>1</v>
      </c>
      <c r="BA44">
        <v>1</v>
      </c>
      <c r="BB44">
        <v>1</v>
      </c>
      <c r="BC44">
        <v>1</v>
      </c>
      <c r="BD44" t="s">
        <v>3</v>
      </c>
      <c r="BE44" t="s">
        <v>3</v>
      </c>
      <c r="BF44" t="s">
        <v>3</v>
      </c>
      <c r="BG44" t="s">
        <v>3</v>
      </c>
      <c r="BH44">
        <v>3</v>
      </c>
      <c r="BI44">
        <v>4</v>
      </c>
      <c r="BJ44" t="s">
        <v>105</v>
      </c>
      <c r="BM44">
        <v>0</v>
      </c>
      <c r="BN44">
        <v>0</v>
      </c>
      <c r="BO44" t="s">
        <v>3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 t="s">
        <v>3</v>
      </c>
      <c r="BZ44">
        <v>70</v>
      </c>
      <c r="CA44">
        <v>10</v>
      </c>
      <c r="CE44">
        <v>0</v>
      </c>
      <c r="CF44">
        <v>0</v>
      </c>
      <c r="CG44">
        <v>0</v>
      </c>
      <c r="CM44">
        <v>0</v>
      </c>
      <c r="CN44" t="s">
        <v>3</v>
      </c>
      <c r="CO44">
        <v>0</v>
      </c>
      <c r="CP44">
        <f t="shared" si="38"/>
        <v>-23240.54</v>
      </c>
      <c r="CQ44">
        <f t="shared" si="39"/>
        <v>7833.01</v>
      </c>
      <c r="CR44">
        <f t="shared" si="58"/>
        <v>0</v>
      </c>
      <c r="CS44">
        <f t="shared" si="40"/>
        <v>0</v>
      </c>
      <c r="CT44">
        <f t="shared" si="41"/>
        <v>0</v>
      </c>
      <c r="CU44">
        <f t="shared" si="42"/>
        <v>0</v>
      </c>
      <c r="CV44">
        <f t="shared" si="43"/>
        <v>0</v>
      </c>
      <c r="CW44">
        <f t="shared" si="44"/>
        <v>0</v>
      </c>
      <c r="CX44">
        <f t="shared" si="45"/>
        <v>0</v>
      </c>
      <c r="CY44">
        <f t="shared" si="46"/>
        <v>0</v>
      </c>
      <c r="CZ44">
        <f t="shared" si="47"/>
        <v>0</v>
      </c>
      <c r="DC44" t="s">
        <v>3</v>
      </c>
      <c r="DD44" t="s">
        <v>3</v>
      </c>
      <c r="DE44" t="s">
        <v>3</v>
      </c>
      <c r="DF44" t="s">
        <v>3</v>
      </c>
      <c r="DG44" t="s">
        <v>3</v>
      </c>
      <c r="DH44" t="s">
        <v>3</v>
      </c>
      <c r="DI44" t="s">
        <v>3</v>
      </c>
      <c r="DJ44" t="s">
        <v>3</v>
      </c>
      <c r="DK44" t="s">
        <v>3</v>
      </c>
      <c r="DL44" t="s">
        <v>3</v>
      </c>
      <c r="DM44" t="s">
        <v>3</v>
      </c>
      <c r="DN44">
        <v>0</v>
      </c>
      <c r="DO44">
        <v>0</v>
      </c>
      <c r="DP44">
        <v>1</v>
      </c>
      <c r="DQ44">
        <v>1</v>
      </c>
      <c r="DU44">
        <v>1007</v>
      </c>
      <c r="DV44" t="s">
        <v>46</v>
      </c>
      <c r="DW44" t="s">
        <v>46</v>
      </c>
      <c r="DX44">
        <v>1</v>
      </c>
      <c r="DZ44" t="s">
        <v>3</v>
      </c>
      <c r="EA44" t="s">
        <v>3</v>
      </c>
      <c r="EB44" t="s">
        <v>3</v>
      </c>
      <c r="EC44" t="s">
        <v>3</v>
      </c>
      <c r="EE44">
        <v>49145957</v>
      </c>
      <c r="EF44">
        <v>1</v>
      </c>
      <c r="EG44" t="s">
        <v>32</v>
      </c>
      <c r="EH44">
        <v>0</v>
      </c>
      <c r="EI44" t="s">
        <v>3</v>
      </c>
      <c r="EJ44">
        <v>4</v>
      </c>
      <c r="EK44">
        <v>0</v>
      </c>
      <c r="EL44" t="s">
        <v>33</v>
      </c>
      <c r="EM44" t="s">
        <v>34</v>
      </c>
      <c r="EO44" t="s">
        <v>3</v>
      </c>
      <c r="EQ44">
        <v>0</v>
      </c>
      <c r="ER44">
        <v>7833.01</v>
      </c>
      <c r="ES44">
        <v>7833.01</v>
      </c>
      <c r="ET44">
        <v>0</v>
      </c>
      <c r="EU44">
        <v>0</v>
      </c>
      <c r="EV44">
        <v>0</v>
      </c>
      <c r="EW44">
        <v>0</v>
      </c>
      <c r="EX44">
        <v>0</v>
      </c>
      <c r="FQ44">
        <v>0</v>
      </c>
      <c r="FR44">
        <f t="shared" si="48"/>
        <v>0</v>
      </c>
      <c r="FS44">
        <v>0</v>
      </c>
      <c r="FX44">
        <v>70</v>
      </c>
      <c r="FY44">
        <v>10</v>
      </c>
      <c r="GA44" t="s">
        <v>3</v>
      </c>
      <c r="GD44">
        <v>0</v>
      </c>
      <c r="GF44">
        <v>1857369686</v>
      </c>
      <c r="GG44">
        <v>2</v>
      </c>
      <c r="GH44">
        <v>1</v>
      </c>
      <c r="GI44">
        <v>-2</v>
      </c>
      <c r="GJ44">
        <v>0</v>
      </c>
      <c r="GK44">
        <f>ROUND(R44*(R12)/100,2)</f>
        <v>0</v>
      </c>
      <c r="GL44">
        <f t="shared" si="49"/>
        <v>0</v>
      </c>
      <c r="GM44">
        <f t="shared" si="59"/>
        <v>-23240.54</v>
      </c>
      <c r="GN44">
        <f t="shared" si="60"/>
        <v>0</v>
      </c>
      <c r="GO44">
        <f t="shared" si="61"/>
        <v>0</v>
      </c>
      <c r="GP44">
        <f t="shared" si="62"/>
        <v>-23240.54</v>
      </c>
      <c r="GR44">
        <v>0</v>
      </c>
      <c r="GS44">
        <v>3</v>
      </c>
      <c r="GT44">
        <v>0</v>
      </c>
      <c r="GU44" t="s">
        <v>3</v>
      </c>
      <c r="GV44">
        <f t="shared" si="50"/>
        <v>0</v>
      </c>
      <c r="GW44">
        <v>1</v>
      </c>
      <c r="GX44">
        <f t="shared" si="51"/>
        <v>0</v>
      </c>
      <c r="HA44">
        <v>0</v>
      </c>
      <c r="HB44">
        <v>0</v>
      </c>
      <c r="HC44">
        <f t="shared" si="52"/>
        <v>0</v>
      </c>
      <c r="HE44" t="s">
        <v>3</v>
      </c>
      <c r="HF44" t="s">
        <v>3</v>
      </c>
      <c r="IK44">
        <v>0</v>
      </c>
    </row>
    <row r="46" spans="1:245" x14ac:dyDescent="0.2">
      <c r="A46" s="2">
        <v>51</v>
      </c>
      <c r="B46" s="2">
        <f>B24</f>
        <v>1</v>
      </c>
      <c r="C46" s="2">
        <f>A24</f>
        <v>4</v>
      </c>
      <c r="D46" s="2">
        <f>ROW(A24)</f>
        <v>24</v>
      </c>
      <c r="E46" s="2"/>
      <c r="F46" s="2" t="str">
        <f>IF(F24&lt;&gt;"",F24,"")</f>
        <v>зам. песка 260м2 (рез)</v>
      </c>
      <c r="G46" s="2" t="str">
        <f>IF(G24&lt;&gt;"",G24,"")</f>
        <v>Ремонт спортивной площадки с заменой песчаного покрытия на синтетическое 260 м2 (резина)</v>
      </c>
      <c r="H46" s="2">
        <v>0</v>
      </c>
      <c r="I46" s="2"/>
      <c r="J46" s="2"/>
      <c r="K46" s="2"/>
      <c r="L46" s="2"/>
      <c r="M46" s="2"/>
      <c r="N46" s="2"/>
      <c r="O46" s="2">
        <f t="shared" ref="O46:T46" si="63">ROUND(AB46,2)</f>
        <v>773563.15</v>
      </c>
      <c r="P46" s="2">
        <f t="shared" si="63"/>
        <v>622593.62</v>
      </c>
      <c r="Q46" s="2">
        <f t="shared" si="63"/>
        <v>104506.83</v>
      </c>
      <c r="R46" s="2">
        <f t="shared" si="63"/>
        <v>56062.239999999998</v>
      </c>
      <c r="S46" s="2">
        <f t="shared" si="63"/>
        <v>46462.7</v>
      </c>
      <c r="T46" s="2">
        <f t="shared" si="63"/>
        <v>0</v>
      </c>
      <c r="U46" s="2">
        <f>AH46</f>
        <v>221.27865000000003</v>
      </c>
      <c r="V46" s="2">
        <f>AI46</f>
        <v>0</v>
      </c>
      <c r="W46" s="2">
        <f>ROUND(AJ46,2)</f>
        <v>0</v>
      </c>
      <c r="X46" s="2">
        <f>ROUND(AK46,2)</f>
        <v>32523.89</v>
      </c>
      <c r="Y46" s="2">
        <f>ROUND(AL46,2)</f>
        <v>4646.26</v>
      </c>
      <c r="Z46" s="2"/>
      <c r="AA46" s="2"/>
      <c r="AB46" s="2">
        <f>ROUND(SUMIF(AA28:AA44,"=49707740",O28:O44),2)</f>
        <v>773563.15</v>
      </c>
      <c r="AC46" s="2">
        <f>ROUND(SUMIF(AA28:AA44,"=49707740",P28:P44),2)</f>
        <v>622593.62</v>
      </c>
      <c r="AD46" s="2">
        <f>ROUND(SUMIF(AA28:AA44,"=49707740",Q28:Q44),2)</f>
        <v>104506.83</v>
      </c>
      <c r="AE46" s="2">
        <f>ROUND(SUMIF(AA28:AA44,"=49707740",R28:R44),2)</f>
        <v>56062.239999999998</v>
      </c>
      <c r="AF46" s="2">
        <f>ROUND(SUMIF(AA28:AA44,"=49707740",S28:S44),2)</f>
        <v>46462.7</v>
      </c>
      <c r="AG46" s="2">
        <f>ROUND(SUMIF(AA28:AA44,"=49707740",T28:T44),2)</f>
        <v>0</v>
      </c>
      <c r="AH46" s="2">
        <f>SUMIF(AA28:AA44,"=49707740",U28:U44)</f>
        <v>221.27865000000003</v>
      </c>
      <c r="AI46" s="2">
        <f>SUMIF(AA28:AA44,"=49707740",V28:V44)</f>
        <v>0</v>
      </c>
      <c r="AJ46" s="2">
        <f>ROUND(SUMIF(AA28:AA44,"=49707740",W28:W44),2)</f>
        <v>0</v>
      </c>
      <c r="AK46" s="2">
        <f>ROUND(SUMIF(AA28:AA44,"=49707740",X28:X44),2)</f>
        <v>32523.89</v>
      </c>
      <c r="AL46" s="2">
        <f>ROUND(SUMIF(AA28:AA44,"=49707740",Y28:Y44),2)</f>
        <v>4646.26</v>
      </c>
      <c r="AM46" s="2"/>
      <c r="AN46" s="2"/>
      <c r="AO46" s="2">
        <f t="shared" ref="AO46:BD46" si="64">ROUND(BX46,2)</f>
        <v>0</v>
      </c>
      <c r="AP46" s="2">
        <f t="shared" si="64"/>
        <v>0</v>
      </c>
      <c r="AQ46" s="2">
        <f t="shared" si="64"/>
        <v>0</v>
      </c>
      <c r="AR46" s="2">
        <f t="shared" si="64"/>
        <v>836928.86</v>
      </c>
      <c r="AS46" s="2">
        <f t="shared" si="64"/>
        <v>9127.2999999999993</v>
      </c>
      <c r="AT46" s="2">
        <f t="shared" si="64"/>
        <v>0</v>
      </c>
      <c r="AU46" s="2">
        <f t="shared" si="64"/>
        <v>827801.56</v>
      </c>
      <c r="AV46" s="2">
        <f t="shared" si="64"/>
        <v>622593.62</v>
      </c>
      <c r="AW46" s="2">
        <f t="shared" si="64"/>
        <v>622593.62</v>
      </c>
      <c r="AX46" s="2">
        <f t="shared" si="64"/>
        <v>0</v>
      </c>
      <c r="AY46" s="2">
        <f t="shared" si="64"/>
        <v>622593.62</v>
      </c>
      <c r="AZ46" s="2">
        <f t="shared" si="64"/>
        <v>0</v>
      </c>
      <c r="BA46" s="2">
        <f t="shared" si="64"/>
        <v>0</v>
      </c>
      <c r="BB46" s="2">
        <f t="shared" si="64"/>
        <v>0</v>
      </c>
      <c r="BC46" s="2">
        <f t="shared" si="64"/>
        <v>0</v>
      </c>
      <c r="BD46" s="2">
        <f t="shared" si="64"/>
        <v>0</v>
      </c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>
        <f>ROUND(SUMIF(AA28:AA44,"=49707740",FQ28:FQ44),2)</f>
        <v>0</v>
      </c>
      <c r="BY46" s="2">
        <f>ROUND(SUMIF(AA28:AA44,"=49707740",FR28:FR44),2)</f>
        <v>0</v>
      </c>
      <c r="BZ46" s="2">
        <f>ROUND(SUMIF(AA28:AA44,"=49707740",GL28:GL44),2)</f>
        <v>0</v>
      </c>
      <c r="CA46" s="2">
        <f>ROUND(SUMIF(AA28:AA44,"=49707740",GM28:GM44),2)</f>
        <v>836928.86</v>
      </c>
      <c r="CB46" s="2">
        <f>ROUND(SUMIF(AA28:AA44,"=49707740",GN28:GN44),2)</f>
        <v>9127.2999999999993</v>
      </c>
      <c r="CC46" s="2">
        <f>ROUND(SUMIF(AA28:AA44,"=49707740",GO28:GO44),2)</f>
        <v>0</v>
      </c>
      <c r="CD46" s="2">
        <f>ROUND(SUMIF(AA28:AA44,"=49707740",GP28:GP44),2)</f>
        <v>827801.56</v>
      </c>
      <c r="CE46" s="2">
        <f>AC46-BX46</f>
        <v>622593.62</v>
      </c>
      <c r="CF46" s="2">
        <f>AC46-BY46</f>
        <v>622593.62</v>
      </c>
      <c r="CG46" s="2">
        <f>BX46-BZ46</f>
        <v>0</v>
      </c>
      <c r="CH46" s="2">
        <f>AC46-BX46-BY46+BZ46</f>
        <v>622593.62</v>
      </c>
      <c r="CI46" s="2">
        <f>BY46-BZ46</f>
        <v>0</v>
      </c>
      <c r="CJ46" s="2">
        <f>ROUND(SUMIF(AA28:AA44,"=49707740",GX28:GX44),2)</f>
        <v>0</v>
      </c>
      <c r="CK46" s="2">
        <f>ROUND(SUMIF(AA28:AA44,"=49707740",GY28:GY44),2)</f>
        <v>0</v>
      </c>
      <c r="CL46" s="2">
        <f>ROUND(SUMIF(AA28:AA44,"=49707740",GZ28:GZ44),2)</f>
        <v>0</v>
      </c>
      <c r="CM46" s="2">
        <f>ROUND(SUMIF(AA28:AA44,"=49707740",HD28:HD44),2)</f>
        <v>0</v>
      </c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/>
      <c r="GI46" s="3"/>
      <c r="GJ46" s="3"/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>
        <v>0</v>
      </c>
    </row>
    <row r="48" spans="1:245" x14ac:dyDescent="0.2">
      <c r="A48" s="4">
        <v>50</v>
      </c>
      <c r="B48" s="4">
        <v>0</v>
      </c>
      <c r="C48" s="4">
        <v>0</v>
      </c>
      <c r="D48" s="4">
        <v>1</v>
      </c>
      <c r="E48" s="4">
        <v>201</v>
      </c>
      <c r="F48" s="4">
        <f>ROUND(Source!O46,O48)</f>
        <v>773563.15</v>
      </c>
      <c r="G48" s="4" t="s">
        <v>106</v>
      </c>
      <c r="H48" s="4" t="s">
        <v>107</v>
      </c>
      <c r="I48" s="4"/>
      <c r="J48" s="4"/>
      <c r="K48" s="4">
        <v>-201</v>
      </c>
      <c r="L48" s="4">
        <v>1</v>
      </c>
      <c r="M48" s="4">
        <v>3</v>
      </c>
      <c r="N48" s="4" t="s">
        <v>3</v>
      </c>
      <c r="O48" s="4">
        <v>2</v>
      </c>
      <c r="P48" s="4"/>
      <c r="Q48" s="4"/>
      <c r="R48" s="4"/>
      <c r="S48" s="4"/>
      <c r="T48" s="4"/>
      <c r="U48" s="4"/>
      <c r="V48" s="4"/>
      <c r="W48" s="4"/>
    </row>
    <row r="49" spans="1:23" x14ac:dyDescent="0.2">
      <c r="A49" s="4">
        <v>50</v>
      </c>
      <c r="B49" s="4">
        <v>0</v>
      </c>
      <c r="C49" s="4">
        <v>0</v>
      </c>
      <c r="D49" s="4">
        <v>1</v>
      </c>
      <c r="E49" s="4">
        <v>202</v>
      </c>
      <c r="F49" s="4">
        <f>ROUND(Source!P46,O49)</f>
        <v>622593.62</v>
      </c>
      <c r="G49" s="4" t="s">
        <v>108</v>
      </c>
      <c r="H49" s="4" t="s">
        <v>109</v>
      </c>
      <c r="I49" s="4"/>
      <c r="J49" s="4"/>
      <c r="K49" s="4">
        <v>-202</v>
      </c>
      <c r="L49" s="4">
        <v>2</v>
      </c>
      <c r="M49" s="4">
        <v>3</v>
      </c>
      <c r="N49" s="4" t="s">
        <v>3</v>
      </c>
      <c r="O49" s="4">
        <v>2</v>
      </c>
      <c r="P49" s="4"/>
      <c r="Q49" s="4"/>
      <c r="R49" s="4"/>
      <c r="S49" s="4"/>
      <c r="T49" s="4"/>
      <c r="U49" s="4"/>
      <c r="V49" s="4"/>
      <c r="W49" s="4"/>
    </row>
    <row r="50" spans="1:23" x14ac:dyDescent="0.2">
      <c r="A50" s="4">
        <v>50</v>
      </c>
      <c r="B50" s="4">
        <v>0</v>
      </c>
      <c r="C50" s="4">
        <v>0</v>
      </c>
      <c r="D50" s="4">
        <v>1</v>
      </c>
      <c r="E50" s="4">
        <v>222</v>
      </c>
      <c r="F50" s="4">
        <f>ROUND(Source!AO46,O50)</f>
        <v>0</v>
      </c>
      <c r="G50" s="4" t="s">
        <v>110</v>
      </c>
      <c r="H50" s="4" t="s">
        <v>111</v>
      </c>
      <c r="I50" s="4"/>
      <c r="J50" s="4"/>
      <c r="K50" s="4">
        <v>-222</v>
      </c>
      <c r="L50" s="4">
        <v>3</v>
      </c>
      <c r="M50" s="4">
        <v>3</v>
      </c>
      <c r="N50" s="4" t="s">
        <v>3</v>
      </c>
      <c r="O50" s="4">
        <v>2</v>
      </c>
      <c r="P50" s="4"/>
      <c r="Q50" s="4"/>
      <c r="R50" s="4"/>
      <c r="S50" s="4"/>
      <c r="T50" s="4"/>
      <c r="U50" s="4"/>
      <c r="V50" s="4"/>
      <c r="W50" s="4"/>
    </row>
    <row r="51" spans="1:23" x14ac:dyDescent="0.2">
      <c r="A51" s="4">
        <v>50</v>
      </c>
      <c r="B51" s="4">
        <v>0</v>
      </c>
      <c r="C51" s="4">
        <v>0</v>
      </c>
      <c r="D51" s="4">
        <v>1</v>
      </c>
      <c r="E51" s="4">
        <v>225</v>
      </c>
      <c r="F51" s="4">
        <f>ROUND(Source!AV46,O51)</f>
        <v>622593.62</v>
      </c>
      <c r="G51" s="4" t="s">
        <v>112</v>
      </c>
      <c r="H51" s="4" t="s">
        <v>113</v>
      </c>
      <c r="I51" s="4"/>
      <c r="J51" s="4"/>
      <c r="K51" s="4">
        <v>-225</v>
      </c>
      <c r="L51" s="4">
        <v>4</v>
      </c>
      <c r="M51" s="4">
        <v>3</v>
      </c>
      <c r="N51" s="4" t="s">
        <v>3</v>
      </c>
      <c r="O51" s="4">
        <v>2</v>
      </c>
      <c r="P51" s="4"/>
      <c r="Q51" s="4"/>
      <c r="R51" s="4"/>
      <c r="S51" s="4"/>
      <c r="T51" s="4"/>
      <c r="U51" s="4"/>
      <c r="V51" s="4"/>
      <c r="W51" s="4"/>
    </row>
    <row r="52" spans="1:23" x14ac:dyDescent="0.2">
      <c r="A52" s="4">
        <v>50</v>
      </c>
      <c r="B52" s="4">
        <v>0</v>
      </c>
      <c r="C52" s="4">
        <v>0</v>
      </c>
      <c r="D52" s="4">
        <v>1</v>
      </c>
      <c r="E52" s="4">
        <v>226</v>
      </c>
      <c r="F52" s="4">
        <f>ROUND(Source!AW46,O52)</f>
        <v>622593.62</v>
      </c>
      <c r="G52" s="4" t="s">
        <v>114</v>
      </c>
      <c r="H52" s="4" t="s">
        <v>115</v>
      </c>
      <c r="I52" s="4"/>
      <c r="J52" s="4"/>
      <c r="K52" s="4">
        <v>-226</v>
      </c>
      <c r="L52" s="4">
        <v>5</v>
      </c>
      <c r="M52" s="4">
        <v>3</v>
      </c>
      <c r="N52" s="4" t="s">
        <v>3</v>
      </c>
      <c r="O52" s="4">
        <v>2</v>
      </c>
      <c r="P52" s="4"/>
      <c r="Q52" s="4"/>
      <c r="R52" s="4"/>
      <c r="S52" s="4"/>
      <c r="T52" s="4"/>
      <c r="U52" s="4"/>
      <c r="V52" s="4"/>
      <c r="W52" s="4"/>
    </row>
    <row r="53" spans="1:23" x14ac:dyDescent="0.2">
      <c r="A53" s="4">
        <v>50</v>
      </c>
      <c r="B53" s="4">
        <v>0</v>
      </c>
      <c r="C53" s="4">
        <v>0</v>
      </c>
      <c r="D53" s="4">
        <v>1</v>
      </c>
      <c r="E53" s="4">
        <v>227</v>
      </c>
      <c r="F53" s="4">
        <f>ROUND(Source!AX46,O53)</f>
        <v>0</v>
      </c>
      <c r="G53" s="4" t="s">
        <v>116</v>
      </c>
      <c r="H53" s="4" t="s">
        <v>117</v>
      </c>
      <c r="I53" s="4"/>
      <c r="J53" s="4"/>
      <c r="K53" s="4">
        <v>-227</v>
      </c>
      <c r="L53" s="4">
        <v>6</v>
      </c>
      <c r="M53" s="4">
        <v>3</v>
      </c>
      <c r="N53" s="4" t="s">
        <v>3</v>
      </c>
      <c r="O53" s="4">
        <v>2</v>
      </c>
      <c r="P53" s="4"/>
      <c r="Q53" s="4"/>
      <c r="R53" s="4"/>
      <c r="S53" s="4"/>
      <c r="T53" s="4"/>
      <c r="U53" s="4"/>
      <c r="V53" s="4"/>
      <c r="W53" s="4"/>
    </row>
    <row r="54" spans="1:23" x14ac:dyDescent="0.2">
      <c r="A54" s="4">
        <v>50</v>
      </c>
      <c r="B54" s="4">
        <v>0</v>
      </c>
      <c r="C54" s="4">
        <v>0</v>
      </c>
      <c r="D54" s="4">
        <v>1</v>
      </c>
      <c r="E54" s="4">
        <v>228</v>
      </c>
      <c r="F54" s="4">
        <f>ROUND(Source!AY46,O54)</f>
        <v>622593.62</v>
      </c>
      <c r="G54" s="4" t="s">
        <v>118</v>
      </c>
      <c r="H54" s="4" t="s">
        <v>119</v>
      </c>
      <c r="I54" s="4"/>
      <c r="J54" s="4"/>
      <c r="K54" s="4">
        <v>-228</v>
      </c>
      <c r="L54" s="4">
        <v>7</v>
      </c>
      <c r="M54" s="4">
        <v>3</v>
      </c>
      <c r="N54" s="4" t="s">
        <v>3</v>
      </c>
      <c r="O54" s="4">
        <v>2</v>
      </c>
      <c r="P54" s="4"/>
      <c r="Q54" s="4"/>
      <c r="R54" s="4"/>
      <c r="S54" s="4"/>
      <c r="T54" s="4"/>
      <c r="U54" s="4"/>
      <c r="V54" s="4"/>
      <c r="W54" s="4"/>
    </row>
    <row r="55" spans="1:23" x14ac:dyDescent="0.2">
      <c r="A55" s="4">
        <v>50</v>
      </c>
      <c r="B55" s="4">
        <v>0</v>
      </c>
      <c r="C55" s="4">
        <v>0</v>
      </c>
      <c r="D55" s="4">
        <v>1</v>
      </c>
      <c r="E55" s="4">
        <v>216</v>
      </c>
      <c r="F55" s="4">
        <f>ROUND(Source!AP46,O55)</f>
        <v>0</v>
      </c>
      <c r="G55" s="4" t="s">
        <v>120</v>
      </c>
      <c r="H55" s="4" t="s">
        <v>121</v>
      </c>
      <c r="I55" s="4"/>
      <c r="J55" s="4"/>
      <c r="K55" s="4">
        <v>-216</v>
      </c>
      <c r="L55" s="4">
        <v>8</v>
      </c>
      <c r="M55" s="4">
        <v>3</v>
      </c>
      <c r="N55" s="4" t="s">
        <v>3</v>
      </c>
      <c r="O55" s="4">
        <v>2</v>
      </c>
      <c r="P55" s="4"/>
      <c r="Q55" s="4"/>
      <c r="R55" s="4"/>
      <c r="S55" s="4"/>
      <c r="T55" s="4"/>
      <c r="U55" s="4"/>
      <c r="V55" s="4"/>
      <c r="W55" s="4"/>
    </row>
    <row r="56" spans="1:23" x14ac:dyDescent="0.2">
      <c r="A56" s="4">
        <v>50</v>
      </c>
      <c r="B56" s="4">
        <v>0</v>
      </c>
      <c r="C56" s="4">
        <v>0</v>
      </c>
      <c r="D56" s="4">
        <v>1</v>
      </c>
      <c r="E56" s="4">
        <v>223</v>
      </c>
      <c r="F56" s="4">
        <f>ROUND(Source!AQ46,O56)</f>
        <v>0</v>
      </c>
      <c r="G56" s="4" t="s">
        <v>122</v>
      </c>
      <c r="H56" s="4" t="s">
        <v>123</v>
      </c>
      <c r="I56" s="4"/>
      <c r="J56" s="4"/>
      <c r="K56" s="4">
        <v>-223</v>
      </c>
      <c r="L56" s="4">
        <v>9</v>
      </c>
      <c r="M56" s="4">
        <v>3</v>
      </c>
      <c r="N56" s="4" t="s">
        <v>3</v>
      </c>
      <c r="O56" s="4">
        <v>2</v>
      </c>
      <c r="P56" s="4"/>
      <c r="Q56" s="4"/>
      <c r="R56" s="4"/>
      <c r="S56" s="4"/>
      <c r="T56" s="4"/>
      <c r="U56" s="4"/>
      <c r="V56" s="4"/>
      <c r="W56" s="4"/>
    </row>
    <row r="57" spans="1:23" x14ac:dyDescent="0.2">
      <c r="A57" s="4">
        <v>50</v>
      </c>
      <c r="B57" s="4">
        <v>0</v>
      </c>
      <c r="C57" s="4">
        <v>0</v>
      </c>
      <c r="D57" s="4">
        <v>1</v>
      </c>
      <c r="E57" s="4">
        <v>229</v>
      </c>
      <c r="F57" s="4">
        <f>ROUND(Source!AZ46,O57)</f>
        <v>0</v>
      </c>
      <c r="G57" s="4" t="s">
        <v>124</v>
      </c>
      <c r="H57" s="4" t="s">
        <v>125</v>
      </c>
      <c r="I57" s="4"/>
      <c r="J57" s="4"/>
      <c r="K57" s="4">
        <v>-229</v>
      </c>
      <c r="L57" s="4">
        <v>10</v>
      </c>
      <c r="M57" s="4">
        <v>3</v>
      </c>
      <c r="N57" s="4" t="s">
        <v>3</v>
      </c>
      <c r="O57" s="4">
        <v>2</v>
      </c>
      <c r="P57" s="4"/>
      <c r="Q57" s="4"/>
      <c r="R57" s="4"/>
      <c r="S57" s="4"/>
      <c r="T57" s="4"/>
      <c r="U57" s="4"/>
      <c r="V57" s="4"/>
      <c r="W57" s="4"/>
    </row>
    <row r="58" spans="1:23" x14ac:dyDescent="0.2">
      <c r="A58" s="4">
        <v>50</v>
      </c>
      <c r="B58" s="4">
        <v>0</v>
      </c>
      <c r="C58" s="4">
        <v>0</v>
      </c>
      <c r="D58" s="4">
        <v>1</v>
      </c>
      <c r="E58" s="4">
        <v>203</v>
      </c>
      <c r="F58" s="4">
        <f>ROUND(Source!Q46,O58)</f>
        <v>104506.83</v>
      </c>
      <c r="G58" s="4" t="s">
        <v>126</v>
      </c>
      <c r="H58" s="4" t="s">
        <v>127</v>
      </c>
      <c r="I58" s="4"/>
      <c r="J58" s="4"/>
      <c r="K58" s="4">
        <v>-203</v>
      </c>
      <c r="L58" s="4">
        <v>11</v>
      </c>
      <c r="M58" s="4">
        <v>3</v>
      </c>
      <c r="N58" s="4" t="s">
        <v>3</v>
      </c>
      <c r="O58" s="4">
        <v>2</v>
      </c>
      <c r="P58" s="4"/>
      <c r="Q58" s="4"/>
      <c r="R58" s="4"/>
      <c r="S58" s="4"/>
      <c r="T58" s="4"/>
      <c r="U58" s="4"/>
      <c r="V58" s="4"/>
      <c r="W58" s="4"/>
    </row>
    <row r="59" spans="1:23" x14ac:dyDescent="0.2">
      <c r="A59" s="4">
        <v>50</v>
      </c>
      <c r="B59" s="4">
        <v>0</v>
      </c>
      <c r="C59" s="4">
        <v>0</v>
      </c>
      <c r="D59" s="4">
        <v>1</v>
      </c>
      <c r="E59" s="4">
        <v>231</v>
      </c>
      <c r="F59" s="4">
        <f>ROUND(Source!BB46,O59)</f>
        <v>0</v>
      </c>
      <c r="G59" s="4" t="s">
        <v>128</v>
      </c>
      <c r="H59" s="4" t="s">
        <v>129</v>
      </c>
      <c r="I59" s="4"/>
      <c r="J59" s="4"/>
      <c r="K59" s="4">
        <v>-231</v>
      </c>
      <c r="L59" s="4">
        <v>12</v>
      </c>
      <c r="M59" s="4">
        <v>3</v>
      </c>
      <c r="N59" s="4" t="s">
        <v>3</v>
      </c>
      <c r="O59" s="4">
        <v>2</v>
      </c>
      <c r="P59" s="4"/>
      <c r="Q59" s="4"/>
      <c r="R59" s="4"/>
      <c r="S59" s="4"/>
      <c r="T59" s="4"/>
      <c r="U59" s="4"/>
      <c r="V59" s="4"/>
      <c r="W59" s="4"/>
    </row>
    <row r="60" spans="1:23" x14ac:dyDescent="0.2">
      <c r="A60" s="4">
        <v>50</v>
      </c>
      <c r="B60" s="4">
        <v>0</v>
      </c>
      <c r="C60" s="4">
        <v>0</v>
      </c>
      <c r="D60" s="4">
        <v>1</v>
      </c>
      <c r="E60" s="4">
        <v>204</v>
      </c>
      <c r="F60" s="4">
        <f>ROUND(Source!R46,O60)</f>
        <v>56062.239999999998</v>
      </c>
      <c r="G60" s="4" t="s">
        <v>130</v>
      </c>
      <c r="H60" s="4" t="s">
        <v>131</v>
      </c>
      <c r="I60" s="4"/>
      <c r="J60" s="4"/>
      <c r="K60" s="4">
        <v>-204</v>
      </c>
      <c r="L60" s="4">
        <v>13</v>
      </c>
      <c r="M60" s="4">
        <v>3</v>
      </c>
      <c r="N60" s="4" t="s">
        <v>3</v>
      </c>
      <c r="O60" s="4">
        <v>2</v>
      </c>
      <c r="P60" s="4"/>
      <c r="Q60" s="4"/>
      <c r="R60" s="4"/>
      <c r="S60" s="4"/>
      <c r="T60" s="4"/>
      <c r="U60" s="4"/>
      <c r="V60" s="4"/>
      <c r="W60" s="4"/>
    </row>
    <row r="61" spans="1:23" x14ac:dyDescent="0.2">
      <c r="A61" s="4">
        <v>50</v>
      </c>
      <c r="B61" s="4">
        <v>0</v>
      </c>
      <c r="C61" s="4">
        <v>0</v>
      </c>
      <c r="D61" s="4">
        <v>1</v>
      </c>
      <c r="E61" s="4">
        <v>205</v>
      </c>
      <c r="F61" s="4">
        <f>ROUND(Source!S46,O61)</f>
        <v>46462.7</v>
      </c>
      <c r="G61" s="4" t="s">
        <v>132</v>
      </c>
      <c r="H61" s="4" t="s">
        <v>133</v>
      </c>
      <c r="I61" s="4"/>
      <c r="J61" s="4"/>
      <c r="K61" s="4">
        <v>-205</v>
      </c>
      <c r="L61" s="4">
        <v>14</v>
      </c>
      <c r="M61" s="4">
        <v>3</v>
      </c>
      <c r="N61" s="4" t="s">
        <v>3</v>
      </c>
      <c r="O61" s="4">
        <v>2</v>
      </c>
      <c r="P61" s="4"/>
      <c r="Q61" s="4"/>
      <c r="R61" s="4"/>
      <c r="S61" s="4"/>
      <c r="T61" s="4"/>
      <c r="U61" s="4"/>
      <c r="V61" s="4"/>
      <c r="W61" s="4"/>
    </row>
    <row r="62" spans="1:23" x14ac:dyDescent="0.2">
      <c r="A62" s="4">
        <v>50</v>
      </c>
      <c r="B62" s="4">
        <v>0</v>
      </c>
      <c r="C62" s="4">
        <v>0</v>
      </c>
      <c r="D62" s="4">
        <v>1</v>
      </c>
      <c r="E62" s="4">
        <v>232</v>
      </c>
      <c r="F62" s="4">
        <f>ROUND(Source!BC46,O62)</f>
        <v>0</v>
      </c>
      <c r="G62" s="4" t="s">
        <v>134</v>
      </c>
      <c r="H62" s="4" t="s">
        <v>135</v>
      </c>
      <c r="I62" s="4"/>
      <c r="J62" s="4"/>
      <c r="K62" s="4">
        <v>-232</v>
      </c>
      <c r="L62" s="4">
        <v>15</v>
      </c>
      <c r="M62" s="4">
        <v>3</v>
      </c>
      <c r="N62" s="4" t="s">
        <v>3</v>
      </c>
      <c r="O62" s="4">
        <v>2</v>
      </c>
      <c r="P62" s="4"/>
      <c r="Q62" s="4"/>
      <c r="R62" s="4"/>
      <c r="S62" s="4"/>
      <c r="T62" s="4"/>
      <c r="U62" s="4"/>
      <c r="V62" s="4"/>
      <c r="W62" s="4"/>
    </row>
    <row r="63" spans="1:23" x14ac:dyDescent="0.2">
      <c r="A63" s="4">
        <v>50</v>
      </c>
      <c r="B63" s="4">
        <v>0</v>
      </c>
      <c r="C63" s="4">
        <v>0</v>
      </c>
      <c r="D63" s="4">
        <v>1</v>
      </c>
      <c r="E63" s="4">
        <v>214</v>
      </c>
      <c r="F63" s="4">
        <f>ROUND(Source!AS46,O63)</f>
        <v>9127.2999999999993</v>
      </c>
      <c r="G63" s="4" t="s">
        <v>136</v>
      </c>
      <c r="H63" s="4" t="s">
        <v>137</v>
      </c>
      <c r="I63" s="4"/>
      <c r="J63" s="4"/>
      <c r="K63" s="4">
        <v>-214</v>
      </c>
      <c r="L63" s="4">
        <v>16</v>
      </c>
      <c r="M63" s="4">
        <v>3</v>
      </c>
      <c r="N63" s="4" t="s">
        <v>3</v>
      </c>
      <c r="O63" s="4">
        <v>2</v>
      </c>
      <c r="P63" s="4"/>
      <c r="Q63" s="4"/>
      <c r="R63" s="4"/>
      <c r="S63" s="4"/>
      <c r="T63" s="4"/>
      <c r="U63" s="4"/>
      <c r="V63" s="4"/>
      <c r="W63" s="4"/>
    </row>
    <row r="64" spans="1:23" x14ac:dyDescent="0.2">
      <c r="A64" s="4">
        <v>50</v>
      </c>
      <c r="B64" s="4">
        <v>0</v>
      </c>
      <c r="C64" s="4">
        <v>0</v>
      </c>
      <c r="D64" s="4">
        <v>1</v>
      </c>
      <c r="E64" s="4">
        <v>215</v>
      </c>
      <c r="F64" s="4">
        <f>ROUND(Source!AT46,O64)</f>
        <v>0</v>
      </c>
      <c r="G64" s="4" t="s">
        <v>138</v>
      </c>
      <c r="H64" s="4" t="s">
        <v>139</v>
      </c>
      <c r="I64" s="4"/>
      <c r="J64" s="4"/>
      <c r="K64" s="4">
        <v>-215</v>
      </c>
      <c r="L64" s="4">
        <v>17</v>
      </c>
      <c r="M64" s="4">
        <v>3</v>
      </c>
      <c r="N64" s="4" t="s">
        <v>3</v>
      </c>
      <c r="O64" s="4">
        <v>2</v>
      </c>
      <c r="P64" s="4"/>
      <c r="Q64" s="4"/>
      <c r="R64" s="4"/>
      <c r="S64" s="4"/>
      <c r="T64" s="4"/>
      <c r="U64" s="4"/>
      <c r="V64" s="4"/>
      <c r="W64" s="4"/>
    </row>
    <row r="65" spans="1:88" x14ac:dyDescent="0.2">
      <c r="A65" s="4">
        <v>50</v>
      </c>
      <c r="B65" s="4">
        <v>0</v>
      </c>
      <c r="C65" s="4">
        <v>0</v>
      </c>
      <c r="D65" s="4">
        <v>1</v>
      </c>
      <c r="E65" s="4">
        <v>217</v>
      </c>
      <c r="F65" s="4">
        <f>ROUND(Source!AU46,O65)</f>
        <v>827801.56</v>
      </c>
      <c r="G65" s="4" t="s">
        <v>140</v>
      </c>
      <c r="H65" s="4" t="s">
        <v>141</v>
      </c>
      <c r="I65" s="4"/>
      <c r="J65" s="4"/>
      <c r="K65" s="4">
        <v>-217</v>
      </c>
      <c r="L65" s="4">
        <v>18</v>
      </c>
      <c r="M65" s="4">
        <v>3</v>
      </c>
      <c r="N65" s="4" t="s">
        <v>3</v>
      </c>
      <c r="O65" s="4">
        <v>2</v>
      </c>
      <c r="P65" s="4"/>
      <c r="Q65" s="4"/>
      <c r="R65" s="4"/>
      <c r="S65" s="4"/>
      <c r="T65" s="4"/>
      <c r="U65" s="4"/>
      <c r="V65" s="4"/>
      <c r="W65" s="4"/>
    </row>
    <row r="66" spans="1:88" x14ac:dyDescent="0.2">
      <c r="A66" s="4">
        <v>50</v>
      </c>
      <c r="B66" s="4">
        <v>0</v>
      </c>
      <c r="C66" s="4">
        <v>0</v>
      </c>
      <c r="D66" s="4">
        <v>1</v>
      </c>
      <c r="E66" s="4">
        <v>230</v>
      </c>
      <c r="F66" s="4">
        <f>ROUND(Source!BA46,O66)</f>
        <v>0</v>
      </c>
      <c r="G66" s="4" t="s">
        <v>142</v>
      </c>
      <c r="H66" s="4" t="s">
        <v>143</v>
      </c>
      <c r="I66" s="4"/>
      <c r="J66" s="4"/>
      <c r="K66" s="4">
        <v>-230</v>
      </c>
      <c r="L66" s="4">
        <v>19</v>
      </c>
      <c r="M66" s="4">
        <v>3</v>
      </c>
      <c r="N66" s="4" t="s">
        <v>3</v>
      </c>
      <c r="O66" s="4">
        <v>2</v>
      </c>
      <c r="P66" s="4"/>
      <c r="Q66" s="4"/>
      <c r="R66" s="4"/>
      <c r="S66" s="4"/>
      <c r="T66" s="4"/>
      <c r="U66" s="4"/>
      <c r="V66" s="4"/>
      <c r="W66" s="4"/>
    </row>
    <row r="67" spans="1:88" x14ac:dyDescent="0.2">
      <c r="A67" s="4">
        <v>50</v>
      </c>
      <c r="B67" s="4">
        <v>0</v>
      </c>
      <c r="C67" s="4">
        <v>0</v>
      </c>
      <c r="D67" s="4">
        <v>1</v>
      </c>
      <c r="E67" s="4">
        <v>206</v>
      </c>
      <c r="F67" s="4">
        <f>ROUND(Source!T46,O67)</f>
        <v>0</v>
      </c>
      <c r="G67" s="4" t="s">
        <v>144</v>
      </c>
      <c r="H67" s="4" t="s">
        <v>145</v>
      </c>
      <c r="I67" s="4"/>
      <c r="J67" s="4"/>
      <c r="K67" s="4">
        <v>-206</v>
      </c>
      <c r="L67" s="4">
        <v>20</v>
      </c>
      <c r="M67" s="4">
        <v>3</v>
      </c>
      <c r="N67" s="4" t="s">
        <v>3</v>
      </c>
      <c r="O67" s="4">
        <v>2</v>
      </c>
      <c r="P67" s="4"/>
      <c r="Q67" s="4"/>
      <c r="R67" s="4"/>
      <c r="S67" s="4"/>
      <c r="T67" s="4"/>
      <c r="U67" s="4"/>
      <c r="V67" s="4"/>
      <c r="W67" s="4"/>
    </row>
    <row r="68" spans="1:88" x14ac:dyDescent="0.2">
      <c r="A68" s="4">
        <v>50</v>
      </c>
      <c r="B68" s="4">
        <v>0</v>
      </c>
      <c r="C68" s="4">
        <v>0</v>
      </c>
      <c r="D68" s="4">
        <v>1</v>
      </c>
      <c r="E68" s="4">
        <v>207</v>
      </c>
      <c r="F68" s="4">
        <f>Source!U46</f>
        <v>221.27865000000003</v>
      </c>
      <c r="G68" s="4" t="s">
        <v>146</v>
      </c>
      <c r="H68" s="4" t="s">
        <v>147</v>
      </c>
      <c r="I68" s="4"/>
      <c r="J68" s="4"/>
      <c r="K68" s="4">
        <v>-207</v>
      </c>
      <c r="L68" s="4">
        <v>21</v>
      </c>
      <c r="M68" s="4">
        <v>3</v>
      </c>
      <c r="N68" s="4" t="s">
        <v>3</v>
      </c>
      <c r="O68" s="4">
        <v>-1</v>
      </c>
      <c r="P68" s="4"/>
      <c r="Q68" s="4"/>
      <c r="R68" s="4"/>
      <c r="S68" s="4"/>
      <c r="T68" s="4"/>
      <c r="U68" s="4"/>
      <c r="V68" s="4"/>
      <c r="W68" s="4"/>
    </row>
    <row r="69" spans="1:88" x14ac:dyDescent="0.2">
      <c r="A69" s="4">
        <v>50</v>
      </c>
      <c r="B69" s="4">
        <v>0</v>
      </c>
      <c r="C69" s="4">
        <v>0</v>
      </c>
      <c r="D69" s="4">
        <v>1</v>
      </c>
      <c r="E69" s="4">
        <v>208</v>
      </c>
      <c r="F69" s="4">
        <f>Source!V46</f>
        <v>0</v>
      </c>
      <c r="G69" s="4" t="s">
        <v>148</v>
      </c>
      <c r="H69" s="4" t="s">
        <v>149</v>
      </c>
      <c r="I69" s="4"/>
      <c r="J69" s="4"/>
      <c r="K69" s="4">
        <v>-208</v>
      </c>
      <c r="L69" s="4">
        <v>22</v>
      </c>
      <c r="M69" s="4">
        <v>3</v>
      </c>
      <c r="N69" s="4" t="s">
        <v>3</v>
      </c>
      <c r="O69" s="4">
        <v>-1</v>
      </c>
      <c r="P69" s="4"/>
      <c r="Q69" s="4"/>
      <c r="R69" s="4"/>
      <c r="S69" s="4"/>
      <c r="T69" s="4"/>
      <c r="U69" s="4"/>
      <c r="V69" s="4"/>
      <c r="W69" s="4"/>
    </row>
    <row r="70" spans="1:88" x14ac:dyDescent="0.2">
      <c r="A70" s="4">
        <v>50</v>
      </c>
      <c r="B70" s="4">
        <v>0</v>
      </c>
      <c r="C70" s="4">
        <v>0</v>
      </c>
      <c r="D70" s="4">
        <v>1</v>
      </c>
      <c r="E70" s="4">
        <v>209</v>
      </c>
      <c r="F70" s="4">
        <f>ROUND(Source!W46,O70)</f>
        <v>0</v>
      </c>
      <c r="G70" s="4" t="s">
        <v>150</v>
      </c>
      <c r="H70" s="4" t="s">
        <v>151</v>
      </c>
      <c r="I70" s="4"/>
      <c r="J70" s="4"/>
      <c r="K70" s="4">
        <v>-209</v>
      </c>
      <c r="L70" s="4">
        <v>23</v>
      </c>
      <c r="M70" s="4">
        <v>3</v>
      </c>
      <c r="N70" s="4" t="s">
        <v>3</v>
      </c>
      <c r="O70" s="4">
        <v>2</v>
      </c>
      <c r="P70" s="4"/>
      <c r="Q70" s="4"/>
      <c r="R70" s="4"/>
      <c r="S70" s="4"/>
      <c r="T70" s="4"/>
      <c r="U70" s="4"/>
      <c r="V70" s="4"/>
      <c r="W70" s="4"/>
    </row>
    <row r="71" spans="1:88" x14ac:dyDescent="0.2">
      <c r="A71" s="4">
        <v>50</v>
      </c>
      <c r="B71" s="4">
        <v>0</v>
      </c>
      <c r="C71" s="4">
        <v>0</v>
      </c>
      <c r="D71" s="4">
        <v>1</v>
      </c>
      <c r="E71" s="4">
        <v>233</v>
      </c>
      <c r="F71" s="4">
        <f>ROUND(Source!BD46,O71)</f>
        <v>0</v>
      </c>
      <c r="G71" s="4" t="s">
        <v>152</v>
      </c>
      <c r="H71" s="4" t="s">
        <v>153</v>
      </c>
      <c r="I71" s="4"/>
      <c r="J71" s="4"/>
      <c r="K71" s="4">
        <v>-233</v>
      </c>
      <c r="L71" s="4">
        <v>24</v>
      </c>
      <c r="M71" s="4">
        <v>3</v>
      </c>
      <c r="N71" s="4" t="s">
        <v>3</v>
      </c>
      <c r="O71" s="4">
        <v>2</v>
      </c>
      <c r="P71" s="4"/>
      <c r="Q71" s="4"/>
      <c r="R71" s="4"/>
      <c r="S71" s="4"/>
      <c r="T71" s="4"/>
      <c r="U71" s="4"/>
      <c r="V71" s="4"/>
      <c r="W71" s="4"/>
    </row>
    <row r="72" spans="1:88" x14ac:dyDescent="0.2">
      <c r="A72" s="4">
        <v>50</v>
      </c>
      <c r="B72" s="4">
        <v>0</v>
      </c>
      <c r="C72" s="4">
        <v>0</v>
      </c>
      <c r="D72" s="4">
        <v>1</v>
      </c>
      <c r="E72" s="4">
        <v>210</v>
      </c>
      <c r="F72" s="4">
        <f>ROUND(Source!X46,O72)</f>
        <v>32523.89</v>
      </c>
      <c r="G72" s="4" t="s">
        <v>154</v>
      </c>
      <c r="H72" s="4" t="s">
        <v>155</v>
      </c>
      <c r="I72" s="4"/>
      <c r="J72" s="4"/>
      <c r="K72" s="4">
        <v>-210</v>
      </c>
      <c r="L72" s="4">
        <v>25</v>
      </c>
      <c r="M72" s="4">
        <v>3</v>
      </c>
      <c r="N72" s="4" t="s">
        <v>3</v>
      </c>
      <c r="O72" s="4">
        <v>2</v>
      </c>
      <c r="P72" s="4"/>
      <c r="Q72" s="4"/>
      <c r="R72" s="4"/>
      <c r="S72" s="4"/>
      <c r="T72" s="4"/>
      <c r="U72" s="4"/>
      <c r="V72" s="4"/>
      <c r="W72" s="4"/>
    </row>
    <row r="73" spans="1:88" x14ac:dyDescent="0.2">
      <c r="A73" s="4">
        <v>50</v>
      </c>
      <c r="B73" s="4">
        <v>0</v>
      </c>
      <c r="C73" s="4">
        <v>0</v>
      </c>
      <c r="D73" s="4">
        <v>1</v>
      </c>
      <c r="E73" s="4">
        <v>211</v>
      </c>
      <c r="F73" s="4">
        <f>ROUND(Source!Y46,O73)</f>
        <v>4646.26</v>
      </c>
      <c r="G73" s="4" t="s">
        <v>156</v>
      </c>
      <c r="H73" s="4" t="s">
        <v>157</v>
      </c>
      <c r="I73" s="4"/>
      <c r="J73" s="4"/>
      <c r="K73" s="4">
        <v>-211</v>
      </c>
      <c r="L73" s="4">
        <v>26</v>
      </c>
      <c r="M73" s="4">
        <v>3</v>
      </c>
      <c r="N73" s="4" t="s">
        <v>3</v>
      </c>
      <c r="O73" s="4">
        <v>2</v>
      </c>
      <c r="P73" s="4"/>
      <c r="Q73" s="4"/>
      <c r="R73" s="4"/>
      <c r="S73" s="4"/>
      <c r="T73" s="4"/>
      <c r="U73" s="4"/>
      <c r="V73" s="4"/>
      <c r="W73" s="4"/>
    </row>
    <row r="74" spans="1:88" x14ac:dyDescent="0.2">
      <c r="A74" s="4">
        <v>50</v>
      </c>
      <c r="B74" s="4">
        <v>0</v>
      </c>
      <c r="C74" s="4">
        <v>0</v>
      </c>
      <c r="D74" s="4">
        <v>1</v>
      </c>
      <c r="E74" s="4">
        <v>224</v>
      </c>
      <c r="F74" s="4">
        <f>ROUND(Source!AR46,O74)</f>
        <v>836928.86</v>
      </c>
      <c r="G74" s="4" t="s">
        <v>158</v>
      </c>
      <c r="H74" s="4" t="s">
        <v>159</v>
      </c>
      <c r="I74" s="4"/>
      <c r="J74" s="4"/>
      <c r="K74" s="4">
        <v>-224</v>
      </c>
      <c r="L74" s="4">
        <v>27</v>
      </c>
      <c r="M74" s="4">
        <v>3</v>
      </c>
      <c r="N74" s="4" t="s">
        <v>3</v>
      </c>
      <c r="O74" s="4">
        <v>2</v>
      </c>
      <c r="P74" s="4"/>
      <c r="Q74" s="4"/>
      <c r="R74" s="4"/>
      <c r="S74" s="4"/>
      <c r="T74" s="4"/>
      <c r="U74" s="4"/>
      <c r="V74" s="4"/>
      <c r="W74" s="4"/>
    </row>
    <row r="75" spans="1:88" x14ac:dyDescent="0.2">
      <c r="A75" s="4">
        <v>50</v>
      </c>
      <c r="B75" s="4">
        <v>1</v>
      </c>
      <c r="C75" s="4">
        <v>0</v>
      </c>
      <c r="D75" s="4">
        <v>2</v>
      </c>
      <c r="E75" s="4">
        <v>0</v>
      </c>
      <c r="F75" s="4">
        <f>ROUND(F74,O75)</f>
        <v>836928.86</v>
      </c>
      <c r="G75" s="4" t="s">
        <v>27</v>
      </c>
      <c r="H75" s="4" t="s">
        <v>160</v>
      </c>
      <c r="I75" s="4"/>
      <c r="J75" s="4"/>
      <c r="K75" s="4">
        <v>212</v>
      </c>
      <c r="L75" s="4">
        <v>28</v>
      </c>
      <c r="M75" s="4">
        <v>0</v>
      </c>
      <c r="N75" s="4" t="s">
        <v>3</v>
      </c>
      <c r="O75" s="4">
        <v>2</v>
      </c>
      <c r="P75" s="4"/>
      <c r="Q75" s="4"/>
      <c r="R75" s="4"/>
      <c r="S75" s="4"/>
      <c r="T75" s="4"/>
      <c r="U75" s="4"/>
      <c r="V75" s="4"/>
      <c r="W75" s="4"/>
    </row>
    <row r="76" spans="1:88" x14ac:dyDescent="0.2">
      <c r="A76" s="4">
        <v>50</v>
      </c>
      <c r="B76" s="4">
        <v>1</v>
      </c>
      <c r="C76" s="4">
        <v>0</v>
      </c>
      <c r="D76" s="4">
        <v>2</v>
      </c>
      <c r="E76" s="4">
        <v>0</v>
      </c>
      <c r="F76" s="4">
        <f>ROUND(F75*0.2,O76)</f>
        <v>167385.76999999999</v>
      </c>
      <c r="G76" s="4" t="s">
        <v>35</v>
      </c>
      <c r="H76" s="4" t="s">
        <v>161</v>
      </c>
      <c r="I76" s="4"/>
      <c r="J76" s="4"/>
      <c r="K76" s="4">
        <v>212</v>
      </c>
      <c r="L76" s="4">
        <v>29</v>
      </c>
      <c r="M76" s="4">
        <v>0</v>
      </c>
      <c r="N76" s="4" t="s">
        <v>3</v>
      </c>
      <c r="O76" s="4">
        <v>2</v>
      </c>
      <c r="P76" s="4"/>
      <c r="Q76" s="4"/>
      <c r="R76" s="4"/>
      <c r="S76" s="4"/>
      <c r="T76" s="4"/>
      <c r="U76" s="4"/>
      <c r="V76" s="4"/>
      <c r="W76" s="4"/>
    </row>
    <row r="77" spans="1:88" x14ac:dyDescent="0.2">
      <c r="A77" s="4">
        <v>50</v>
      </c>
      <c r="B77" s="4">
        <v>1</v>
      </c>
      <c r="C77" s="4">
        <v>0</v>
      </c>
      <c r="D77" s="4">
        <v>2</v>
      </c>
      <c r="E77" s="4">
        <v>213</v>
      </c>
      <c r="F77" s="4">
        <f>ROUND(F75+F76,O77)</f>
        <v>1004314.63</v>
      </c>
      <c r="G77" s="4" t="s">
        <v>39</v>
      </c>
      <c r="H77" s="4" t="s">
        <v>162</v>
      </c>
      <c r="I77" s="4"/>
      <c r="J77" s="4"/>
      <c r="K77" s="4">
        <v>212</v>
      </c>
      <c r="L77" s="4">
        <v>30</v>
      </c>
      <c r="M77" s="4">
        <v>0</v>
      </c>
      <c r="N77" s="4" t="s">
        <v>3</v>
      </c>
      <c r="O77" s="4">
        <v>2</v>
      </c>
      <c r="P77" s="4"/>
      <c r="Q77" s="4"/>
      <c r="R77" s="4"/>
      <c r="S77" s="4"/>
      <c r="T77" s="4"/>
      <c r="U77" s="4"/>
      <c r="V77" s="4"/>
      <c r="W77" s="4"/>
    </row>
    <row r="79" spans="1:88" x14ac:dyDescent="0.2">
      <c r="A79" s="1">
        <v>4</v>
      </c>
      <c r="B79" s="1">
        <v>1</v>
      </c>
      <c r="C79" s="1"/>
      <c r="D79" s="1">
        <f>ROW(A91)</f>
        <v>91</v>
      </c>
      <c r="E79" s="1"/>
      <c r="F79" s="1" t="s">
        <v>163</v>
      </c>
      <c r="G79" s="1" t="s">
        <v>164</v>
      </c>
      <c r="H79" s="1" t="s">
        <v>3</v>
      </c>
      <c r="I79" s="1">
        <v>0</v>
      </c>
      <c r="J79" s="1"/>
      <c r="K79" s="1">
        <v>-1</v>
      </c>
      <c r="L79" s="1"/>
      <c r="M79" s="1" t="s">
        <v>3</v>
      </c>
      <c r="N79" s="1"/>
      <c r="O79" s="1"/>
      <c r="P79" s="1"/>
      <c r="Q79" s="1"/>
      <c r="R79" s="1"/>
      <c r="S79" s="1">
        <v>0</v>
      </c>
      <c r="T79" s="1"/>
      <c r="U79" s="1" t="s">
        <v>3</v>
      </c>
      <c r="V79" s="1">
        <v>0</v>
      </c>
      <c r="W79" s="1"/>
      <c r="X79" s="1"/>
      <c r="Y79" s="1"/>
      <c r="Z79" s="1"/>
      <c r="AA79" s="1"/>
      <c r="AB79" s="1" t="s">
        <v>3</v>
      </c>
      <c r="AC79" s="1" t="s">
        <v>3</v>
      </c>
      <c r="AD79" s="1" t="s">
        <v>3</v>
      </c>
      <c r="AE79" s="1" t="s">
        <v>3</v>
      </c>
      <c r="AF79" s="1" t="s">
        <v>3</v>
      </c>
      <c r="AG79" s="1" t="s">
        <v>3</v>
      </c>
      <c r="AH79" s="1"/>
      <c r="AI79" s="1"/>
      <c r="AJ79" s="1"/>
      <c r="AK79" s="1"/>
      <c r="AL79" s="1"/>
      <c r="AM79" s="1"/>
      <c r="AN79" s="1"/>
      <c r="AO79" s="1"/>
      <c r="AP79" s="1" t="s">
        <v>3</v>
      </c>
      <c r="AQ79" s="1" t="s">
        <v>3</v>
      </c>
      <c r="AR79" s="1" t="s">
        <v>3</v>
      </c>
      <c r="AS79" s="1"/>
      <c r="AT79" s="1"/>
      <c r="AU79" s="1"/>
      <c r="AV79" s="1"/>
      <c r="AW79" s="1"/>
      <c r="AX79" s="1"/>
      <c r="AY79" s="1"/>
      <c r="AZ79" s="1" t="s">
        <v>3</v>
      </c>
      <c r="BA79" s="1"/>
      <c r="BB79" s="1" t="s">
        <v>3</v>
      </c>
      <c r="BC79" s="1" t="s">
        <v>3</v>
      </c>
      <c r="BD79" s="1" t="s">
        <v>3</v>
      </c>
      <c r="BE79" s="1" t="s">
        <v>3</v>
      </c>
      <c r="BF79" s="1" t="s">
        <v>3</v>
      </c>
      <c r="BG79" s="1" t="s">
        <v>3</v>
      </c>
      <c r="BH79" s="1" t="s">
        <v>3</v>
      </c>
      <c r="BI79" s="1" t="s">
        <v>3</v>
      </c>
      <c r="BJ79" s="1" t="s">
        <v>3</v>
      </c>
      <c r="BK79" s="1" t="s">
        <v>3</v>
      </c>
      <c r="BL79" s="1" t="s">
        <v>3</v>
      </c>
      <c r="BM79" s="1" t="s">
        <v>3</v>
      </c>
      <c r="BN79" s="1" t="s">
        <v>3</v>
      </c>
      <c r="BO79" s="1" t="s">
        <v>3</v>
      </c>
      <c r="BP79" s="1" t="s">
        <v>3</v>
      </c>
      <c r="BQ79" s="1"/>
      <c r="BR79" s="1"/>
      <c r="BS79" s="1"/>
      <c r="BT79" s="1"/>
      <c r="BU79" s="1"/>
      <c r="BV79" s="1"/>
      <c r="BW79" s="1"/>
      <c r="BX79" s="1">
        <v>0</v>
      </c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>
        <v>0</v>
      </c>
    </row>
    <row r="81" spans="1:245" x14ac:dyDescent="0.2">
      <c r="A81" s="2">
        <v>52</v>
      </c>
      <c r="B81" s="2">
        <f t="shared" ref="B81:G81" si="65">B91</f>
        <v>1</v>
      </c>
      <c r="C81" s="2">
        <f t="shared" si="65"/>
        <v>4</v>
      </c>
      <c r="D81" s="2">
        <f t="shared" si="65"/>
        <v>79</v>
      </c>
      <c r="E81" s="2">
        <f t="shared" si="65"/>
        <v>0</v>
      </c>
      <c r="F81" s="2" t="str">
        <f t="shared" si="65"/>
        <v>дем. решет. 68м</v>
      </c>
      <c r="G81" s="2" t="str">
        <f t="shared" si="65"/>
        <v>Демонтаж решеточного ограждения 68 м Н=3 м</v>
      </c>
      <c r="H81" s="2"/>
      <c r="I81" s="2"/>
      <c r="J81" s="2"/>
      <c r="K81" s="2"/>
      <c r="L81" s="2"/>
      <c r="M81" s="2"/>
      <c r="N81" s="2"/>
      <c r="O81" s="2">
        <f t="shared" ref="O81:AT81" si="66">O91</f>
        <v>20122.25</v>
      </c>
      <c r="P81" s="2">
        <f t="shared" si="66"/>
        <v>0</v>
      </c>
      <c r="Q81" s="2">
        <f t="shared" si="66"/>
        <v>1464.25</v>
      </c>
      <c r="R81" s="2">
        <f t="shared" si="66"/>
        <v>490.05</v>
      </c>
      <c r="S81" s="2">
        <f t="shared" si="66"/>
        <v>18658</v>
      </c>
      <c r="T81" s="2">
        <f t="shared" si="66"/>
        <v>0</v>
      </c>
      <c r="U81" s="2">
        <f t="shared" si="66"/>
        <v>72.72</v>
      </c>
      <c r="V81" s="2">
        <f t="shared" si="66"/>
        <v>0</v>
      </c>
      <c r="W81" s="2">
        <f t="shared" si="66"/>
        <v>0</v>
      </c>
      <c r="X81" s="2">
        <f t="shared" si="66"/>
        <v>13060.6</v>
      </c>
      <c r="Y81" s="2">
        <f t="shared" si="66"/>
        <v>1865.81</v>
      </c>
      <c r="Z81" s="2">
        <f t="shared" si="66"/>
        <v>0</v>
      </c>
      <c r="AA81" s="2">
        <f t="shared" si="66"/>
        <v>0</v>
      </c>
      <c r="AB81" s="2">
        <f t="shared" si="66"/>
        <v>20122.25</v>
      </c>
      <c r="AC81" s="2">
        <f t="shared" si="66"/>
        <v>0</v>
      </c>
      <c r="AD81" s="2">
        <f t="shared" si="66"/>
        <v>1464.25</v>
      </c>
      <c r="AE81" s="2">
        <f t="shared" si="66"/>
        <v>490.05</v>
      </c>
      <c r="AF81" s="2">
        <f t="shared" si="66"/>
        <v>18658</v>
      </c>
      <c r="AG81" s="2">
        <f t="shared" si="66"/>
        <v>0</v>
      </c>
      <c r="AH81" s="2">
        <f t="shared" si="66"/>
        <v>72.72</v>
      </c>
      <c r="AI81" s="2">
        <f t="shared" si="66"/>
        <v>0</v>
      </c>
      <c r="AJ81" s="2">
        <f t="shared" si="66"/>
        <v>0</v>
      </c>
      <c r="AK81" s="2">
        <f t="shared" si="66"/>
        <v>13060.6</v>
      </c>
      <c r="AL81" s="2">
        <f t="shared" si="66"/>
        <v>1865.81</v>
      </c>
      <c r="AM81" s="2">
        <f t="shared" si="66"/>
        <v>0</v>
      </c>
      <c r="AN81" s="2">
        <f t="shared" si="66"/>
        <v>0</v>
      </c>
      <c r="AO81" s="2">
        <f t="shared" si="66"/>
        <v>0</v>
      </c>
      <c r="AP81" s="2">
        <f t="shared" si="66"/>
        <v>0</v>
      </c>
      <c r="AQ81" s="2">
        <f t="shared" si="66"/>
        <v>0</v>
      </c>
      <c r="AR81" s="2">
        <f t="shared" si="66"/>
        <v>35169.26</v>
      </c>
      <c r="AS81" s="2">
        <f t="shared" si="66"/>
        <v>0</v>
      </c>
      <c r="AT81" s="2">
        <f t="shared" si="66"/>
        <v>0</v>
      </c>
      <c r="AU81" s="2">
        <f t="shared" ref="AU81:BZ81" si="67">AU91</f>
        <v>35169.26</v>
      </c>
      <c r="AV81" s="2">
        <f t="shared" si="67"/>
        <v>0</v>
      </c>
      <c r="AW81" s="2">
        <f t="shared" si="67"/>
        <v>0</v>
      </c>
      <c r="AX81" s="2">
        <f t="shared" si="67"/>
        <v>0</v>
      </c>
      <c r="AY81" s="2">
        <f t="shared" si="67"/>
        <v>0</v>
      </c>
      <c r="AZ81" s="2">
        <f t="shared" si="67"/>
        <v>0</v>
      </c>
      <c r="BA81" s="2">
        <f t="shared" si="67"/>
        <v>0</v>
      </c>
      <c r="BB81" s="2">
        <f t="shared" si="67"/>
        <v>0</v>
      </c>
      <c r="BC81" s="2">
        <f t="shared" si="67"/>
        <v>0</v>
      </c>
      <c r="BD81" s="2">
        <f t="shared" si="67"/>
        <v>0</v>
      </c>
      <c r="BE81" s="2">
        <f t="shared" si="67"/>
        <v>0</v>
      </c>
      <c r="BF81" s="2">
        <f t="shared" si="67"/>
        <v>0</v>
      </c>
      <c r="BG81" s="2">
        <f t="shared" si="67"/>
        <v>0</v>
      </c>
      <c r="BH81" s="2">
        <f t="shared" si="67"/>
        <v>0</v>
      </c>
      <c r="BI81" s="2">
        <f t="shared" si="67"/>
        <v>0</v>
      </c>
      <c r="BJ81" s="2">
        <f t="shared" si="67"/>
        <v>0</v>
      </c>
      <c r="BK81" s="2">
        <f t="shared" si="67"/>
        <v>0</v>
      </c>
      <c r="BL81" s="2">
        <f t="shared" si="67"/>
        <v>0</v>
      </c>
      <c r="BM81" s="2">
        <f t="shared" si="67"/>
        <v>0</v>
      </c>
      <c r="BN81" s="2">
        <f t="shared" si="67"/>
        <v>0</v>
      </c>
      <c r="BO81" s="2">
        <f t="shared" si="67"/>
        <v>0</v>
      </c>
      <c r="BP81" s="2">
        <f t="shared" si="67"/>
        <v>0</v>
      </c>
      <c r="BQ81" s="2">
        <f t="shared" si="67"/>
        <v>0</v>
      </c>
      <c r="BR81" s="2">
        <f t="shared" si="67"/>
        <v>0</v>
      </c>
      <c r="BS81" s="2">
        <f t="shared" si="67"/>
        <v>0</v>
      </c>
      <c r="BT81" s="2">
        <f t="shared" si="67"/>
        <v>0</v>
      </c>
      <c r="BU81" s="2">
        <f t="shared" si="67"/>
        <v>0</v>
      </c>
      <c r="BV81" s="2">
        <f t="shared" si="67"/>
        <v>0</v>
      </c>
      <c r="BW81" s="2">
        <f t="shared" si="67"/>
        <v>0</v>
      </c>
      <c r="BX81" s="2">
        <f t="shared" si="67"/>
        <v>0</v>
      </c>
      <c r="BY81" s="2">
        <f t="shared" si="67"/>
        <v>0</v>
      </c>
      <c r="BZ81" s="2">
        <f t="shared" si="67"/>
        <v>0</v>
      </c>
      <c r="CA81" s="2">
        <f t="shared" ref="CA81:DF81" si="68">CA91</f>
        <v>35169.26</v>
      </c>
      <c r="CB81" s="2">
        <f t="shared" si="68"/>
        <v>0</v>
      </c>
      <c r="CC81" s="2">
        <f t="shared" si="68"/>
        <v>0</v>
      </c>
      <c r="CD81" s="2">
        <f t="shared" si="68"/>
        <v>35169.26</v>
      </c>
      <c r="CE81" s="2">
        <f t="shared" si="68"/>
        <v>0</v>
      </c>
      <c r="CF81" s="2">
        <f t="shared" si="68"/>
        <v>0</v>
      </c>
      <c r="CG81" s="2">
        <f t="shared" si="68"/>
        <v>0</v>
      </c>
      <c r="CH81" s="2">
        <f t="shared" si="68"/>
        <v>0</v>
      </c>
      <c r="CI81" s="2">
        <f t="shared" si="68"/>
        <v>0</v>
      </c>
      <c r="CJ81" s="2">
        <f t="shared" si="68"/>
        <v>0</v>
      </c>
      <c r="CK81" s="2">
        <f t="shared" si="68"/>
        <v>0</v>
      </c>
      <c r="CL81" s="2">
        <f t="shared" si="68"/>
        <v>0</v>
      </c>
      <c r="CM81" s="2">
        <f t="shared" si="68"/>
        <v>0</v>
      </c>
      <c r="CN81" s="2">
        <f t="shared" si="68"/>
        <v>0</v>
      </c>
      <c r="CO81" s="2">
        <f t="shared" si="68"/>
        <v>0</v>
      </c>
      <c r="CP81" s="2">
        <f t="shared" si="68"/>
        <v>0</v>
      </c>
      <c r="CQ81" s="2">
        <f t="shared" si="68"/>
        <v>0</v>
      </c>
      <c r="CR81" s="2">
        <f t="shared" si="68"/>
        <v>0</v>
      </c>
      <c r="CS81" s="2">
        <f t="shared" si="68"/>
        <v>0</v>
      </c>
      <c r="CT81" s="2">
        <f t="shared" si="68"/>
        <v>0</v>
      </c>
      <c r="CU81" s="2">
        <f t="shared" si="68"/>
        <v>0</v>
      </c>
      <c r="CV81" s="2">
        <f t="shared" si="68"/>
        <v>0</v>
      </c>
      <c r="CW81" s="2">
        <f t="shared" si="68"/>
        <v>0</v>
      </c>
      <c r="CX81" s="2">
        <f t="shared" si="68"/>
        <v>0</v>
      </c>
      <c r="CY81" s="2">
        <f t="shared" si="68"/>
        <v>0</v>
      </c>
      <c r="CZ81" s="2">
        <f t="shared" si="68"/>
        <v>0</v>
      </c>
      <c r="DA81" s="2">
        <f t="shared" si="68"/>
        <v>0</v>
      </c>
      <c r="DB81" s="2">
        <f t="shared" si="68"/>
        <v>0</v>
      </c>
      <c r="DC81" s="2">
        <f t="shared" si="68"/>
        <v>0</v>
      </c>
      <c r="DD81" s="2">
        <f t="shared" si="68"/>
        <v>0</v>
      </c>
      <c r="DE81" s="2">
        <f t="shared" si="68"/>
        <v>0</v>
      </c>
      <c r="DF81" s="2">
        <f t="shared" si="68"/>
        <v>0</v>
      </c>
      <c r="DG81" s="3">
        <f t="shared" ref="DG81:EL81" si="69">DG91</f>
        <v>0</v>
      </c>
      <c r="DH81" s="3">
        <f t="shared" si="69"/>
        <v>0</v>
      </c>
      <c r="DI81" s="3">
        <f t="shared" si="69"/>
        <v>0</v>
      </c>
      <c r="DJ81" s="3">
        <f t="shared" si="69"/>
        <v>0</v>
      </c>
      <c r="DK81" s="3">
        <f t="shared" si="69"/>
        <v>0</v>
      </c>
      <c r="DL81" s="3">
        <f t="shared" si="69"/>
        <v>0</v>
      </c>
      <c r="DM81" s="3">
        <f t="shared" si="69"/>
        <v>0</v>
      </c>
      <c r="DN81" s="3">
        <f t="shared" si="69"/>
        <v>0</v>
      </c>
      <c r="DO81" s="3">
        <f t="shared" si="69"/>
        <v>0</v>
      </c>
      <c r="DP81" s="3">
        <f t="shared" si="69"/>
        <v>0</v>
      </c>
      <c r="DQ81" s="3">
        <f t="shared" si="69"/>
        <v>0</v>
      </c>
      <c r="DR81" s="3">
        <f t="shared" si="69"/>
        <v>0</v>
      </c>
      <c r="DS81" s="3">
        <f t="shared" si="69"/>
        <v>0</v>
      </c>
      <c r="DT81" s="3">
        <f t="shared" si="69"/>
        <v>0</v>
      </c>
      <c r="DU81" s="3">
        <f t="shared" si="69"/>
        <v>0</v>
      </c>
      <c r="DV81" s="3">
        <f t="shared" si="69"/>
        <v>0</v>
      </c>
      <c r="DW81" s="3">
        <f t="shared" si="69"/>
        <v>0</v>
      </c>
      <c r="DX81" s="3">
        <f t="shared" si="69"/>
        <v>0</v>
      </c>
      <c r="DY81" s="3">
        <f t="shared" si="69"/>
        <v>0</v>
      </c>
      <c r="DZ81" s="3">
        <f t="shared" si="69"/>
        <v>0</v>
      </c>
      <c r="EA81" s="3">
        <f t="shared" si="69"/>
        <v>0</v>
      </c>
      <c r="EB81" s="3">
        <f t="shared" si="69"/>
        <v>0</v>
      </c>
      <c r="EC81" s="3">
        <f t="shared" si="69"/>
        <v>0</v>
      </c>
      <c r="ED81" s="3">
        <f t="shared" si="69"/>
        <v>0</v>
      </c>
      <c r="EE81" s="3">
        <f t="shared" si="69"/>
        <v>0</v>
      </c>
      <c r="EF81" s="3">
        <f t="shared" si="69"/>
        <v>0</v>
      </c>
      <c r="EG81" s="3">
        <f t="shared" si="69"/>
        <v>0</v>
      </c>
      <c r="EH81" s="3">
        <f t="shared" si="69"/>
        <v>0</v>
      </c>
      <c r="EI81" s="3">
        <f t="shared" si="69"/>
        <v>0</v>
      </c>
      <c r="EJ81" s="3">
        <f t="shared" si="69"/>
        <v>0</v>
      </c>
      <c r="EK81" s="3">
        <f t="shared" si="69"/>
        <v>0</v>
      </c>
      <c r="EL81" s="3">
        <f t="shared" si="69"/>
        <v>0</v>
      </c>
      <c r="EM81" s="3">
        <f t="shared" ref="EM81:FR81" si="70">EM91</f>
        <v>0</v>
      </c>
      <c r="EN81" s="3">
        <f t="shared" si="70"/>
        <v>0</v>
      </c>
      <c r="EO81" s="3">
        <f t="shared" si="70"/>
        <v>0</v>
      </c>
      <c r="EP81" s="3">
        <f t="shared" si="70"/>
        <v>0</v>
      </c>
      <c r="EQ81" s="3">
        <f t="shared" si="70"/>
        <v>0</v>
      </c>
      <c r="ER81" s="3">
        <f t="shared" si="70"/>
        <v>0</v>
      </c>
      <c r="ES81" s="3">
        <f t="shared" si="70"/>
        <v>0</v>
      </c>
      <c r="ET81" s="3">
        <f t="shared" si="70"/>
        <v>0</v>
      </c>
      <c r="EU81" s="3">
        <f t="shared" si="70"/>
        <v>0</v>
      </c>
      <c r="EV81" s="3">
        <f t="shared" si="70"/>
        <v>0</v>
      </c>
      <c r="EW81" s="3">
        <f t="shared" si="70"/>
        <v>0</v>
      </c>
      <c r="EX81" s="3">
        <f t="shared" si="70"/>
        <v>0</v>
      </c>
      <c r="EY81" s="3">
        <f t="shared" si="70"/>
        <v>0</v>
      </c>
      <c r="EZ81" s="3">
        <f t="shared" si="70"/>
        <v>0</v>
      </c>
      <c r="FA81" s="3">
        <f t="shared" si="70"/>
        <v>0</v>
      </c>
      <c r="FB81" s="3">
        <f t="shared" si="70"/>
        <v>0</v>
      </c>
      <c r="FC81" s="3">
        <f t="shared" si="70"/>
        <v>0</v>
      </c>
      <c r="FD81" s="3">
        <f t="shared" si="70"/>
        <v>0</v>
      </c>
      <c r="FE81" s="3">
        <f t="shared" si="70"/>
        <v>0</v>
      </c>
      <c r="FF81" s="3">
        <f t="shared" si="70"/>
        <v>0</v>
      </c>
      <c r="FG81" s="3">
        <f t="shared" si="70"/>
        <v>0</v>
      </c>
      <c r="FH81" s="3">
        <f t="shared" si="70"/>
        <v>0</v>
      </c>
      <c r="FI81" s="3">
        <f t="shared" si="70"/>
        <v>0</v>
      </c>
      <c r="FJ81" s="3">
        <f t="shared" si="70"/>
        <v>0</v>
      </c>
      <c r="FK81" s="3">
        <f t="shared" si="70"/>
        <v>0</v>
      </c>
      <c r="FL81" s="3">
        <f t="shared" si="70"/>
        <v>0</v>
      </c>
      <c r="FM81" s="3">
        <f t="shared" si="70"/>
        <v>0</v>
      </c>
      <c r="FN81" s="3">
        <f t="shared" si="70"/>
        <v>0</v>
      </c>
      <c r="FO81" s="3">
        <f t="shared" si="70"/>
        <v>0</v>
      </c>
      <c r="FP81" s="3">
        <f t="shared" si="70"/>
        <v>0</v>
      </c>
      <c r="FQ81" s="3">
        <f t="shared" si="70"/>
        <v>0</v>
      </c>
      <c r="FR81" s="3">
        <f t="shared" si="70"/>
        <v>0</v>
      </c>
      <c r="FS81" s="3">
        <f t="shared" ref="FS81:GX81" si="71">FS91</f>
        <v>0</v>
      </c>
      <c r="FT81" s="3">
        <f t="shared" si="71"/>
        <v>0</v>
      </c>
      <c r="FU81" s="3">
        <f t="shared" si="71"/>
        <v>0</v>
      </c>
      <c r="FV81" s="3">
        <f t="shared" si="71"/>
        <v>0</v>
      </c>
      <c r="FW81" s="3">
        <f t="shared" si="71"/>
        <v>0</v>
      </c>
      <c r="FX81" s="3">
        <f t="shared" si="71"/>
        <v>0</v>
      </c>
      <c r="FY81" s="3">
        <f t="shared" si="71"/>
        <v>0</v>
      </c>
      <c r="FZ81" s="3">
        <f t="shared" si="71"/>
        <v>0</v>
      </c>
      <c r="GA81" s="3">
        <f t="shared" si="71"/>
        <v>0</v>
      </c>
      <c r="GB81" s="3">
        <f t="shared" si="71"/>
        <v>0</v>
      </c>
      <c r="GC81" s="3">
        <f t="shared" si="71"/>
        <v>0</v>
      </c>
      <c r="GD81" s="3">
        <f t="shared" si="71"/>
        <v>0</v>
      </c>
      <c r="GE81" s="3">
        <f t="shared" si="71"/>
        <v>0</v>
      </c>
      <c r="GF81" s="3">
        <f t="shared" si="71"/>
        <v>0</v>
      </c>
      <c r="GG81" s="3">
        <f t="shared" si="71"/>
        <v>0</v>
      </c>
      <c r="GH81" s="3">
        <f t="shared" si="71"/>
        <v>0</v>
      </c>
      <c r="GI81" s="3">
        <f t="shared" si="71"/>
        <v>0</v>
      </c>
      <c r="GJ81" s="3">
        <f t="shared" si="71"/>
        <v>0</v>
      </c>
      <c r="GK81" s="3">
        <f t="shared" si="71"/>
        <v>0</v>
      </c>
      <c r="GL81" s="3">
        <f t="shared" si="71"/>
        <v>0</v>
      </c>
      <c r="GM81" s="3">
        <f t="shared" si="71"/>
        <v>0</v>
      </c>
      <c r="GN81" s="3">
        <f t="shared" si="71"/>
        <v>0</v>
      </c>
      <c r="GO81" s="3">
        <f t="shared" si="71"/>
        <v>0</v>
      </c>
      <c r="GP81" s="3">
        <f t="shared" si="71"/>
        <v>0</v>
      </c>
      <c r="GQ81" s="3">
        <f t="shared" si="71"/>
        <v>0</v>
      </c>
      <c r="GR81" s="3">
        <f t="shared" si="71"/>
        <v>0</v>
      </c>
      <c r="GS81" s="3">
        <f t="shared" si="71"/>
        <v>0</v>
      </c>
      <c r="GT81" s="3">
        <f t="shared" si="71"/>
        <v>0</v>
      </c>
      <c r="GU81" s="3">
        <f t="shared" si="71"/>
        <v>0</v>
      </c>
      <c r="GV81" s="3">
        <f t="shared" si="71"/>
        <v>0</v>
      </c>
      <c r="GW81" s="3">
        <f t="shared" si="71"/>
        <v>0</v>
      </c>
      <c r="GX81" s="3">
        <f t="shared" si="71"/>
        <v>0</v>
      </c>
    </row>
    <row r="83" spans="1:245" x14ac:dyDescent="0.2">
      <c r="A83">
        <v>17</v>
      </c>
      <c r="B83">
        <v>1</v>
      </c>
      <c r="C83">
        <f>ROW(SmtRes!A60)</f>
        <v>60</v>
      </c>
      <c r="D83">
        <f>ROW(EtalonRes!A57)</f>
        <v>57</v>
      </c>
      <c r="E83" t="s">
        <v>165</v>
      </c>
      <c r="F83" t="s">
        <v>166</v>
      </c>
      <c r="G83" t="s">
        <v>167</v>
      </c>
      <c r="H83" t="s">
        <v>57</v>
      </c>
      <c r="I83">
        <f>ROUND(3005/1000,1)</f>
        <v>3</v>
      </c>
      <c r="J83">
        <v>0</v>
      </c>
      <c r="O83">
        <f t="shared" ref="O83:O89" si="72">ROUND(CP83,2)</f>
        <v>13847.78</v>
      </c>
      <c r="P83">
        <f t="shared" ref="P83:P89" si="73">ROUND(CQ83*I83,2)</f>
        <v>0</v>
      </c>
      <c r="Q83">
        <f t="shared" ref="Q83:Q89" si="74">ROUND(CR83*I83,2)</f>
        <v>353.4</v>
      </c>
      <c r="R83">
        <f t="shared" ref="R83:R89" si="75">ROUND(CS83*I83,2)</f>
        <v>15.39</v>
      </c>
      <c r="S83">
        <f t="shared" ref="S83:S89" si="76">ROUND(CT83*I83,2)</f>
        <v>13494.38</v>
      </c>
      <c r="T83">
        <f t="shared" ref="T83:T89" si="77">ROUND(CU83*I83,2)</f>
        <v>0</v>
      </c>
      <c r="U83">
        <f t="shared" ref="U83:U89" si="78">CV83*I83</f>
        <v>52.44</v>
      </c>
      <c r="V83">
        <f t="shared" ref="V83:V89" si="79">CW83*I83</f>
        <v>0</v>
      </c>
      <c r="W83">
        <f t="shared" ref="W83:W89" si="80">ROUND(CX83*I83,2)</f>
        <v>0</v>
      </c>
      <c r="X83">
        <f t="shared" ref="X83:Y89" si="81">ROUND(CY83,2)</f>
        <v>9446.07</v>
      </c>
      <c r="Y83">
        <f t="shared" si="81"/>
        <v>1349.44</v>
      </c>
      <c r="AA83">
        <v>49707740</v>
      </c>
      <c r="AB83">
        <f t="shared" ref="AB83:AB89" si="82">ROUND((AC83+AD83+AF83),6)</f>
        <v>4615.9279999999999</v>
      </c>
      <c r="AC83">
        <f>ROUND(((ES83*0)),6)</f>
        <v>0</v>
      </c>
      <c r="AD83">
        <f>ROUND(((((ET83*0.2))-((EU83*0.2)))+AE83),6)</f>
        <v>117.8</v>
      </c>
      <c r="AE83">
        <f>ROUND(((EU83*0.2)),6)</f>
        <v>5.13</v>
      </c>
      <c r="AF83">
        <f>ROUND(((EV83*0.2)),6)</f>
        <v>4498.1279999999997</v>
      </c>
      <c r="AG83">
        <f t="shared" ref="AG83:AG89" si="83">ROUND((AP83),6)</f>
        <v>0</v>
      </c>
      <c r="AH83">
        <f>((EW83*0.2))</f>
        <v>17.48</v>
      </c>
      <c r="AI83">
        <f>((EX83*0.2))</f>
        <v>0</v>
      </c>
      <c r="AJ83">
        <f t="shared" ref="AJ83:AJ89" si="84">(AS83)</f>
        <v>0</v>
      </c>
      <c r="AK83">
        <v>98608.07</v>
      </c>
      <c r="AL83">
        <v>75528.429999999993</v>
      </c>
      <c r="AM83">
        <v>589</v>
      </c>
      <c r="AN83">
        <v>25.65</v>
      </c>
      <c r="AO83">
        <v>22490.639999999999</v>
      </c>
      <c r="AP83">
        <v>0</v>
      </c>
      <c r="AQ83">
        <v>87.4</v>
      </c>
      <c r="AR83">
        <v>0</v>
      </c>
      <c r="AS83">
        <v>0</v>
      </c>
      <c r="AT83">
        <v>70</v>
      </c>
      <c r="AU83">
        <v>10</v>
      </c>
      <c r="AV83">
        <v>1</v>
      </c>
      <c r="AW83">
        <v>1</v>
      </c>
      <c r="AZ83">
        <v>1</v>
      </c>
      <c r="BA83">
        <v>1</v>
      </c>
      <c r="BB83">
        <v>1</v>
      </c>
      <c r="BC83">
        <v>1</v>
      </c>
      <c r="BD83" t="s">
        <v>3</v>
      </c>
      <c r="BE83" t="s">
        <v>3</v>
      </c>
      <c r="BF83" t="s">
        <v>3</v>
      </c>
      <c r="BG83" t="s">
        <v>3</v>
      </c>
      <c r="BH83">
        <v>0</v>
      </c>
      <c r="BI83">
        <v>4</v>
      </c>
      <c r="BJ83" t="s">
        <v>168</v>
      </c>
      <c r="BM83">
        <v>0</v>
      </c>
      <c r="BN83">
        <v>0</v>
      </c>
      <c r="BO83" t="s">
        <v>3</v>
      </c>
      <c r="BP83">
        <v>0</v>
      </c>
      <c r="BQ83">
        <v>1</v>
      </c>
      <c r="BR83">
        <v>0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 t="s">
        <v>3</v>
      </c>
      <c r="BZ83">
        <v>70</v>
      </c>
      <c r="CA83">
        <v>10</v>
      </c>
      <c r="CE83">
        <v>0</v>
      </c>
      <c r="CF83">
        <v>0</v>
      </c>
      <c r="CG83">
        <v>0</v>
      </c>
      <c r="CM83">
        <v>0</v>
      </c>
      <c r="CN83" t="s">
        <v>481</v>
      </c>
      <c r="CO83">
        <v>0</v>
      </c>
      <c r="CP83">
        <f t="shared" ref="CP83:CP89" si="85">(P83+Q83+S83)</f>
        <v>13847.779999999999</v>
      </c>
      <c r="CQ83">
        <f t="shared" ref="CQ83:CQ89" si="86">(AC83*BC83*AW83)</f>
        <v>0</v>
      </c>
      <c r="CR83">
        <f>(((((ET83*0.2))*BB83-((EU83*0.2))*BS83)+AE83*BS83)*AV83)</f>
        <v>117.80000000000001</v>
      </c>
      <c r="CS83">
        <f t="shared" ref="CS83:CS89" si="87">(AE83*BS83*AV83)</f>
        <v>5.13</v>
      </c>
      <c r="CT83">
        <f t="shared" ref="CT83:CT89" si="88">(AF83*BA83*AV83)</f>
        <v>4498.1279999999997</v>
      </c>
      <c r="CU83">
        <f t="shared" ref="CU83:CU89" si="89">AG83</f>
        <v>0</v>
      </c>
      <c r="CV83">
        <f t="shared" ref="CV83:CV89" si="90">(AH83*AV83)</f>
        <v>17.48</v>
      </c>
      <c r="CW83">
        <f t="shared" ref="CW83:CX89" si="91">AI83</f>
        <v>0</v>
      </c>
      <c r="CX83">
        <f t="shared" si="91"/>
        <v>0</v>
      </c>
      <c r="CY83">
        <f t="shared" ref="CY83:CY89" si="92">((S83*BZ83)/100)</f>
        <v>9446.0659999999989</v>
      </c>
      <c r="CZ83">
        <f t="shared" ref="CZ83:CZ89" si="93">((S83*CA83)/100)</f>
        <v>1349.4379999999999</v>
      </c>
      <c r="DC83" t="s">
        <v>3</v>
      </c>
      <c r="DD83" t="s">
        <v>169</v>
      </c>
      <c r="DE83" t="s">
        <v>170</v>
      </c>
      <c r="DF83" t="s">
        <v>170</v>
      </c>
      <c r="DG83" t="s">
        <v>170</v>
      </c>
      <c r="DH83" t="s">
        <v>3</v>
      </c>
      <c r="DI83" t="s">
        <v>170</v>
      </c>
      <c r="DJ83" t="s">
        <v>170</v>
      </c>
      <c r="DK83" t="s">
        <v>3</v>
      </c>
      <c r="DL83" t="s">
        <v>3</v>
      </c>
      <c r="DM83" t="s">
        <v>3</v>
      </c>
      <c r="DN83">
        <v>0</v>
      </c>
      <c r="DO83">
        <v>0</v>
      </c>
      <c r="DP83">
        <v>1</v>
      </c>
      <c r="DQ83">
        <v>1</v>
      </c>
      <c r="DU83">
        <v>1009</v>
      </c>
      <c r="DV83" t="s">
        <v>57</v>
      </c>
      <c r="DW83" t="s">
        <v>57</v>
      </c>
      <c r="DX83">
        <v>1000</v>
      </c>
      <c r="DZ83" t="s">
        <v>3</v>
      </c>
      <c r="EA83" t="s">
        <v>3</v>
      </c>
      <c r="EB83" t="s">
        <v>3</v>
      </c>
      <c r="EC83" t="s">
        <v>3</v>
      </c>
      <c r="EE83">
        <v>49145957</v>
      </c>
      <c r="EF83">
        <v>1</v>
      </c>
      <c r="EG83" t="s">
        <v>32</v>
      </c>
      <c r="EH83">
        <v>0</v>
      </c>
      <c r="EI83" t="s">
        <v>3</v>
      </c>
      <c r="EJ83">
        <v>4</v>
      </c>
      <c r="EK83">
        <v>0</v>
      </c>
      <c r="EL83" t="s">
        <v>33</v>
      </c>
      <c r="EM83" t="s">
        <v>34</v>
      </c>
      <c r="EO83" t="s">
        <v>171</v>
      </c>
      <c r="EQ83">
        <v>256</v>
      </c>
      <c r="ER83">
        <v>98608.07</v>
      </c>
      <c r="ES83">
        <v>75528.429999999993</v>
      </c>
      <c r="ET83">
        <v>589</v>
      </c>
      <c r="EU83">
        <v>25.65</v>
      </c>
      <c r="EV83">
        <v>22490.639999999999</v>
      </c>
      <c r="EW83">
        <v>87.4</v>
      </c>
      <c r="EX83">
        <v>0</v>
      </c>
      <c r="EY83">
        <v>0</v>
      </c>
      <c r="FQ83">
        <v>0</v>
      </c>
      <c r="FR83">
        <f t="shared" ref="FR83:FR89" si="94">ROUND(IF(AND(BH83=3,BI83=3),P83,0),2)</f>
        <v>0</v>
      </c>
      <c r="FS83">
        <v>0</v>
      </c>
      <c r="FX83">
        <v>70</v>
      </c>
      <c r="FY83">
        <v>10</v>
      </c>
      <c r="GA83" t="s">
        <v>3</v>
      </c>
      <c r="GD83">
        <v>0</v>
      </c>
      <c r="GF83">
        <v>1498476282</v>
      </c>
      <c r="GG83">
        <v>2</v>
      </c>
      <c r="GH83">
        <v>1</v>
      </c>
      <c r="GI83">
        <v>-2</v>
      </c>
      <c r="GJ83">
        <v>0</v>
      </c>
      <c r="GK83">
        <f>ROUND(R83*(R12)/100,2)</f>
        <v>16.62</v>
      </c>
      <c r="GL83">
        <f t="shared" ref="GL83:GL89" si="95">ROUND(IF(AND(BH83=3,BI83=3,FS83&lt;&gt;0),P83,0),2)</f>
        <v>0</v>
      </c>
      <c r="GM83">
        <f>ROUND(O83+X83+Y83+GK83,2)+GX83</f>
        <v>24659.91</v>
      </c>
      <c r="GN83">
        <f>IF(OR(BI83=0,BI83=1),ROUND(O83+X83+Y83+GK83,2),0)</f>
        <v>0</v>
      </c>
      <c r="GO83">
        <f>IF(BI83=2,ROUND(O83+X83+Y83+GK83,2),0)</f>
        <v>0</v>
      </c>
      <c r="GP83">
        <f>IF(BI83=4,ROUND(O83+X83+Y83+GK83,2)+GX83,0)</f>
        <v>24659.91</v>
      </c>
      <c r="GR83">
        <v>0</v>
      </c>
      <c r="GS83">
        <v>3</v>
      </c>
      <c r="GT83">
        <v>0</v>
      </c>
      <c r="GU83" t="s">
        <v>3</v>
      </c>
      <c r="GV83">
        <f t="shared" ref="GV83:GV89" si="96">ROUND((GT83),6)</f>
        <v>0</v>
      </c>
      <c r="GW83">
        <v>1</v>
      </c>
      <c r="GX83">
        <f t="shared" ref="GX83:GX89" si="97">ROUND(HC83*I83,2)</f>
        <v>0</v>
      </c>
      <c r="HA83">
        <v>0</v>
      </c>
      <c r="HB83">
        <v>0</v>
      </c>
      <c r="HC83">
        <f t="shared" ref="HC83:HC89" si="98">GV83*GW83</f>
        <v>0</v>
      </c>
      <c r="HE83" t="s">
        <v>3</v>
      </c>
      <c r="HF83" t="s">
        <v>3</v>
      </c>
      <c r="IK83">
        <v>0</v>
      </c>
    </row>
    <row r="84" spans="1:245" x14ac:dyDescent="0.2">
      <c r="A84">
        <v>17</v>
      </c>
      <c r="B84">
        <v>1</v>
      </c>
      <c r="C84">
        <f>ROW(SmtRes!A65)</f>
        <v>65</v>
      </c>
      <c r="D84">
        <f>ROW(EtalonRes!A62)</f>
        <v>62</v>
      </c>
      <c r="E84" t="s">
        <v>172</v>
      </c>
      <c r="F84" t="s">
        <v>173</v>
      </c>
      <c r="G84" t="s">
        <v>174</v>
      </c>
      <c r="H84" t="s">
        <v>57</v>
      </c>
      <c r="I84">
        <f>ROUND(900.72/1000,1)</f>
        <v>0.9</v>
      </c>
      <c r="J84">
        <v>0</v>
      </c>
      <c r="O84">
        <f t="shared" si="72"/>
        <v>5247.58</v>
      </c>
      <c r="P84">
        <f t="shared" si="73"/>
        <v>0</v>
      </c>
      <c r="Q84">
        <f t="shared" si="74"/>
        <v>133.91999999999999</v>
      </c>
      <c r="R84">
        <f t="shared" si="75"/>
        <v>5.83</v>
      </c>
      <c r="S84">
        <f t="shared" si="76"/>
        <v>5113.66</v>
      </c>
      <c r="T84">
        <f t="shared" si="77"/>
        <v>0</v>
      </c>
      <c r="U84">
        <f t="shared" si="78"/>
        <v>19.872000000000003</v>
      </c>
      <c r="V84">
        <f t="shared" si="79"/>
        <v>0</v>
      </c>
      <c r="W84">
        <f t="shared" si="80"/>
        <v>0</v>
      </c>
      <c r="X84">
        <f t="shared" si="81"/>
        <v>3579.56</v>
      </c>
      <c r="Y84">
        <f t="shared" si="81"/>
        <v>511.37</v>
      </c>
      <c r="AA84">
        <v>49707740</v>
      </c>
      <c r="AB84">
        <f t="shared" si="82"/>
        <v>5830.6459999999997</v>
      </c>
      <c r="AC84">
        <f>ROUND(((ES84*0)),6)</f>
        <v>0</v>
      </c>
      <c r="AD84">
        <f>ROUND(((((ET84*0.2))-((EU84*0.2)))+AE84),6)</f>
        <v>148.80000000000001</v>
      </c>
      <c r="AE84">
        <f>ROUND(((EU84*0.2)),6)</f>
        <v>6.48</v>
      </c>
      <c r="AF84">
        <f>ROUND(((EV84*0.2)),6)</f>
        <v>5681.8459999999995</v>
      </c>
      <c r="AG84">
        <f t="shared" si="83"/>
        <v>0</v>
      </c>
      <c r="AH84">
        <f>((EW84*0.2))</f>
        <v>22.080000000000002</v>
      </c>
      <c r="AI84">
        <f>((EX84*0.2))</f>
        <v>0</v>
      </c>
      <c r="AJ84">
        <f t="shared" si="84"/>
        <v>0</v>
      </c>
      <c r="AK84">
        <v>109622.76</v>
      </c>
      <c r="AL84">
        <v>80469.53</v>
      </c>
      <c r="AM84">
        <v>744</v>
      </c>
      <c r="AN84">
        <v>32.4</v>
      </c>
      <c r="AO84">
        <v>28409.23</v>
      </c>
      <c r="AP84">
        <v>0</v>
      </c>
      <c r="AQ84">
        <v>110.4</v>
      </c>
      <c r="AR84">
        <v>0</v>
      </c>
      <c r="AS84">
        <v>0</v>
      </c>
      <c r="AT84">
        <v>70</v>
      </c>
      <c r="AU84">
        <v>10</v>
      </c>
      <c r="AV84">
        <v>1</v>
      </c>
      <c r="AW84">
        <v>1</v>
      </c>
      <c r="AZ84">
        <v>1</v>
      </c>
      <c r="BA84">
        <v>1</v>
      </c>
      <c r="BB84">
        <v>1</v>
      </c>
      <c r="BC84">
        <v>1</v>
      </c>
      <c r="BD84" t="s">
        <v>3</v>
      </c>
      <c r="BE84" t="s">
        <v>3</v>
      </c>
      <c r="BF84" t="s">
        <v>3</v>
      </c>
      <c r="BG84" t="s">
        <v>3</v>
      </c>
      <c r="BH84">
        <v>0</v>
      </c>
      <c r="BI84">
        <v>4</v>
      </c>
      <c r="BJ84" t="s">
        <v>175</v>
      </c>
      <c r="BM84">
        <v>0</v>
      </c>
      <c r="BN84">
        <v>0</v>
      </c>
      <c r="BO84" t="s">
        <v>3</v>
      </c>
      <c r="BP84">
        <v>0</v>
      </c>
      <c r="BQ84">
        <v>1</v>
      </c>
      <c r="BR84">
        <v>0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 t="s">
        <v>3</v>
      </c>
      <c r="BZ84">
        <v>70</v>
      </c>
      <c r="CA84">
        <v>10</v>
      </c>
      <c r="CE84">
        <v>0</v>
      </c>
      <c r="CF84">
        <v>0</v>
      </c>
      <c r="CG84">
        <v>0</v>
      </c>
      <c r="CM84">
        <v>0</v>
      </c>
      <c r="CN84" t="s">
        <v>481</v>
      </c>
      <c r="CO84">
        <v>0</v>
      </c>
      <c r="CP84">
        <f t="shared" si="85"/>
        <v>5247.58</v>
      </c>
      <c r="CQ84">
        <f t="shared" si="86"/>
        <v>0</v>
      </c>
      <c r="CR84">
        <f>(((((ET84*0.2))*BB84-((EU84*0.2))*BS84)+AE84*BS84)*AV84)</f>
        <v>148.80000000000001</v>
      </c>
      <c r="CS84">
        <f t="shared" si="87"/>
        <v>6.48</v>
      </c>
      <c r="CT84">
        <f t="shared" si="88"/>
        <v>5681.8459999999995</v>
      </c>
      <c r="CU84">
        <f t="shared" si="89"/>
        <v>0</v>
      </c>
      <c r="CV84">
        <f t="shared" si="90"/>
        <v>22.080000000000002</v>
      </c>
      <c r="CW84">
        <f t="shared" si="91"/>
        <v>0</v>
      </c>
      <c r="CX84">
        <f t="shared" si="91"/>
        <v>0</v>
      </c>
      <c r="CY84">
        <f t="shared" si="92"/>
        <v>3579.5619999999999</v>
      </c>
      <c r="CZ84">
        <f t="shared" si="93"/>
        <v>511.36599999999999</v>
      </c>
      <c r="DC84" t="s">
        <v>3</v>
      </c>
      <c r="DD84" t="s">
        <v>169</v>
      </c>
      <c r="DE84" t="s">
        <v>170</v>
      </c>
      <c r="DF84" t="s">
        <v>170</v>
      </c>
      <c r="DG84" t="s">
        <v>170</v>
      </c>
      <c r="DH84" t="s">
        <v>3</v>
      </c>
      <c r="DI84" t="s">
        <v>170</v>
      </c>
      <c r="DJ84" t="s">
        <v>170</v>
      </c>
      <c r="DK84" t="s">
        <v>3</v>
      </c>
      <c r="DL84" t="s">
        <v>3</v>
      </c>
      <c r="DM84" t="s">
        <v>3</v>
      </c>
      <c r="DN84">
        <v>0</v>
      </c>
      <c r="DO84">
        <v>0</v>
      </c>
      <c r="DP84">
        <v>1</v>
      </c>
      <c r="DQ84">
        <v>1</v>
      </c>
      <c r="DU84">
        <v>1009</v>
      </c>
      <c r="DV84" t="s">
        <v>57</v>
      </c>
      <c r="DW84" t="s">
        <v>57</v>
      </c>
      <c r="DX84">
        <v>1000</v>
      </c>
      <c r="DZ84" t="s">
        <v>3</v>
      </c>
      <c r="EA84" t="s">
        <v>3</v>
      </c>
      <c r="EB84" t="s">
        <v>3</v>
      </c>
      <c r="EC84" t="s">
        <v>3</v>
      </c>
      <c r="EE84">
        <v>49145957</v>
      </c>
      <c r="EF84">
        <v>1</v>
      </c>
      <c r="EG84" t="s">
        <v>32</v>
      </c>
      <c r="EH84">
        <v>0</v>
      </c>
      <c r="EI84" t="s">
        <v>3</v>
      </c>
      <c r="EJ84">
        <v>4</v>
      </c>
      <c r="EK84">
        <v>0</v>
      </c>
      <c r="EL84" t="s">
        <v>33</v>
      </c>
      <c r="EM84" t="s">
        <v>34</v>
      </c>
      <c r="EO84" t="s">
        <v>171</v>
      </c>
      <c r="EQ84">
        <v>256</v>
      </c>
      <c r="ER84">
        <v>109622.76</v>
      </c>
      <c r="ES84">
        <v>80469.53</v>
      </c>
      <c r="ET84">
        <v>744</v>
      </c>
      <c r="EU84">
        <v>32.4</v>
      </c>
      <c r="EV84">
        <v>28409.23</v>
      </c>
      <c r="EW84">
        <v>110.4</v>
      </c>
      <c r="EX84">
        <v>0</v>
      </c>
      <c r="EY84">
        <v>0</v>
      </c>
      <c r="FQ84">
        <v>0</v>
      </c>
      <c r="FR84">
        <f t="shared" si="94"/>
        <v>0</v>
      </c>
      <c r="FS84">
        <v>0</v>
      </c>
      <c r="FX84">
        <v>70</v>
      </c>
      <c r="FY84">
        <v>10</v>
      </c>
      <c r="GA84" t="s">
        <v>3</v>
      </c>
      <c r="GD84">
        <v>0</v>
      </c>
      <c r="GF84">
        <v>-1778556562</v>
      </c>
      <c r="GG84">
        <v>2</v>
      </c>
      <c r="GH84">
        <v>1</v>
      </c>
      <c r="GI84">
        <v>-2</v>
      </c>
      <c r="GJ84">
        <v>0</v>
      </c>
      <c r="GK84">
        <f>ROUND(R84*(R12)/100,2)</f>
        <v>6.3</v>
      </c>
      <c r="GL84">
        <f t="shared" si="95"/>
        <v>0</v>
      </c>
      <c r="GM84">
        <f>ROUND(O84+X84+Y84+GK84,2)+GX84</f>
        <v>9344.81</v>
      </c>
      <c r="GN84">
        <f>IF(OR(BI84=0,BI84=1),ROUND(O84+X84+Y84+GK84,2),0)</f>
        <v>0</v>
      </c>
      <c r="GO84">
        <f>IF(BI84=2,ROUND(O84+X84+Y84+GK84,2),0)</f>
        <v>0</v>
      </c>
      <c r="GP84">
        <f>IF(BI84=4,ROUND(O84+X84+Y84+GK84,2)+GX84,0)</f>
        <v>9344.81</v>
      </c>
      <c r="GR84">
        <v>0</v>
      </c>
      <c r="GS84">
        <v>3</v>
      </c>
      <c r="GT84">
        <v>0</v>
      </c>
      <c r="GU84" t="s">
        <v>3</v>
      </c>
      <c r="GV84">
        <f t="shared" si="96"/>
        <v>0</v>
      </c>
      <c r="GW84">
        <v>1</v>
      </c>
      <c r="GX84">
        <f t="shared" si="97"/>
        <v>0</v>
      </c>
      <c r="HA84">
        <v>0</v>
      </c>
      <c r="HB84">
        <v>0</v>
      </c>
      <c r="HC84">
        <f t="shared" si="98"/>
        <v>0</v>
      </c>
      <c r="HE84" t="s">
        <v>3</v>
      </c>
      <c r="HF84" t="s">
        <v>3</v>
      </c>
      <c r="IK84">
        <v>0</v>
      </c>
    </row>
    <row r="85" spans="1:245" x14ac:dyDescent="0.2">
      <c r="A85">
        <v>17</v>
      </c>
      <c r="B85">
        <v>1</v>
      </c>
      <c r="C85">
        <f>ROW(SmtRes!A66)</f>
        <v>66</v>
      </c>
      <c r="D85">
        <f>ROW(EtalonRes!A63)</f>
        <v>63</v>
      </c>
      <c r="E85" t="s">
        <v>176</v>
      </c>
      <c r="F85" t="s">
        <v>177</v>
      </c>
      <c r="G85" t="s">
        <v>178</v>
      </c>
      <c r="H85" t="s">
        <v>57</v>
      </c>
      <c r="I85">
        <f>ROUND((0.9+3.005)*0.9,1)</f>
        <v>3.5</v>
      </c>
      <c r="J85">
        <v>0</v>
      </c>
      <c r="O85">
        <f t="shared" si="72"/>
        <v>280.88</v>
      </c>
      <c r="P85">
        <f t="shared" si="73"/>
        <v>0</v>
      </c>
      <c r="Q85">
        <f t="shared" si="74"/>
        <v>280.88</v>
      </c>
      <c r="R85">
        <f t="shared" si="75"/>
        <v>90.44</v>
      </c>
      <c r="S85">
        <f t="shared" si="76"/>
        <v>0</v>
      </c>
      <c r="T85">
        <f t="shared" si="77"/>
        <v>0</v>
      </c>
      <c r="U85">
        <f t="shared" si="78"/>
        <v>0</v>
      </c>
      <c r="V85">
        <f t="shared" si="79"/>
        <v>0</v>
      </c>
      <c r="W85">
        <f t="shared" si="80"/>
        <v>0</v>
      </c>
      <c r="X85">
        <f t="shared" si="81"/>
        <v>0</v>
      </c>
      <c r="Y85">
        <f t="shared" si="81"/>
        <v>0</v>
      </c>
      <c r="AA85">
        <v>49707740</v>
      </c>
      <c r="AB85">
        <f t="shared" si="82"/>
        <v>80.25</v>
      </c>
      <c r="AC85">
        <f>ROUND((ES85),6)</f>
        <v>0</v>
      </c>
      <c r="AD85">
        <f>ROUND((((ET85)-(EU85))+AE85),6)</f>
        <v>80.25</v>
      </c>
      <c r="AE85">
        <f t="shared" ref="AE85:AF88" si="99">ROUND((EU85),6)</f>
        <v>25.84</v>
      </c>
      <c r="AF85">
        <f t="shared" si="99"/>
        <v>0</v>
      </c>
      <c r="AG85">
        <f t="shared" si="83"/>
        <v>0</v>
      </c>
      <c r="AH85">
        <f t="shared" ref="AH85:AI88" si="100">(EW85)</f>
        <v>0</v>
      </c>
      <c r="AI85">
        <f t="shared" si="100"/>
        <v>0</v>
      </c>
      <c r="AJ85">
        <f t="shared" si="84"/>
        <v>0</v>
      </c>
      <c r="AK85">
        <v>80.25</v>
      </c>
      <c r="AL85">
        <v>0</v>
      </c>
      <c r="AM85">
        <v>80.25</v>
      </c>
      <c r="AN85">
        <v>25.84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70</v>
      </c>
      <c r="AU85">
        <v>10</v>
      </c>
      <c r="AV85">
        <v>1</v>
      </c>
      <c r="AW85">
        <v>1</v>
      </c>
      <c r="AZ85">
        <v>1</v>
      </c>
      <c r="BA85">
        <v>1</v>
      </c>
      <c r="BB85">
        <v>1</v>
      </c>
      <c r="BC85">
        <v>1</v>
      </c>
      <c r="BD85" t="s">
        <v>3</v>
      </c>
      <c r="BE85" t="s">
        <v>3</v>
      </c>
      <c r="BF85" t="s">
        <v>3</v>
      </c>
      <c r="BG85" t="s">
        <v>3</v>
      </c>
      <c r="BH85">
        <v>0</v>
      </c>
      <c r="BI85">
        <v>4</v>
      </c>
      <c r="BJ85" t="s">
        <v>179</v>
      </c>
      <c r="BM85">
        <v>0</v>
      </c>
      <c r="BN85">
        <v>0</v>
      </c>
      <c r="BO85" t="s">
        <v>3</v>
      </c>
      <c r="BP85">
        <v>0</v>
      </c>
      <c r="BQ85">
        <v>1</v>
      </c>
      <c r="BR85">
        <v>0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 t="s">
        <v>3</v>
      </c>
      <c r="BZ85">
        <v>70</v>
      </c>
      <c r="CA85">
        <v>10</v>
      </c>
      <c r="CE85">
        <v>0</v>
      </c>
      <c r="CF85">
        <v>0</v>
      </c>
      <c r="CG85">
        <v>0</v>
      </c>
      <c r="CM85">
        <v>0</v>
      </c>
      <c r="CN85" t="s">
        <v>3</v>
      </c>
      <c r="CO85">
        <v>0</v>
      </c>
      <c r="CP85">
        <f t="shared" si="85"/>
        <v>280.88</v>
      </c>
      <c r="CQ85">
        <f t="shared" si="86"/>
        <v>0</v>
      </c>
      <c r="CR85">
        <f>((((ET85)*BB85-(EU85)*BS85)+AE85*BS85)*AV85)</f>
        <v>80.25</v>
      </c>
      <c r="CS85">
        <f t="shared" si="87"/>
        <v>25.84</v>
      </c>
      <c r="CT85">
        <f t="shared" si="88"/>
        <v>0</v>
      </c>
      <c r="CU85">
        <f t="shared" si="89"/>
        <v>0</v>
      </c>
      <c r="CV85">
        <f t="shared" si="90"/>
        <v>0</v>
      </c>
      <c r="CW85">
        <f t="shared" si="91"/>
        <v>0</v>
      </c>
      <c r="CX85">
        <f t="shared" si="91"/>
        <v>0</v>
      </c>
      <c r="CY85">
        <f t="shared" si="92"/>
        <v>0</v>
      </c>
      <c r="CZ85">
        <f t="shared" si="93"/>
        <v>0</v>
      </c>
      <c r="DC85" t="s">
        <v>3</v>
      </c>
      <c r="DD85" t="s">
        <v>3</v>
      </c>
      <c r="DE85" t="s">
        <v>3</v>
      </c>
      <c r="DF85" t="s">
        <v>3</v>
      </c>
      <c r="DG85" t="s">
        <v>3</v>
      </c>
      <c r="DH85" t="s">
        <v>3</v>
      </c>
      <c r="DI85" t="s">
        <v>3</v>
      </c>
      <c r="DJ85" t="s">
        <v>3</v>
      </c>
      <c r="DK85" t="s">
        <v>3</v>
      </c>
      <c r="DL85" t="s">
        <v>3</v>
      </c>
      <c r="DM85" t="s">
        <v>3</v>
      </c>
      <c r="DN85">
        <v>0</v>
      </c>
      <c r="DO85">
        <v>0</v>
      </c>
      <c r="DP85">
        <v>1</v>
      </c>
      <c r="DQ85">
        <v>1</v>
      </c>
      <c r="DU85">
        <v>1009</v>
      </c>
      <c r="DV85" t="s">
        <v>57</v>
      </c>
      <c r="DW85" t="s">
        <v>57</v>
      </c>
      <c r="DX85">
        <v>1000</v>
      </c>
      <c r="DZ85" t="s">
        <v>3</v>
      </c>
      <c r="EA85" t="s">
        <v>3</v>
      </c>
      <c r="EB85" t="s">
        <v>3</v>
      </c>
      <c r="EC85" t="s">
        <v>3</v>
      </c>
      <c r="EE85">
        <v>49145957</v>
      </c>
      <c r="EF85">
        <v>1</v>
      </c>
      <c r="EG85" t="s">
        <v>32</v>
      </c>
      <c r="EH85">
        <v>0</v>
      </c>
      <c r="EI85" t="s">
        <v>3</v>
      </c>
      <c r="EJ85">
        <v>4</v>
      </c>
      <c r="EK85">
        <v>0</v>
      </c>
      <c r="EL85" t="s">
        <v>33</v>
      </c>
      <c r="EM85" t="s">
        <v>34</v>
      </c>
      <c r="EO85" t="s">
        <v>3</v>
      </c>
      <c r="EQ85">
        <v>0</v>
      </c>
      <c r="ER85">
        <v>80.25</v>
      </c>
      <c r="ES85">
        <v>0</v>
      </c>
      <c r="ET85">
        <v>80.25</v>
      </c>
      <c r="EU85">
        <v>25.84</v>
      </c>
      <c r="EV85">
        <v>0</v>
      </c>
      <c r="EW85">
        <v>0</v>
      </c>
      <c r="EX85">
        <v>0</v>
      </c>
      <c r="EY85">
        <v>0</v>
      </c>
      <c r="FQ85">
        <v>0</v>
      </c>
      <c r="FR85">
        <f t="shared" si="94"/>
        <v>0</v>
      </c>
      <c r="FS85">
        <v>0</v>
      </c>
      <c r="FX85">
        <v>70</v>
      </c>
      <c r="FY85">
        <v>10</v>
      </c>
      <c r="GA85" t="s">
        <v>3</v>
      </c>
      <c r="GD85">
        <v>0</v>
      </c>
      <c r="GF85">
        <v>-1253819028</v>
      </c>
      <c r="GG85">
        <v>2</v>
      </c>
      <c r="GH85">
        <v>1</v>
      </c>
      <c r="GI85">
        <v>-2</v>
      </c>
      <c r="GJ85">
        <v>0</v>
      </c>
      <c r="GK85">
        <f>ROUND(R85*(R12)/100,2)</f>
        <v>97.68</v>
      </c>
      <c r="GL85">
        <f t="shared" si="95"/>
        <v>0</v>
      </c>
      <c r="GM85">
        <f>ROUND(O85+X85+Y85+GK85,2)+GX85</f>
        <v>378.56</v>
      </c>
      <c r="GN85">
        <f>IF(OR(BI85=0,BI85=1),ROUND(O85+X85+Y85+GK85,2),0)</f>
        <v>0</v>
      </c>
      <c r="GO85">
        <f>IF(BI85=2,ROUND(O85+X85+Y85+GK85,2),0)</f>
        <v>0</v>
      </c>
      <c r="GP85">
        <f>IF(BI85=4,ROUND(O85+X85+Y85+GK85,2)+GX85,0)</f>
        <v>378.56</v>
      </c>
      <c r="GR85">
        <v>0</v>
      </c>
      <c r="GS85">
        <v>3</v>
      </c>
      <c r="GT85">
        <v>0</v>
      </c>
      <c r="GU85" t="s">
        <v>3</v>
      </c>
      <c r="GV85">
        <f t="shared" si="96"/>
        <v>0</v>
      </c>
      <c r="GW85">
        <v>1</v>
      </c>
      <c r="GX85">
        <f t="shared" si="97"/>
        <v>0</v>
      </c>
      <c r="HA85">
        <v>0</v>
      </c>
      <c r="HB85">
        <v>0</v>
      </c>
      <c r="HC85">
        <f t="shared" si="98"/>
        <v>0</v>
      </c>
      <c r="HE85" t="s">
        <v>3</v>
      </c>
      <c r="HF85" t="s">
        <v>3</v>
      </c>
      <c r="IK85">
        <v>0</v>
      </c>
    </row>
    <row r="86" spans="1:245" x14ac:dyDescent="0.2">
      <c r="A86">
        <v>17</v>
      </c>
      <c r="B86">
        <v>1</v>
      </c>
      <c r="C86">
        <f>ROW(SmtRes!A67)</f>
        <v>67</v>
      </c>
      <c r="D86">
        <f>ROW(EtalonRes!A64)</f>
        <v>64</v>
      </c>
      <c r="E86" t="s">
        <v>180</v>
      </c>
      <c r="F86" t="s">
        <v>181</v>
      </c>
      <c r="G86" t="s">
        <v>182</v>
      </c>
      <c r="H86" t="s">
        <v>57</v>
      </c>
      <c r="I86">
        <f>ROUND((0.9+3.005)*0.1,1)</f>
        <v>0.4</v>
      </c>
      <c r="J86">
        <v>0</v>
      </c>
      <c r="O86">
        <f t="shared" si="72"/>
        <v>49.96</v>
      </c>
      <c r="P86">
        <f t="shared" si="73"/>
        <v>0</v>
      </c>
      <c r="Q86">
        <f t="shared" si="74"/>
        <v>0</v>
      </c>
      <c r="R86">
        <f t="shared" si="75"/>
        <v>0</v>
      </c>
      <c r="S86">
        <f t="shared" si="76"/>
        <v>49.96</v>
      </c>
      <c r="T86">
        <f t="shared" si="77"/>
        <v>0</v>
      </c>
      <c r="U86">
        <f t="shared" si="78"/>
        <v>0.40800000000000003</v>
      </c>
      <c r="V86">
        <f t="shared" si="79"/>
        <v>0</v>
      </c>
      <c r="W86">
        <f t="shared" si="80"/>
        <v>0</v>
      </c>
      <c r="X86">
        <f t="shared" si="81"/>
        <v>34.97</v>
      </c>
      <c r="Y86">
        <f t="shared" si="81"/>
        <v>5</v>
      </c>
      <c r="AA86">
        <v>49707740</v>
      </c>
      <c r="AB86">
        <f t="shared" si="82"/>
        <v>124.9</v>
      </c>
      <c r="AC86">
        <f>ROUND((ES86),6)</f>
        <v>0</v>
      </c>
      <c r="AD86">
        <f>ROUND((((ET86)-(EU86))+AE86),6)</f>
        <v>0</v>
      </c>
      <c r="AE86">
        <f t="shared" si="99"/>
        <v>0</v>
      </c>
      <c r="AF86">
        <f t="shared" si="99"/>
        <v>124.9</v>
      </c>
      <c r="AG86">
        <f t="shared" si="83"/>
        <v>0</v>
      </c>
      <c r="AH86">
        <f t="shared" si="100"/>
        <v>1.02</v>
      </c>
      <c r="AI86">
        <f t="shared" si="100"/>
        <v>0</v>
      </c>
      <c r="AJ86">
        <f t="shared" si="84"/>
        <v>0</v>
      </c>
      <c r="AK86">
        <v>124.9</v>
      </c>
      <c r="AL86">
        <v>0</v>
      </c>
      <c r="AM86">
        <v>0</v>
      </c>
      <c r="AN86">
        <v>0</v>
      </c>
      <c r="AO86">
        <v>124.9</v>
      </c>
      <c r="AP86">
        <v>0</v>
      </c>
      <c r="AQ86">
        <v>1.02</v>
      </c>
      <c r="AR86">
        <v>0</v>
      </c>
      <c r="AS86">
        <v>0</v>
      </c>
      <c r="AT86">
        <v>70</v>
      </c>
      <c r="AU86">
        <v>10</v>
      </c>
      <c r="AV86">
        <v>1</v>
      </c>
      <c r="AW86">
        <v>1</v>
      </c>
      <c r="AZ86">
        <v>1</v>
      </c>
      <c r="BA86">
        <v>1</v>
      </c>
      <c r="BB86">
        <v>1</v>
      </c>
      <c r="BC86">
        <v>1</v>
      </c>
      <c r="BD86" t="s">
        <v>3</v>
      </c>
      <c r="BE86" t="s">
        <v>3</v>
      </c>
      <c r="BF86" t="s">
        <v>3</v>
      </c>
      <c r="BG86" t="s">
        <v>3</v>
      </c>
      <c r="BH86">
        <v>0</v>
      </c>
      <c r="BI86">
        <v>4</v>
      </c>
      <c r="BJ86" t="s">
        <v>183</v>
      </c>
      <c r="BM86">
        <v>0</v>
      </c>
      <c r="BN86">
        <v>0</v>
      </c>
      <c r="BO86" t="s">
        <v>3</v>
      </c>
      <c r="BP86">
        <v>0</v>
      </c>
      <c r="BQ86">
        <v>1</v>
      </c>
      <c r="BR86">
        <v>0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 t="s">
        <v>3</v>
      </c>
      <c r="BZ86">
        <v>70</v>
      </c>
      <c r="CA86">
        <v>10</v>
      </c>
      <c r="CE86">
        <v>0</v>
      </c>
      <c r="CF86">
        <v>0</v>
      </c>
      <c r="CG86">
        <v>0</v>
      </c>
      <c r="CM86">
        <v>0</v>
      </c>
      <c r="CN86" t="s">
        <v>3</v>
      </c>
      <c r="CO86">
        <v>0</v>
      </c>
      <c r="CP86">
        <f t="shared" si="85"/>
        <v>49.96</v>
      </c>
      <c r="CQ86">
        <f t="shared" si="86"/>
        <v>0</v>
      </c>
      <c r="CR86">
        <f>((((ET86)*BB86-(EU86)*BS86)+AE86*BS86)*AV86)</f>
        <v>0</v>
      </c>
      <c r="CS86">
        <f t="shared" si="87"/>
        <v>0</v>
      </c>
      <c r="CT86">
        <f t="shared" si="88"/>
        <v>124.9</v>
      </c>
      <c r="CU86">
        <f t="shared" si="89"/>
        <v>0</v>
      </c>
      <c r="CV86">
        <f t="shared" si="90"/>
        <v>1.02</v>
      </c>
      <c r="CW86">
        <f t="shared" si="91"/>
        <v>0</v>
      </c>
      <c r="CX86">
        <f t="shared" si="91"/>
        <v>0</v>
      </c>
      <c r="CY86">
        <f t="shared" si="92"/>
        <v>34.972000000000001</v>
      </c>
      <c r="CZ86">
        <f t="shared" si="93"/>
        <v>4.9960000000000004</v>
      </c>
      <c r="DC86" t="s">
        <v>3</v>
      </c>
      <c r="DD86" t="s">
        <v>3</v>
      </c>
      <c r="DE86" t="s">
        <v>3</v>
      </c>
      <c r="DF86" t="s">
        <v>3</v>
      </c>
      <c r="DG86" t="s">
        <v>3</v>
      </c>
      <c r="DH86" t="s">
        <v>3</v>
      </c>
      <c r="DI86" t="s">
        <v>3</v>
      </c>
      <c r="DJ86" t="s">
        <v>3</v>
      </c>
      <c r="DK86" t="s">
        <v>3</v>
      </c>
      <c r="DL86" t="s">
        <v>3</v>
      </c>
      <c r="DM86" t="s">
        <v>3</v>
      </c>
      <c r="DN86">
        <v>0</v>
      </c>
      <c r="DO86">
        <v>0</v>
      </c>
      <c r="DP86">
        <v>1</v>
      </c>
      <c r="DQ86">
        <v>1</v>
      </c>
      <c r="DU86">
        <v>1009</v>
      </c>
      <c r="DV86" t="s">
        <v>57</v>
      </c>
      <c r="DW86" t="s">
        <v>57</v>
      </c>
      <c r="DX86">
        <v>1000</v>
      </c>
      <c r="DZ86" t="s">
        <v>3</v>
      </c>
      <c r="EA86" t="s">
        <v>3</v>
      </c>
      <c r="EB86" t="s">
        <v>3</v>
      </c>
      <c r="EC86" t="s">
        <v>3</v>
      </c>
      <c r="EE86">
        <v>49145957</v>
      </c>
      <c r="EF86">
        <v>1</v>
      </c>
      <c r="EG86" t="s">
        <v>32</v>
      </c>
      <c r="EH86">
        <v>0</v>
      </c>
      <c r="EI86" t="s">
        <v>3</v>
      </c>
      <c r="EJ86">
        <v>4</v>
      </c>
      <c r="EK86">
        <v>0</v>
      </c>
      <c r="EL86" t="s">
        <v>33</v>
      </c>
      <c r="EM86" t="s">
        <v>34</v>
      </c>
      <c r="EO86" t="s">
        <v>3</v>
      </c>
      <c r="EQ86">
        <v>0</v>
      </c>
      <c r="ER86">
        <v>124.9</v>
      </c>
      <c r="ES86">
        <v>0</v>
      </c>
      <c r="ET86">
        <v>0</v>
      </c>
      <c r="EU86">
        <v>0</v>
      </c>
      <c r="EV86">
        <v>124.9</v>
      </c>
      <c r="EW86">
        <v>1.02</v>
      </c>
      <c r="EX86">
        <v>0</v>
      </c>
      <c r="EY86">
        <v>0</v>
      </c>
      <c r="FQ86">
        <v>0</v>
      </c>
      <c r="FR86">
        <f t="shared" si="94"/>
        <v>0</v>
      </c>
      <c r="FS86">
        <v>0</v>
      </c>
      <c r="FX86">
        <v>70</v>
      </c>
      <c r="FY86">
        <v>10</v>
      </c>
      <c r="GA86" t="s">
        <v>3</v>
      </c>
      <c r="GD86">
        <v>0</v>
      </c>
      <c r="GF86">
        <v>1102981528</v>
      </c>
      <c r="GG86">
        <v>2</v>
      </c>
      <c r="GH86">
        <v>1</v>
      </c>
      <c r="GI86">
        <v>-2</v>
      </c>
      <c r="GJ86">
        <v>0</v>
      </c>
      <c r="GK86">
        <f>ROUND(R86*(R12)/100,2)</f>
        <v>0</v>
      </c>
      <c r="GL86">
        <f t="shared" si="95"/>
        <v>0</v>
      </c>
      <c r="GM86">
        <f>ROUND(O86+X86+Y86+GK86,2)+GX86</f>
        <v>89.93</v>
      </c>
      <c r="GN86">
        <f>IF(OR(BI86=0,BI86=1),ROUND(O86+X86+Y86+GK86,2),0)</f>
        <v>0</v>
      </c>
      <c r="GO86">
        <f>IF(BI86=2,ROUND(O86+X86+Y86+GK86,2),0)</f>
        <v>0</v>
      </c>
      <c r="GP86">
        <f>IF(BI86=4,ROUND(O86+X86+Y86+GK86,2)+GX86,0)</f>
        <v>89.93</v>
      </c>
      <c r="GR86">
        <v>0</v>
      </c>
      <c r="GS86">
        <v>3</v>
      </c>
      <c r="GT86">
        <v>0</v>
      </c>
      <c r="GU86" t="s">
        <v>3</v>
      </c>
      <c r="GV86">
        <f t="shared" si="96"/>
        <v>0</v>
      </c>
      <c r="GW86">
        <v>1</v>
      </c>
      <c r="GX86">
        <f t="shared" si="97"/>
        <v>0</v>
      </c>
      <c r="HA86">
        <v>0</v>
      </c>
      <c r="HB86">
        <v>0</v>
      </c>
      <c r="HC86">
        <f t="shared" si="98"/>
        <v>0</v>
      </c>
      <c r="HE86" t="s">
        <v>3</v>
      </c>
      <c r="HF86" t="s">
        <v>3</v>
      </c>
      <c r="IK86">
        <v>0</v>
      </c>
    </row>
    <row r="87" spans="1:245" x14ac:dyDescent="0.2">
      <c r="A87">
        <v>17</v>
      </c>
      <c r="B87">
        <v>1</v>
      </c>
      <c r="C87">
        <f>ROW(SmtRes!A69)</f>
        <v>69</v>
      </c>
      <c r="D87">
        <f>ROW(EtalonRes!A66)</f>
        <v>66</v>
      </c>
      <c r="E87" t="s">
        <v>184</v>
      </c>
      <c r="F87" t="s">
        <v>185</v>
      </c>
      <c r="G87" t="s">
        <v>186</v>
      </c>
      <c r="H87" t="s">
        <v>57</v>
      </c>
      <c r="I87">
        <v>0.4</v>
      </c>
      <c r="J87">
        <v>0</v>
      </c>
      <c r="O87">
        <f t="shared" si="72"/>
        <v>66.36</v>
      </c>
      <c r="P87">
        <f t="shared" si="73"/>
        <v>0</v>
      </c>
      <c r="Q87">
        <f t="shared" si="74"/>
        <v>66.36</v>
      </c>
      <c r="R87">
        <f t="shared" si="75"/>
        <v>36.07</v>
      </c>
      <c r="S87">
        <f t="shared" si="76"/>
        <v>0</v>
      </c>
      <c r="T87">
        <f t="shared" si="77"/>
        <v>0</v>
      </c>
      <c r="U87">
        <f t="shared" si="78"/>
        <v>0</v>
      </c>
      <c r="V87">
        <f t="shared" si="79"/>
        <v>0</v>
      </c>
      <c r="W87">
        <f t="shared" si="80"/>
        <v>0</v>
      </c>
      <c r="X87">
        <f t="shared" si="81"/>
        <v>0</v>
      </c>
      <c r="Y87">
        <f t="shared" si="81"/>
        <v>0</v>
      </c>
      <c r="AA87">
        <v>49707740</v>
      </c>
      <c r="AB87">
        <f t="shared" si="82"/>
        <v>165.91</v>
      </c>
      <c r="AC87">
        <f>ROUND((ES87),6)</f>
        <v>0</v>
      </c>
      <c r="AD87">
        <f>ROUND((((ET87)-(EU87))+AE87),6)</f>
        <v>165.91</v>
      </c>
      <c r="AE87">
        <f t="shared" si="99"/>
        <v>90.18</v>
      </c>
      <c r="AF87">
        <f t="shared" si="99"/>
        <v>0</v>
      </c>
      <c r="AG87">
        <f t="shared" si="83"/>
        <v>0</v>
      </c>
      <c r="AH87">
        <f t="shared" si="100"/>
        <v>0</v>
      </c>
      <c r="AI87">
        <f t="shared" si="100"/>
        <v>0</v>
      </c>
      <c r="AJ87">
        <f t="shared" si="84"/>
        <v>0</v>
      </c>
      <c r="AK87">
        <v>165.91</v>
      </c>
      <c r="AL87">
        <v>0</v>
      </c>
      <c r="AM87">
        <v>165.91</v>
      </c>
      <c r="AN87">
        <v>90.18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1</v>
      </c>
      <c r="AW87">
        <v>1</v>
      </c>
      <c r="AZ87">
        <v>1</v>
      </c>
      <c r="BA87">
        <v>1</v>
      </c>
      <c r="BB87">
        <v>1</v>
      </c>
      <c r="BC87">
        <v>1</v>
      </c>
      <c r="BD87" t="s">
        <v>3</v>
      </c>
      <c r="BE87" t="s">
        <v>3</v>
      </c>
      <c r="BF87" t="s">
        <v>3</v>
      </c>
      <c r="BG87" t="s">
        <v>3</v>
      </c>
      <c r="BH87">
        <v>0</v>
      </c>
      <c r="BI87">
        <v>4</v>
      </c>
      <c r="BJ87" t="s">
        <v>187</v>
      </c>
      <c r="BM87">
        <v>1</v>
      </c>
      <c r="BN87">
        <v>0</v>
      </c>
      <c r="BO87" t="s">
        <v>3</v>
      </c>
      <c r="BP87">
        <v>0</v>
      </c>
      <c r="BQ87">
        <v>1</v>
      </c>
      <c r="BR87">
        <v>0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 t="s">
        <v>3</v>
      </c>
      <c r="BZ87">
        <v>0</v>
      </c>
      <c r="CA87">
        <v>0</v>
      </c>
      <c r="CE87">
        <v>0</v>
      </c>
      <c r="CF87">
        <v>0</v>
      </c>
      <c r="CG87">
        <v>0</v>
      </c>
      <c r="CM87">
        <v>0</v>
      </c>
      <c r="CN87" t="s">
        <v>3</v>
      </c>
      <c r="CO87">
        <v>0</v>
      </c>
      <c r="CP87">
        <f t="shared" si="85"/>
        <v>66.36</v>
      </c>
      <c r="CQ87">
        <f t="shared" si="86"/>
        <v>0</v>
      </c>
      <c r="CR87">
        <f>((((ET87)*BB87-(EU87)*BS87)+AE87*BS87)*AV87)</f>
        <v>165.91</v>
      </c>
      <c r="CS87">
        <f t="shared" si="87"/>
        <v>90.18</v>
      </c>
      <c r="CT87">
        <f t="shared" si="88"/>
        <v>0</v>
      </c>
      <c r="CU87">
        <f t="shared" si="89"/>
        <v>0</v>
      </c>
      <c r="CV87">
        <f t="shared" si="90"/>
        <v>0</v>
      </c>
      <c r="CW87">
        <f t="shared" si="91"/>
        <v>0</v>
      </c>
      <c r="CX87">
        <f t="shared" si="91"/>
        <v>0</v>
      </c>
      <c r="CY87">
        <f t="shared" si="92"/>
        <v>0</v>
      </c>
      <c r="CZ87">
        <f t="shared" si="93"/>
        <v>0</v>
      </c>
      <c r="DC87" t="s">
        <v>3</v>
      </c>
      <c r="DD87" t="s">
        <v>3</v>
      </c>
      <c r="DE87" t="s">
        <v>3</v>
      </c>
      <c r="DF87" t="s">
        <v>3</v>
      </c>
      <c r="DG87" t="s">
        <v>3</v>
      </c>
      <c r="DH87" t="s">
        <v>3</v>
      </c>
      <c r="DI87" t="s">
        <v>3</v>
      </c>
      <c r="DJ87" t="s">
        <v>3</v>
      </c>
      <c r="DK87" t="s">
        <v>3</v>
      </c>
      <c r="DL87" t="s">
        <v>3</v>
      </c>
      <c r="DM87" t="s">
        <v>3</v>
      </c>
      <c r="DN87">
        <v>0</v>
      </c>
      <c r="DO87">
        <v>0</v>
      </c>
      <c r="DP87">
        <v>1</v>
      </c>
      <c r="DQ87">
        <v>1</v>
      </c>
      <c r="DU87">
        <v>1009</v>
      </c>
      <c r="DV87" t="s">
        <v>57</v>
      </c>
      <c r="DW87" t="s">
        <v>57</v>
      </c>
      <c r="DX87">
        <v>1000</v>
      </c>
      <c r="DZ87" t="s">
        <v>3</v>
      </c>
      <c r="EA87" t="s">
        <v>3</v>
      </c>
      <c r="EB87" t="s">
        <v>3</v>
      </c>
      <c r="EC87" t="s">
        <v>3</v>
      </c>
      <c r="EE87">
        <v>49145959</v>
      </c>
      <c r="EF87">
        <v>1</v>
      </c>
      <c r="EG87" t="s">
        <v>32</v>
      </c>
      <c r="EH87">
        <v>0</v>
      </c>
      <c r="EI87" t="s">
        <v>3</v>
      </c>
      <c r="EJ87">
        <v>4</v>
      </c>
      <c r="EK87">
        <v>1</v>
      </c>
      <c r="EL87" t="s">
        <v>48</v>
      </c>
      <c r="EM87" t="s">
        <v>34</v>
      </c>
      <c r="EO87" t="s">
        <v>3</v>
      </c>
      <c r="EQ87">
        <v>0</v>
      </c>
      <c r="ER87">
        <v>165.91</v>
      </c>
      <c r="ES87">
        <v>0</v>
      </c>
      <c r="ET87">
        <v>165.91</v>
      </c>
      <c r="EU87">
        <v>90.18</v>
      </c>
      <c r="EV87">
        <v>0</v>
      </c>
      <c r="EW87">
        <v>0</v>
      </c>
      <c r="EX87">
        <v>0</v>
      </c>
      <c r="EY87">
        <v>0</v>
      </c>
      <c r="FQ87">
        <v>0</v>
      </c>
      <c r="FR87">
        <f t="shared" si="94"/>
        <v>0</v>
      </c>
      <c r="FS87">
        <v>0</v>
      </c>
      <c r="FX87">
        <v>0</v>
      </c>
      <c r="FY87">
        <v>0</v>
      </c>
      <c r="GA87" t="s">
        <v>3</v>
      </c>
      <c r="GD87">
        <v>1</v>
      </c>
      <c r="GF87">
        <v>1912105629</v>
      </c>
      <c r="GG87">
        <v>2</v>
      </c>
      <c r="GH87">
        <v>1</v>
      </c>
      <c r="GI87">
        <v>-2</v>
      </c>
      <c r="GJ87">
        <v>0</v>
      </c>
      <c r="GK87">
        <v>0</v>
      </c>
      <c r="GL87">
        <f t="shared" si="95"/>
        <v>0</v>
      </c>
      <c r="GM87">
        <f>ROUND(O87+X87+Y87,2)+GX87</f>
        <v>66.36</v>
      </c>
      <c r="GN87">
        <f>IF(OR(BI87=0,BI87=1),ROUND(O87+X87+Y87,2),0)</f>
        <v>0</v>
      </c>
      <c r="GO87">
        <f>IF(BI87=2,ROUND(O87+X87+Y87,2),0)</f>
        <v>0</v>
      </c>
      <c r="GP87">
        <f>IF(BI87=4,ROUND(O87+X87+Y87,2)+GX87,0)</f>
        <v>66.36</v>
      </c>
      <c r="GR87">
        <v>0</v>
      </c>
      <c r="GS87">
        <v>3</v>
      </c>
      <c r="GT87">
        <v>0</v>
      </c>
      <c r="GU87" t="s">
        <v>3</v>
      </c>
      <c r="GV87">
        <f t="shared" si="96"/>
        <v>0</v>
      </c>
      <c r="GW87">
        <v>1</v>
      </c>
      <c r="GX87">
        <f t="shared" si="97"/>
        <v>0</v>
      </c>
      <c r="HA87">
        <v>0</v>
      </c>
      <c r="HB87">
        <v>0</v>
      </c>
      <c r="HC87">
        <f t="shared" si="98"/>
        <v>0</v>
      </c>
      <c r="HE87" t="s">
        <v>3</v>
      </c>
      <c r="HF87" t="s">
        <v>3</v>
      </c>
      <c r="IK87">
        <v>0</v>
      </c>
    </row>
    <row r="88" spans="1:245" x14ac:dyDescent="0.2">
      <c r="A88">
        <v>17</v>
      </c>
      <c r="B88">
        <v>1</v>
      </c>
      <c r="C88">
        <f>ROW(SmtRes!A71)</f>
        <v>71</v>
      </c>
      <c r="D88">
        <f>ROW(EtalonRes!A68)</f>
        <v>68</v>
      </c>
      <c r="E88" t="s">
        <v>188</v>
      </c>
      <c r="F88" t="s">
        <v>189</v>
      </c>
      <c r="G88" t="s">
        <v>190</v>
      </c>
      <c r="H88" t="s">
        <v>57</v>
      </c>
      <c r="I88">
        <v>3.5</v>
      </c>
      <c r="J88">
        <v>0</v>
      </c>
      <c r="O88">
        <f t="shared" si="72"/>
        <v>202.41</v>
      </c>
      <c r="P88">
        <f t="shared" si="73"/>
        <v>0</v>
      </c>
      <c r="Q88">
        <f t="shared" si="74"/>
        <v>202.41</v>
      </c>
      <c r="R88">
        <f t="shared" si="75"/>
        <v>110.04</v>
      </c>
      <c r="S88">
        <f t="shared" si="76"/>
        <v>0</v>
      </c>
      <c r="T88">
        <f t="shared" si="77"/>
        <v>0</v>
      </c>
      <c r="U88">
        <f t="shared" si="78"/>
        <v>0</v>
      </c>
      <c r="V88">
        <f t="shared" si="79"/>
        <v>0</v>
      </c>
      <c r="W88">
        <f t="shared" si="80"/>
        <v>0</v>
      </c>
      <c r="X88">
        <f t="shared" si="81"/>
        <v>0</v>
      </c>
      <c r="Y88">
        <f t="shared" si="81"/>
        <v>0</v>
      </c>
      <c r="AA88">
        <v>49707740</v>
      </c>
      <c r="AB88">
        <f t="shared" si="82"/>
        <v>57.83</v>
      </c>
      <c r="AC88">
        <f>ROUND((ES88),6)</f>
        <v>0</v>
      </c>
      <c r="AD88">
        <f>ROUND((((ET88)-(EU88))+AE88),6)</f>
        <v>57.83</v>
      </c>
      <c r="AE88">
        <f t="shared" si="99"/>
        <v>31.44</v>
      </c>
      <c r="AF88">
        <f t="shared" si="99"/>
        <v>0</v>
      </c>
      <c r="AG88">
        <f t="shared" si="83"/>
        <v>0</v>
      </c>
      <c r="AH88">
        <f t="shared" si="100"/>
        <v>0</v>
      </c>
      <c r="AI88">
        <f t="shared" si="100"/>
        <v>0</v>
      </c>
      <c r="AJ88">
        <f t="shared" si="84"/>
        <v>0</v>
      </c>
      <c r="AK88">
        <v>57.83</v>
      </c>
      <c r="AL88">
        <v>0</v>
      </c>
      <c r="AM88">
        <v>57.83</v>
      </c>
      <c r="AN88">
        <v>31.44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1</v>
      </c>
      <c r="AW88">
        <v>1</v>
      </c>
      <c r="AZ88">
        <v>1</v>
      </c>
      <c r="BA88">
        <v>1</v>
      </c>
      <c r="BB88">
        <v>1</v>
      </c>
      <c r="BC88">
        <v>1</v>
      </c>
      <c r="BD88" t="s">
        <v>3</v>
      </c>
      <c r="BE88" t="s">
        <v>3</v>
      </c>
      <c r="BF88" t="s">
        <v>3</v>
      </c>
      <c r="BG88" t="s">
        <v>3</v>
      </c>
      <c r="BH88">
        <v>0</v>
      </c>
      <c r="BI88">
        <v>4</v>
      </c>
      <c r="BJ88" t="s">
        <v>191</v>
      </c>
      <c r="BM88">
        <v>1</v>
      </c>
      <c r="BN88">
        <v>0</v>
      </c>
      <c r="BO88" t="s">
        <v>3</v>
      </c>
      <c r="BP88">
        <v>0</v>
      </c>
      <c r="BQ88">
        <v>1</v>
      </c>
      <c r="BR88">
        <v>0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 t="s">
        <v>3</v>
      </c>
      <c r="BZ88">
        <v>0</v>
      </c>
      <c r="CA88">
        <v>0</v>
      </c>
      <c r="CE88">
        <v>0</v>
      </c>
      <c r="CF88">
        <v>0</v>
      </c>
      <c r="CG88">
        <v>0</v>
      </c>
      <c r="CM88">
        <v>0</v>
      </c>
      <c r="CN88" t="s">
        <v>3</v>
      </c>
      <c r="CO88">
        <v>0</v>
      </c>
      <c r="CP88">
        <f t="shared" si="85"/>
        <v>202.41</v>
      </c>
      <c r="CQ88">
        <f t="shared" si="86"/>
        <v>0</v>
      </c>
      <c r="CR88">
        <f>((((ET88)*BB88-(EU88)*BS88)+AE88*BS88)*AV88)</f>
        <v>57.83</v>
      </c>
      <c r="CS88">
        <f t="shared" si="87"/>
        <v>31.44</v>
      </c>
      <c r="CT88">
        <f t="shared" si="88"/>
        <v>0</v>
      </c>
      <c r="CU88">
        <f t="shared" si="89"/>
        <v>0</v>
      </c>
      <c r="CV88">
        <f t="shared" si="90"/>
        <v>0</v>
      </c>
      <c r="CW88">
        <f t="shared" si="91"/>
        <v>0</v>
      </c>
      <c r="CX88">
        <f t="shared" si="91"/>
        <v>0</v>
      </c>
      <c r="CY88">
        <f t="shared" si="92"/>
        <v>0</v>
      </c>
      <c r="CZ88">
        <f t="shared" si="93"/>
        <v>0</v>
      </c>
      <c r="DC88" t="s">
        <v>3</v>
      </c>
      <c r="DD88" t="s">
        <v>3</v>
      </c>
      <c r="DE88" t="s">
        <v>3</v>
      </c>
      <c r="DF88" t="s">
        <v>3</v>
      </c>
      <c r="DG88" t="s">
        <v>3</v>
      </c>
      <c r="DH88" t="s">
        <v>3</v>
      </c>
      <c r="DI88" t="s">
        <v>3</v>
      </c>
      <c r="DJ88" t="s">
        <v>3</v>
      </c>
      <c r="DK88" t="s">
        <v>3</v>
      </c>
      <c r="DL88" t="s">
        <v>3</v>
      </c>
      <c r="DM88" t="s">
        <v>3</v>
      </c>
      <c r="DN88">
        <v>0</v>
      </c>
      <c r="DO88">
        <v>0</v>
      </c>
      <c r="DP88">
        <v>1</v>
      </c>
      <c r="DQ88">
        <v>1</v>
      </c>
      <c r="DU88">
        <v>1009</v>
      </c>
      <c r="DV88" t="s">
        <v>57</v>
      </c>
      <c r="DW88" t="s">
        <v>57</v>
      </c>
      <c r="DX88">
        <v>1000</v>
      </c>
      <c r="DZ88" t="s">
        <v>3</v>
      </c>
      <c r="EA88" t="s">
        <v>3</v>
      </c>
      <c r="EB88" t="s">
        <v>3</v>
      </c>
      <c r="EC88" t="s">
        <v>3</v>
      </c>
      <c r="EE88">
        <v>49145959</v>
      </c>
      <c r="EF88">
        <v>1</v>
      </c>
      <c r="EG88" t="s">
        <v>32</v>
      </c>
      <c r="EH88">
        <v>0</v>
      </c>
      <c r="EI88" t="s">
        <v>3</v>
      </c>
      <c r="EJ88">
        <v>4</v>
      </c>
      <c r="EK88">
        <v>1</v>
      </c>
      <c r="EL88" t="s">
        <v>48</v>
      </c>
      <c r="EM88" t="s">
        <v>34</v>
      </c>
      <c r="EO88" t="s">
        <v>3</v>
      </c>
      <c r="EQ88">
        <v>0</v>
      </c>
      <c r="ER88">
        <v>57.83</v>
      </c>
      <c r="ES88">
        <v>0</v>
      </c>
      <c r="ET88">
        <v>57.83</v>
      </c>
      <c r="EU88">
        <v>31.44</v>
      </c>
      <c r="EV88">
        <v>0</v>
      </c>
      <c r="EW88">
        <v>0</v>
      </c>
      <c r="EX88">
        <v>0</v>
      </c>
      <c r="EY88">
        <v>0</v>
      </c>
      <c r="FQ88">
        <v>0</v>
      </c>
      <c r="FR88">
        <f t="shared" si="94"/>
        <v>0</v>
      </c>
      <c r="FS88">
        <v>0</v>
      </c>
      <c r="FX88">
        <v>0</v>
      </c>
      <c r="FY88">
        <v>0</v>
      </c>
      <c r="GA88" t="s">
        <v>3</v>
      </c>
      <c r="GD88">
        <v>1</v>
      </c>
      <c r="GF88">
        <v>-1870736679</v>
      </c>
      <c r="GG88">
        <v>2</v>
      </c>
      <c r="GH88">
        <v>1</v>
      </c>
      <c r="GI88">
        <v>-2</v>
      </c>
      <c r="GJ88">
        <v>0</v>
      </c>
      <c r="GK88">
        <v>0</v>
      </c>
      <c r="GL88">
        <f t="shared" si="95"/>
        <v>0</v>
      </c>
      <c r="GM88">
        <f>ROUND(O88+X88+Y88,2)+GX88</f>
        <v>202.41</v>
      </c>
      <c r="GN88">
        <f>IF(OR(BI88=0,BI88=1),ROUND(O88+X88+Y88,2),0)</f>
        <v>0</v>
      </c>
      <c r="GO88">
        <f>IF(BI88=2,ROUND(O88+X88+Y88,2),0)</f>
        <v>0</v>
      </c>
      <c r="GP88">
        <f>IF(BI88=4,ROUND(O88+X88+Y88,2)+GX88,0)</f>
        <v>202.41</v>
      </c>
      <c r="GR88">
        <v>0</v>
      </c>
      <c r="GS88">
        <v>3</v>
      </c>
      <c r="GT88">
        <v>0</v>
      </c>
      <c r="GU88" t="s">
        <v>3</v>
      </c>
      <c r="GV88">
        <f t="shared" si="96"/>
        <v>0</v>
      </c>
      <c r="GW88">
        <v>1</v>
      </c>
      <c r="GX88">
        <f t="shared" si="97"/>
        <v>0</v>
      </c>
      <c r="HA88">
        <v>0</v>
      </c>
      <c r="HB88">
        <v>0</v>
      </c>
      <c r="HC88">
        <f t="shared" si="98"/>
        <v>0</v>
      </c>
      <c r="HE88" t="s">
        <v>3</v>
      </c>
      <c r="HF88" t="s">
        <v>3</v>
      </c>
      <c r="IK88">
        <v>0</v>
      </c>
    </row>
    <row r="89" spans="1:245" x14ac:dyDescent="0.2">
      <c r="A89">
        <v>17</v>
      </c>
      <c r="B89">
        <v>1</v>
      </c>
      <c r="C89">
        <f>ROW(SmtRes!A73)</f>
        <v>73</v>
      </c>
      <c r="D89">
        <f>ROW(EtalonRes!A70)</f>
        <v>70</v>
      </c>
      <c r="E89" t="s">
        <v>192</v>
      </c>
      <c r="F89" t="s">
        <v>193</v>
      </c>
      <c r="G89" t="s">
        <v>194</v>
      </c>
      <c r="H89" t="s">
        <v>57</v>
      </c>
      <c r="I89">
        <v>3.9</v>
      </c>
      <c r="J89">
        <v>0</v>
      </c>
      <c r="O89">
        <f t="shared" si="72"/>
        <v>427.28</v>
      </c>
      <c r="P89">
        <f t="shared" si="73"/>
        <v>0</v>
      </c>
      <c r="Q89">
        <f t="shared" si="74"/>
        <v>427.28</v>
      </c>
      <c r="R89">
        <f t="shared" si="75"/>
        <v>232.28</v>
      </c>
      <c r="S89">
        <f t="shared" si="76"/>
        <v>0</v>
      </c>
      <c r="T89">
        <f t="shared" si="77"/>
        <v>0</v>
      </c>
      <c r="U89">
        <f t="shared" si="78"/>
        <v>0</v>
      </c>
      <c r="V89">
        <f t="shared" si="79"/>
        <v>0</v>
      </c>
      <c r="W89">
        <f t="shared" si="80"/>
        <v>0</v>
      </c>
      <c r="X89">
        <f t="shared" si="81"/>
        <v>0</v>
      </c>
      <c r="Y89">
        <f t="shared" si="81"/>
        <v>0</v>
      </c>
      <c r="AA89">
        <v>49707740</v>
      </c>
      <c r="AB89">
        <f t="shared" si="82"/>
        <v>109.56</v>
      </c>
      <c r="AC89">
        <f>ROUND((ES89),6)</f>
        <v>0</v>
      </c>
      <c r="AD89">
        <f>ROUND(((((ET89*4))-((EU89*4)))+AE89),6)</f>
        <v>109.56</v>
      </c>
      <c r="AE89">
        <f>ROUND(((EU89*4)),6)</f>
        <v>59.56</v>
      </c>
      <c r="AF89">
        <f>ROUND((EV89),6)</f>
        <v>0</v>
      </c>
      <c r="AG89">
        <f t="shared" si="83"/>
        <v>0</v>
      </c>
      <c r="AH89">
        <f>(EW89)</f>
        <v>0</v>
      </c>
      <c r="AI89">
        <f>((EX89*4))</f>
        <v>0</v>
      </c>
      <c r="AJ89">
        <f t="shared" si="84"/>
        <v>0</v>
      </c>
      <c r="AK89">
        <v>27.39</v>
      </c>
      <c r="AL89">
        <v>0</v>
      </c>
      <c r="AM89">
        <v>27.39</v>
      </c>
      <c r="AN89">
        <v>14.89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1</v>
      </c>
      <c r="AW89">
        <v>1</v>
      </c>
      <c r="AZ89">
        <v>1</v>
      </c>
      <c r="BA89">
        <v>1</v>
      </c>
      <c r="BB89">
        <v>1</v>
      </c>
      <c r="BC89">
        <v>1</v>
      </c>
      <c r="BD89" t="s">
        <v>3</v>
      </c>
      <c r="BE89" t="s">
        <v>3</v>
      </c>
      <c r="BF89" t="s">
        <v>3</v>
      </c>
      <c r="BG89" t="s">
        <v>3</v>
      </c>
      <c r="BH89">
        <v>0</v>
      </c>
      <c r="BI89">
        <v>4</v>
      </c>
      <c r="BJ89" t="s">
        <v>195</v>
      </c>
      <c r="BM89">
        <v>1</v>
      </c>
      <c r="BN89">
        <v>0</v>
      </c>
      <c r="BO89" t="s">
        <v>3</v>
      </c>
      <c r="BP89">
        <v>0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 t="s">
        <v>3</v>
      </c>
      <c r="BZ89">
        <v>0</v>
      </c>
      <c r="CA89">
        <v>0</v>
      </c>
      <c r="CE89">
        <v>0</v>
      </c>
      <c r="CF89">
        <v>0</v>
      </c>
      <c r="CG89">
        <v>0</v>
      </c>
      <c r="CM89">
        <v>0</v>
      </c>
      <c r="CN89" t="s">
        <v>3</v>
      </c>
      <c r="CO89">
        <v>0</v>
      </c>
      <c r="CP89">
        <f t="shared" si="85"/>
        <v>427.28</v>
      </c>
      <c r="CQ89">
        <f t="shared" si="86"/>
        <v>0</v>
      </c>
      <c r="CR89">
        <f>(((((ET89*4))*BB89-((EU89*4))*BS89)+AE89*BS89)*AV89)</f>
        <v>109.56</v>
      </c>
      <c r="CS89">
        <f t="shared" si="87"/>
        <v>59.56</v>
      </c>
      <c r="CT89">
        <f t="shared" si="88"/>
        <v>0</v>
      </c>
      <c r="CU89">
        <f t="shared" si="89"/>
        <v>0</v>
      </c>
      <c r="CV89">
        <f t="shared" si="90"/>
        <v>0</v>
      </c>
      <c r="CW89">
        <f t="shared" si="91"/>
        <v>0</v>
      </c>
      <c r="CX89">
        <f t="shared" si="91"/>
        <v>0</v>
      </c>
      <c r="CY89">
        <f t="shared" si="92"/>
        <v>0</v>
      </c>
      <c r="CZ89">
        <f t="shared" si="93"/>
        <v>0</v>
      </c>
      <c r="DC89" t="s">
        <v>3</v>
      </c>
      <c r="DD89" t="s">
        <v>3</v>
      </c>
      <c r="DE89" t="s">
        <v>196</v>
      </c>
      <c r="DF89" t="s">
        <v>196</v>
      </c>
      <c r="DG89" t="s">
        <v>3</v>
      </c>
      <c r="DH89" t="s">
        <v>3</v>
      </c>
      <c r="DI89" t="s">
        <v>3</v>
      </c>
      <c r="DJ89" t="s">
        <v>196</v>
      </c>
      <c r="DK89" t="s">
        <v>3</v>
      </c>
      <c r="DL89" t="s">
        <v>3</v>
      </c>
      <c r="DM89" t="s">
        <v>3</v>
      </c>
      <c r="DN89">
        <v>0</v>
      </c>
      <c r="DO89">
        <v>0</v>
      </c>
      <c r="DP89">
        <v>1</v>
      </c>
      <c r="DQ89">
        <v>1</v>
      </c>
      <c r="DU89">
        <v>1009</v>
      </c>
      <c r="DV89" t="s">
        <v>57</v>
      </c>
      <c r="DW89" t="s">
        <v>57</v>
      </c>
      <c r="DX89">
        <v>1000</v>
      </c>
      <c r="DZ89" t="s">
        <v>3</v>
      </c>
      <c r="EA89" t="s">
        <v>3</v>
      </c>
      <c r="EB89" t="s">
        <v>3</v>
      </c>
      <c r="EC89" t="s">
        <v>3</v>
      </c>
      <c r="EE89">
        <v>49145959</v>
      </c>
      <c r="EF89">
        <v>1</v>
      </c>
      <c r="EG89" t="s">
        <v>32</v>
      </c>
      <c r="EH89">
        <v>0</v>
      </c>
      <c r="EI89" t="s">
        <v>3</v>
      </c>
      <c r="EJ89">
        <v>4</v>
      </c>
      <c r="EK89">
        <v>1</v>
      </c>
      <c r="EL89" t="s">
        <v>48</v>
      </c>
      <c r="EM89" t="s">
        <v>34</v>
      </c>
      <c r="EO89" t="s">
        <v>3</v>
      </c>
      <c r="EQ89">
        <v>0</v>
      </c>
      <c r="ER89">
        <v>27.39</v>
      </c>
      <c r="ES89">
        <v>0</v>
      </c>
      <c r="ET89">
        <v>27.39</v>
      </c>
      <c r="EU89">
        <v>14.89</v>
      </c>
      <c r="EV89">
        <v>0</v>
      </c>
      <c r="EW89">
        <v>0</v>
      </c>
      <c r="EX89">
        <v>0</v>
      </c>
      <c r="EY89">
        <v>0</v>
      </c>
      <c r="FQ89">
        <v>0</v>
      </c>
      <c r="FR89">
        <f t="shared" si="94"/>
        <v>0</v>
      </c>
      <c r="FS89">
        <v>0</v>
      </c>
      <c r="FX89">
        <v>0</v>
      </c>
      <c r="FY89">
        <v>0</v>
      </c>
      <c r="GA89" t="s">
        <v>3</v>
      </c>
      <c r="GD89">
        <v>1</v>
      </c>
      <c r="GF89">
        <v>-1368578995</v>
      </c>
      <c r="GG89">
        <v>2</v>
      </c>
      <c r="GH89">
        <v>1</v>
      </c>
      <c r="GI89">
        <v>-2</v>
      </c>
      <c r="GJ89">
        <v>0</v>
      </c>
      <c r="GK89">
        <v>0</v>
      </c>
      <c r="GL89">
        <f t="shared" si="95"/>
        <v>0</v>
      </c>
      <c r="GM89">
        <f>ROUND(O89+X89+Y89,2)+GX89</f>
        <v>427.28</v>
      </c>
      <c r="GN89">
        <f>IF(OR(BI89=0,BI89=1),ROUND(O89+X89+Y89,2),0)</f>
        <v>0</v>
      </c>
      <c r="GO89">
        <f>IF(BI89=2,ROUND(O89+X89+Y89,2),0)</f>
        <v>0</v>
      </c>
      <c r="GP89">
        <f>IF(BI89=4,ROUND(O89+X89+Y89,2)+GX89,0)</f>
        <v>427.28</v>
      </c>
      <c r="GR89">
        <v>0</v>
      </c>
      <c r="GS89">
        <v>3</v>
      </c>
      <c r="GT89">
        <v>0</v>
      </c>
      <c r="GU89" t="s">
        <v>3</v>
      </c>
      <c r="GV89">
        <f t="shared" si="96"/>
        <v>0</v>
      </c>
      <c r="GW89">
        <v>1</v>
      </c>
      <c r="GX89">
        <f t="shared" si="97"/>
        <v>0</v>
      </c>
      <c r="HA89">
        <v>0</v>
      </c>
      <c r="HB89">
        <v>0</v>
      </c>
      <c r="HC89">
        <f t="shared" si="98"/>
        <v>0</v>
      </c>
      <c r="HE89" t="s">
        <v>3</v>
      </c>
      <c r="HF89" t="s">
        <v>3</v>
      </c>
      <c r="IK89">
        <v>0</v>
      </c>
    </row>
    <row r="91" spans="1:245" x14ac:dyDescent="0.2">
      <c r="A91" s="2">
        <v>51</v>
      </c>
      <c r="B91" s="2">
        <f>B79</f>
        <v>1</v>
      </c>
      <c r="C91" s="2">
        <f>A79</f>
        <v>4</v>
      </c>
      <c r="D91" s="2">
        <f>ROW(A79)</f>
        <v>79</v>
      </c>
      <c r="E91" s="2"/>
      <c r="F91" s="2" t="str">
        <f>IF(F79&lt;&gt;"",F79,"")</f>
        <v>дем. решет. 68м</v>
      </c>
      <c r="G91" s="2" t="str">
        <f>IF(G79&lt;&gt;"",G79,"")</f>
        <v>Демонтаж решеточного ограждения 68 м Н=3 м</v>
      </c>
      <c r="H91" s="2">
        <v>0</v>
      </c>
      <c r="I91" s="2"/>
      <c r="J91" s="2"/>
      <c r="K91" s="2"/>
      <c r="L91" s="2"/>
      <c r="M91" s="2"/>
      <c r="N91" s="2"/>
      <c r="O91" s="2">
        <f t="shared" ref="O91:T91" si="101">ROUND(AB91,2)</f>
        <v>20122.25</v>
      </c>
      <c r="P91" s="2">
        <f t="shared" si="101"/>
        <v>0</v>
      </c>
      <c r="Q91" s="2">
        <f t="shared" si="101"/>
        <v>1464.25</v>
      </c>
      <c r="R91" s="2">
        <f t="shared" si="101"/>
        <v>490.05</v>
      </c>
      <c r="S91" s="2">
        <f t="shared" si="101"/>
        <v>18658</v>
      </c>
      <c r="T91" s="2">
        <f t="shared" si="101"/>
        <v>0</v>
      </c>
      <c r="U91" s="2">
        <f>AH91</f>
        <v>72.72</v>
      </c>
      <c r="V91" s="2">
        <f>AI91</f>
        <v>0</v>
      </c>
      <c r="W91" s="2">
        <f>ROUND(AJ91,2)</f>
        <v>0</v>
      </c>
      <c r="X91" s="2">
        <f>ROUND(AK91,2)</f>
        <v>13060.6</v>
      </c>
      <c r="Y91" s="2">
        <f>ROUND(AL91,2)</f>
        <v>1865.81</v>
      </c>
      <c r="Z91" s="2"/>
      <c r="AA91" s="2"/>
      <c r="AB91" s="2">
        <f>ROUND(SUMIF(AA83:AA89,"=49707740",O83:O89),2)</f>
        <v>20122.25</v>
      </c>
      <c r="AC91" s="2">
        <f>ROUND(SUMIF(AA83:AA89,"=49707740",P83:P89),2)</f>
        <v>0</v>
      </c>
      <c r="AD91" s="2">
        <f>ROUND(SUMIF(AA83:AA89,"=49707740",Q83:Q89),2)</f>
        <v>1464.25</v>
      </c>
      <c r="AE91" s="2">
        <f>ROUND(SUMIF(AA83:AA89,"=49707740",R83:R89),2)</f>
        <v>490.05</v>
      </c>
      <c r="AF91" s="2">
        <f>ROUND(SUMIF(AA83:AA89,"=49707740",S83:S89),2)</f>
        <v>18658</v>
      </c>
      <c r="AG91" s="2">
        <f>ROUND(SUMIF(AA83:AA89,"=49707740",T83:T89),2)</f>
        <v>0</v>
      </c>
      <c r="AH91" s="2">
        <f>SUMIF(AA83:AA89,"=49707740",U83:U89)</f>
        <v>72.72</v>
      </c>
      <c r="AI91" s="2">
        <f>SUMIF(AA83:AA89,"=49707740",V83:V89)</f>
        <v>0</v>
      </c>
      <c r="AJ91" s="2">
        <f>ROUND(SUMIF(AA83:AA89,"=49707740",W83:W89),2)</f>
        <v>0</v>
      </c>
      <c r="AK91" s="2">
        <f>ROUND(SUMIF(AA83:AA89,"=49707740",X83:X89),2)</f>
        <v>13060.6</v>
      </c>
      <c r="AL91" s="2">
        <f>ROUND(SUMIF(AA83:AA89,"=49707740",Y83:Y89),2)</f>
        <v>1865.81</v>
      </c>
      <c r="AM91" s="2"/>
      <c r="AN91" s="2"/>
      <c r="AO91" s="2">
        <f t="shared" ref="AO91:BD91" si="102">ROUND(BX91,2)</f>
        <v>0</v>
      </c>
      <c r="AP91" s="2">
        <f t="shared" si="102"/>
        <v>0</v>
      </c>
      <c r="AQ91" s="2">
        <f t="shared" si="102"/>
        <v>0</v>
      </c>
      <c r="AR91" s="2">
        <f t="shared" si="102"/>
        <v>35169.26</v>
      </c>
      <c r="AS91" s="2">
        <f t="shared" si="102"/>
        <v>0</v>
      </c>
      <c r="AT91" s="2">
        <f t="shared" si="102"/>
        <v>0</v>
      </c>
      <c r="AU91" s="2">
        <f t="shared" si="102"/>
        <v>35169.26</v>
      </c>
      <c r="AV91" s="2">
        <f t="shared" si="102"/>
        <v>0</v>
      </c>
      <c r="AW91" s="2">
        <f t="shared" si="102"/>
        <v>0</v>
      </c>
      <c r="AX91" s="2">
        <f t="shared" si="102"/>
        <v>0</v>
      </c>
      <c r="AY91" s="2">
        <f t="shared" si="102"/>
        <v>0</v>
      </c>
      <c r="AZ91" s="2">
        <f t="shared" si="102"/>
        <v>0</v>
      </c>
      <c r="BA91" s="2">
        <f t="shared" si="102"/>
        <v>0</v>
      </c>
      <c r="BB91" s="2">
        <f t="shared" si="102"/>
        <v>0</v>
      </c>
      <c r="BC91" s="2">
        <f t="shared" si="102"/>
        <v>0</v>
      </c>
      <c r="BD91" s="2">
        <f t="shared" si="102"/>
        <v>0</v>
      </c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>
        <f>ROUND(SUMIF(AA83:AA89,"=49707740",FQ83:FQ89),2)</f>
        <v>0</v>
      </c>
      <c r="BY91" s="2">
        <f>ROUND(SUMIF(AA83:AA89,"=49707740",FR83:FR89),2)</f>
        <v>0</v>
      </c>
      <c r="BZ91" s="2">
        <f>ROUND(SUMIF(AA83:AA89,"=49707740",GL83:GL89),2)</f>
        <v>0</v>
      </c>
      <c r="CA91" s="2">
        <f>ROUND(SUMIF(AA83:AA89,"=49707740",GM83:GM89),2)</f>
        <v>35169.26</v>
      </c>
      <c r="CB91" s="2">
        <f>ROUND(SUMIF(AA83:AA89,"=49707740",GN83:GN89),2)</f>
        <v>0</v>
      </c>
      <c r="CC91" s="2">
        <f>ROUND(SUMIF(AA83:AA89,"=49707740",GO83:GO89),2)</f>
        <v>0</v>
      </c>
      <c r="CD91" s="2">
        <f>ROUND(SUMIF(AA83:AA89,"=49707740",GP83:GP89),2)</f>
        <v>35169.26</v>
      </c>
      <c r="CE91" s="2">
        <f>AC91-BX91</f>
        <v>0</v>
      </c>
      <c r="CF91" s="2">
        <f>AC91-BY91</f>
        <v>0</v>
      </c>
      <c r="CG91" s="2">
        <f>BX91-BZ91</f>
        <v>0</v>
      </c>
      <c r="CH91" s="2">
        <f>AC91-BX91-BY91+BZ91</f>
        <v>0</v>
      </c>
      <c r="CI91" s="2">
        <f>BY91-BZ91</f>
        <v>0</v>
      </c>
      <c r="CJ91" s="2">
        <f>ROUND(SUMIF(AA83:AA89,"=49707740",GX83:GX89),2)</f>
        <v>0</v>
      </c>
      <c r="CK91" s="2">
        <f>ROUND(SUMIF(AA83:AA89,"=49707740",GY83:GY89),2)</f>
        <v>0</v>
      </c>
      <c r="CL91" s="2">
        <f>ROUND(SUMIF(AA83:AA89,"=49707740",GZ83:GZ89),2)</f>
        <v>0</v>
      </c>
      <c r="CM91" s="2">
        <f>ROUND(SUMIF(AA83:AA89,"=49707740",HD83:HD89),2)</f>
        <v>0</v>
      </c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>
        <v>0</v>
      </c>
    </row>
    <row r="93" spans="1:245" x14ac:dyDescent="0.2">
      <c r="A93" s="4">
        <v>50</v>
      </c>
      <c r="B93" s="4">
        <v>0</v>
      </c>
      <c r="C93" s="4">
        <v>0</v>
      </c>
      <c r="D93" s="4">
        <v>1</v>
      </c>
      <c r="E93" s="4">
        <v>201</v>
      </c>
      <c r="F93" s="4">
        <f>ROUND(Source!O91,O93)</f>
        <v>20122.25</v>
      </c>
      <c r="G93" s="4" t="s">
        <v>106</v>
      </c>
      <c r="H93" s="4" t="s">
        <v>107</v>
      </c>
      <c r="I93" s="4"/>
      <c r="J93" s="4"/>
      <c r="K93" s="4">
        <v>-201</v>
      </c>
      <c r="L93" s="4">
        <v>1</v>
      </c>
      <c r="M93" s="4">
        <v>3</v>
      </c>
      <c r="N93" s="4" t="s">
        <v>3</v>
      </c>
      <c r="O93" s="4">
        <v>2</v>
      </c>
      <c r="P93" s="4"/>
      <c r="Q93" s="4"/>
      <c r="R93" s="4"/>
      <c r="S93" s="4"/>
      <c r="T93" s="4"/>
      <c r="U93" s="4"/>
      <c r="V93" s="4"/>
      <c r="W93" s="4"/>
    </row>
    <row r="94" spans="1:245" x14ac:dyDescent="0.2">
      <c r="A94" s="4">
        <v>50</v>
      </c>
      <c r="B94" s="4">
        <v>0</v>
      </c>
      <c r="C94" s="4">
        <v>0</v>
      </c>
      <c r="D94" s="4">
        <v>1</v>
      </c>
      <c r="E94" s="4">
        <v>202</v>
      </c>
      <c r="F94" s="4">
        <f>ROUND(Source!P91,O94)</f>
        <v>0</v>
      </c>
      <c r="G94" s="4" t="s">
        <v>108</v>
      </c>
      <c r="H94" s="4" t="s">
        <v>109</v>
      </c>
      <c r="I94" s="4"/>
      <c r="J94" s="4"/>
      <c r="K94" s="4">
        <v>-202</v>
      </c>
      <c r="L94" s="4">
        <v>2</v>
      </c>
      <c r="M94" s="4">
        <v>3</v>
      </c>
      <c r="N94" s="4" t="s">
        <v>3</v>
      </c>
      <c r="O94" s="4">
        <v>2</v>
      </c>
      <c r="P94" s="4"/>
      <c r="Q94" s="4"/>
      <c r="R94" s="4"/>
      <c r="S94" s="4"/>
      <c r="T94" s="4"/>
      <c r="U94" s="4"/>
      <c r="V94" s="4"/>
      <c r="W94" s="4"/>
    </row>
    <row r="95" spans="1:245" x14ac:dyDescent="0.2">
      <c r="A95" s="4">
        <v>50</v>
      </c>
      <c r="B95" s="4">
        <v>0</v>
      </c>
      <c r="C95" s="4">
        <v>0</v>
      </c>
      <c r="D95" s="4">
        <v>1</v>
      </c>
      <c r="E95" s="4">
        <v>222</v>
      </c>
      <c r="F95" s="4">
        <f>ROUND(Source!AO91,O95)</f>
        <v>0</v>
      </c>
      <c r="G95" s="4" t="s">
        <v>110</v>
      </c>
      <c r="H95" s="4" t="s">
        <v>111</v>
      </c>
      <c r="I95" s="4"/>
      <c r="J95" s="4"/>
      <c r="K95" s="4">
        <v>-222</v>
      </c>
      <c r="L95" s="4">
        <v>3</v>
      </c>
      <c r="M95" s="4">
        <v>3</v>
      </c>
      <c r="N95" s="4" t="s">
        <v>3</v>
      </c>
      <c r="O95" s="4">
        <v>2</v>
      </c>
      <c r="P95" s="4"/>
      <c r="Q95" s="4"/>
      <c r="R95" s="4"/>
      <c r="S95" s="4"/>
      <c r="T95" s="4"/>
      <c r="U95" s="4"/>
      <c r="V95" s="4"/>
      <c r="W95" s="4"/>
    </row>
    <row r="96" spans="1:245" x14ac:dyDescent="0.2">
      <c r="A96" s="4">
        <v>50</v>
      </c>
      <c r="B96" s="4">
        <v>0</v>
      </c>
      <c r="C96" s="4">
        <v>0</v>
      </c>
      <c r="D96" s="4">
        <v>1</v>
      </c>
      <c r="E96" s="4">
        <v>225</v>
      </c>
      <c r="F96" s="4">
        <f>ROUND(Source!AV91,O96)</f>
        <v>0</v>
      </c>
      <c r="G96" s="4" t="s">
        <v>112</v>
      </c>
      <c r="H96" s="4" t="s">
        <v>113</v>
      </c>
      <c r="I96" s="4"/>
      <c r="J96" s="4"/>
      <c r="K96" s="4">
        <v>-225</v>
      </c>
      <c r="L96" s="4">
        <v>4</v>
      </c>
      <c r="M96" s="4">
        <v>3</v>
      </c>
      <c r="N96" s="4" t="s">
        <v>3</v>
      </c>
      <c r="O96" s="4">
        <v>2</v>
      </c>
      <c r="P96" s="4"/>
      <c r="Q96" s="4"/>
      <c r="R96" s="4"/>
      <c r="S96" s="4"/>
      <c r="T96" s="4"/>
      <c r="U96" s="4"/>
      <c r="V96" s="4"/>
      <c r="W96" s="4"/>
    </row>
    <row r="97" spans="1:23" x14ac:dyDescent="0.2">
      <c r="A97" s="4">
        <v>50</v>
      </c>
      <c r="B97" s="4">
        <v>0</v>
      </c>
      <c r="C97" s="4">
        <v>0</v>
      </c>
      <c r="D97" s="4">
        <v>1</v>
      </c>
      <c r="E97" s="4">
        <v>226</v>
      </c>
      <c r="F97" s="4">
        <f>ROUND(Source!AW91,O97)</f>
        <v>0</v>
      </c>
      <c r="G97" s="4" t="s">
        <v>114</v>
      </c>
      <c r="H97" s="4" t="s">
        <v>115</v>
      </c>
      <c r="I97" s="4"/>
      <c r="J97" s="4"/>
      <c r="K97" s="4">
        <v>-226</v>
      </c>
      <c r="L97" s="4">
        <v>5</v>
      </c>
      <c r="M97" s="4">
        <v>3</v>
      </c>
      <c r="N97" s="4" t="s">
        <v>3</v>
      </c>
      <c r="O97" s="4">
        <v>2</v>
      </c>
      <c r="P97" s="4"/>
      <c r="Q97" s="4"/>
      <c r="R97" s="4"/>
      <c r="S97" s="4"/>
      <c r="T97" s="4"/>
      <c r="U97" s="4"/>
      <c r="V97" s="4"/>
      <c r="W97" s="4"/>
    </row>
    <row r="98" spans="1:23" x14ac:dyDescent="0.2">
      <c r="A98" s="4">
        <v>50</v>
      </c>
      <c r="B98" s="4">
        <v>0</v>
      </c>
      <c r="C98" s="4">
        <v>0</v>
      </c>
      <c r="D98" s="4">
        <v>1</v>
      </c>
      <c r="E98" s="4">
        <v>227</v>
      </c>
      <c r="F98" s="4">
        <f>ROUND(Source!AX91,O98)</f>
        <v>0</v>
      </c>
      <c r="G98" s="4" t="s">
        <v>116</v>
      </c>
      <c r="H98" s="4" t="s">
        <v>117</v>
      </c>
      <c r="I98" s="4"/>
      <c r="J98" s="4"/>
      <c r="K98" s="4">
        <v>-227</v>
      </c>
      <c r="L98" s="4">
        <v>6</v>
      </c>
      <c r="M98" s="4">
        <v>3</v>
      </c>
      <c r="N98" s="4" t="s">
        <v>3</v>
      </c>
      <c r="O98" s="4">
        <v>2</v>
      </c>
      <c r="P98" s="4"/>
      <c r="Q98" s="4"/>
      <c r="R98" s="4"/>
      <c r="S98" s="4"/>
      <c r="T98" s="4"/>
      <c r="U98" s="4"/>
      <c r="V98" s="4"/>
      <c r="W98" s="4"/>
    </row>
    <row r="99" spans="1:23" x14ac:dyDescent="0.2">
      <c r="A99" s="4">
        <v>50</v>
      </c>
      <c r="B99" s="4">
        <v>0</v>
      </c>
      <c r="C99" s="4">
        <v>0</v>
      </c>
      <c r="D99" s="4">
        <v>1</v>
      </c>
      <c r="E99" s="4">
        <v>228</v>
      </c>
      <c r="F99" s="4">
        <f>ROUND(Source!AY91,O99)</f>
        <v>0</v>
      </c>
      <c r="G99" s="4" t="s">
        <v>118</v>
      </c>
      <c r="H99" s="4" t="s">
        <v>119</v>
      </c>
      <c r="I99" s="4"/>
      <c r="J99" s="4"/>
      <c r="K99" s="4">
        <v>-228</v>
      </c>
      <c r="L99" s="4">
        <v>7</v>
      </c>
      <c r="M99" s="4">
        <v>3</v>
      </c>
      <c r="N99" s="4" t="s">
        <v>3</v>
      </c>
      <c r="O99" s="4">
        <v>2</v>
      </c>
      <c r="P99" s="4"/>
      <c r="Q99" s="4"/>
      <c r="R99" s="4"/>
      <c r="S99" s="4"/>
      <c r="T99" s="4"/>
      <c r="U99" s="4"/>
      <c r="V99" s="4"/>
      <c r="W99" s="4"/>
    </row>
    <row r="100" spans="1:23" x14ac:dyDescent="0.2">
      <c r="A100" s="4">
        <v>50</v>
      </c>
      <c r="B100" s="4">
        <v>0</v>
      </c>
      <c r="C100" s="4">
        <v>0</v>
      </c>
      <c r="D100" s="4">
        <v>1</v>
      </c>
      <c r="E100" s="4">
        <v>216</v>
      </c>
      <c r="F100" s="4">
        <f>ROUND(Source!AP91,O100)</f>
        <v>0</v>
      </c>
      <c r="G100" s="4" t="s">
        <v>120</v>
      </c>
      <c r="H100" s="4" t="s">
        <v>121</v>
      </c>
      <c r="I100" s="4"/>
      <c r="J100" s="4"/>
      <c r="K100" s="4">
        <v>-216</v>
      </c>
      <c r="L100" s="4">
        <v>8</v>
      </c>
      <c r="M100" s="4">
        <v>3</v>
      </c>
      <c r="N100" s="4" t="s">
        <v>3</v>
      </c>
      <c r="O100" s="4">
        <v>2</v>
      </c>
      <c r="P100" s="4"/>
      <c r="Q100" s="4"/>
      <c r="R100" s="4"/>
      <c r="S100" s="4"/>
      <c r="T100" s="4"/>
      <c r="U100" s="4"/>
      <c r="V100" s="4"/>
      <c r="W100" s="4"/>
    </row>
    <row r="101" spans="1:23" x14ac:dyDescent="0.2">
      <c r="A101" s="4">
        <v>50</v>
      </c>
      <c r="B101" s="4">
        <v>0</v>
      </c>
      <c r="C101" s="4">
        <v>0</v>
      </c>
      <c r="D101" s="4">
        <v>1</v>
      </c>
      <c r="E101" s="4">
        <v>223</v>
      </c>
      <c r="F101" s="4">
        <f>ROUND(Source!AQ91,O101)</f>
        <v>0</v>
      </c>
      <c r="G101" s="4" t="s">
        <v>122</v>
      </c>
      <c r="H101" s="4" t="s">
        <v>123</v>
      </c>
      <c r="I101" s="4"/>
      <c r="J101" s="4"/>
      <c r="K101" s="4">
        <v>-223</v>
      </c>
      <c r="L101" s="4">
        <v>9</v>
      </c>
      <c r="M101" s="4">
        <v>3</v>
      </c>
      <c r="N101" s="4" t="s">
        <v>3</v>
      </c>
      <c r="O101" s="4">
        <v>2</v>
      </c>
      <c r="P101" s="4"/>
      <c r="Q101" s="4"/>
      <c r="R101" s="4"/>
      <c r="S101" s="4"/>
      <c r="T101" s="4"/>
      <c r="U101" s="4"/>
      <c r="V101" s="4"/>
      <c r="W101" s="4"/>
    </row>
    <row r="102" spans="1:23" x14ac:dyDescent="0.2">
      <c r="A102" s="4">
        <v>50</v>
      </c>
      <c r="B102" s="4">
        <v>0</v>
      </c>
      <c r="C102" s="4">
        <v>0</v>
      </c>
      <c r="D102" s="4">
        <v>1</v>
      </c>
      <c r="E102" s="4">
        <v>229</v>
      </c>
      <c r="F102" s="4">
        <f>ROUND(Source!AZ91,O102)</f>
        <v>0</v>
      </c>
      <c r="G102" s="4" t="s">
        <v>124</v>
      </c>
      <c r="H102" s="4" t="s">
        <v>125</v>
      </c>
      <c r="I102" s="4"/>
      <c r="J102" s="4"/>
      <c r="K102" s="4">
        <v>-229</v>
      </c>
      <c r="L102" s="4">
        <v>10</v>
      </c>
      <c r="M102" s="4">
        <v>3</v>
      </c>
      <c r="N102" s="4" t="s">
        <v>3</v>
      </c>
      <c r="O102" s="4">
        <v>2</v>
      </c>
      <c r="P102" s="4"/>
      <c r="Q102" s="4"/>
      <c r="R102" s="4"/>
      <c r="S102" s="4"/>
      <c r="T102" s="4"/>
      <c r="U102" s="4"/>
      <c r="V102" s="4"/>
      <c r="W102" s="4"/>
    </row>
    <row r="103" spans="1:23" x14ac:dyDescent="0.2">
      <c r="A103" s="4">
        <v>50</v>
      </c>
      <c r="B103" s="4">
        <v>0</v>
      </c>
      <c r="C103" s="4">
        <v>0</v>
      </c>
      <c r="D103" s="4">
        <v>1</v>
      </c>
      <c r="E103" s="4">
        <v>203</v>
      </c>
      <c r="F103" s="4">
        <f>ROUND(Source!Q91,O103)</f>
        <v>1464.25</v>
      </c>
      <c r="G103" s="4" t="s">
        <v>126</v>
      </c>
      <c r="H103" s="4" t="s">
        <v>127</v>
      </c>
      <c r="I103" s="4"/>
      <c r="J103" s="4"/>
      <c r="K103" s="4">
        <v>-203</v>
      </c>
      <c r="L103" s="4">
        <v>11</v>
      </c>
      <c r="M103" s="4">
        <v>3</v>
      </c>
      <c r="N103" s="4" t="s">
        <v>3</v>
      </c>
      <c r="O103" s="4">
        <v>2</v>
      </c>
      <c r="P103" s="4"/>
      <c r="Q103" s="4"/>
      <c r="R103" s="4"/>
      <c r="S103" s="4"/>
      <c r="T103" s="4"/>
      <c r="U103" s="4"/>
      <c r="V103" s="4"/>
      <c r="W103" s="4"/>
    </row>
    <row r="104" spans="1:23" x14ac:dyDescent="0.2">
      <c r="A104" s="4">
        <v>50</v>
      </c>
      <c r="B104" s="4">
        <v>0</v>
      </c>
      <c r="C104" s="4">
        <v>0</v>
      </c>
      <c r="D104" s="4">
        <v>1</v>
      </c>
      <c r="E104" s="4">
        <v>231</v>
      </c>
      <c r="F104" s="4">
        <f>ROUND(Source!BB91,O104)</f>
        <v>0</v>
      </c>
      <c r="G104" s="4" t="s">
        <v>128</v>
      </c>
      <c r="H104" s="4" t="s">
        <v>129</v>
      </c>
      <c r="I104" s="4"/>
      <c r="J104" s="4"/>
      <c r="K104" s="4">
        <v>-231</v>
      </c>
      <c r="L104" s="4">
        <v>12</v>
      </c>
      <c r="M104" s="4">
        <v>3</v>
      </c>
      <c r="N104" s="4" t="s">
        <v>3</v>
      </c>
      <c r="O104" s="4">
        <v>2</v>
      </c>
      <c r="P104" s="4"/>
      <c r="Q104" s="4"/>
      <c r="R104" s="4"/>
      <c r="S104" s="4"/>
      <c r="T104" s="4"/>
      <c r="U104" s="4"/>
      <c r="V104" s="4"/>
      <c r="W104" s="4"/>
    </row>
    <row r="105" spans="1:23" x14ac:dyDescent="0.2">
      <c r="A105" s="4">
        <v>50</v>
      </c>
      <c r="B105" s="4">
        <v>0</v>
      </c>
      <c r="C105" s="4">
        <v>0</v>
      </c>
      <c r="D105" s="4">
        <v>1</v>
      </c>
      <c r="E105" s="4">
        <v>204</v>
      </c>
      <c r="F105" s="4">
        <f>ROUND(Source!R91,O105)</f>
        <v>490.05</v>
      </c>
      <c r="G105" s="4" t="s">
        <v>130</v>
      </c>
      <c r="H105" s="4" t="s">
        <v>131</v>
      </c>
      <c r="I105" s="4"/>
      <c r="J105" s="4"/>
      <c r="K105" s="4">
        <v>-204</v>
      </c>
      <c r="L105" s="4">
        <v>13</v>
      </c>
      <c r="M105" s="4">
        <v>3</v>
      </c>
      <c r="N105" s="4" t="s">
        <v>3</v>
      </c>
      <c r="O105" s="4">
        <v>2</v>
      </c>
      <c r="P105" s="4"/>
      <c r="Q105" s="4"/>
      <c r="R105" s="4"/>
      <c r="S105" s="4"/>
      <c r="T105" s="4"/>
      <c r="U105" s="4"/>
      <c r="V105" s="4"/>
      <c r="W105" s="4"/>
    </row>
    <row r="106" spans="1:23" x14ac:dyDescent="0.2">
      <c r="A106" s="4">
        <v>50</v>
      </c>
      <c r="B106" s="4">
        <v>0</v>
      </c>
      <c r="C106" s="4">
        <v>0</v>
      </c>
      <c r="D106" s="4">
        <v>1</v>
      </c>
      <c r="E106" s="4">
        <v>205</v>
      </c>
      <c r="F106" s="4">
        <f>ROUND(Source!S91,O106)</f>
        <v>18658</v>
      </c>
      <c r="G106" s="4" t="s">
        <v>132</v>
      </c>
      <c r="H106" s="4" t="s">
        <v>133</v>
      </c>
      <c r="I106" s="4"/>
      <c r="J106" s="4"/>
      <c r="K106" s="4">
        <v>-205</v>
      </c>
      <c r="L106" s="4">
        <v>14</v>
      </c>
      <c r="M106" s="4">
        <v>3</v>
      </c>
      <c r="N106" s="4" t="s">
        <v>3</v>
      </c>
      <c r="O106" s="4">
        <v>2</v>
      </c>
      <c r="P106" s="4"/>
      <c r="Q106" s="4"/>
      <c r="R106" s="4"/>
      <c r="S106" s="4"/>
      <c r="T106" s="4"/>
      <c r="U106" s="4"/>
      <c r="V106" s="4"/>
      <c r="W106" s="4"/>
    </row>
    <row r="107" spans="1:23" x14ac:dyDescent="0.2">
      <c r="A107" s="4">
        <v>50</v>
      </c>
      <c r="B107" s="4">
        <v>0</v>
      </c>
      <c r="C107" s="4">
        <v>0</v>
      </c>
      <c r="D107" s="4">
        <v>1</v>
      </c>
      <c r="E107" s="4">
        <v>232</v>
      </c>
      <c r="F107" s="4">
        <f>ROUND(Source!BC91,O107)</f>
        <v>0</v>
      </c>
      <c r="G107" s="4" t="s">
        <v>134</v>
      </c>
      <c r="H107" s="4" t="s">
        <v>135</v>
      </c>
      <c r="I107" s="4"/>
      <c r="J107" s="4"/>
      <c r="K107" s="4">
        <v>-232</v>
      </c>
      <c r="L107" s="4">
        <v>15</v>
      </c>
      <c r="M107" s="4">
        <v>3</v>
      </c>
      <c r="N107" s="4" t="s">
        <v>3</v>
      </c>
      <c r="O107" s="4">
        <v>2</v>
      </c>
      <c r="P107" s="4"/>
      <c r="Q107" s="4"/>
      <c r="R107" s="4"/>
      <c r="S107" s="4"/>
      <c r="T107" s="4"/>
      <c r="U107" s="4"/>
      <c r="V107" s="4"/>
      <c r="W107" s="4"/>
    </row>
    <row r="108" spans="1:23" x14ac:dyDescent="0.2">
      <c r="A108" s="4">
        <v>50</v>
      </c>
      <c r="B108" s="4">
        <v>0</v>
      </c>
      <c r="C108" s="4">
        <v>0</v>
      </c>
      <c r="D108" s="4">
        <v>1</v>
      </c>
      <c r="E108" s="4">
        <v>214</v>
      </c>
      <c r="F108" s="4">
        <f>ROUND(Source!AS91,O108)</f>
        <v>0</v>
      </c>
      <c r="G108" s="4" t="s">
        <v>136</v>
      </c>
      <c r="H108" s="4" t="s">
        <v>137</v>
      </c>
      <c r="I108" s="4"/>
      <c r="J108" s="4"/>
      <c r="K108" s="4">
        <v>-214</v>
      </c>
      <c r="L108" s="4">
        <v>16</v>
      </c>
      <c r="M108" s="4">
        <v>3</v>
      </c>
      <c r="N108" s="4" t="s">
        <v>3</v>
      </c>
      <c r="O108" s="4">
        <v>2</v>
      </c>
      <c r="P108" s="4"/>
      <c r="Q108" s="4"/>
      <c r="R108" s="4"/>
      <c r="S108" s="4"/>
      <c r="T108" s="4"/>
      <c r="U108" s="4"/>
      <c r="V108" s="4"/>
      <c r="W108" s="4"/>
    </row>
    <row r="109" spans="1:23" x14ac:dyDescent="0.2">
      <c r="A109" s="4">
        <v>50</v>
      </c>
      <c r="B109" s="4">
        <v>0</v>
      </c>
      <c r="C109" s="4">
        <v>0</v>
      </c>
      <c r="D109" s="4">
        <v>1</v>
      </c>
      <c r="E109" s="4">
        <v>215</v>
      </c>
      <c r="F109" s="4">
        <f>ROUND(Source!AT91,O109)</f>
        <v>0</v>
      </c>
      <c r="G109" s="4" t="s">
        <v>138</v>
      </c>
      <c r="H109" s="4" t="s">
        <v>139</v>
      </c>
      <c r="I109" s="4"/>
      <c r="J109" s="4"/>
      <c r="K109" s="4">
        <v>-215</v>
      </c>
      <c r="L109" s="4">
        <v>17</v>
      </c>
      <c r="M109" s="4">
        <v>3</v>
      </c>
      <c r="N109" s="4" t="s">
        <v>3</v>
      </c>
      <c r="O109" s="4">
        <v>2</v>
      </c>
      <c r="P109" s="4"/>
      <c r="Q109" s="4"/>
      <c r="R109" s="4"/>
      <c r="S109" s="4"/>
      <c r="T109" s="4"/>
      <c r="U109" s="4"/>
      <c r="V109" s="4"/>
      <c r="W109" s="4"/>
    </row>
    <row r="110" spans="1:23" x14ac:dyDescent="0.2">
      <c r="A110" s="4">
        <v>50</v>
      </c>
      <c r="B110" s="4">
        <v>0</v>
      </c>
      <c r="C110" s="4">
        <v>0</v>
      </c>
      <c r="D110" s="4">
        <v>1</v>
      </c>
      <c r="E110" s="4">
        <v>217</v>
      </c>
      <c r="F110" s="4">
        <f>ROUND(Source!AU91,O110)</f>
        <v>35169.26</v>
      </c>
      <c r="G110" s="4" t="s">
        <v>140</v>
      </c>
      <c r="H110" s="4" t="s">
        <v>141</v>
      </c>
      <c r="I110" s="4"/>
      <c r="J110" s="4"/>
      <c r="K110" s="4">
        <v>-217</v>
      </c>
      <c r="L110" s="4">
        <v>18</v>
      </c>
      <c r="M110" s="4">
        <v>3</v>
      </c>
      <c r="N110" s="4" t="s">
        <v>3</v>
      </c>
      <c r="O110" s="4">
        <v>2</v>
      </c>
      <c r="P110" s="4"/>
      <c r="Q110" s="4"/>
      <c r="R110" s="4"/>
      <c r="S110" s="4"/>
      <c r="T110" s="4"/>
      <c r="U110" s="4"/>
      <c r="V110" s="4"/>
      <c r="W110" s="4"/>
    </row>
    <row r="111" spans="1:23" x14ac:dyDescent="0.2">
      <c r="A111" s="4">
        <v>50</v>
      </c>
      <c r="B111" s="4">
        <v>0</v>
      </c>
      <c r="C111" s="4">
        <v>0</v>
      </c>
      <c r="D111" s="4">
        <v>1</v>
      </c>
      <c r="E111" s="4">
        <v>230</v>
      </c>
      <c r="F111" s="4">
        <f>ROUND(Source!BA91,O111)</f>
        <v>0</v>
      </c>
      <c r="G111" s="4" t="s">
        <v>142</v>
      </c>
      <c r="H111" s="4" t="s">
        <v>143</v>
      </c>
      <c r="I111" s="4"/>
      <c r="J111" s="4"/>
      <c r="K111" s="4">
        <v>-230</v>
      </c>
      <c r="L111" s="4">
        <v>19</v>
      </c>
      <c r="M111" s="4">
        <v>3</v>
      </c>
      <c r="N111" s="4" t="s">
        <v>3</v>
      </c>
      <c r="O111" s="4">
        <v>2</v>
      </c>
      <c r="P111" s="4"/>
      <c r="Q111" s="4"/>
      <c r="R111" s="4"/>
      <c r="S111" s="4"/>
      <c r="T111" s="4"/>
      <c r="U111" s="4"/>
      <c r="V111" s="4"/>
      <c r="W111" s="4"/>
    </row>
    <row r="112" spans="1:23" x14ac:dyDescent="0.2">
      <c r="A112" s="4">
        <v>50</v>
      </c>
      <c r="B112" s="4">
        <v>0</v>
      </c>
      <c r="C112" s="4">
        <v>0</v>
      </c>
      <c r="D112" s="4">
        <v>1</v>
      </c>
      <c r="E112" s="4">
        <v>206</v>
      </c>
      <c r="F112" s="4">
        <f>ROUND(Source!T91,O112)</f>
        <v>0</v>
      </c>
      <c r="G112" s="4" t="s">
        <v>144</v>
      </c>
      <c r="H112" s="4" t="s">
        <v>145</v>
      </c>
      <c r="I112" s="4"/>
      <c r="J112" s="4"/>
      <c r="K112" s="4">
        <v>-206</v>
      </c>
      <c r="L112" s="4">
        <v>20</v>
      </c>
      <c r="M112" s="4">
        <v>3</v>
      </c>
      <c r="N112" s="4" t="s">
        <v>3</v>
      </c>
      <c r="O112" s="4">
        <v>2</v>
      </c>
      <c r="P112" s="4"/>
      <c r="Q112" s="4"/>
      <c r="R112" s="4"/>
      <c r="S112" s="4"/>
      <c r="T112" s="4"/>
      <c r="U112" s="4"/>
      <c r="V112" s="4"/>
      <c r="W112" s="4"/>
    </row>
    <row r="113" spans="1:245" x14ac:dyDescent="0.2">
      <c r="A113" s="4">
        <v>50</v>
      </c>
      <c r="B113" s="4">
        <v>0</v>
      </c>
      <c r="C113" s="4">
        <v>0</v>
      </c>
      <c r="D113" s="4">
        <v>1</v>
      </c>
      <c r="E113" s="4">
        <v>207</v>
      </c>
      <c r="F113" s="4">
        <f>Source!U91</f>
        <v>72.72</v>
      </c>
      <c r="G113" s="4" t="s">
        <v>146</v>
      </c>
      <c r="H113" s="4" t="s">
        <v>147</v>
      </c>
      <c r="I113" s="4"/>
      <c r="J113" s="4"/>
      <c r="K113" s="4">
        <v>-207</v>
      </c>
      <c r="L113" s="4">
        <v>21</v>
      </c>
      <c r="M113" s="4">
        <v>3</v>
      </c>
      <c r="N113" s="4" t="s">
        <v>3</v>
      </c>
      <c r="O113" s="4">
        <v>-1</v>
      </c>
      <c r="P113" s="4"/>
      <c r="Q113" s="4"/>
      <c r="R113" s="4"/>
      <c r="S113" s="4"/>
      <c r="T113" s="4"/>
      <c r="U113" s="4"/>
      <c r="V113" s="4"/>
      <c r="W113" s="4"/>
    </row>
    <row r="114" spans="1:245" x14ac:dyDescent="0.2">
      <c r="A114" s="4">
        <v>50</v>
      </c>
      <c r="B114" s="4">
        <v>0</v>
      </c>
      <c r="C114" s="4">
        <v>0</v>
      </c>
      <c r="D114" s="4">
        <v>1</v>
      </c>
      <c r="E114" s="4">
        <v>208</v>
      </c>
      <c r="F114" s="4">
        <f>Source!V91</f>
        <v>0</v>
      </c>
      <c r="G114" s="4" t="s">
        <v>148</v>
      </c>
      <c r="H114" s="4" t="s">
        <v>149</v>
      </c>
      <c r="I114" s="4"/>
      <c r="J114" s="4"/>
      <c r="K114" s="4">
        <v>-208</v>
      </c>
      <c r="L114" s="4">
        <v>22</v>
      </c>
      <c r="M114" s="4">
        <v>3</v>
      </c>
      <c r="N114" s="4" t="s">
        <v>3</v>
      </c>
      <c r="O114" s="4">
        <v>-1</v>
      </c>
      <c r="P114" s="4"/>
      <c r="Q114" s="4"/>
      <c r="R114" s="4"/>
      <c r="S114" s="4"/>
      <c r="T114" s="4"/>
      <c r="U114" s="4"/>
      <c r="V114" s="4"/>
      <c r="W114" s="4"/>
    </row>
    <row r="115" spans="1:245" x14ac:dyDescent="0.2">
      <c r="A115" s="4">
        <v>50</v>
      </c>
      <c r="B115" s="4">
        <v>0</v>
      </c>
      <c r="C115" s="4">
        <v>0</v>
      </c>
      <c r="D115" s="4">
        <v>1</v>
      </c>
      <c r="E115" s="4">
        <v>209</v>
      </c>
      <c r="F115" s="4">
        <f>ROUND(Source!W91,O115)</f>
        <v>0</v>
      </c>
      <c r="G115" s="4" t="s">
        <v>150</v>
      </c>
      <c r="H115" s="4" t="s">
        <v>151</v>
      </c>
      <c r="I115" s="4"/>
      <c r="J115" s="4"/>
      <c r="K115" s="4">
        <v>-209</v>
      </c>
      <c r="L115" s="4">
        <v>23</v>
      </c>
      <c r="M115" s="4">
        <v>3</v>
      </c>
      <c r="N115" s="4" t="s">
        <v>3</v>
      </c>
      <c r="O115" s="4">
        <v>2</v>
      </c>
      <c r="P115" s="4"/>
      <c r="Q115" s="4"/>
      <c r="R115" s="4"/>
      <c r="S115" s="4"/>
      <c r="T115" s="4"/>
      <c r="U115" s="4"/>
      <c r="V115" s="4"/>
      <c r="W115" s="4"/>
    </row>
    <row r="116" spans="1:245" x14ac:dyDescent="0.2">
      <c r="A116" s="4">
        <v>50</v>
      </c>
      <c r="B116" s="4">
        <v>0</v>
      </c>
      <c r="C116" s="4">
        <v>0</v>
      </c>
      <c r="D116" s="4">
        <v>1</v>
      </c>
      <c r="E116" s="4">
        <v>233</v>
      </c>
      <c r="F116" s="4">
        <f>ROUND(Source!BD91,O116)</f>
        <v>0</v>
      </c>
      <c r="G116" s="4" t="s">
        <v>152</v>
      </c>
      <c r="H116" s="4" t="s">
        <v>153</v>
      </c>
      <c r="I116" s="4"/>
      <c r="J116" s="4"/>
      <c r="K116" s="4">
        <v>-233</v>
      </c>
      <c r="L116" s="4">
        <v>24</v>
      </c>
      <c r="M116" s="4">
        <v>3</v>
      </c>
      <c r="N116" s="4" t="s">
        <v>3</v>
      </c>
      <c r="O116" s="4">
        <v>2</v>
      </c>
      <c r="P116" s="4"/>
      <c r="Q116" s="4"/>
      <c r="R116" s="4"/>
      <c r="S116" s="4"/>
      <c r="T116" s="4"/>
      <c r="U116" s="4"/>
      <c r="V116" s="4"/>
      <c r="W116" s="4"/>
    </row>
    <row r="117" spans="1:245" x14ac:dyDescent="0.2">
      <c r="A117" s="4">
        <v>50</v>
      </c>
      <c r="B117" s="4">
        <v>0</v>
      </c>
      <c r="C117" s="4">
        <v>0</v>
      </c>
      <c r="D117" s="4">
        <v>1</v>
      </c>
      <c r="E117" s="4">
        <v>210</v>
      </c>
      <c r="F117" s="4">
        <f>ROUND(Source!X91,O117)</f>
        <v>13060.6</v>
      </c>
      <c r="G117" s="4" t="s">
        <v>154</v>
      </c>
      <c r="H117" s="4" t="s">
        <v>155</v>
      </c>
      <c r="I117" s="4"/>
      <c r="J117" s="4"/>
      <c r="K117" s="4">
        <v>-210</v>
      </c>
      <c r="L117" s="4">
        <v>25</v>
      </c>
      <c r="M117" s="4">
        <v>3</v>
      </c>
      <c r="N117" s="4" t="s">
        <v>3</v>
      </c>
      <c r="O117" s="4">
        <v>2</v>
      </c>
      <c r="P117" s="4"/>
      <c r="Q117" s="4"/>
      <c r="R117" s="4"/>
      <c r="S117" s="4"/>
      <c r="T117" s="4"/>
      <c r="U117" s="4"/>
      <c r="V117" s="4"/>
      <c r="W117" s="4"/>
    </row>
    <row r="118" spans="1:245" x14ac:dyDescent="0.2">
      <c r="A118" s="4">
        <v>50</v>
      </c>
      <c r="B118" s="4">
        <v>0</v>
      </c>
      <c r="C118" s="4">
        <v>0</v>
      </c>
      <c r="D118" s="4">
        <v>1</v>
      </c>
      <c r="E118" s="4">
        <v>211</v>
      </c>
      <c r="F118" s="4">
        <f>ROUND(Source!Y91,O118)</f>
        <v>1865.81</v>
      </c>
      <c r="G118" s="4" t="s">
        <v>156</v>
      </c>
      <c r="H118" s="4" t="s">
        <v>157</v>
      </c>
      <c r="I118" s="4"/>
      <c r="J118" s="4"/>
      <c r="K118" s="4">
        <v>-211</v>
      </c>
      <c r="L118" s="4">
        <v>26</v>
      </c>
      <c r="M118" s="4">
        <v>3</v>
      </c>
      <c r="N118" s="4" t="s">
        <v>3</v>
      </c>
      <c r="O118" s="4">
        <v>2</v>
      </c>
      <c r="P118" s="4"/>
      <c r="Q118" s="4"/>
      <c r="R118" s="4"/>
      <c r="S118" s="4"/>
      <c r="T118" s="4"/>
      <c r="U118" s="4"/>
      <c r="V118" s="4"/>
      <c r="W118" s="4"/>
    </row>
    <row r="119" spans="1:245" x14ac:dyDescent="0.2">
      <c r="A119" s="4">
        <v>50</v>
      </c>
      <c r="B119" s="4">
        <v>0</v>
      </c>
      <c r="C119" s="4">
        <v>0</v>
      </c>
      <c r="D119" s="4">
        <v>1</v>
      </c>
      <c r="E119" s="4">
        <v>224</v>
      </c>
      <c r="F119" s="4">
        <f>ROUND(Source!AR91,O119)</f>
        <v>35169.26</v>
      </c>
      <c r="G119" s="4" t="s">
        <v>158</v>
      </c>
      <c r="H119" s="4" t="s">
        <v>159</v>
      </c>
      <c r="I119" s="4"/>
      <c r="J119" s="4"/>
      <c r="K119" s="4">
        <v>-224</v>
      </c>
      <c r="L119" s="4">
        <v>27</v>
      </c>
      <c r="M119" s="4">
        <v>3</v>
      </c>
      <c r="N119" s="4" t="s">
        <v>3</v>
      </c>
      <c r="O119" s="4">
        <v>2</v>
      </c>
      <c r="P119" s="4"/>
      <c r="Q119" s="4"/>
      <c r="R119" s="4"/>
      <c r="S119" s="4"/>
      <c r="T119" s="4"/>
      <c r="U119" s="4"/>
      <c r="V119" s="4"/>
      <c r="W119" s="4"/>
    </row>
    <row r="120" spans="1:245" x14ac:dyDescent="0.2">
      <c r="A120" s="4">
        <v>50</v>
      </c>
      <c r="B120" s="4">
        <v>1</v>
      </c>
      <c r="C120" s="4">
        <v>0</v>
      </c>
      <c r="D120" s="4">
        <v>2</v>
      </c>
      <c r="E120" s="4">
        <v>0</v>
      </c>
      <c r="F120" s="4">
        <f>ROUND(F119,O120)</f>
        <v>35169.26</v>
      </c>
      <c r="G120" s="4" t="s">
        <v>27</v>
      </c>
      <c r="H120" s="4" t="s">
        <v>160</v>
      </c>
      <c r="I120" s="4"/>
      <c r="J120" s="4"/>
      <c r="K120" s="4">
        <v>212</v>
      </c>
      <c r="L120" s="4">
        <v>28</v>
      </c>
      <c r="M120" s="4">
        <v>0</v>
      </c>
      <c r="N120" s="4" t="s">
        <v>3</v>
      </c>
      <c r="O120" s="4">
        <v>2</v>
      </c>
      <c r="P120" s="4"/>
      <c r="Q120" s="4"/>
      <c r="R120" s="4"/>
      <c r="S120" s="4"/>
      <c r="T120" s="4"/>
      <c r="U120" s="4"/>
      <c r="V120" s="4"/>
      <c r="W120" s="4"/>
    </row>
    <row r="121" spans="1:245" x14ac:dyDescent="0.2">
      <c r="A121" s="4">
        <v>50</v>
      </c>
      <c r="B121" s="4">
        <v>1</v>
      </c>
      <c r="C121" s="4">
        <v>0</v>
      </c>
      <c r="D121" s="4">
        <v>2</v>
      </c>
      <c r="E121" s="4">
        <v>0</v>
      </c>
      <c r="F121" s="4">
        <f>ROUND(F120*0.2,O121)</f>
        <v>7033.85</v>
      </c>
      <c r="G121" s="4" t="s">
        <v>35</v>
      </c>
      <c r="H121" s="4" t="s">
        <v>161</v>
      </c>
      <c r="I121" s="4"/>
      <c r="J121" s="4"/>
      <c r="K121" s="4">
        <v>212</v>
      </c>
      <c r="L121" s="4">
        <v>29</v>
      </c>
      <c r="M121" s="4">
        <v>0</v>
      </c>
      <c r="N121" s="4" t="s">
        <v>3</v>
      </c>
      <c r="O121" s="4">
        <v>2</v>
      </c>
      <c r="P121" s="4"/>
      <c r="Q121" s="4"/>
      <c r="R121" s="4"/>
      <c r="S121" s="4"/>
      <c r="T121" s="4"/>
      <c r="U121" s="4"/>
      <c r="V121" s="4"/>
      <c r="W121" s="4"/>
    </row>
    <row r="122" spans="1:245" x14ac:dyDescent="0.2">
      <c r="A122" s="4">
        <v>50</v>
      </c>
      <c r="B122" s="4">
        <v>1</v>
      </c>
      <c r="C122" s="4">
        <v>0</v>
      </c>
      <c r="D122" s="4">
        <v>2</v>
      </c>
      <c r="E122" s="4">
        <v>213</v>
      </c>
      <c r="F122" s="4">
        <f>ROUND(F120+F121,O122)</f>
        <v>42203.11</v>
      </c>
      <c r="G122" s="4" t="s">
        <v>39</v>
      </c>
      <c r="H122" s="4" t="s">
        <v>162</v>
      </c>
      <c r="I122" s="4"/>
      <c r="J122" s="4"/>
      <c r="K122" s="4">
        <v>212</v>
      </c>
      <c r="L122" s="4">
        <v>30</v>
      </c>
      <c r="M122" s="4">
        <v>0</v>
      </c>
      <c r="N122" s="4" t="s">
        <v>3</v>
      </c>
      <c r="O122" s="4">
        <v>2</v>
      </c>
      <c r="P122" s="4"/>
      <c r="Q122" s="4"/>
      <c r="R122" s="4"/>
      <c r="S122" s="4"/>
      <c r="T122" s="4"/>
      <c r="U122" s="4"/>
      <c r="V122" s="4"/>
      <c r="W122" s="4"/>
    </row>
    <row r="124" spans="1:245" x14ac:dyDescent="0.2">
      <c r="A124" s="1">
        <v>4</v>
      </c>
      <c r="B124" s="1">
        <v>1</v>
      </c>
      <c r="C124" s="1"/>
      <c r="D124" s="1">
        <f>ROW(A140)</f>
        <v>140</v>
      </c>
      <c r="E124" s="1"/>
      <c r="F124" s="1" t="s">
        <v>197</v>
      </c>
      <c r="G124" s="1" t="s">
        <v>198</v>
      </c>
      <c r="H124" s="1" t="s">
        <v>3</v>
      </c>
      <c r="I124" s="1">
        <v>0</v>
      </c>
      <c r="J124" s="1"/>
      <c r="K124" s="1">
        <v>-1</v>
      </c>
      <c r="L124" s="1"/>
      <c r="M124" s="1" t="s">
        <v>3</v>
      </c>
      <c r="N124" s="1"/>
      <c r="O124" s="1"/>
      <c r="P124" s="1"/>
      <c r="Q124" s="1"/>
      <c r="R124" s="1"/>
      <c r="S124" s="1">
        <v>0</v>
      </c>
      <c r="T124" s="1"/>
      <c r="U124" s="1" t="s">
        <v>3</v>
      </c>
      <c r="V124" s="1">
        <v>0</v>
      </c>
      <c r="W124" s="1"/>
      <c r="X124" s="1"/>
      <c r="Y124" s="1"/>
      <c r="Z124" s="1"/>
      <c r="AA124" s="1"/>
      <c r="AB124" s="1" t="s">
        <v>3</v>
      </c>
      <c r="AC124" s="1" t="s">
        <v>3</v>
      </c>
      <c r="AD124" s="1" t="s">
        <v>3</v>
      </c>
      <c r="AE124" s="1" t="s">
        <v>3</v>
      </c>
      <c r="AF124" s="1" t="s">
        <v>3</v>
      </c>
      <c r="AG124" s="1" t="s">
        <v>3</v>
      </c>
      <c r="AH124" s="1"/>
      <c r="AI124" s="1"/>
      <c r="AJ124" s="1"/>
      <c r="AK124" s="1"/>
      <c r="AL124" s="1"/>
      <c r="AM124" s="1"/>
      <c r="AN124" s="1"/>
      <c r="AO124" s="1"/>
      <c r="AP124" s="1" t="s">
        <v>3</v>
      </c>
      <c r="AQ124" s="1" t="s">
        <v>3</v>
      </c>
      <c r="AR124" s="1" t="s">
        <v>3</v>
      </c>
      <c r="AS124" s="1"/>
      <c r="AT124" s="1"/>
      <c r="AU124" s="1"/>
      <c r="AV124" s="1"/>
      <c r="AW124" s="1"/>
      <c r="AX124" s="1"/>
      <c r="AY124" s="1"/>
      <c r="AZ124" s="1" t="s">
        <v>3</v>
      </c>
      <c r="BA124" s="1"/>
      <c r="BB124" s="1" t="s">
        <v>3</v>
      </c>
      <c r="BC124" s="1" t="s">
        <v>3</v>
      </c>
      <c r="BD124" s="1" t="s">
        <v>3</v>
      </c>
      <c r="BE124" s="1" t="s">
        <v>3</v>
      </c>
      <c r="BF124" s="1" t="s">
        <v>3</v>
      </c>
      <c r="BG124" s="1" t="s">
        <v>3</v>
      </c>
      <c r="BH124" s="1" t="s">
        <v>3</v>
      </c>
      <c r="BI124" s="1" t="s">
        <v>3</v>
      </c>
      <c r="BJ124" s="1" t="s">
        <v>3</v>
      </c>
      <c r="BK124" s="1" t="s">
        <v>3</v>
      </c>
      <c r="BL124" s="1" t="s">
        <v>3</v>
      </c>
      <c r="BM124" s="1" t="s">
        <v>3</v>
      </c>
      <c r="BN124" s="1" t="s">
        <v>3</v>
      </c>
      <c r="BO124" s="1" t="s">
        <v>3</v>
      </c>
      <c r="BP124" s="1" t="s">
        <v>3</v>
      </c>
      <c r="BQ124" s="1"/>
      <c r="BR124" s="1"/>
      <c r="BS124" s="1"/>
      <c r="BT124" s="1"/>
      <c r="BU124" s="1"/>
      <c r="BV124" s="1"/>
      <c r="BW124" s="1"/>
      <c r="BX124" s="1">
        <v>0</v>
      </c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>
        <v>0</v>
      </c>
    </row>
    <row r="126" spans="1:245" x14ac:dyDescent="0.2">
      <c r="A126" s="2">
        <v>52</v>
      </c>
      <c r="B126" s="2">
        <f t="shared" ref="B126:G126" si="103">B140</f>
        <v>1</v>
      </c>
      <c r="C126" s="2">
        <f t="shared" si="103"/>
        <v>4</v>
      </c>
      <c r="D126" s="2">
        <f t="shared" si="103"/>
        <v>124</v>
      </c>
      <c r="E126" s="2">
        <f t="shared" si="103"/>
        <v>0</v>
      </c>
      <c r="F126" s="2" t="str">
        <f t="shared" si="103"/>
        <v>коробка+</v>
      </c>
      <c r="G126" s="2" t="str">
        <f t="shared" si="103"/>
        <v>Установка хоккейной коробки</v>
      </c>
      <c r="H126" s="2"/>
      <c r="I126" s="2"/>
      <c r="J126" s="2"/>
      <c r="K126" s="2"/>
      <c r="L126" s="2"/>
      <c r="M126" s="2"/>
      <c r="N126" s="2"/>
      <c r="O126" s="2">
        <f t="shared" ref="O126:AT126" si="104">O140</f>
        <v>601413.35</v>
      </c>
      <c r="P126" s="2">
        <f t="shared" si="104"/>
        <v>527987.81999999995</v>
      </c>
      <c r="Q126" s="2">
        <f t="shared" si="104"/>
        <v>4468.55</v>
      </c>
      <c r="R126" s="2">
        <f t="shared" si="104"/>
        <v>1268.3599999999999</v>
      </c>
      <c r="S126" s="2">
        <f t="shared" si="104"/>
        <v>68956.98</v>
      </c>
      <c r="T126" s="2">
        <f t="shared" si="104"/>
        <v>0</v>
      </c>
      <c r="U126" s="2">
        <f t="shared" si="104"/>
        <v>372.63353999999998</v>
      </c>
      <c r="V126" s="2">
        <f t="shared" si="104"/>
        <v>0</v>
      </c>
      <c r="W126" s="2">
        <f t="shared" si="104"/>
        <v>0</v>
      </c>
      <c r="X126" s="2">
        <f t="shared" si="104"/>
        <v>48269.89</v>
      </c>
      <c r="Y126" s="2">
        <f t="shared" si="104"/>
        <v>6895.7</v>
      </c>
      <c r="Z126" s="2">
        <f t="shared" si="104"/>
        <v>0</v>
      </c>
      <c r="AA126" s="2">
        <f t="shared" si="104"/>
        <v>0</v>
      </c>
      <c r="AB126" s="2">
        <f t="shared" si="104"/>
        <v>601413.35</v>
      </c>
      <c r="AC126" s="2">
        <f t="shared" si="104"/>
        <v>527987.81999999995</v>
      </c>
      <c r="AD126" s="2">
        <f t="shared" si="104"/>
        <v>4468.55</v>
      </c>
      <c r="AE126" s="2">
        <f t="shared" si="104"/>
        <v>1268.3599999999999</v>
      </c>
      <c r="AF126" s="2">
        <f t="shared" si="104"/>
        <v>68956.98</v>
      </c>
      <c r="AG126" s="2">
        <f t="shared" si="104"/>
        <v>0</v>
      </c>
      <c r="AH126" s="2">
        <f t="shared" si="104"/>
        <v>372.63353999999998</v>
      </c>
      <c r="AI126" s="2">
        <f t="shared" si="104"/>
        <v>0</v>
      </c>
      <c r="AJ126" s="2">
        <f t="shared" si="104"/>
        <v>0</v>
      </c>
      <c r="AK126" s="2">
        <f t="shared" si="104"/>
        <v>48269.89</v>
      </c>
      <c r="AL126" s="2">
        <f t="shared" si="104"/>
        <v>6895.7</v>
      </c>
      <c r="AM126" s="2">
        <f t="shared" si="104"/>
        <v>0</v>
      </c>
      <c r="AN126" s="2">
        <f t="shared" si="104"/>
        <v>0</v>
      </c>
      <c r="AO126" s="2">
        <f t="shared" si="104"/>
        <v>0</v>
      </c>
      <c r="AP126" s="2">
        <f t="shared" si="104"/>
        <v>0</v>
      </c>
      <c r="AQ126" s="2">
        <f t="shared" si="104"/>
        <v>0</v>
      </c>
      <c r="AR126" s="2">
        <f t="shared" si="104"/>
        <v>656712.12</v>
      </c>
      <c r="AS126" s="2">
        <f t="shared" si="104"/>
        <v>420143.58</v>
      </c>
      <c r="AT126" s="2">
        <f t="shared" si="104"/>
        <v>0</v>
      </c>
      <c r="AU126" s="2">
        <f t="shared" ref="AU126:BZ126" si="105">AU140</f>
        <v>236568.54</v>
      </c>
      <c r="AV126" s="2">
        <f t="shared" si="105"/>
        <v>527987.81999999995</v>
      </c>
      <c r="AW126" s="2">
        <f t="shared" si="105"/>
        <v>527987.81999999995</v>
      </c>
      <c r="AX126" s="2">
        <f t="shared" si="105"/>
        <v>0</v>
      </c>
      <c r="AY126" s="2">
        <f t="shared" si="105"/>
        <v>527987.81999999995</v>
      </c>
      <c r="AZ126" s="2">
        <f t="shared" si="105"/>
        <v>0</v>
      </c>
      <c r="BA126" s="2">
        <f t="shared" si="105"/>
        <v>0</v>
      </c>
      <c r="BB126" s="2">
        <f t="shared" si="105"/>
        <v>0</v>
      </c>
      <c r="BC126" s="2">
        <f t="shared" si="105"/>
        <v>0</v>
      </c>
      <c r="BD126" s="2">
        <f t="shared" si="105"/>
        <v>0</v>
      </c>
      <c r="BE126" s="2">
        <f t="shared" si="105"/>
        <v>0</v>
      </c>
      <c r="BF126" s="2">
        <f t="shared" si="105"/>
        <v>0</v>
      </c>
      <c r="BG126" s="2">
        <f t="shared" si="105"/>
        <v>0</v>
      </c>
      <c r="BH126" s="2">
        <f t="shared" si="105"/>
        <v>0</v>
      </c>
      <c r="BI126" s="2">
        <f t="shared" si="105"/>
        <v>0</v>
      </c>
      <c r="BJ126" s="2">
        <f t="shared" si="105"/>
        <v>0</v>
      </c>
      <c r="BK126" s="2">
        <f t="shared" si="105"/>
        <v>0</v>
      </c>
      <c r="BL126" s="2">
        <f t="shared" si="105"/>
        <v>0</v>
      </c>
      <c r="BM126" s="2">
        <f t="shared" si="105"/>
        <v>0</v>
      </c>
      <c r="BN126" s="2">
        <f t="shared" si="105"/>
        <v>0</v>
      </c>
      <c r="BO126" s="2">
        <f t="shared" si="105"/>
        <v>0</v>
      </c>
      <c r="BP126" s="2">
        <f t="shared" si="105"/>
        <v>0</v>
      </c>
      <c r="BQ126" s="2">
        <f t="shared" si="105"/>
        <v>0</v>
      </c>
      <c r="BR126" s="2">
        <f t="shared" si="105"/>
        <v>0</v>
      </c>
      <c r="BS126" s="2">
        <f t="shared" si="105"/>
        <v>0</v>
      </c>
      <c r="BT126" s="2">
        <f t="shared" si="105"/>
        <v>0</v>
      </c>
      <c r="BU126" s="2">
        <f t="shared" si="105"/>
        <v>0</v>
      </c>
      <c r="BV126" s="2">
        <f t="shared" si="105"/>
        <v>0</v>
      </c>
      <c r="BW126" s="2">
        <f t="shared" si="105"/>
        <v>0</v>
      </c>
      <c r="BX126" s="2">
        <f t="shared" si="105"/>
        <v>0</v>
      </c>
      <c r="BY126" s="2">
        <f t="shared" si="105"/>
        <v>0</v>
      </c>
      <c r="BZ126" s="2">
        <f t="shared" si="105"/>
        <v>0</v>
      </c>
      <c r="CA126" s="2">
        <f t="shared" ref="CA126:DF126" si="106">CA140</f>
        <v>656712.12</v>
      </c>
      <c r="CB126" s="2">
        <f t="shared" si="106"/>
        <v>420143.58</v>
      </c>
      <c r="CC126" s="2">
        <f t="shared" si="106"/>
        <v>0</v>
      </c>
      <c r="CD126" s="2">
        <f t="shared" si="106"/>
        <v>236568.54</v>
      </c>
      <c r="CE126" s="2">
        <f t="shared" si="106"/>
        <v>527987.81999999995</v>
      </c>
      <c r="CF126" s="2">
        <f t="shared" si="106"/>
        <v>527987.81999999995</v>
      </c>
      <c r="CG126" s="2">
        <f t="shared" si="106"/>
        <v>0</v>
      </c>
      <c r="CH126" s="2">
        <f t="shared" si="106"/>
        <v>527987.81999999995</v>
      </c>
      <c r="CI126" s="2">
        <f t="shared" si="106"/>
        <v>0</v>
      </c>
      <c r="CJ126" s="2">
        <f t="shared" si="106"/>
        <v>0</v>
      </c>
      <c r="CK126" s="2">
        <f t="shared" si="106"/>
        <v>0</v>
      </c>
      <c r="CL126" s="2">
        <f t="shared" si="106"/>
        <v>0</v>
      </c>
      <c r="CM126" s="2">
        <f t="shared" si="106"/>
        <v>0</v>
      </c>
      <c r="CN126" s="2">
        <f t="shared" si="106"/>
        <v>0</v>
      </c>
      <c r="CO126" s="2">
        <f t="shared" si="106"/>
        <v>0</v>
      </c>
      <c r="CP126" s="2">
        <f t="shared" si="106"/>
        <v>0</v>
      </c>
      <c r="CQ126" s="2">
        <f t="shared" si="106"/>
        <v>0</v>
      </c>
      <c r="CR126" s="2">
        <f t="shared" si="106"/>
        <v>0</v>
      </c>
      <c r="CS126" s="2">
        <f t="shared" si="106"/>
        <v>0</v>
      </c>
      <c r="CT126" s="2">
        <f t="shared" si="106"/>
        <v>0</v>
      </c>
      <c r="CU126" s="2">
        <f t="shared" si="106"/>
        <v>0</v>
      </c>
      <c r="CV126" s="2">
        <f t="shared" si="106"/>
        <v>0</v>
      </c>
      <c r="CW126" s="2">
        <f t="shared" si="106"/>
        <v>0</v>
      </c>
      <c r="CX126" s="2">
        <f t="shared" si="106"/>
        <v>0</v>
      </c>
      <c r="CY126" s="2">
        <f t="shared" si="106"/>
        <v>0</v>
      </c>
      <c r="CZ126" s="2">
        <f t="shared" si="106"/>
        <v>0</v>
      </c>
      <c r="DA126" s="2">
        <f t="shared" si="106"/>
        <v>0</v>
      </c>
      <c r="DB126" s="2">
        <f t="shared" si="106"/>
        <v>0</v>
      </c>
      <c r="DC126" s="2">
        <f t="shared" si="106"/>
        <v>0</v>
      </c>
      <c r="DD126" s="2">
        <f t="shared" si="106"/>
        <v>0</v>
      </c>
      <c r="DE126" s="2">
        <f t="shared" si="106"/>
        <v>0</v>
      </c>
      <c r="DF126" s="2">
        <f t="shared" si="106"/>
        <v>0</v>
      </c>
      <c r="DG126" s="3">
        <f t="shared" ref="DG126:EL126" si="107">DG140</f>
        <v>0</v>
      </c>
      <c r="DH126" s="3">
        <f t="shared" si="107"/>
        <v>0</v>
      </c>
      <c r="DI126" s="3">
        <f t="shared" si="107"/>
        <v>0</v>
      </c>
      <c r="DJ126" s="3">
        <f t="shared" si="107"/>
        <v>0</v>
      </c>
      <c r="DK126" s="3">
        <f t="shared" si="107"/>
        <v>0</v>
      </c>
      <c r="DL126" s="3">
        <f t="shared" si="107"/>
        <v>0</v>
      </c>
      <c r="DM126" s="3">
        <f t="shared" si="107"/>
        <v>0</v>
      </c>
      <c r="DN126" s="3">
        <f t="shared" si="107"/>
        <v>0</v>
      </c>
      <c r="DO126" s="3">
        <f t="shared" si="107"/>
        <v>0</v>
      </c>
      <c r="DP126" s="3">
        <f t="shared" si="107"/>
        <v>0</v>
      </c>
      <c r="DQ126" s="3">
        <f t="shared" si="107"/>
        <v>0</v>
      </c>
      <c r="DR126" s="3">
        <f t="shared" si="107"/>
        <v>0</v>
      </c>
      <c r="DS126" s="3">
        <f t="shared" si="107"/>
        <v>0</v>
      </c>
      <c r="DT126" s="3">
        <f t="shared" si="107"/>
        <v>0</v>
      </c>
      <c r="DU126" s="3">
        <f t="shared" si="107"/>
        <v>0</v>
      </c>
      <c r="DV126" s="3">
        <f t="shared" si="107"/>
        <v>0</v>
      </c>
      <c r="DW126" s="3">
        <f t="shared" si="107"/>
        <v>0</v>
      </c>
      <c r="DX126" s="3">
        <f t="shared" si="107"/>
        <v>0</v>
      </c>
      <c r="DY126" s="3">
        <f t="shared" si="107"/>
        <v>0</v>
      </c>
      <c r="DZ126" s="3">
        <f t="shared" si="107"/>
        <v>0</v>
      </c>
      <c r="EA126" s="3">
        <f t="shared" si="107"/>
        <v>0</v>
      </c>
      <c r="EB126" s="3">
        <f t="shared" si="107"/>
        <v>0</v>
      </c>
      <c r="EC126" s="3">
        <f t="shared" si="107"/>
        <v>0</v>
      </c>
      <c r="ED126" s="3">
        <f t="shared" si="107"/>
        <v>0</v>
      </c>
      <c r="EE126" s="3">
        <f t="shared" si="107"/>
        <v>0</v>
      </c>
      <c r="EF126" s="3">
        <f t="shared" si="107"/>
        <v>0</v>
      </c>
      <c r="EG126" s="3">
        <f t="shared" si="107"/>
        <v>0</v>
      </c>
      <c r="EH126" s="3">
        <f t="shared" si="107"/>
        <v>0</v>
      </c>
      <c r="EI126" s="3">
        <f t="shared" si="107"/>
        <v>0</v>
      </c>
      <c r="EJ126" s="3">
        <f t="shared" si="107"/>
        <v>0</v>
      </c>
      <c r="EK126" s="3">
        <f t="shared" si="107"/>
        <v>0</v>
      </c>
      <c r="EL126" s="3">
        <f t="shared" si="107"/>
        <v>0</v>
      </c>
      <c r="EM126" s="3">
        <f t="shared" ref="EM126:FR126" si="108">EM140</f>
        <v>0</v>
      </c>
      <c r="EN126" s="3">
        <f t="shared" si="108"/>
        <v>0</v>
      </c>
      <c r="EO126" s="3">
        <f t="shared" si="108"/>
        <v>0</v>
      </c>
      <c r="EP126" s="3">
        <f t="shared" si="108"/>
        <v>0</v>
      </c>
      <c r="EQ126" s="3">
        <f t="shared" si="108"/>
        <v>0</v>
      </c>
      <c r="ER126" s="3">
        <f t="shared" si="108"/>
        <v>0</v>
      </c>
      <c r="ES126" s="3">
        <f t="shared" si="108"/>
        <v>0</v>
      </c>
      <c r="ET126" s="3">
        <f t="shared" si="108"/>
        <v>0</v>
      </c>
      <c r="EU126" s="3">
        <f t="shared" si="108"/>
        <v>0</v>
      </c>
      <c r="EV126" s="3">
        <f t="shared" si="108"/>
        <v>0</v>
      </c>
      <c r="EW126" s="3">
        <f t="shared" si="108"/>
        <v>0</v>
      </c>
      <c r="EX126" s="3">
        <f t="shared" si="108"/>
        <v>0</v>
      </c>
      <c r="EY126" s="3">
        <f t="shared" si="108"/>
        <v>0</v>
      </c>
      <c r="EZ126" s="3">
        <f t="shared" si="108"/>
        <v>0</v>
      </c>
      <c r="FA126" s="3">
        <f t="shared" si="108"/>
        <v>0</v>
      </c>
      <c r="FB126" s="3">
        <f t="shared" si="108"/>
        <v>0</v>
      </c>
      <c r="FC126" s="3">
        <f t="shared" si="108"/>
        <v>0</v>
      </c>
      <c r="FD126" s="3">
        <f t="shared" si="108"/>
        <v>0</v>
      </c>
      <c r="FE126" s="3">
        <f t="shared" si="108"/>
        <v>0</v>
      </c>
      <c r="FF126" s="3">
        <f t="shared" si="108"/>
        <v>0</v>
      </c>
      <c r="FG126" s="3">
        <f t="shared" si="108"/>
        <v>0</v>
      </c>
      <c r="FH126" s="3">
        <f t="shared" si="108"/>
        <v>0</v>
      </c>
      <c r="FI126" s="3">
        <f t="shared" si="108"/>
        <v>0</v>
      </c>
      <c r="FJ126" s="3">
        <f t="shared" si="108"/>
        <v>0</v>
      </c>
      <c r="FK126" s="3">
        <f t="shared" si="108"/>
        <v>0</v>
      </c>
      <c r="FL126" s="3">
        <f t="shared" si="108"/>
        <v>0</v>
      </c>
      <c r="FM126" s="3">
        <f t="shared" si="108"/>
        <v>0</v>
      </c>
      <c r="FN126" s="3">
        <f t="shared" si="108"/>
        <v>0</v>
      </c>
      <c r="FO126" s="3">
        <f t="shared" si="108"/>
        <v>0</v>
      </c>
      <c r="FP126" s="3">
        <f t="shared" si="108"/>
        <v>0</v>
      </c>
      <c r="FQ126" s="3">
        <f t="shared" si="108"/>
        <v>0</v>
      </c>
      <c r="FR126" s="3">
        <f t="shared" si="108"/>
        <v>0</v>
      </c>
      <c r="FS126" s="3">
        <f t="shared" ref="FS126:GX126" si="109">FS140</f>
        <v>0</v>
      </c>
      <c r="FT126" s="3">
        <f t="shared" si="109"/>
        <v>0</v>
      </c>
      <c r="FU126" s="3">
        <f t="shared" si="109"/>
        <v>0</v>
      </c>
      <c r="FV126" s="3">
        <f t="shared" si="109"/>
        <v>0</v>
      </c>
      <c r="FW126" s="3">
        <f t="shared" si="109"/>
        <v>0</v>
      </c>
      <c r="FX126" s="3">
        <f t="shared" si="109"/>
        <v>0</v>
      </c>
      <c r="FY126" s="3">
        <f t="shared" si="109"/>
        <v>0</v>
      </c>
      <c r="FZ126" s="3">
        <f t="shared" si="109"/>
        <v>0</v>
      </c>
      <c r="GA126" s="3">
        <f t="shared" si="109"/>
        <v>0</v>
      </c>
      <c r="GB126" s="3">
        <f t="shared" si="109"/>
        <v>0</v>
      </c>
      <c r="GC126" s="3">
        <f t="shared" si="109"/>
        <v>0</v>
      </c>
      <c r="GD126" s="3">
        <f t="shared" si="109"/>
        <v>0</v>
      </c>
      <c r="GE126" s="3">
        <f t="shared" si="109"/>
        <v>0</v>
      </c>
      <c r="GF126" s="3">
        <f t="shared" si="109"/>
        <v>0</v>
      </c>
      <c r="GG126" s="3">
        <f t="shared" si="109"/>
        <v>0</v>
      </c>
      <c r="GH126" s="3">
        <f t="shared" si="109"/>
        <v>0</v>
      </c>
      <c r="GI126" s="3">
        <f t="shared" si="109"/>
        <v>0</v>
      </c>
      <c r="GJ126" s="3">
        <f t="shared" si="109"/>
        <v>0</v>
      </c>
      <c r="GK126" s="3">
        <f t="shared" si="109"/>
        <v>0</v>
      </c>
      <c r="GL126" s="3">
        <f t="shared" si="109"/>
        <v>0</v>
      </c>
      <c r="GM126" s="3">
        <f t="shared" si="109"/>
        <v>0</v>
      </c>
      <c r="GN126" s="3">
        <f t="shared" si="109"/>
        <v>0</v>
      </c>
      <c r="GO126" s="3">
        <f t="shared" si="109"/>
        <v>0</v>
      </c>
      <c r="GP126" s="3">
        <f t="shared" si="109"/>
        <v>0</v>
      </c>
      <c r="GQ126" s="3">
        <f t="shared" si="109"/>
        <v>0</v>
      </c>
      <c r="GR126" s="3">
        <f t="shared" si="109"/>
        <v>0</v>
      </c>
      <c r="GS126" s="3">
        <f t="shared" si="109"/>
        <v>0</v>
      </c>
      <c r="GT126" s="3">
        <f t="shared" si="109"/>
        <v>0</v>
      </c>
      <c r="GU126" s="3">
        <f t="shared" si="109"/>
        <v>0</v>
      </c>
      <c r="GV126" s="3">
        <f t="shared" si="109"/>
        <v>0</v>
      </c>
      <c r="GW126" s="3">
        <f t="shared" si="109"/>
        <v>0</v>
      </c>
      <c r="GX126" s="3">
        <f t="shared" si="109"/>
        <v>0</v>
      </c>
    </row>
    <row r="128" spans="1:245" x14ac:dyDescent="0.2">
      <c r="A128">
        <v>17</v>
      </c>
      <c r="B128">
        <v>1</v>
      </c>
      <c r="C128">
        <f>ROW(SmtRes!A74)</f>
        <v>74</v>
      </c>
      <c r="D128">
        <f>ROW(EtalonRes!A71)</f>
        <v>71</v>
      </c>
      <c r="E128" t="s">
        <v>3</v>
      </c>
      <c r="F128" t="s">
        <v>199</v>
      </c>
      <c r="G128" t="s">
        <v>200</v>
      </c>
      <c r="H128" t="s">
        <v>201</v>
      </c>
      <c r="I128">
        <f>ROUND(52/100,4)</f>
        <v>0.52</v>
      </c>
      <c r="J128">
        <v>0</v>
      </c>
      <c r="O128">
        <f t="shared" ref="O128:O138" si="110">ROUND(CP128,2)</f>
        <v>25305.38</v>
      </c>
      <c r="P128">
        <f t="shared" ref="P128:P138" si="111">ROUND(CQ128*I128,2)</f>
        <v>0</v>
      </c>
      <c r="Q128">
        <f t="shared" ref="Q128:Q138" si="112">ROUND(CR128*I128,2)</f>
        <v>0</v>
      </c>
      <c r="R128">
        <f t="shared" ref="R128:R138" si="113">ROUND(CS128*I128,2)</f>
        <v>0</v>
      </c>
      <c r="S128">
        <f t="shared" ref="S128:S138" si="114">ROUND(CT128*I128,2)</f>
        <v>25305.38</v>
      </c>
      <c r="T128">
        <f t="shared" ref="T128:T138" si="115">ROUND(CU128*I128,2)</f>
        <v>0</v>
      </c>
      <c r="U128">
        <f t="shared" ref="U128:U138" si="116">CV128*I128</f>
        <v>135.20000000000002</v>
      </c>
      <c r="V128">
        <f t="shared" ref="V128:V138" si="117">CW128*I128</f>
        <v>0</v>
      </c>
      <c r="W128">
        <f t="shared" ref="W128:W138" si="118">ROUND(CX128*I128,2)</f>
        <v>0</v>
      </c>
      <c r="X128">
        <f t="shared" ref="X128:X138" si="119">ROUND(CY128,2)</f>
        <v>17713.77</v>
      </c>
      <c r="Y128">
        <f t="shared" ref="Y128:Y138" si="120">ROUND(CZ128,2)</f>
        <v>2530.54</v>
      </c>
      <c r="AA128">
        <v>-1</v>
      </c>
      <c r="AB128">
        <f t="shared" ref="AB128:AB138" si="121">ROUND((AC128+AD128+AF128),6)</f>
        <v>48664.2</v>
      </c>
      <c r="AC128">
        <f t="shared" ref="AC128:AC138" si="122">ROUND((ES128),6)</f>
        <v>0</v>
      </c>
      <c r="AD128">
        <f>ROUND((((ET128)-(EU128))+AE128),6)</f>
        <v>0</v>
      </c>
      <c r="AE128">
        <f t="shared" ref="AE128:AF131" si="123">ROUND((EU128),6)</f>
        <v>0</v>
      </c>
      <c r="AF128">
        <f t="shared" si="123"/>
        <v>48664.2</v>
      </c>
      <c r="AG128">
        <f t="shared" ref="AG128:AG138" si="124">ROUND((AP128),6)</f>
        <v>0</v>
      </c>
      <c r="AH128">
        <f t="shared" ref="AH128:AI131" si="125">(EW128)</f>
        <v>260</v>
      </c>
      <c r="AI128">
        <f t="shared" si="125"/>
        <v>0</v>
      </c>
      <c r="AJ128">
        <f t="shared" ref="AJ128:AJ138" si="126">(AS128)</f>
        <v>0</v>
      </c>
      <c r="AK128">
        <v>48664.2</v>
      </c>
      <c r="AL128">
        <v>0</v>
      </c>
      <c r="AM128">
        <v>0</v>
      </c>
      <c r="AN128">
        <v>0</v>
      </c>
      <c r="AO128">
        <v>48664.2</v>
      </c>
      <c r="AP128">
        <v>0</v>
      </c>
      <c r="AQ128">
        <v>260</v>
      </c>
      <c r="AR128">
        <v>0</v>
      </c>
      <c r="AS128">
        <v>0</v>
      </c>
      <c r="AT128">
        <v>70</v>
      </c>
      <c r="AU128">
        <v>10</v>
      </c>
      <c r="AV128">
        <v>1</v>
      </c>
      <c r="AW128">
        <v>1</v>
      </c>
      <c r="AZ128">
        <v>1</v>
      </c>
      <c r="BA128">
        <v>1</v>
      </c>
      <c r="BB128">
        <v>1</v>
      </c>
      <c r="BC128">
        <v>1</v>
      </c>
      <c r="BD128" t="s">
        <v>3</v>
      </c>
      <c r="BE128" t="s">
        <v>3</v>
      </c>
      <c r="BF128" t="s">
        <v>3</v>
      </c>
      <c r="BG128" t="s">
        <v>3</v>
      </c>
      <c r="BH128">
        <v>0</v>
      </c>
      <c r="BI128">
        <v>4</v>
      </c>
      <c r="BJ128" t="s">
        <v>202</v>
      </c>
      <c r="BM128">
        <v>0</v>
      </c>
      <c r="BN128">
        <v>0</v>
      </c>
      <c r="BO128" t="s">
        <v>3</v>
      </c>
      <c r="BP128">
        <v>0</v>
      </c>
      <c r="BQ128">
        <v>1</v>
      </c>
      <c r="BR128">
        <v>0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 t="s">
        <v>3</v>
      </c>
      <c r="BZ128">
        <v>70</v>
      </c>
      <c r="CA128">
        <v>10</v>
      </c>
      <c r="CE128">
        <v>0</v>
      </c>
      <c r="CF128">
        <v>0</v>
      </c>
      <c r="CG128">
        <v>0</v>
      </c>
      <c r="CM128">
        <v>0</v>
      </c>
      <c r="CN128" t="s">
        <v>3</v>
      </c>
      <c r="CO128">
        <v>0</v>
      </c>
      <c r="CP128">
        <f t="shared" ref="CP128:CP138" si="127">(P128+Q128+S128)</f>
        <v>25305.38</v>
      </c>
      <c r="CQ128">
        <f t="shared" ref="CQ128:CQ138" si="128">(AC128*BC128*AW128)</f>
        <v>0</v>
      </c>
      <c r="CR128">
        <f>((((ET128)*BB128-(EU128)*BS128)+AE128*BS128)*AV128)</f>
        <v>0</v>
      </c>
      <c r="CS128">
        <f t="shared" ref="CS128:CS138" si="129">(AE128*BS128*AV128)</f>
        <v>0</v>
      </c>
      <c r="CT128">
        <f t="shared" ref="CT128:CT138" si="130">(AF128*BA128*AV128)</f>
        <v>48664.2</v>
      </c>
      <c r="CU128">
        <f t="shared" ref="CU128:CU138" si="131">AG128</f>
        <v>0</v>
      </c>
      <c r="CV128">
        <f t="shared" ref="CV128:CV138" si="132">(AH128*AV128)</f>
        <v>260</v>
      </c>
      <c r="CW128">
        <f t="shared" ref="CW128:CW138" si="133">AI128</f>
        <v>0</v>
      </c>
      <c r="CX128">
        <f t="shared" ref="CX128:CX138" si="134">AJ128</f>
        <v>0</v>
      </c>
      <c r="CY128">
        <f t="shared" ref="CY128:CY138" si="135">((S128*BZ128)/100)</f>
        <v>17713.766</v>
      </c>
      <c r="CZ128">
        <f t="shared" ref="CZ128:CZ138" si="136">((S128*CA128)/100)</f>
        <v>2530.538</v>
      </c>
      <c r="DC128" t="s">
        <v>3</v>
      </c>
      <c r="DD128" t="s">
        <v>3</v>
      </c>
      <c r="DE128" t="s">
        <v>3</v>
      </c>
      <c r="DF128" t="s">
        <v>3</v>
      </c>
      <c r="DG128" t="s">
        <v>3</v>
      </c>
      <c r="DH128" t="s">
        <v>3</v>
      </c>
      <c r="DI128" t="s">
        <v>3</v>
      </c>
      <c r="DJ128" t="s">
        <v>3</v>
      </c>
      <c r="DK128" t="s">
        <v>3</v>
      </c>
      <c r="DL128" t="s">
        <v>3</v>
      </c>
      <c r="DM128" t="s">
        <v>3</v>
      </c>
      <c r="DN128">
        <v>0</v>
      </c>
      <c r="DO128">
        <v>0</v>
      </c>
      <c r="DP128">
        <v>1</v>
      </c>
      <c r="DQ128">
        <v>1</v>
      </c>
      <c r="DU128">
        <v>1013</v>
      </c>
      <c r="DV128" t="s">
        <v>201</v>
      </c>
      <c r="DW128" t="s">
        <v>201</v>
      </c>
      <c r="DX128">
        <v>1</v>
      </c>
      <c r="DZ128" t="s">
        <v>3</v>
      </c>
      <c r="EA128" t="s">
        <v>3</v>
      </c>
      <c r="EB128" t="s">
        <v>3</v>
      </c>
      <c r="EC128" t="s">
        <v>3</v>
      </c>
      <c r="EE128">
        <v>49145957</v>
      </c>
      <c r="EF128">
        <v>1</v>
      </c>
      <c r="EG128" t="s">
        <v>32</v>
      </c>
      <c r="EH128">
        <v>0</v>
      </c>
      <c r="EI128" t="s">
        <v>3</v>
      </c>
      <c r="EJ128">
        <v>4</v>
      </c>
      <c r="EK128">
        <v>0</v>
      </c>
      <c r="EL128" t="s">
        <v>33</v>
      </c>
      <c r="EM128" t="s">
        <v>34</v>
      </c>
      <c r="EO128" t="s">
        <v>3</v>
      </c>
      <c r="EQ128">
        <v>1024</v>
      </c>
      <c r="ER128">
        <v>48664.2</v>
      </c>
      <c r="ES128">
        <v>0</v>
      </c>
      <c r="ET128">
        <v>0</v>
      </c>
      <c r="EU128">
        <v>0</v>
      </c>
      <c r="EV128">
        <v>48664.2</v>
      </c>
      <c r="EW128">
        <v>260</v>
      </c>
      <c r="EX128">
        <v>0</v>
      </c>
      <c r="EY128">
        <v>0</v>
      </c>
      <c r="FQ128">
        <v>0</v>
      </c>
      <c r="FR128">
        <f t="shared" ref="FR128:FR138" si="137">ROUND(IF(AND(BH128=3,BI128=3),P128,0),2)</f>
        <v>0</v>
      </c>
      <c r="FS128">
        <v>0</v>
      </c>
      <c r="FX128">
        <v>70</v>
      </c>
      <c r="FY128">
        <v>10</v>
      </c>
      <c r="GA128" t="s">
        <v>3</v>
      </c>
      <c r="GD128">
        <v>0</v>
      </c>
      <c r="GF128">
        <v>-1997720599</v>
      </c>
      <c r="GG128">
        <v>2</v>
      </c>
      <c r="GH128">
        <v>1</v>
      </c>
      <c r="GI128">
        <v>-2</v>
      </c>
      <c r="GJ128">
        <v>0</v>
      </c>
      <c r="GK128">
        <f>ROUND(R128*(R12)/100,2)</f>
        <v>0</v>
      </c>
      <c r="GL128">
        <f t="shared" ref="GL128:GL138" si="138">ROUND(IF(AND(BH128=3,BI128=3,FS128&lt;&gt;0),P128,0),2)</f>
        <v>0</v>
      </c>
      <c r="GM128">
        <f>ROUND(O128+X128+Y128+GK128,2)+GX128</f>
        <v>45549.69</v>
      </c>
      <c r="GN128">
        <f>IF(OR(BI128=0,BI128=1),ROUND(O128+X128+Y128+GK128,2),0)</f>
        <v>0</v>
      </c>
      <c r="GO128">
        <f>IF(BI128=2,ROUND(O128+X128+Y128+GK128,2),0)</f>
        <v>0</v>
      </c>
      <c r="GP128">
        <f>IF(BI128=4,ROUND(O128+X128+Y128+GK128,2)+GX128,0)</f>
        <v>45549.69</v>
      </c>
      <c r="GR128">
        <v>0</v>
      </c>
      <c r="GS128">
        <v>3</v>
      </c>
      <c r="GT128">
        <v>0</v>
      </c>
      <c r="GU128" t="s">
        <v>3</v>
      </c>
      <c r="GV128">
        <f t="shared" ref="GV128:GV138" si="139">ROUND((GT128),6)</f>
        <v>0</v>
      </c>
      <c r="GW128">
        <v>1</v>
      </c>
      <c r="GX128">
        <f t="shared" ref="GX128:GX138" si="140">ROUND(HC128*I128,2)</f>
        <v>0</v>
      </c>
      <c r="HA128">
        <v>0</v>
      </c>
      <c r="HB128">
        <v>0</v>
      </c>
      <c r="HC128">
        <f t="shared" ref="HC128:HC138" si="141">GV128*GW128</f>
        <v>0</v>
      </c>
      <c r="HE128" t="s">
        <v>3</v>
      </c>
      <c r="HF128" t="s">
        <v>3</v>
      </c>
      <c r="IK128">
        <v>0</v>
      </c>
    </row>
    <row r="129" spans="1:245" x14ac:dyDescent="0.2">
      <c r="A129">
        <v>17</v>
      </c>
      <c r="B129">
        <v>1</v>
      </c>
      <c r="C129">
        <f>ROW(SmtRes!A75)</f>
        <v>75</v>
      </c>
      <c r="D129">
        <f>ROW(EtalonRes!A72)</f>
        <v>72</v>
      </c>
      <c r="E129" t="s">
        <v>203</v>
      </c>
      <c r="F129" t="s">
        <v>204</v>
      </c>
      <c r="G129" t="s">
        <v>205</v>
      </c>
      <c r="H129" t="s">
        <v>201</v>
      </c>
      <c r="I129">
        <f>ROUND(52/100,4)</f>
        <v>0.52</v>
      </c>
      <c r="J129">
        <v>0</v>
      </c>
      <c r="O129">
        <f t="shared" si="110"/>
        <v>51176.42</v>
      </c>
      <c r="P129">
        <f t="shared" si="111"/>
        <v>0</v>
      </c>
      <c r="Q129">
        <f t="shared" si="112"/>
        <v>0</v>
      </c>
      <c r="R129">
        <f t="shared" si="113"/>
        <v>0</v>
      </c>
      <c r="S129">
        <f t="shared" si="114"/>
        <v>51176.42</v>
      </c>
      <c r="T129">
        <f t="shared" si="115"/>
        <v>0</v>
      </c>
      <c r="U129">
        <f t="shared" si="116"/>
        <v>302.64</v>
      </c>
      <c r="V129">
        <f t="shared" si="117"/>
        <v>0</v>
      </c>
      <c r="W129">
        <f t="shared" si="118"/>
        <v>0</v>
      </c>
      <c r="X129">
        <f t="shared" si="119"/>
        <v>35823.49</v>
      </c>
      <c r="Y129">
        <f t="shared" si="120"/>
        <v>5117.6400000000003</v>
      </c>
      <c r="AA129">
        <v>49707740</v>
      </c>
      <c r="AB129">
        <f t="shared" si="121"/>
        <v>98416.2</v>
      </c>
      <c r="AC129">
        <f t="shared" si="122"/>
        <v>0</v>
      </c>
      <c r="AD129">
        <f>ROUND((((ET129)-(EU129))+AE129),6)</f>
        <v>0</v>
      </c>
      <c r="AE129">
        <f t="shared" si="123"/>
        <v>0</v>
      </c>
      <c r="AF129">
        <f t="shared" si="123"/>
        <v>98416.2</v>
      </c>
      <c r="AG129">
        <f t="shared" si="124"/>
        <v>0</v>
      </c>
      <c r="AH129">
        <f t="shared" si="125"/>
        <v>582</v>
      </c>
      <c r="AI129">
        <f t="shared" si="125"/>
        <v>0</v>
      </c>
      <c r="AJ129">
        <f t="shared" si="126"/>
        <v>0</v>
      </c>
      <c r="AK129">
        <v>98416.2</v>
      </c>
      <c r="AL129">
        <v>0</v>
      </c>
      <c r="AM129">
        <v>0</v>
      </c>
      <c r="AN129">
        <v>0</v>
      </c>
      <c r="AO129">
        <v>98416.2</v>
      </c>
      <c r="AP129">
        <v>0</v>
      </c>
      <c r="AQ129">
        <v>582</v>
      </c>
      <c r="AR129">
        <v>0</v>
      </c>
      <c r="AS129">
        <v>0</v>
      </c>
      <c r="AT129">
        <v>70</v>
      </c>
      <c r="AU129">
        <v>10</v>
      </c>
      <c r="AV129">
        <v>1</v>
      </c>
      <c r="AW129">
        <v>1</v>
      </c>
      <c r="AZ129">
        <v>1</v>
      </c>
      <c r="BA129">
        <v>1</v>
      </c>
      <c r="BB129">
        <v>1</v>
      </c>
      <c r="BC129">
        <v>1</v>
      </c>
      <c r="BD129" t="s">
        <v>3</v>
      </c>
      <c r="BE129" t="s">
        <v>3</v>
      </c>
      <c r="BF129" t="s">
        <v>3</v>
      </c>
      <c r="BG129" t="s">
        <v>3</v>
      </c>
      <c r="BH129">
        <v>0</v>
      </c>
      <c r="BI129">
        <v>4</v>
      </c>
      <c r="BJ129" t="s">
        <v>206</v>
      </c>
      <c r="BM129">
        <v>0</v>
      </c>
      <c r="BN129">
        <v>0</v>
      </c>
      <c r="BO129" t="s">
        <v>3</v>
      </c>
      <c r="BP129">
        <v>0</v>
      </c>
      <c r="BQ129">
        <v>1</v>
      </c>
      <c r="BR129">
        <v>0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 t="s">
        <v>3</v>
      </c>
      <c r="BZ129">
        <v>70</v>
      </c>
      <c r="CA129">
        <v>10</v>
      </c>
      <c r="CE129">
        <v>0</v>
      </c>
      <c r="CF129">
        <v>0</v>
      </c>
      <c r="CG129">
        <v>0</v>
      </c>
      <c r="CM129">
        <v>0</v>
      </c>
      <c r="CN129" t="s">
        <v>3</v>
      </c>
      <c r="CO129">
        <v>0</v>
      </c>
      <c r="CP129">
        <f t="shared" si="127"/>
        <v>51176.42</v>
      </c>
      <c r="CQ129">
        <f t="shared" si="128"/>
        <v>0</v>
      </c>
      <c r="CR129">
        <f>((((ET129)*BB129-(EU129)*BS129)+AE129*BS129)*AV129)</f>
        <v>0</v>
      </c>
      <c r="CS129">
        <f t="shared" si="129"/>
        <v>0</v>
      </c>
      <c r="CT129">
        <f t="shared" si="130"/>
        <v>98416.2</v>
      </c>
      <c r="CU129">
        <f t="shared" si="131"/>
        <v>0</v>
      </c>
      <c r="CV129">
        <f t="shared" si="132"/>
        <v>582</v>
      </c>
      <c r="CW129">
        <f t="shared" si="133"/>
        <v>0</v>
      </c>
      <c r="CX129">
        <f t="shared" si="134"/>
        <v>0</v>
      </c>
      <c r="CY129">
        <f t="shared" si="135"/>
        <v>35823.493999999999</v>
      </c>
      <c r="CZ129">
        <f t="shared" si="136"/>
        <v>5117.6419999999998</v>
      </c>
      <c r="DC129" t="s">
        <v>3</v>
      </c>
      <c r="DD129" t="s">
        <v>3</v>
      </c>
      <c r="DE129" t="s">
        <v>3</v>
      </c>
      <c r="DF129" t="s">
        <v>3</v>
      </c>
      <c r="DG129" t="s">
        <v>3</v>
      </c>
      <c r="DH129" t="s">
        <v>3</v>
      </c>
      <c r="DI129" t="s">
        <v>3</v>
      </c>
      <c r="DJ129" t="s">
        <v>3</v>
      </c>
      <c r="DK129" t="s">
        <v>3</v>
      </c>
      <c r="DL129" t="s">
        <v>3</v>
      </c>
      <c r="DM129" t="s">
        <v>3</v>
      </c>
      <c r="DN129">
        <v>0</v>
      </c>
      <c r="DO129">
        <v>0</v>
      </c>
      <c r="DP129">
        <v>1</v>
      </c>
      <c r="DQ129">
        <v>1</v>
      </c>
      <c r="DU129">
        <v>1013</v>
      </c>
      <c r="DV129" t="s">
        <v>201</v>
      </c>
      <c r="DW129" t="s">
        <v>201</v>
      </c>
      <c r="DX129">
        <v>1</v>
      </c>
      <c r="DZ129" t="s">
        <v>3</v>
      </c>
      <c r="EA129" t="s">
        <v>3</v>
      </c>
      <c r="EB129" t="s">
        <v>3</v>
      </c>
      <c r="EC129" t="s">
        <v>3</v>
      </c>
      <c r="EE129">
        <v>49145957</v>
      </c>
      <c r="EF129">
        <v>1</v>
      </c>
      <c r="EG129" t="s">
        <v>32</v>
      </c>
      <c r="EH129">
        <v>0</v>
      </c>
      <c r="EI129" t="s">
        <v>3</v>
      </c>
      <c r="EJ129">
        <v>4</v>
      </c>
      <c r="EK129">
        <v>0</v>
      </c>
      <c r="EL129" t="s">
        <v>33</v>
      </c>
      <c r="EM129" t="s">
        <v>34</v>
      </c>
      <c r="EO129" t="s">
        <v>3</v>
      </c>
      <c r="EQ129">
        <v>0</v>
      </c>
      <c r="ER129">
        <v>98416.2</v>
      </c>
      <c r="ES129">
        <v>0</v>
      </c>
      <c r="ET129">
        <v>0</v>
      </c>
      <c r="EU129">
        <v>0</v>
      </c>
      <c r="EV129">
        <v>98416.2</v>
      </c>
      <c r="EW129">
        <v>582</v>
      </c>
      <c r="EX129">
        <v>0</v>
      </c>
      <c r="EY129">
        <v>0</v>
      </c>
      <c r="FQ129">
        <v>0</v>
      </c>
      <c r="FR129">
        <f t="shared" si="137"/>
        <v>0</v>
      </c>
      <c r="FS129">
        <v>0</v>
      </c>
      <c r="FX129">
        <v>70</v>
      </c>
      <c r="FY129">
        <v>10</v>
      </c>
      <c r="GA129" t="s">
        <v>3</v>
      </c>
      <c r="GD129">
        <v>0</v>
      </c>
      <c r="GF129">
        <v>1317440119</v>
      </c>
      <c r="GG129">
        <v>2</v>
      </c>
      <c r="GH129">
        <v>1</v>
      </c>
      <c r="GI129">
        <v>-2</v>
      </c>
      <c r="GJ129">
        <v>0</v>
      </c>
      <c r="GK129">
        <f>ROUND(R129*(R12)/100,2)</f>
        <v>0</v>
      </c>
      <c r="GL129">
        <f t="shared" si="138"/>
        <v>0</v>
      </c>
      <c r="GM129">
        <f>ROUND(O129+X129+Y129+GK129,2)+GX129</f>
        <v>92117.55</v>
      </c>
      <c r="GN129">
        <f>IF(OR(BI129=0,BI129=1),ROUND(O129+X129+Y129+GK129,2),0)</f>
        <v>0</v>
      </c>
      <c r="GO129">
        <f>IF(BI129=2,ROUND(O129+X129+Y129+GK129,2),0)</f>
        <v>0</v>
      </c>
      <c r="GP129">
        <f>IF(BI129=4,ROUND(O129+X129+Y129+GK129,2)+GX129,0)</f>
        <v>92117.55</v>
      </c>
      <c r="GR129">
        <v>0</v>
      </c>
      <c r="GS129">
        <v>3</v>
      </c>
      <c r="GT129">
        <v>0</v>
      </c>
      <c r="GU129" t="s">
        <v>3</v>
      </c>
      <c r="GV129">
        <f t="shared" si="139"/>
        <v>0</v>
      </c>
      <c r="GW129">
        <v>1</v>
      </c>
      <c r="GX129">
        <f t="shared" si="140"/>
        <v>0</v>
      </c>
      <c r="HA129">
        <v>0</v>
      </c>
      <c r="HB129">
        <v>0</v>
      </c>
      <c r="HC129">
        <f t="shared" si="141"/>
        <v>0</v>
      </c>
      <c r="HE129" t="s">
        <v>3</v>
      </c>
      <c r="HF129" t="s">
        <v>3</v>
      </c>
      <c r="IK129">
        <v>0</v>
      </c>
    </row>
    <row r="130" spans="1:245" x14ac:dyDescent="0.2">
      <c r="A130">
        <v>17</v>
      </c>
      <c r="B130">
        <v>1</v>
      </c>
      <c r="C130">
        <f>ROW(SmtRes!A76)</f>
        <v>76</v>
      </c>
      <c r="D130">
        <f>ROW(EtalonRes!A73)</f>
        <v>73</v>
      </c>
      <c r="E130" t="s">
        <v>207</v>
      </c>
      <c r="F130" t="s">
        <v>40</v>
      </c>
      <c r="G130" t="s">
        <v>41</v>
      </c>
      <c r="H130" t="s">
        <v>30</v>
      </c>
      <c r="I130">
        <f>ROUND(((0.3*0.3*0.5*52))/100,4)</f>
        <v>2.3400000000000001E-2</v>
      </c>
      <c r="J130">
        <v>0</v>
      </c>
      <c r="O130">
        <f t="shared" si="110"/>
        <v>260.45</v>
      </c>
      <c r="P130">
        <f t="shared" si="111"/>
        <v>0</v>
      </c>
      <c r="Q130">
        <f t="shared" si="112"/>
        <v>0</v>
      </c>
      <c r="R130">
        <f t="shared" si="113"/>
        <v>0</v>
      </c>
      <c r="S130">
        <f t="shared" si="114"/>
        <v>260.45</v>
      </c>
      <c r="T130">
        <f t="shared" si="115"/>
        <v>0</v>
      </c>
      <c r="U130">
        <f t="shared" si="116"/>
        <v>1.9422000000000001</v>
      </c>
      <c r="V130">
        <f t="shared" si="117"/>
        <v>0</v>
      </c>
      <c r="W130">
        <f t="shared" si="118"/>
        <v>0</v>
      </c>
      <c r="X130">
        <f t="shared" si="119"/>
        <v>182.32</v>
      </c>
      <c r="Y130">
        <f t="shared" si="120"/>
        <v>26.05</v>
      </c>
      <c r="AA130">
        <v>49707740</v>
      </c>
      <c r="AB130">
        <f t="shared" si="121"/>
        <v>11130.3</v>
      </c>
      <c r="AC130">
        <f t="shared" si="122"/>
        <v>0</v>
      </c>
      <c r="AD130">
        <f>ROUND((((ET130)-(EU130))+AE130),6)</f>
        <v>0</v>
      </c>
      <c r="AE130">
        <f t="shared" si="123"/>
        <v>0</v>
      </c>
      <c r="AF130">
        <f t="shared" si="123"/>
        <v>11130.3</v>
      </c>
      <c r="AG130">
        <f t="shared" si="124"/>
        <v>0</v>
      </c>
      <c r="AH130">
        <f t="shared" si="125"/>
        <v>83</v>
      </c>
      <c r="AI130">
        <f t="shared" si="125"/>
        <v>0</v>
      </c>
      <c r="AJ130">
        <f t="shared" si="126"/>
        <v>0</v>
      </c>
      <c r="AK130">
        <v>11130.3</v>
      </c>
      <c r="AL130">
        <v>0</v>
      </c>
      <c r="AM130">
        <v>0</v>
      </c>
      <c r="AN130">
        <v>0</v>
      </c>
      <c r="AO130">
        <v>11130.3</v>
      </c>
      <c r="AP130">
        <v>0</v>
      </c>
      <c r="AQ130">
        <v>83</v>
      </c>
      <c r="AR130">
        <v>0</v>
      </c>
      <c r="AS130">
        <v>0</v>
      </c>
      <c r="AT130">
        <v>70</v>
      </c>
      <c r="AU130">
        <v>10</v>
      </c>
      <c r="AV130">
        <v>1</v>
      </c>
      <c r="AW130">
        <v>1</v>
      </c>
      <c r="AZ130">
        <v>1</v>
      </c>
      <c r="BA130">
        <v>1</v>
      </c>
      <c r="BB130">
        <v>1</v>
      </c>
      <c r="BC130">
        <v>1</v>
      </c>
      <c r="BD130" t="s">
        <v>3</v>
      </c>
      <c r="BE130" t="s">
        <v>3</v>
      </c>
      <c r="BF130" t="s">
        <v>3</v>
      </c>
      <c r="BG130" t="s">
        <v>3</v>
      </c>
      <c r="BH130">
        <v>0</v>
      </c>
      <c r="BI130">
        <v>4</v>
      </c>
      <c r="BJ130" t="s">
        <v>42</v>
      </c>
      <c r="BM130">
        <v>0</v>
      </c>
      <c r="BN130">
        <v>0</v>
      </c>
      <c r="BO130" t="s">
        <v>3</v>
      </c>
      <c r="BP130">
        <v>0</v>
      </c>
      <c r="BQ130">
        <v>1</v>
      </c>
      <c r="BR130">
        <v>0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 t="s">
        <v>3</v>
      </c>
      <c r="BZ130">
        <v>70</v>
      </c>
      <c r="CA130">
        <v>10</v>
      </c>
      <c r="CE130">
        <v>0</v>
      </c>
      <c r="CF130">
        <v>0</v>
      </c>
      <c r="CG130">
        <v>0</v>
      </c>
      <c r="CM130">
        <v>0</v>
      </c>
      <c r="CN130" t="s">
        <v>3</v>
      </c>
      <c r="CO130">
        <v>0</v>
      </c>
      <c r="CP130">
        <f t="shared" si="127"/>
        <v>260.45</v>
      </c>
      <c r="CQ130">
        <f t="shared" si="128"/>
        <v>0</v>
      </c>
      <c r="CR130">
        <f>((((ET130)*BB130-(EU130)*BS130)+AE130*BS130)*AV130)</f>
        <v>0</v>
      </c>
      <c r="CS130">
        <f t="shared" si="129"/>
        <v>0</v>
      </c>
      <c r="CT130">
        <f t="shared" si="130"/>
        <v>11130.3</v>
      </c>
      <c r="CU130">
        <f t="shared" si="131"/>
        <v>0</v>
      </c>
      <c r="CV130">
        <f t="shared" si="132"/>
        <v>83</v>
      </c>
      <c r="CW130">
        <f t="shared" si="133"/>
        <v>0</v>
      </c>
      <c r="CX130">
        <f t="shared" si="134"/>
        <v>0</v>
      </c>
      <c r="CY130">
        <f t="shared" si="135"/>
        <v>182.315</v>
      </c>
      <c r="CZ130">
        <f t="shared" si="136"/>
        <v>26.045000000000002</v>
      </c>
      <c r="DC130" t="s">
        <v>3</v>
      </c>
      <c r="DD130" t="s">
        <v>3</v>
      </c>
      <c r="DE130" t="s">
        <v>3</v>
      </c>
      <c r="DF130" t="s">
        <v>3</v>
      </c>
      <c r="DG130" t="s">
        <v>3</v>
      </c>
      <c r="DH130" t="s">
        <v>3</v>
      </c>
      <c r="DI130" t="s">
        <v>3</v>
      </c>
      <c r="DJ130" t="s">
        <v>3</v>
      </c>
      <c r="DK130" t="s">
        <v>3</v>
      </c>
      <c r="DL130" t="s">
        <v>3</v>
      </c>
      <c r="DM130" t="s">
        <v>3</v>
      </c>
      <c r="DN130">
        <v>0</v>
      </c>
      <c r="DO130">
        <v>0</v>
      </c>
      <c r="DP130">
        <v>1</v>
      </c>
      <c r="DQ130">
        <v>1</v>
      </c>
      <c r="DU130">
        <v>1007</v>
      </c>
      <c r="DV130" t="s">
        <v>30</v>
      </c>
      <c r="DW130" t="s">
        <v>30</v>
      </c>
      <c r="DX130">
        <v>100</v>
      </c>
      <c r="DZ130" t="s">
        <v>3</v>
      </c>
      <c r="EA130" t="s">
        <v>3</v>
      </c>
      <c r="EB130" t="s">
        <v>3</v>
      </c>
      <c r="EC130" t="s">
        <v>3</v>
      </c>
      <c r="EE130">
        <v>49145957</v>
      </c>
      <c r="EF130">
        <v>1</v>
      </c>
      <c r="EG130" t="s">
        <v>32</v>
      </c>
      <c r="EH130">
        <v>0</v>
      </c>
      <c r="EI130" t="s">
        <v>3</v>
      </c>
      <c r="EJ130">
        <v>4</v>
      </c>
      <c r="EK130">
        <v>0</v>
      </c>
      <c r="EL130" t="s">
        <v>33</v>
      </c>
      <c r="EM130" t="s">
        <v>34</v>
      </c>
      <c r="EO130" t="s">
        <v>3</v>
      </c>
      <c r="EQ130">
        <v>0</v>
      </c>
      <c r="ER130">
        <v>11130.3</v>
      </c>
      <c r="ES130">
        <v>0</v>
      </c>
      <c r="ET130">
        <v>0</v>
      </c>
      <c r="EU130">
        <v>0</v>
      </c>
      <c r="EV130">
        <v>11130.3</v>
      </c>
      <c r="EW130">
        <v>83</v>
      </c>
      <c r="EX130">
        <v>0</v>
      </c>
      <c r="EY130">
        <v>0</v>
      </c>
      <c r="FQ130">
        <v>0</v>
      </c>
      <c r="FR130">
        <f t="shared" si="137"/>
        <v>0</v>
      </c>
      <c r="FS130">
        <v>0</v>
      </c>
      <c r="FX130">
        <v>70</v>
      </c>
      <c r="FY130">
        <v>10</v>
      </c>
      <c r="GA130" t="s">
        <v>3</v>
      </c>
      <c r="GD130">
        <v>0</v>
      </c>
      <c r="GF130">
        <v>-1624416853</v>
      </c>
      <c r="GG130">
        <v>2</v>
      </c>
      <c r="GH130">
        <v>1</v>
      </c>
      <c r="GI130">
        <v>-2</v>
      </c>
      <c r="GJ130">
        <v>0</v>
      </c>
      <c r="GK130">
        <f>ROUND(R130*(R12)/100,2)</f>
        <v>0</v>
      </c>
      <c r="GL130">
        <f t="shared" si="138"/>
        <v>0</v>
      </c>
      <c r="GM130">
        <f>ROUND(O130+X130+Y130+GK130,2)+GX130</f>
        <v>468.82</v>
      </c>
      <c r="GN130">
        <f>IF(OR(BI130=0,BI130=1),ROUND(O130+X130+Y130+GK130,2),0)</f>
        <v>0</v>
      </c>
      <c r="GO130">
        <f>IF(BI130=2,ROUND(O130+X130+Y130+GK130,2),0)</f>
        <v>0</v>
      </c>
      <c r="GP130">
        <f>IF(BI130=4,ROUND(O130+X130+Y130+GK130,2)+GX130,0)</f>
        <v>468.82</v>
      </c>
      <c r="GR130">
        <v>0</v>
      </c>
      <c r="GS130">
        <v>3</v>
      </c>
      <c r="GT130">
        <v>0</v>
      </c>
      <c r="GU130" t="s">
        <v>3</v>
      </c>
      <c r="GV130">
        <f t="shared" si="139"/>
        <v>0</v>
      </c>
      <c r="GW130">
        <v>1</v>
      </c>
      <c r="GX130">
        <f t="shared" si="140"/>
        <v>0</v>
      </c>
      <c r="HA130">
        <v>0</v>
      </c>
      <c r="HB130">
        <v>0</v>
      </c>
      <c r="HC130">
        <f t="shared" si="141"/>
        <v>0</v>
      </c>
      <c r="HE130" t="s">
        <v>3</v>
      </c>
      <c r="HF130" t="s">
        <v>3</v>
      </c>
      <c r="IK130">
        <v>0</v>
      </c>
    </row>
    <row r="131" spans="1:245" x14ac:dyDescent="0.2">
      <c r="A131">
        <v>17</v>
      </c>
      <c r="B131">
        <v>1</v>
      </c>
      <c r="C131">
        <f>ROW(SmtRes!A77)</f>
        <v>77</v>
      </c>
      <c r="D131">
        <f>ROW(EtalonRes!A74)</f>
        <v>74</v>
      </c>
      <c r="E131" t="s">
        <v>208</v>
      </c>
      <c r="F131" t="s">
        <v>44</v>
      </c>
      <c r="G131" t="s">
        <v>45</v>
      </c>
      <c r="H131" t="s">
        <v>46</v>
      </c>
      <c r="I131">
        <f>ROUND(I130*100,4)</f>
        <v>2.34</v>
      </c>
      <c r="J131">
        <v>0</v>
      </c>
      <c r="O131">
        <f t="shared" si="110"/>
        <v>110.61</v>
      </c>
      <c r="P131">
        <f t="shared" si="111"/>
        <v>0</v>
      </c>
      <c r="Q131">
        <f t="shared" si="112"/>
        <v>110.61</v>
      </c>
      <c r="R131">
        <f t="shared" si="113"/>
        <v>60.04</v>
      </c>
      <c r="S131">
        <f t="shared" si="114"/>
        <v>0</v>
      </c>
      <c r="T131">
        <f t="shared" si="115"/>
        <v>0</v>
      </c>
      <c r="U131">
        <f t="shared" si="116"/>
        <v>0</v>
      </c>
      <c r="V131">
        <f t="shared" si="117"/>
        <v>0</v>
      </c>
      <c r="W131">
        <f t="shared" si="118"/>
        <v>0</v>
      </c>
      <c r="X131">
        <f t="shared" si="119"/>
        <v>0</v>
      </c>
      <c r="Y131">
        <f t="shared" si="120"/>
        <v>0</v>
      </c>
      <c r="AA131">
        <v>49707740</v>
      </c>
      <c r="AB131">
        <f t="shared" si="121"/>
        <v>47.27</v>
      </c>
      <c r="AC131">
        <f t="shared" si="122"/>
        <v>0</v>
      </c>
      <c r="AD131">
        <f>ROUND((((ET131)-(EU131))+AE131),6)</f>
        <v>47.27</v>
      </c>
      <c r="AE131">
        <f t="shared" si="123"/>
        <v>25.66</v>
      </c>
      <c r="AF131">
        <f t="shared" si="123"/>
        <v>0</v>
      </c>
      <c r="AG131">
        <f t="shared" si="124"/>
        <v>0</v>
      </c>
      <c r="AH131">
        <f t="shared" si="125"/>
        <v>0</v>
      </c>
      <c r="AI131">
        <f t="shared" si="125"/>
        <v>0</v>
      </c>
      <c r="AJ131">
        <f t="shared" si="126"/>
        <v>0</v>
      </c>
      <c r="AK131">
        <v>47.27</v>
      </c>
      <c r="AL131">
        <v>0</v>
      </c>
      <c r="AM131">
        <v>47.27</v>
      </c>
      <c r="AN131">
        <v>25.66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</v>
      </c>
      <c r="AW131">
        <v>1</v>
      </c>
      <c r="AZ131">
        <v>1</v>
      </c>
      <c r="BA131">
        <v>1</v>
      </c>
      <c r="BB131">
        <v>1</v>
      </c>
      <c r="BC131">
        <v>1</v>
      </c>
      <c r="BD131" t="s">
        <v>3</v>
      </c>
      <c r="BE131" t="s">
        <v>3</v>
      </c>
      <c r="BF131" t="s">
        <v>3</v>
      </c>
      <c r="BG131" t="s">
        <v>3</v>
      </c>
      <c r="BH131">
        <v>0</v>
      </c>
      <c r="BI131">
        <v>4</v>
      </c>
      <c r="BJ131" t="s">
        <v>209</v>
      </c>
      <c r="BM131">
        <v>1</v>
      </c>
      <c r="BN131">
        <v>0</v>
      </c>
      <c r="BO131" t="s">
        <v>3</v>
      </c>
      <c r="BP131">
        <v>0</v>
      </c>
      <c r="BQ131">
        <v>1</v>
      </c>
      <c r="BR131">
        <v>0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 t="s">
        <v>3</v>
      </c>
      <c r="BZ131">
        <v>0</v>
      </c>
      <c r="CA131">
        <v>0</v>
      </c>
      <c r="CE131">
        <v>0</v>
      </c>
      <c r="CF131">
        <v>0</v>
      </c>
      <c r="CG131">
        <v>0</v>
      </c>
      <c r="CM131">
        <v>0</v>
      </c>
      <c r="CN131" t="s">
        <v>3</v>
      </c>
      <c r="CO131">
        <v>0</v>
      </c>
      <c r="CP131">
        <f t="shared" si="127"/>
        <v>110.61</v>
      </c>
      <c r="CQ131">
        <f t="shared" si="128"/>
        <v>0</v>
      </c>
      <c r="CR131">
        <f>((((ET131)*BB131-(EU131)*BS131)+AE131*BS131)*AV131)</f>
        <v>47.27</v>
      </c>
      <c r="CS131">
        <f t="shared" si="129"/>
        <v>25.66</v>
      </c>
      <c r="CT131">
        <f t="shared" si="130"/>
        <v>0</v>
      </c>
      <c r="CU131">
        <f t="shared" si="131"/>
        <v>0</v>
      </c>
      <c r="CV131">
        <f t="shared" si="132"/>
        <v>0</v>
      </c>
      <c r="CW131">
        <f t="shared" si="133"/>
        <v>0</v>
      </c>
      <c r="CX131">
        <f t="shared" si="134"/>
        <v>0</v>
      </c>
      <c r="CY131">
        <f t="shared" si="135"/>
        <v>0</v>
      </c>
      <c r="CZ131">
        <f t="shared" si="136"/>
        <v>0</v>
      </c>
      <c r="DC131" t="s">
        <v>3</v>
      </c>
      <c r="DD131" t="s">
        <v>3</v>
      </c>
      <c r="DE131" t="s">
        <v>3</v>
      </c>
      <c r="DF131" t="s">
        <v>3</v>
      </c>
      <c r="DG131" t="s">
        <v>3</v>
      </c>
      <c r="DH131" t="s">
        <v>3</v>
      </c>
      <c r="DI131" t="s">
        <v>3</v>
      </c>
      <c r="DJ131" t="s">
        <v>3</v>
      </c>
      <c r="DK131" t="s">
        <v>3</v>
      </c>
      <c r="DL131" t="s">
        <v>3</v>
      </c>
      <c r="DM131" t="s">
        <v>3</v>
      </c>
      <c r="DN131">
        <v>0</v>
      </c>
      <c r="DO131">
        <v>0</v>
      </c>
      <c r="DP131">
        <v>1</v>
      </c>
      <c r="DQ131">
        <v>1</v>
      </c>
      <c r="DU131">
        <v>1007</v>
      </c>
      <c r="DV131" t="s">
        <v>46</v>
      </c>
      <c r="DW131" t="s">
        <v>46</v>
      </c>
      <c r="DX131">
        <v>1</v>
      </c>
      <c r="DZ131" t="s">
        <v>3</v>
      </c>
      <c r="EA131" t="s">
        <v>3</v>
      </c>
      <c r="EB131" t="s">
        <v>3</v>
      </c>
      <c r="EC131" t="s">
        <v>3</v>
      </c>
      <c r="EE131">
        <v>49145959</v>
      </c>
      <c r="EF131">
        <v>1</v>
      </c>
      <c r="EG131" t="s">
        <v>32</v>
      </c>
      <c r="EH131">
        <v>0</v>
      </c>
      <c r="EI131" t="s">
        <v>3</v>
      </c>
      <c r="EJ131">
        <v>4</v>
      </c>
      <c r="EK131">
        <v>1</v>
      </c>
      <c r="EL131" t="s">
        <v>48</v>
      </c>
      <c r="EM131" t="s">
        <v>34</v>
      </c>
      <c r="EO131" t="s">
        <v>3</v>
      </c>
      <c r="EQ131">
        <v>0</v>
      </c>
      <c r="ER131">
        <v>47.27</v>
      </c>
      <c r="ES131">
        <v>0</v>
      </c>
      <c r="ET131">
        <v>47.27</v>
      </c>
      <c r="EU131">
        <v>25.66</v>
      </c>
      <c r="EV131">
        <v>0</v>
      </c>
      <c r="EW131">
        <v>0</v>
      </c>
      <c r="EX131">
        <v>0</v>
      </c>
      <c r="EY131">
        <v>0</v>
      </c>
      <c r="FQ131">
        <v>0</v>
      </c>
      <c r="FR131">
        <f t="shared" si="137"/>
        <v>0</v>
      </c>
      <c r="FS131">
        <v>0</v>
      </c>
      <c r="FX131">
        <v>0</v>
      </c>
      <c r="FY131">
        <v>0</v>
      </c>
      <c r="GA131" t="s">
        <v>3</v>
      </c>
      <c r="GD131">
        <v>1</v>
      </c>
      <c r="GF131">
        <v>-1023303705</v>
      </c>
      <c r="GG131">
        <v>2</v>
      </c>
      <c r="GH131">
        <v>1</v>
      </c>
      <c r="GI131">
        <v>-2</v>
      </c>
      <c r="GJ131">
        <v>0</v>
      </c>
      <c r="GK131">
        <v>0</v>
      </c>
      <c r="GL131">
        <f t="shared" si="138"/>
        <v>0</v>
      </c>
      <c r="GM131">
        <f>ROUND(O131+X131+Y131,2)+GX131</f>
        <v>110.61</v>
      </c>
      <c r="GN131">
        <f>IF(OR(BI131=0,BI131=1),ROUND(O131+X131+Y131,2),0)</f>
        <v>0</v>
      </c>
      <c r="GO131">
        <f>IF(BI131=2,ROUND(O131+X131+Y131,2),0)</f>
        <v>0</v>
      </c>
      <c r="GP131">
        <f>IF(BI131=4,ROUND(O131+X131+Y131,2)+GX131,0)</f>
        <v>110.61</v>
      </c>
      <c r="GR131">
        <v>0</v>
      </c>
      <c r="GS131">
        <v>3</v>
      </c>
      <c r="GT131">
        <v>0</v>
      </c>
      <c r="GU131" t="s">
        <v>3</v>
      </c>
      <c r="GV131">
        <f t="shared" si="139"/>
        <v>0</v>
      </c>
      <c r="GW131">
        <v>1</v>
      </c>
      <c r="GX131">
        <f t="shared" si="140"/>
        <v>0</v>
      </c>
      <c r="HA131">
        <v>0</v>
      </c>
      <c r="HB131">
        <v>0</v>
      </c>
      <c r="HC131">
        <f t="shared" si="141"/>
        <v>0</v>
      </c>
      <c r="HE131" t="s">
        <v>3</v>
      </c>
      <c r="HF131" t="s">
        <v>3</v>
      </c>
      <c r="IK131">
        <v>0</v>
      </c>
    </row>
    <row r="132" spans="1:245" x14ac:dyDescent="0.2">
      <c r="A132">
        <v>17</v>
      </c>
      <c r="B132">
        <v>1</v>
      </c>
      <c r="C132">
        <f>ROW(SmtRes!A78)</f>
        <v>78</v>
      </c>
      <c r="D132">
        <f>ROW(EtalonRes!A75)</f>
        <v>75</v>
      </c>
      <c r="E132" t="s">
        <v>210</v>
      </c>
      <c r="F132" t="s">
        <v>50</v>
      </c>
      <c r="G132" t="s">
        <v>51</v>
      </c>
      <c r="H132" t="s">
        <v>46</v>
      </c>
      <c r="I132">
        <f>ROUND(I131,4)</f>
        <v>2.34</v>
      </c>
      <c r="J132">
        <v>0</v>
      </c>
      <c r="O132">
        <f t="shared" si="110"/>
        <v>1998.36</v>
      </c>
      <c r="P132">
        <f t="shared" si="111"/>
        <v>0</v>
      </c>
      <c r="Q132">
        <f t="shared" si="112"/>
        <v>1998.36</v>
      </c>
      <c r="R132">
        <f t="shared" si="113"/>
        <v>1085.01</v>
      </c>
      <c r="S132">
        <f t="shared" si="114"/>
        <v>0</v>
      </c>
      <c r="T132">
        <f t="shared" si="115"/>
        <v>0</v>
      </c>
      <c r="U132">
        <f t="shared" si="116"/>
        <v>0</v>
      </c>
      <c r="V132">
        <f t="shared" si="117"/>
        <v>0</v>
      </c>
      <c r="W132">
        <f t="shared" si="118"/>
        <v>0</v>
      </c>
      <c r="X132">
        <f t="shared" si="119"/>
        <v>0</v>
      </c>
      <c r="Y132">
        <f t="shared" si="120"/>
        <v>0</v>
      </c>
      <c r="AA132">
        <v>49707740</v>
      </c>
      <c r="AB132">
        <f t="shared" si="121"/>
        <v>854</v>
      </c>
      <c r="AC132">
        <f t="shared" si="122"/>
        <v>0</v>
      </c>
      <c r="AD132">
        <f>ROUND(((((ET132*56))-((EU132*56)))+AE132),6)</f>
        <v>854</v>
      </c>
      <c r="AE132">
        <f>ROUND(((EU132*56)),6)</f>
        <v>463.68</v>
      </c>
      <c r="AF132">
        <f t="shared" ref="AF132:AF138" si="142">ROUND((EV132),6)</f>
        <v>0</v>
      </c>
      <c r="AG132">
        <f t="shared" si="124"/>
        <v>0</v>
      </c>
      <c r="AH132">
        <f t="shared" ref="AH132:AH138" si="143">(EW132)</f>
        <v>0</v>
      </c>
      <c r="AI132">
        <f>((EX132*56))</f>
        <v>0</v>
      </c>
      <c r="AJ132">
        <f t="shared" si="126"/>
        <v>0</v>
      </c>
      <c r="AK132">
        <v>15.25</v>
      </c>
      <c r="AL132">
        <v>0</v>
      </c>
      <c r="AM132">
        <v>15.25</v>
      </c>
      <c r="AN132">
        <v>8.2799999999999994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1</v>
      </c>
      <c r="AW132">
        <v>1</v>
      </c>
      <c r="AZ132">
        <v>1</v>
      </c>
      <c r="BA132">
        <v>1</v>
      </c>
      <c r="BB132">
        <v>1</v>
      </c>
      <c r="BC132">
        <v>1</v>
      </c>
      <c r="BD132" t="s">
        <v>3</v>
      </c>
      <c r="BE132" t="s">
        <v>3</v>
      </c>
      <c r="BF132" t="s">
        <v>3</v>
      </c>
      <c r="BG132" t="s">
        <v>3</v>
      </c>
      <c r="BH132">
        <v>0</v>
      </c>
      <c r="BI132">
        <v>4</v>
      </c>
      <c r="BJ132" t="s">
        <v>211</v>
      </c>
      <c r="BM132">
        <v>1</v>
      </c>
      <c r="BN132">
        <v>0</v>
      </c>
      <c r="BO132" t="s">
        <v>3</v>
      </c>
      <c r="BP132">
        <v>0</v>
      </c>
      <c r="BQ132">
        <v>1</v>
      </c>
      <c r="BR132">
        <v>0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 t="s">
        <v>3</v>
      </c>
      <c r="BZ132">
        <v>0</v>
      </c>
      <c r="CA132">
        <v>0</v>
      </c>
      <c r="CE132">
        <v>0</v>
      </c>
      <c r="CF132">
        <v>0</v>
      </c>
      <c r="CG132">
        <v>0</v>
      </c>
      <c r="CM132">
        <v>0</v>
      </c>
      <c r="CN132" t="s">
        <v>3</v>
      </c>
      <c r="CO132">
        <v>0</v>
      </c>
      <c r="CP132">
        <f t="shared" si="127"/>
        <v>1998.36</v>
      </c>
      <c r="CQ132">
        <f t="shared" si="128"/>
        <v>0</v>
      </c>
      <c r="CR132">
        <f>(((((ET132*56))*BB132-((EU132*56))*BS132)+AE132*BS132)*AV132)</f>
        <v>854</v>
      </c>
      <c r="CS132">
        <f t="shared" si="129"/>
        <v>463.68</v>
      </c>
      <c r="CT132">
        <f t="shared" si="130"/>
        <v>0</v>
      </c>
      <c r="CU132">
        <f t="shared" si="131"/>
        <v>0</v>
      </c>
      <c r="CV132">
        <f t="shared" si="132"/>
        <v>0</v>
      </c>
      <c r="CW132">
        <f t="shared" si="133"/>
        <v>0</v>
      </c>
      <c r="CX132">
        <f t="shared" si="134"/>
        <v>0</v>
      </c>
      <c r="CY132">
        <f t="shared" si="135"/>
        <v>0</v>
      </c>
      <c r="CZ132">
        <f t="shared" si="136"/>
        <v>0</v>
      </c>
      <c r="DC132" t="s">
        <v>3</v>
      </c>
      <c r="DD132" t="s">
        <v>3</v>
      </c>
      <c r="DE132" t="s">
        <v>53</v>
      </c>
      <c r="DF132" t="s">
        <v>53</v>
      </c>
      <c r="DG132" t="s">
        <v>3</v>
      </c>
      <c r="DH132" t="s">
        <v>3</v>
      </c>
      <c r="DI132" t="s">
        <v>3</v>
      </c>
      <c r="DJ132" t="s">
        <v>53</v>
      </c>
      <c r="DK132" t="s">
        <v>3</v>
      </c>
      <c r="DL132" t="s">
        <v>3</v>
      </c>
      <c r="DM132" t="s">
        <v>3</v>
      </c>
      <c r="DN132">
        <v>0</v>
      </c>
      <c r="DO132">
        <v>0</v>
      </c>
      <c r="DP132">
        <v>1</v>
      </c>
      <c r="DQ132">
        <v>1</v>
      </c>
      <c r="DU132">
        <v>1007</v>
      </c>
      <c r="DV132" t="s">
        <v>46</v>
      </c>
      <c r="DW132" t="s">
        <v>46</v>
      </c>
      <c r="DX132">
        <v>1</v>
      </c>
      <c r="DZ132" t="s">
        <v>3</v>
      </c>
      <c r="EA132" t="s">
        <v>3</v>
      </c>
      <c r="EB132" t="s">
        <v>3</v>
      </c>
      <c r="EC132" t="s">
        <v>3</v>
      </c>
      <c r="EE132">
        <v>49145959</v>
      </c>
      <c r="EF132">
        <v>1</v>
      </c>
      <c r="EG132" t="s">
        <v>32</v>
      </c>
      <c r="EH132">
        <v>0</v>
      </c>
      <c r="EI132" t="s">
        <v>3</v>
      </c>
      <c r="EJ132">
        <v>4</v>
      </c>
      <c r="EK132">
        <v>1</v>
      </c>
      <c r="EL132" t="s">
        <v>48</v>
      </c>
      <c r="EM132" t="s">
        <v>34</v>
      </c>
      <c r="EO132" t="s">
        <v>3</v>
      </c>
      <c r="EQ132">
        <v>0</v>
      </c>
      <c r="ER132">
        <v>15.25</v>
      </c>
      <c r="ES132">
        <v>0</v>
      </c>
      <c r="ET132">
        <v>15.25</v>
      </c>
      <c r="EU132">
        <v>8.2799999999999994</v>
      </c>
      <c r="EV132">
        <v>0</v>
      </c>
      <c r="EW132">
        <v>0</v>
      </c>
      <c r="EX132">
        <v>0</v>
      </c>
      <c r="EY132">
        <v>0</v>
      </c>
      <c r="FQ132">
        <v>0</v>
      </c>
      <c r="FR132">
        <f t="shared" si="137"/>
        <v>0</v>
      </c>
      <c r="FS132">
        <v>0</v>
      </c>
      <c r="FX132">
        <v>0</v>
      </c>
      <c r="FY132">
        <v>0</v>
      </c>
      <c r="GA132" t="s">
        <v>3</v>
      </c>
      <c r="GD132">
        <v>1</v>
      </c>
      <c r="GF132">
        <v>-103757531</v>
      </c>
      <c r="GG132">
        <v>2</v>
      </c>
      <c r="GH132">
        <v>1</v>
      </c>
      <c r="GI132">
        <v>-2</v>
      </c>
      <c r="GJ132">
        <v>0</v>
      </c>
      <c r="GK132">
        <v>0</v>
      </c>
      <c r="GL132">
        <f t="shared" si="138"/>
        <v>0</v>
      </c>
      <c r="GM132">
        <f>ROUND(O132+X132+Y132,2)+GX132</f>
        <v>1998.36</v>
      </c>
      <c r="GN132">
        <f>IF(OR(BI132=0,BI132=1),ROUND(O132+X132+Y132,2),0)</f>
        <v>0</v>
      </c>
      <c r="GO132">
        <f>IF(BI132=2,ROUND(O132+X132+Y132,2),0)</f>
        <v>0</v>
      </c>
      <c r="GP132">
        <f>IF(BI132=4,ROUND(O132+X132+Y132,2)+GX132,0)</f>
        <v>1998.36</v>
      </c>
      <c r="GR132">
        <v>0</v>
      </c>
      <c r="GS132">
        <v>3</v>
      </c>
      <c r="GT132">
        <v>0</v>
      </c>
      <c r="GU132" t="s">
        <v>3</v>
      </c>
      <c r="GV132">
        <f t="shared" si="139"/>
        <v>0</v>
      </c>
      <c r="GW132">
        <v>1</v>
      </c>
      <c r="GX132">
        <f t="shared" si="140"/>
        <v>0</v>
      </c>
      <c r="HA132">
        <v>0</v>
      </c>
      <c r="HB132">
        <v>0</v>
      </c>
      <c r="HC132">
        <f t="shared" si="141"/>
        <v>0</v>
      </c>
      <c r="HE132" t="s">
        <v>3</v>
      </c>
      <c r="HF132" t="s">
        <v>3</v>
      </c>
      <c r="IK132">
        <v>0</v>
      </c>
    </row>
    <row r="133" spans="1:245" x14ac:dyDescent="0.2">
      <c r="A133">
        <v>17</v>
      </c>
      <c r="B133">
        <v>1</v>
      </c>
      <c r="E133" t="s">
        <v>212</v>
      </c>
      <c r="F133" t="s">
        <v>55</v>
      </c>
      <c r="G133" t="s">
        <v>56</v>
      </c>
      <c r="H133" t="s">
        <v>57</v>
      </c>
      <c r="I133">
        <f>ROUND(I132*1.4,4)</f>
        <v>3.2759999999999998</v>
      </c>
      <c r="J133">
        <v>0</v>
      </c>
      <c r="O133">
        <f t="shared" si="110"/>
        <v>328.58</v>
      </c>
      <c r="P133">
        <f t="shared" si="111"/>
        <v>328.58</v>
      </c>
      <c r="Q133">
        <f t="shared" si="112"/>
        <v>0</v>
      </c>
      <c r="R133">
        <f t="shared" si="113"/>
        <v>0</v>
      </c>
      <c r="S133">
        <f t="shared" si="114"/>
        <v>0</v>
      </c>
      <c r="T133">
        <f t="shared" si="115"/>
        <v>0</v>
      </c>
      <c r="U133">
        <f t="shared" si="116"/>
        <v>0</v>
      </c>
      <c r="V133">
        <f t="shared" si="117"/>
        <v>0</v>
      </c>
      <c r="W133">
        <f t="shared" si="118"/>
        <v>0</v>
      </c>
      <c r="X133">
        <f t="shared" si="119"/>
        <v>0</v>
      </c>
      <c r="Y133">
        <f t="shared" si="120"/>
        <v>0</v>
      </c>
      <c r="AA133">
        <v>49707740</v>
      </c>
      <c r="AB133">
        <f t="shared" si="121"/>
        <v>100.3</v>
      </c>
      <c r="AC133">
        <f t="shared" si="122"/>
        <v>100.3</v>
      </c>
      <c r="AD133">
        <f t="shared" ref="AD133:AD138" si="144">ROUND((((ET133)-(EU133))+AE133),6)</f>
        <v>0</v>
      </c>
      <c r="AE133">
        <f t="shared" ref="AE133:AE138" si="145">ROUND((EU133),6)</f>
        <v>0</v>
      </c>
      <c r="AF133">
        <f t="shared" si="142"/>
        <v>0</v>
      </c>
      <c r="AG133">
        <f t="shared" si="124"/>
        <v>0</v>
      </c>
      <c r="AH133">
        <f t="shared" si="143"/>
        <v>0</v>
      </c>
      <c r="AI133">
        <f t="shared" ref="AI133:AI138" si="146">(EX133)</f>
        <v>0</v>
      </c>
      <c r="AJ133">
        <f t="shared" si="126"/>
        <v>0</v>
      </c>
      <c r="AK133">
        <v>100.3</v>
      </c>
      <c r="AL133">
        <v>100.3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1</v>
      </c>
      <c r="AW133">
        <v>1</v>
      </c>
      <c r="AZ133">
        <v>1</v>
      </c>
      <c r="BA133">
        <v>1</v>
      </c>
      <c r="BB133">
        <v>1</v>
      </c>
      <c r="BC133">
        <v>1</v>
      </c>
      <c r="BD133" t="s">
        <v>3</v>
      </c>
      <c r="BE133" t="s">
        <v>3</v>
      </c>
      <c r="BF133" t="s">
        <v>3</v>
      </c>
      <c r="BG133" t="s">
        <v>3</v>
      </c>
      <c r="BH133">
        <v>3</v>
      </c>
      <c r="BI133">
        <v>1</v>
      </c>
      <c r="BJ133" t="s">
        <v>3</v>
      </c>
      <c r="BM133">
        <v>6001</v>
      </c>
      <c r="BN133">
        <v>0</v>
      </c>
      <c r="BO133" t="s">
        <v>3</v>
      </c>
      <c r="BP133">
        <v>0</v>
      </c>
      <c r="BQ133">
        <v>0</v>
      </c>
      <c r="BR133">
        <v>0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 t="s">
        <v>3</v>
      </c>
      <c r="BZ133">
        <v>0</v>
      </c>
      <c r="CA133">
        <v>0</v>
      </c>
      <c r="CE133">
        <v>0</v>
      </c>
      <c r="CF133">
        <v>0</v>
      </c>
      <c r="CG133">
        <v>0</v>
      </c>
      <c r="CM133">
        <v>0</v>
      </c>
      <c r="CN133" t="s">
        <v>3</v>
      </c>
      <c r="CO133">
        <v>0</v>
      </c>
      <c r="CP133">
        <f t="shared" si="127"/>
        <v>328.58</v>
      </c>
      <c r="CQ133">
        <f t="shared" si="128"/>
        <v>100.3</v>
      </c>
      <c r="CR133">
        <f t="shared" ref="CR133:CR138" si="147">((((ET133)*BB133-(EU133)*BS133)+AE133*BS133)*AV133)</f>
        <v>0</v>
      </c>
      <c r="CS133">
        <f t="shared" si="129"/>
        <v>0</v>
      </c>
      <c r="CT133">
        <f t="shared" si="130"/>
        <v>0</v>
      </c>
      <c r="CU133">
        <f t="shared" si="131"/>
        <v>0</v>
      </c>
      <c r="CV133">
        <f t="shared" si="132"/>
        <v>0</v>
      </c>
      <c r="CW133">
        <f t="shared" si="133"/>
        <v>0</v>
      </c>
      <c r="CX133">
        <f t="shared" si="134"/>
        <v>0</v>
      </c>
      <c r="CY133">
        <f t="shared" si="135"/>
        <v>0</v>
      </c>
      <c r="CZ133">
        <f t="shared" si="136"/>
        <v>0</v>
      </c>
      <c r="DC133" t="s">
        <v>3</v>
      </c>
      <c r="DD133" t="s">
        <v>3</v>
      </c>
      <c r="DE133" t="s">
        <v>3</v>
      </c>
      <c r="DF133" t="s">
        <v>3</v>
      </c>
      <c r="DG133" t="s">
        <v>3</v>
      </c>
      <c r="DH133" t="s">
        <v>3</v>
      </c>
      <c r="DI133" t="s">
        <v>3</v>
      </c>
      <c r="DJ133" t="s">
        <v>3</v>
      </c>
      <c r="DK133" t="s">
        <v>3</v>
      </c>
      <c r="DL133" t="s">
        <v>3</v>
      </c>
      <c r="DM133" t="s">
        <v>3</v>
      </c>
      <c r="DN133">
        <v>0</v>
      </c>
      <c r="DO133">
        <v>0</v>
      </c>
      <c r="DP133">
        <v>1</v>
      </c>
      <c r="DQ133">
        <v>1</v>
      </c>
      <c r="DU133">
        <v>1009</v>
      </c>
      <c r="DV133" t="s">
        <v>57</v>
      </c>
      <c r="DW133" t="s">
        <v>57</v>
      </c>
      <c r="DX133">
        <v>1000</v>
      </c>
      <c r="DZ133" t="s">
        <v>3</v>
      </c>
      <c r="EA133" t="s">
        <v>3</v>
      </c>
      <c r="EB133" t="s">
        <v>3</v>
      </c>
      <c r="EC133" t="s">
        <v>3</v>
      </c>
      <c r="EE133">
        <v>49387493</v>
      </c>
      <c r="EF133">
        <v>0</v>
      </c>
      <c r="EG133" t="s">
        <v>58</v>
      </c>
      <c r="EH133">
        <v>0</v>
      </c>
      <c r="EI133" t="s">
        <v>3</v>
      </c>
      <c r="EJ133">
        <v>1</v>
      </c>
      <c r="EK133">
        <v>6001</v>
      </c>
      <c r="EL133" t="s">
        <v>59</v>
      </c>
      <c r="EM133" t="s">
        <v>58</v>
      </c>
      <c r="EO133" t="s">
        <v>3</v>
      </c>
      <c r="EQ133">
        <v>0</v>
      </c>
      <c r="ER133">
        <v>100.3</v>
      </c>
      <c r="ES133">
        <v>100.3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5</v>
      </c>
      <c r="FC133">
        <v>1</v>
      </c>
      <c r="FD133">
        <v>18</v>
      </c>
      <c r="FF133">
        <v>120.36</v>
      </c>
      <c r="FQ133">
        <v>0</v>
      </c>
      <c r="FR133">
        <f t="shared" si="137"/>
        <v>0</v>
      </c>
      <c r="FS133">
        <v>0</v>
      </c>
      <c r="FX133">
        <v>0</v>
      </c>
      <c r="FY133">
        <v>0</v>
      </c>
      <c r="GA133" t="s">
        <v>60</v>
      </c>
      <c r="GD133">
        <v>0</v>
      </c>
      <c r="GF133">
        <v>-1632517758</v>
      </c>
      <c r="GG133">
        <v>2</v>
      </c>
      <c r="GH133">
        <v>3</v>
      </c>
      <c r="GI133">
        <v>-2</v>
      </c>
      <c r="GJ133">
        <v>0</v>
      </c>
      <c r="GK133">
        <f>ROUND(R133*(R12)/100,2)</f>
        <v>0</v>
      </c>
      <c r="GL133">
        <f t="shared" si="138"/>
        <v>0</v>
      </c>
      <c r="GM133">
        <f t="shared" ref="GM133:GM138" si="148">ROUND(O133+X133+Y133+GK133,2)+GX133</f>
        <v>328.58</v>
      </c>
      <c r="GN133">
        <f t="shared" ref="GN133:GN138" si="149">IF(OR(BI133=0,BI133=1),ROUND(O133+X133+Y133+GK133,2),0)</f>
        <v>328.58</v>
      </c>
      <c r="GO133">
        <f t="shared" ref="GO133:GO138" si="150">IF(BI133=2,ROUND(O133+X133+Y133+GK133,2),0)</f>
        <v>0</v>
      </c>
      <c r="GP133">
        <f t="shared" ref="GP133:GP138" si="151">IF(BI133=4,ROUND(O133+X133+Y133+GK133,2)+GX133,0)</f>
        <v>0</v>
      </c>
      <c r="GR133">
        <v>1</v>
      </c>
      <c r="GS133">
        <v>1</v>
      </c>
      <c r="GT133">
        <v>0</v>
      </c>
      <c r="GU133" t="s">
        <v>3</v>
      </c>
      <c r="GV133">
        <f t="shared" si="139"/>
        <v>0</v>
      </c>
      <c r="GW133">
        <v>1</v>
      </c>
      <c r="GX133">
        <f t="shared" si="140"/>
        <v>0</v>
      </c>
      <c r="HA133">
        <v>0</v>
      </c>
      <c r="HB133">
        <v>0</v>
      </c>
      <c r="HC133">
        <f t="shared" si="141"/>
        <v>0</v>
      </c>
      <c r="HE133" t="s">
        <v>61</v>
      </c>
      <c r="HF133" t="s">
        <v>61</v>
      </c>
      <c r="IK133">
        <v>0</v>
      </c>
    </row>
    <row r="134" spans="1:245" x14ac:dyDescent="0.2">
      <c r="A134">
        <v>17</v>
      </c>
      <c r="B134">
        <v>1</v>
      </c>
      <c r="C134">
        <f>ROW(SmtRes!A84)</f>
        <v>84</v>
      </c>
      <c r="D134">
        <f>ROW(EtalonRes!A81)</f>
        <v>81</v>
      </c>
      <c r="E134" t="s">
        <v>213</v>
      </c>
      <c r="F134" t="s">
        <v>214</v>
      </c>
      <c r="G134" t="s">
        <v>215</v>
      </c>
      <c r="H134" t="s">
        <v>46</v>
      </c>
      <c r="I134">
        <f>ROUND(0.3*0.3*0.1*52,4)</f>
        <v>0.46800000000000003</v>
      </c>
      <c r="J134">
        <v>0</v>
      </c>
      <c r="O134">
        <f t="shared" si="110"/>
        <v>483.14</v>
      </c>
      <c r="P134">
        <f t="shared" si="111"/>
        <v>306.61</v>
      </c>
      <c r="Q134">
        <f t="shared" si="112"/>
        <v>98.6</v>
      </c>
      <c r="R134">
        <f t="shared" si="113"/>
        <v>58.11</v>
      </c>
      <c r="S134">
        <f t="shared" si="114"/>
        <v>77.930000000000007</v>
      </c>
      <c r="T134">
        <f t="shared" si="115"/>
        <v>0</v>
      </c>
      <c r="U134">
        <f t="shared" si="116"/>
        <v>0.42120000000000002</v>
      </c>
      <c r="V134">
        <f t="shared" si="117"/>
        <v>0</v>
      </c>
      <c r="W134">
        <f t="shared" si="118"/>
        <v>0</v>
      </c>
      <c r="X134">
        <f t="shared" si="119"/>
        <v>54.55</v>
      </c>
      <c r="Y134">
        <f t="shared" si="120"/>
        <v>7.79</v>
      </c>
      <c r="AA134">
        <v>49707740</v>
      </c>
      <c r="AB134">
        <f t="shared" si="121"/>
        <v>1032.3499999999999</v>
      </c>
      <c r="AC134">
        <f t="shared" si="122"/>
        <v>655.15</v>
      </c>
      <c r="AD134">
        <f t="shared" si="144"/>
        <v>210.68</v>
      </c>
      <c r="AE134">
        <f t="shared" si="145"/>
        <v>124.16</v>
      </c>
      <c r="AF134">
        <f t="shared" si="142"/>
        <v>166.52</v>
      </c>
      <c r="AG134">
        <f t="shared" si="124"/>
        <v>0</v>
      </c>
      <c r="AH134">
        <f t="shared" si="143"/>
        <v>0.9</v>
      </c>
      <c r="AI134">
        <f t="shared" si="146"/>
        <v>0</v>
      </c>
      <c r="AJ134">
        <f t="shared" si="126"/>
        <v>0</v>
      </c>
      <c r="AK134">
        <v>1032.3499999999999</v>
      </c>
      <c r="AL134">
        <v>655.15</v>
      </c>
      <c r="AM134">
        <v>210.68</v>
      </c>
      <c r="AN134">
        <v>124.16</v>
      </c>
      <c r="AO134">
        <v>166.52</v>
      </c>
      <c r="AP134">
        <v>0</v>
      </c>
      <c r="AQ134">
        <v>0.9</v>
      </c>
      <c r="AR134">
        <v>0</v>
      </c>
      <c r="AS134">
        <v>0</v>
      </c>
      <c r="AT134">
        <v>70</v>
      </c>
      <c r="AU134">
        <v>10</v>
      </c>
      <c r="AV134">
        <v>1</v>
      </c>
      <c r="AW134">
        <v>1</v>
      </c>
      <c r="AZ134">
        <v>1</v>
      </c>
      <c r="BA134">
        <v>1</v>
      </c>
      <c r="BB134">
        <v>1</v>
      </c>
      <c r="BC134">
        <v>1</v>
      </c>
      <c r="BD134" t="s">
        <v>3</v>
      </c>
      <c r="BE134" t="s">
        <v>3</v>
      </c>
      <c r="BF134" t="s">
        <v>3</v>
      </c>
      <c r="BG134" t="s">
        <v>3</v>
      </c>
      <c r="BH134">
        <v>0</v>
      </c>
      <c r="BI134">
        <v>4</v>
      </c>
      <c r="BJ134" t="s">
        <v>216</v>
      </c>
      <c r="BM134">
        <v>0</v>
      </c>
      <c r="BN134">
        <v>0</v>
      </c>
      <c r="BO134" t="s">
        <v>3</v>
      </c>
      <c r="BP134">
        <v>0</v>
      </c>
      <c r="BQ134">
        <v>1</v>
      </c>
      <c r="BR134">
        <v>0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 t="s">
        <v>3</v>
      </c>
      <c r="BZ134">
        <v>70</v>
      </c>
      <c r="CA134">
        <v>10</v>
      </c>
      <c r="CE134">
        <v>0</v>
      </c>
      <c r="CF134">
        <v>0</v>
      </c>
      <c r="CG134">
        <v>0</v>
      </c>
      <c r="CM134">
        <v>0</v>
      </c>
      <c r="CN134" t="s">
        <v>3</v>
      </c>
      <c r="CO134">
        <v>0</v>
      </c>
      <c r="CP134">
        <f t="shared" si="127"/>
        <v>483.14000000000004</v>
      </c>
      <c r="CQ134">
        <f t="shared" si="128"/>
        <v>655.15</v>
      </c>
      <c r="CR134">
        <f t="shared" si="147"/>
        <v>210.68</v>
      </c>
      <c r="CS134">
        <f t="shared" si="129"/>
        <v>124.16</v>
      </c>
      <c r="CT134">
        <f t="shared" si="130"/>
        <v>166.52</v>
      </c>
      <c r="CU134">
        <f t="shared" si="131"/>
        <v>0</v>
      </c>
      <c r="CV134">
        <f t="shared" si="132"/>
        <v>0.9</v>
      </c>
      <c r="CW134">
        <f t="shared" si="133"/>
        <v>0</v>
      </c>
      <c r="CX134">
        <f t="shared" si="134"/>
        <v>0</v>
      </c>
      <c r="CY134">
        <f t="shared" si="135"/>
        <v>54.551000000000002</v>
      </c>
      <c r="CZ134">
        <f t="shared" si="136"/>
        <v>7.793000000000001</v>
      </c>
      <c r="DC134" t="s">
        <v>3</v>
      </c>
      <c r="DD134" t="s">
        <v>3</v>
      </c>
      <c r="DE134" t="s">
        <v>3</v>
      </c>
      <c r="DF134" t="s">
        <v>3</v>
      </c>
      <c r="DG134" t="s">
        <v>3</v>
      </c>
      <c r="DH134" t="s">
        <v>3</v>
      </c>
      <c r="DI134" t="s">
        <v>3</v>
      </c>
      <c r="DJ134" t="s">
        <v>3</v>
      </c>
      <c r="DK134" t="s">
        <v>3</v>
      </c>
      <c r="DL134" t="s">
        <v>3</v>
      </c>
      <c r="DM134" t="s">
        <v>3</v>
      </c>
      <c r="DN134">
        <v>0</v>
      </c>
      <c r="DO134">
        <v>0</v>
      </c>
      <c r="DP134">
        <v>1</v>
      </c>
      <c r="DQ134">
        <v>1</v>
      </c>
      <c r="DU134">
        <v>1007</v>
      </c>
      <c r="DV134" t="s">
        <v>46</v>
      </c>
      <c r="DW134" t="s">
        <v>46</v>
      </c>
      <c r="DX134">
        <v>1</v>
      </c>
      <c r="DZ134" t="s">
        <v>3</v>
      </c>
      <c r="EA134" t="s">
        <v>3</v>
      </c>
      <c r="EB134" t="s">
        <v>3</v>
      </c>
      <c r="EC134" t="s">
        <v>3</v>
      </c>
      <c r="EE134">
        <v>49145957</v>
      </c>
      <c r="EF134">
        <v>1</v>
      </c>
      <c r="EG134" t="s">
        <v>32</v>
      </c>
      <c r="EH134">
        <v>0</v>
      </c>
      <c r="EI134" t="s">
        <v>3</v>
      </c>
      <c r="EJ134">
        <v>4</v>
      </c>
      <c r="EK134">
        <v>0</v>
      </c>
      <c r="EL134" t="s">
        <v>33</v>
      </c>
      <c r="EM134" t="s">
        <v>34</v>
      </c>
      <c r="EO134" t="s">
        <v>3</v>
      </c>
      <c r="EQ134">
        <v>0</v>
      </c>
      <c r="ER134">
        <v>1032.3499999999999</v>
      </c>
      <c r="ES134">
        <v>655.15</v>
      </c>
      <c r="ET134">
        <v>210.68</v>
      </c>
      <c r="EU134">
        <v>124.16</v>
      </c>
      <c r="EV134">
        <v>166.52</v>
      </c>
      <c r="EW134">
        <v>0.9</v>
      </c>
      <c r="EX134">
        <v>0</v>
      </c>
      <c r="EY134">
        <v>0</v>
      </c>
      <c r="FQ134">
        <v>0</v>
      </c>
      <c r="FR134">
        <f t="shared" si="137"/>
        <v>0</v>
      </c>
      <c r="FS134">
        <v>0</v>
      </c>
      <c r="FX134">
        <v>70</v>
      </c>
      <c r="FY134">
        <v>10</v>
      </c>
      <c r="GA134" t="s">
        <v>3</v>
      </c>
      <c r="GD134">
        <v>0</v>
      </c>
      <c r="GF134">
        <v>844358921</v>
      </c>
      <c r="GG134">
        <v>2</v>
      </c>
      <c r="GH134">
        <v>1</v>
      </c>
      <c r="GI134">
        <v>-2</v>
      </c>
      <c r="GJ134">
        <v>0</v>
      </c>
      <c r="GK134">
        <f>ROUND(R134*(R12)/100,2)</f>
        <v>62.76</v>
      </c>
      <c r="GL134">
        <f t="shared" si="138"/>
        <v>0</v>
      </c>
      <c r="GM134">
        <f t="shared" si="148"/>
        <v>608.24</v>
      </c>
      <c r="GN134">
        <f t="shared" si="149"/>
        <v>0</v>
      </c>
      <c r="GO134">
        <f t="shared" si="150"/>
        <v>0</v>
      </c>
      <c r="GP134">
        <f t="shared" si="151"/>
        <v>608.24</v>
      </c>
      <c r="GR134">
        <v>0</v>
      </c>
      <c r="GS134">
        <v>3</v>
      </c>
      <c r="GT134">
        <v>0</v>
      </c>
      <c r="GU134" t="s">
        <v>3</v>
      </c>
      <c r="GV134">
        <f t="shared" si="139"/>
        <v>0</v>
      </c>
      <c r="GW134">
        <v>1</v>
      </c>
      <c r="GX134">
        <f t="shared" si="140"/>
        <v>0</v>
      </c>
      <c r="HA134">
        <v>0</v>
      </c>
      <c r="HB134">
        <v>0</v>
      </c>
      <c r="HC134">
        <f t="shared" si="141"/>
        <v>0</v>
      </c>
      <c r="HE134" t="s">
        <v>3</v>
      </c>
      <c r="HF134" t="s">
        <v>3</v>
      </c>
      <c r="IK134">
        <v>0</v>
      </c>
    </row>
    <row r="135" spans="1:245" x14ac:dyDescent="0.2">
      <c r="A135">
        <v>17</v>
      </c>
      <c r="B135">
        <v>1</v>
      </c>
      <c r="C135">
        <f>ROW(SmtRes!A90)</f>
        <v>90</v>
      </c>
      <c r="D135">
        <f>ROW(EtalonRes!A87)</f>
        <v>87</v>
      </c>
      <c r="E135" t="s">
        <v>217</v>
      </c>
      <c r="F135" t="s">
        <v>218</v>
      </c>
      <c r="G135" t="s">
        <v>219</v>
      </c>
      <c r="H135" t="s">
        <v>46</v>
      </c>
      <c r="I135">
        <f>ROUND(0.3*0.3*0.1*52,4)</f>
        <v>0.46800000000000003</v>
      </c>
      <c r="J135">
        <v>0</v>
      </c>
      <c r="O135">
        <f t="shared" si="110"/>
        <v>965.76</v>
      </c>
      <c r="P135">
        <f t="shared" si="111"/>
        <v>775.6</v>
      </c>
      <c r="Q135">
        <f t="shared" si="112"/>
        <v>105.3</v>
      </c>
      <c r="R135">
        <f t="shared" si="113"/>
        <v>63.22</v>
      </c>
      <c r="S135">
        <f t="shared" si="114"/>
        <v>84.86</v>
      </c>
      <c r="T135">
        <f t="shared" si="115"/>
        <v>0</v>
      </c>
      <c r="U135">
        <f t="shared" si="116"/>
        <v>0.45863999999999999</v>
      </c>
      <c r="V135">
        <f t="shared" si="117"/>
        <v>0</v>
      </c>
      <c r="W135">
        <f t="shared" si="118"/>
        <v>0</v>
      </c>
      <c r="X135">
        <f t="shared" si="119"/>
        <v>59.4</v>
      </c>
      <c r="Y135">
        <f t="shared" si="120"/>
        <v>8.49</v>
      </c>
      <c r="AA135">
        <v>49707740</v>
      </c>
      <c r="AB135">
        <f t="shared" si="121"/>
        <v>2063.5700000000002</v>
      </c>
      <c r="AC135">
        <f t="shared" si="122"/>
        <v>1657.26</v>
      </c>
      <c r="AD135">
        <f t="shared" si="144"/>
        <v>224.99</v>
      </c>
      <c r="AE135">
        <f t="shared" si="145"/>
        <v>135.08000000000001</v>
      </c>
      <c r="AF135">
        <f t="shared" si="142"/>
        <v>181.32</v>
      </c>
      <c r="AG135">
        <f t="shared" si="124"/>
        <v>0</v>
      </c>
      <c r="AH135">
        <f t="shared" si="143"/>
        <v>0.98</v>
      </c>
      <c r="AI135">
        <f t="shared" si="146"/>
        <v>0</v>
      </c>
      <c r="AJ135">
        <f t="shared" si="126"/>
        <v>0</v>
      </c>
      <c r="AK135">
        <v>2063.5700000000002</v>
      </c>
      <c r="AL135">
        <v>1657.26</v>
      </c>
      <c r="AM135">
        <v>224.99</v>
      </c>
      <c r="AN135">
        <v>135.08000000000001</v>
      </c>
      <c r="AO135">
        <v>181.32</v>
      </c>
      <c r="AP135">
        <v>0</v>
      </c>
      <c r="AQ135">
        <v>0.98</v>
      </c>
      <c r="AR135">
        <v>0</v>
      </c>
      <c r="AS135">
        <v>0</v>
      </c>
      <c r="AT135">
        <v>70</v>
      </c>
      <c r="AU135">
        <v>10</v>
      </c>
      <c r="AV135">
        <v>1</v>
      </c>
      <c r="AW135">
        <v>1</v>
      </c>
      <c r="AZ135">
        <v>1</v>
      </c>
      <c r="BA135">
        <v>1</v>
      </c>
      <c r="BB135">
        <v>1</v>
      </c>
      <c r="BC135">
        <v>1</v>
      </c>
      <c r="BD135" t="s">
        <v>3</v>
      </c>
      <c r="BE135" t="s">
        <v>3</v>
      </c>
      <c r="BF135" t="s">
        <v>3</v>
      </c>
      <c r="BG135" t="s">
        <v>3</v>
      </c>
      <c r="BH135">
        <v>0</v>
      </c>
      <c r="BI135">
        <v>4</v>
      </c>
      <c r="BJ135" t="s">
        <v>220</v>
      </c>
      <c r="BM135">
        <v>0</v>
      </c>
      <c r="BN135">
        <v>0</v>
      </c>
      <c r="BO135" t="s">
        <v>3</v>
      </c>
      <c r="BP135">
        <v>0</v>
      </c>
      <c r="BQ135">
        <v>1</v>
      </c>
      <c r="BR135">
        <v>0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 t="s">
        <v>3</v>
      </c>
      <c r="BZ135">
        <v>70</v>
      </c>
      <c r="CA135">
        <v>10</v>
      </c>
      <c r="CE135">
        <v>0</v>
      </c>
      <c r="CF135">
        <v>0</v>
      </c>
      <c r="CG135">
        <v>0</v>
      </c>
      <c r="CM135">
        <v>0</v>
      </c>
      <c r="CN135" t="s">
        <v>3</v>
      </c>
      <c r="CO135">
        <v>0</v>
      </c>
      <c r="CP135">
        <f t="shared" si="127"/>
        <v>965.76</v>
      </c>
      <c r="CQ135">
        <f t="shared" si="128"/>
        <v>1657.26</v>
      </c>
      <c r="CR135">
        <f t="shared" si="147"/>
        <v>224.99</v>
      </c>
      <c r="CS135">
        <f t="shared" si="129"/>
        <v>135.08000000000001</v>
      </c>
      <c r="CT135">
        <f t="shared" si="130"/>
        <v>181.32</v>
      </c>
      <c r="CU135">
        <f t="shared" si="131"/>
        <v>0</v>
      </c>
      <c r="CV135">
        <f t="shared" si="132"/>
        <v>0.98</v>
      </c>
      <c r="CW135">
        <f t="shared" si="133"/>
        <v>0</v>
      </c>
      <c r="CX135">
        <f t="shared" si="134"/>
        <v>0</v>
      </c>
      <c r="CY135">
        <f t="shared" si="135"/>
        <v>59.402000000000001</v>
      </c>
      <c r="CZ135">
        <f t="shared" si="136"/>
        <v>8.4860000000000007</v>
      </c>
      <c r="DC135" t="s">
        <v>3</v>
      </c>
      <c r="DD135" t="s">
        <v>3</v>
      </c>
      <c r="DE135" t="s">
        <v>3</v>
      </c>
      <c r="DF135" t="s">
        <v>3</v>
      </c>
      <c r="DG135" t="s">
        <v>3</v>
      </c>
      <c r="DH135" t="s">
        <v>3</v>
      </c>
      <c r="DI135" t="s">
        <v>3</v>
      </c>
      <c r="DJ135" t="s">
        <v>3</v>
      </c>
      <c r="DK135" t="s">
        <v>3</v>
      </c>
      <c r="DL135" t="s">
        <v>3</v>
      </c>
      <c r="DM135" t="s">
        <v>3</v>
      </c>
      <c r="DN135">
        <v>0</v>
      </c>
      <c r="DO135">
        <v>0</v>
      </c>
      <c r="DP135">
        <v>1</v>
      </c>
      <c r="DQ135">
        <v>1</v>
      </c>
      <c r="DU135">
        <v>1007</v>
      </c>
      <c r="DV135" t="s">
        <v>46</v>
      </c>
      <c r="DW135" t="s">
        <v>46</v>
      </c>
      <c r="DX135">
        <v>1</v>
      </c>
      <c r="DZ135" t="s">
        <v>3</v>
      </c>
      <c r="EA135" t="s">
        <v>3</v>
      </c>
      <c r="EB135" t="s">
        <v>3</v>
      </c>
      <c r="EC135" t="s">
        <v>3</v>
      </c>
      <c r="EE135">
        <v>49145957</v>
      </c>
      <c r="EF135">
        <v>1</v>
      </c>
      <c r="EG135" t="s">
        <v>32</v>
      </c>
      <c r="EH135">
        <v>0</v>
      </c>
      <c r="EI135" t="s">
        <v>3</v>
      </c>
      <c r="EJ135">
        <v>4</v>
      </c>
      <c r="EK135">
        <v>0</v>
      </c>
      <c r="EL135" t="s">
        <v>33</v>
      </c>
      <c r="EM135" t="s">
        <v>34</v>
      </c>
      <c r="EO135" t="s">
        <v>3</v>
      </c>
      <c r="EQ135">
        <v>0</v>
      </c>
      <c r="ER135">
        <v>2063.5700000000002</v>
      </c>
      <c r="ES135">
        <v>1657.26</v>
      </c>
      <c r="ET135">
        <v>224.99</v>
      </c>
      <c r="EU135">
        <v>135.08000000000001</v>
      </c>
      <c r="EV135">
        <v>181.32</v>
      </c>
      <c r="EW135">
        <v>0.98</v>
      </c>
      <c r="EX135">
        <v>0</v>
      </c>
      <c r="EY135">
        <v>0</v>
      </c>
      <c r="FQ135">
        <v>0</v>
      </c>
      <c r="FR135">
        <f t="shared" si="137"/>
        <v>0</v>
      </c>
      <c r="FS135">
        <v>0</v>
      </c>
      <c r="FX135">
        <v>70</v>
      </c>
      <c r="FY135">
        <v>10</v>
      </c>
      <c r="GA135" t="s">
        <v>3</v>
      </c>
      <c r="GD135">
        <v>0</v>
      </c>
      <c r="GF135">
        <v>485822794</v>
      </c>
      <c r="GG135">
        <v>2</v>
      </c>
      <c r="GH135">
        <v>1</v>
      </c>
      <c r="GI135">
        <v>-2</v>
      </c>
      <c r="GJ135">
        <v>0</v>
      </c>
      <c r="GK135">
        <f>ROUND(R135*(R12)/100,2)</f>
        <v>68.28</v>
      </c>
      <c r="GL135">
        <f t="shared" si="138"/>
        <v>0</v>
      </c>
      <c r="GM135">
        <f t="shared" si="148"/>
        <v>1101.93</v>
      </c>
      <c r="GN135">
        <f t="shared" si="149"/>
        <v>0</v>
      </c>
      <c r="GO135">
        <f t="shared" si="150"/>
        <v>0</v>
      </c>
      <c r="GP135">
        <f t="shared" si="151"/>
        <v>1101.93</v>
      </c>
      <c r="GR135">
        <v>0</v>
      </c>
      <c r="GS135">
        <v>3</v>
      </c>
      <c r="GT135">
        <v>0</v>
      </c>
      <c r="GU135" t="s">
        <v>3</v>
      </c>
      <c r="GV135">
        <f t="shared" si="139"/>
        <v>0</v>
      </c>
      <c r="GW135">
        <v>1</v>
      </c>
      <c r="GX135">
        <f t="shared" si="140"/>
        <v>0</v>
      </c>
      <c r="HA135">
        <v>0</v>
      </c>
      <c r="HB135">
        <v>0</v>
      </c>
      <c r="HC135">
        <f t="shared" si="141"/>
        <v>0</v>
      </c>
      <c r="HE135" t="s">
        <v>3</v>
      </c>
      <c r="HF135" t="s">
        <v>3</v>
      </c>
      <c r="IK135">
        <v>0</v>
      </c>
    </row>
    <row r="136" spans="1:245" x14ac:dyDescent="0.2">
      <c r="A136">
        <v>17</v>
      </c>
      <c r="B136">
        <v>1</v>
      </c>
      <c r="C136">
        <f>ROW(SmtRes!A95)</f>
        <v>95</v>
      </c>
      <c r="D136">
        <f>ROW(EtalonRes!A92)</f>
        <v>92</v>
      </c>
      <c r="E136" t="s">
        <v>221</v>
      </c>
      <c r="F136" t="s">
        <v>222</v>
      </c>
      <c r="G136" t="s">
        <v>223</v>
      </c>
      <c r="H136" t="s">
        <v>30</v>
      </c>
      <c r="I136">
        <f>ROUND((I132-I134-I135)/100,4)</f>
        <v>1.4E-2</v>
      </c>
      <c r="J136">
        <v>0</v>
      </c>
      <c r="O136">
        <f t="shared" si="110"/>
        <v>5352.76</v>
      </c>
      <c r="P136">
        <f t="shared" si="111"/>
        <v>4959.5200000000004</v>
      </c>
      <c r="Q136">
        <f t="shared" si="112"/>
        <v>0.4</v>
      </c>
      <c r="R136">
        <f t="shared" si="113"/>
        <v>0</v>
      </c>
      <c r="S136">
        <f t="shared" si="114"/>
        <v>392.84</v>
      </c>
      <c r="T136">
        <f t="shared" si="115"/>
        <v>0</v>
      </c>
      <c r="U136">
        <f t="shared" si="116"/>
        <v>2.1735000000000002</v>
      </c>
      <c r="V136">
        <f t="shared" si="117"/>
        <v>0</v>
      </c>
      <c r="W136">
        <f t="shared" si="118"/>
        <v>0</v>
      </c>
      <c r="X136">
        <f t="shared" si="119"/>
        <v>274.99</v>
      </c>
      <c r="Y136">
        <f t="shared" si="120"/>
        <v>39.28</v>
      </c>
      <c r="AA136">
        <v>49707740</v>
      </c>
      <c r="AB136">
        <f t="shared" si="121"/>
        <v>382339.99</v>
      </c>
      <c r="AC136">
        <f t="shared" si="122"/>
        <v>354251.65</v>
      </c>
      <c r="AD136">
        <f t="shared" si="144"/>
        <v>28.45</v>
      </c>
      <c r="AE136">
        <f t="shared" si="145"/>
        <v>7.0000000000000007E-2</v>
      </c>
      <c r="AF136">
        <f t="shared" si="142"/>
        <v>28059.89</v>
      </c>
      <c r="AG136">
        <f t="shared" si="124"/>
        <v>0</v>
      </c>
      <c r="AH136">
        <f t="shared" si="143"/>
        <v>155.25</v>
      </c>
      <c r="AI136">
        <f t="shared" si="146"/>
        <v>0</v>
      </c>
      <c r="AJ136">
        <f t="shared" si="126"/>
        <v>0</v>
      </c>
      <c r="AK136">
        <v>382339.99</v>
      </c>
      <c r="AL136">
        <v>354251.65</v>
      </c>
      <c r="AM136">
        <v>28.45</v>
      </c>
      <c r="AN136">
        <v>7.0000000000000007E-2</v>
      </c>
      <c r="AO136">
        <v>28059.89</v>
      </c>
      <c r="AP136">
        <v>0</v>
      </c>
      <c r="AQ136">
        <v>155.25</v>
      </c>
      <c r="AR136">
        <v>0</v>
      </c>
      <c r="AS136">
        <v>0</v>
      </c>
      <c r="AT136">
        <v>70</v>
      </c>
      <c r="AU136">
        <v>10</v>
      </c>
      <c r="AV136">
        <v>1</v>
      </c>
      <c r="AW136">
        <v>1</v>
      </c>
      <c r="AZ136">
        <v>1</v>
      </c>
      <c r="BA136">
        <v>1</v>
      </c>
      <c r="BB136">
        <v>1</v>
      </c>
      <c r="BC136">
        <v>1</v>
      </c>
      <c r="BD136" t="s">
        <v>3</v>
      </c>
      <c r="BE136" t="s">
        <v>3</v>
      </c>
      <c r="BF136" t="s">
        <v>3</v>
      </c>
      <c r="BG136" t="s">
        <v>3</v>
      </c>
      <c r="BH136">
        <v>0</v>
      </c>
      <c r="BI136">
        <v>4</v>
      </c>
      <c r="BJ136" t="s">
        <v>224</v>
      </c>
      <c r="BM136">
        <v>0</v>
      </c>
      <c r="BN136">
        <v>0</v>
      </c>
      <c r="BO136" t="s">
        <v>3</v>
      </c>
      <c r="BP136">
        <v>0</v>
      </c>
      <c r="BQ136">
        <v>1</v>
      </c>
      <c r="BR136">
        <v>0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 t="s">
        <v>3</v>
      </c>
      <c r="BZ136">
        <v>70</v>
      </c>
      <c r="CA136">
        <v>10</v>
      </c>
      <c r="CE136">
        <v>0</v>
      </c>
      <c r="CF136">
        <v>0</v>
      </c>
      <c r="CG136">
        <v>0</v>
      </c>
      <c r="CM136">
        <v>0</v>
      </c>
      <c r="CN136" t="s">
        <v>3</v>
      </c>
      <c r="CO136">
        <v>0</v>
      </c>
      <c r="CP136">
        <f t="shared" si="127"/>
        <v>5352.76</v>
      </c>
      <c r="CQ136">
        <f t="shared" si="128"/>
        <v>354251.65</v>
      </c>
      <c r="CR136">
        <f t="shared" si="147"/>
        <v>28.45</v>
      </c>
      <c r="CS136">
        <f t="shared" si="129"/>
        <v>7.0000000000000007E-2</v>
      </c>
      <c r="CT136">
        <f t="shared" si="130"/>
        <v>28059.89</v>
      </c>
      <c r="CU136">
        <f t="shared" si="131"/>
        <v>0</v>
      </c>
      <c r="CV136">
        <f t="shared" si="132"/>
        <v>155.25</v>
      </c>
      <c r="CW136">
        <f t="shared" si="133"/>
        <v>0</v>
      </c>
      <c r="CX136">
        <f t="shared" si="134"/>
        <v>0</v>
      </c>
      <c r="CY136">
        <f t="shared" si="135"/>
        <v>274.988</v>
      </c>
      <c r="CZ136">
        <f t="shared" si="136"/>
        <v>39.283999999999999</v>
      </c>
      <c r="DC136" t="s">
        <v>3</v>
      </c>
      <c r="DD136" t="s">
        <v>3</v>
      </c>
      <c r="DE136" t="s">
        <v>3</v>
      </c>
      <c r="DF136" t="s">
        <v>3</v>
      </c>
      <c r="DG136" t="s">
        <v>3</v>
      </c>
      <c r="DH136" t="s">
        <v>3</v>
      </c>
      <c r="DI136" t="s">
        <v>3</v>
      </c>
      <c r="DJ136" t="s">
        <v>3</v>
      </c>
      <c r="DK136" t="s">
        <v>3</v>
      </c>
      <c r="DL136" t="s">
        <v>3</v>
      </c>
      <c r="DM136" t="s">
        <v>3</v>
      </c>
      <c r="DN136">
        <v>0</v>
      </c>
      <c r="DO136">
        <v>0</v>
      </c>
      <c r="DP136">
        <v>1</v>
      </c>
      <c r="DQ136">
        <v>1</v>
      </c>
      <c r="DU136">
        <v>1007</v>
      </c>
      <c r="DV136" t="s">
        <v>30</v>
      </c>
      <c r="DW136" t="s">
        <v>30</v>
      </c>
      <c r="DX136">
        <v>100</v>
      </c>
      <c r="DZ136" t="s">
        <v>3</v>
      </c>
      <c r="EA136" t="s">
        <v>3</v>
      </c>
      <c r="EB136" t="s">
        <v>3</v>
      </c>
      <c r="EC136" t="s">
        <v>3</v>
      </c>
      <c r="EE136">
        <v>49145957</v>
      </c>
      <c r="EF136">
        <v>1</v>
      </c>
      <c r="EG136" t="s">
        <v>32</v>
      </c>
      <c r="EH136">
        <v>0</v>
      </c>
      <c r="EI136" t="s">
        <v>3</v>
      </c>
      <c r="EJ136">
        <v>4</v>
      </c>
      <c r="EK136">
        <v>0</v>
      </c>
      <c r="EL136" t="s">
        <v>33</v>
      </c>
      <c r="EM136" t="s">
        <v>34</v>
      </c>
      <c r="EO136" t="s">
        <v>3</v>
      </c>
      <c r="EQ136">
        <v>0</v>
      </c>
      <c r="ER136">
        <v>382339.99</v>
      </c>
      <c r="ES136">
        <v>354251.65</v>
      </c>
      <c r="ET136">
        <v>28.45</v>
      </c>
      <c r="EU136">
        <v>7.0000000000000007E-2</v>
      </c>
      <c r="EV136">
        <v>28059.89</v>
      </c>
      <c r="EW136">
        <v>155.25</v>
      </c>
      <c r="EX136">
        <v>0</v>
      </c>
      <c r="EY136">
        <v>0</v>
      </c>
      <c r="FQ136">
        <v>0</v>
      </c>
      <c r="FR136">
        <f t="shared" si="137"/>
        <v>0</v>
      </c>
      <c r="FS136">
        <v>0</v>
      </c>
      <c r="FX136">
        <v>70</v>
      </c>
      <c r="FY136">
        <v>10</v>
      </c>
      <c r="GA136" t="s">
        <v>3</v>
      </c>
      <c r="GD136">
        <v>0</v>
      </c>
      <c r="GF136">
        <v>1927483890</v>
      </c>
      <c r="GG136">
        <v>2</v>
      </c>
      <c r="GH136">
        <v>1</v>
      </c>
      <c r="GI136">
        <v>-2</v>
      </c>
      <c r="GJ136">
        <v>0</v>
      </c>
      <c r="GK136">
        <f>ROUND(R136*(R12)/100,2)</f>
        <v>0</v>
      </c>
      <c r="GL136">
        <f t="shared" si="138"/>
        <v>0</v>
      </c>
      <c r="GM136">
        <f t="shared" si="148"/>
        <v>5667.03</v>
      </c>
      <c r="GN136">
        <f t="shared" si="149"/>
        <v>0</v>
      </c>
      <c r="GO136">
        <f t="shared" si="150"/>
        <v>0</v>
      </c>
      <c r="GP136">
        <f t="shared" si="151"/>
        <v>5667.03</v>
      </c>
      <c r="GR136">
        <v>0</v>
      </c>
      <c r="GS136">
        <v>3</v>
      </c>
      <c r="GT136">
        <v>0</v>
      </c>
      <c r="GU136" t="s">
        <v>3</v>
      </c>
      <c r="GV136">
        <f t="shared" si="139"/>
        <v>0</v>
      </c>
      <c r="GW136">
        <v>1</v>
      </c>
      <c r="GX136">
        <f t="shared" si="140"/>
        <v>0</v>
      </c>
      <c r="HA136">
        <v>0</v>
      </c>
      <c r="HB136">
        <v>0</v>
      </c>
      <c r="HC136">
        <f t="shared" si="141"/>
        <v>0</v>
      </c>
      <c r="HE136" t="s">
        <v>3</v>
      </c>
      <c r="HF136" t="s">
        <v>3</v>
      </c>
      <c r="IK136">
        <v>0</v>
      </c>
    </row>
    <row r="137" spans="1:245" x14ac:dyDescent="0.2">
      <c r="A137">
        <v>17</v>
      </c>
      <c r="B137">
        <v>1</v>
      </c>
      <c r="C137">
        <f>ROW(SmtRes!A100)</f>
        <v>100</v>
      </c>
      <c r="D137">
        <f>ROW(EtalonRes!A96)</f>
        <v>96</v>
      </c>
      <c r="E137" t="s">
        <v>225</v>
      </c>
      <c r="F137" t="s">
        <v>226</v>
      </c>
      <c r="G137" t="s">
        <v>227</v>
      </c>
      <c r="H137" t="s">
        <v>57</v>
      </c>
      <c r="I137">
        <f>ROUND(1.8,4)</f>
        <v>1.8</v>
      </c>
      <c r="J137">
        <v>0</v>
      </c>
      <c r="O137">
        <f t="shared" si="110"/>
        <v>120922.27</v>
      </c>
      <c r="P137">
        <f t="shared" si="111"/>
        <v>101802.51</v>
      </c>
      <c r="Q137">
        <f t="shared" si="112"/>
        <v>2155.2800000000002</v>
      </c>
      <c r="R137">
        <f t="shared" si="113"/>
        <v>1.98</v>
      </c>
      <c r="S137">
        <f t="shared" si="114"/>
        <v>16964.48</v>
      </c>
      <c r="T137">
        <f t="shared" si="115"/>
        <v>0</v>
      </c>
      <c r="U137">
        <f t="shared" si="116"/>
        <v>64.998000000000005</v>
      </c>
      <c r="V137">
        <f t="shared" si="117"/>
        <v>0</v>
      </c>
      <c r="W137">
        <f t="shared" si="118"/>
        <v>0</v>
      </c>
      <c r="X137">
        <f t="shared" si="119"/>
        <v>11875.14</v>
      </c>
      <c r="Y137">
        <f t="shared" si="120"/>
        <v>1696.45</v>
      </c>
      <c r="AA137">
        <v>49707740</v>
      </c>
      <c r="AB137">
        <f t="shared" si="121"/>
        <v>67179.039999999994</v>
      </c>
      <c r="AC137">
        <f t="shared" si="122"/>
        <v>56556.95</v>
      </c>
      <c r="AD137">
        <f t="shared" si="144"/>
        <v>1197.3800000000001</v>
      </c>
      <c r="AE137">
        <f t="shared" si="145"/>
        <v>1.1000000000000001</v>
      </c>
      <c r="AF137">
        <f t="shared" si="142"/>
        <v>9424.7099999999991</v>
      </c>
      <c r="AG137">
        <f t="shared" si="124"/>
        <v>0</v>
      </c>
      <c r="AH137">
        <f t="shared" si="143"/>
        <v>36.11</v>
      </c>
      <c r="AI137">
        <f t="shared" si="146"/>
        <v>0</v>
      </c>
      <c r="AJ137">
        <f t="shared" si="126"/>
        <v>0</v>
      </c>
      <c r="AK137">
        <v>67179.039999999994</v>
      </c>
      <c r="AL137">
        <v>56556.95</v>
      </c>
      <c r="AM137">
        <v>1197.3800000000001</v>
      </c>
      <c r="AN137">
        <v>1.1000000000000001</v>
      </c>
      <c r="AO137">
        <v>9424.7099999999991</v>
      </c>
      <c r="AP137">
        <v>0</v>
      </c>
      <c r="AQ137">
        <v>36.11</v>
      </c>
      <c r="AR137">
        <v>0</v>
      </c>
      <c r="AS137">
        <v>0</v>
      </c>
      <c r="AT137">
        <v>70</v>
      </c>
      <c r="AU137">
        <v>10</v>
      </c>
      <c r="AV137">
        <v>1</v>
      </c>
      <c r="AW137">
        <v>1</v>
      </c>
      <c r="AZ137">
        <v>1</v>
      </c>
      <c r="BA137">
        <v>1</v>
      </c>
      <c r="BB137">
        <v>1</v>
      </c>
      <c r="BC137">
        <v>1</v>
      </c>
      <c r="BD137" t="s">
        <v>3</v>
      </c>
      <c r="BE137" t="s">
        <v>3</v>
      </c>
      <c r="BF137" t="s">
        <v>3</v>
      </c>
      <c r="BG137" t="s">
        <v>3</v>
      </c>
      <c r="BH137">
        <v>0</v>
      </c>
      <c r="BI137">
        <v>4</v>
      </c>
      <c r="BJ137" t="s">
        <v>228</v>
      </c>
      <c r="BM137">
        <v>0</v>
      </c>
      <c r="BN137">
        <v>0</v>
      </c>
      <c r="BO137" t="s">
        <v>3</v>
      </c>
      <c r="BP137">
        <v>0</v>
      </c>
      <c r="BQ137">
        <v>1</v>
      </c>
      <c r="BR137">
        <v>0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 t="s">
        <v>3</v>
      </c>
      <c r="BZ137">
        <v>70</v>
      </c>
      <c r="CA137">
        <v>10</v>
      </c>
      <c r="CE137">
        <v>0</v>
      </c>
      <c r="CF137">
        <v>0</v>
      </c>
      <c r="CG137">
        <v>0</v>
      </c>
      <c r="CM137">
        <v>0</v>
      </c>
      <c r="CN137" t="s">
        <v>3</v>
      </c>
      <c r="CO137">
        <v>0</v>
      </c>
      <c r="CP137">
        <f t="shared" si="127"/>
        <v>120922.26999999999</v>
      </c>
      <c r="CQ137">
        <f t="shared" si="128"/>
        <v>56556.95</v>
      </c>
      <c r="CR137">
        <f t="shared" si="147"/>
        <v>1197.3800000000001</v>
      </c>
      <c r="CS137">
        <f t="shared" si="129"/>
        <v>1.1000000000000001</v>
      </c>
      <c r="CT137">
        <f t="shared" si="130"/>
        <v>9424.7099999999991</v>
      </c>
      <c r="CU137">
        <f t="shared" si="131"/>
        <v>0</v>
      </c>
      <c r="CV137">
        <f t="shared" si="132"/>
        <v>36.11</v>
      </c>
      <c r="CW137">
        <f t="shared" si="133"/>
        <v>0</v>
      </c>
      <c r="CX137">
        <f t="shared" si="134"/>
        <v>0</v>
      </c>
      <c r="CY137">
        <f t="shared" si="135"/>
        <v>11875.135999999999</v>
      </c>
      <c r="CZ137">
        <f t="shared" si="136"/>
        <v>1696.4479999999999</v>
      </c>
      <c r="DC137" t="s">
        <v>3</v>
      </c>
      <c r="DD137" t="s">
        <v>3</v>
      </c>
      <c r="DE137" t="s">
        <v>3</v>
      </c>
      <c r="DF137" t="s">
        <v>3</v>
      </c>
      <c r="DG137" t="s">
        <v>3</v>
      </c>
      <c r="DH137" t="s">
        <v>3</v>
      </c>
      <c r="DI137" t="s">
        <v>3</v>
      </c>
      <c r="DJ137" t="s">
        <v>3</v>
      </c>
      <c r="DK137" t="s">
        <v>3</v>
      </c>
      <c r="DL137" t="s">
        <v>3</v>
      </c>
      <c r="DM137" t="s">
        <v>3</v>
      </c>
      <c r="DN137">
        <v>0</v>
      </c>
      <c r="DO137">
        <v>0</v>
      </c>
      <c r="DP137">
        <v>1</v>
      </c>
      <c r="DQ137">
        <v>1</v>
      </c>
      <c r="DU137">
        <v>1009</v>
      </c>
      <c r="DV137" t="s">
        <v>57</v>
      </c>
      <c r="DW137" t="s">
        <v>57</v>
      </c>
      <c r="DX137">
        <v>1000</v>
      </c>
      <c r="DZ137" t="s">
        <v>3</v>
      </c>
      <c r="EA137" t="s">
        <v>3</v>
      </c>
      <c r="EB137" t="s">
        <v>3</v>
      </c>
      <c r="EC137" t="s">
        <v>3</v>
      </c>
      <c r="EE137">
        <v>49145957</v>
      </c>
      <c r="EF137">
        <v>1</v>
      </c>
      <c r="EG137" t="s">
        <v>32</v>
      </c>
      <c r="EH137">
        <v>0</v>
      </c>
      <c r="EI137" t="s">
        <v>3</v>
      </c>
      <c r="EJ137">
        <v>4</v>
      </c>
      <c r="EK137">
        <v>0</v>
      </c>
      <c r="EL137" t="s">
        <v>33</v>
      </c>
      <c r="EM137" t="s">
        <v>34</v>
      </c>
      <c r="EO137" t="s">
        <v>3</v>
      </c>
      <c r="EQ137">
        <v>0</v>
      </c>
      <c r="ER137">
        <v>67179.039999999994</v>
      </c>
      <c r="ES137">
        <v>56556.95</v>
      </c>
      <c r="ET137">
        <v>1197.3800000000001</v>
      </c>
      <c r="EU137">
        <v>1.1000000000000001</v>
      </c>
      <c r="EV137">
        <v>9424.7099999999991</v>
      </c>
      <c r="EW137">
        <v>36.11</v>
      </c>
      <c r="EX137">
        <v>0</v>
      </c>
      <c r="EY137">
        <v>0</v>
      </c>
      <c r="FQ137">
        <v>0</v>
      </c>
      <c r="FR137">
        <f t="shared" si="137"/>
        <v>0</v>
      </c>
      <c r="FS137">
        <v>0</v>
      </c>
      <c r="FX137">
        <v>70</v>
      </c>
      <c r="FY137">
        <v>10</v>
      </c>
      <c r="GA137" t="s">
        <v>3</v>
      </c>
      <c r="GD137">
        <v>0</v>
      </c>
      <c r="GF137">
        <v>861890752</v>
      </c>
      <c r="GG137">
        <v>2</v>
      </c>
      <c r="GH137">
        <v>1</v>
      </c>
      <c r="GI137">
        <v>-2</v>
      </c>
      <c r="GJ137">
        <v>0</v>
      </c>
      <c r="GK137">
        <f>ROUND(R137*(R12)/100,2)</f>
        <v>2.14</v>
      </c>
      <c r="GL137">
        <f t="shared" si="138"/>
        <v>0</v>
      </c>
      <c r="GM137">
        <f t="shared" si="148"/>
        <v>134496</v>
      </c>
      <c r="GN137">
        <f t="shared" si="149"/>
        <v>0</v>
      </c>
      <c r="GO137">
        <f t="shared" si="150"/>
        <v>0</v>
      </c>
      <c r="GP137">
        <f t="shared" si="151"/>
        <v>134496</v>
      </c>
      <c r="GR137">
        <v>0</v>
      </c>
      <c r="GS137">
        <v>3</v>
      </c>
      <c r="GT137">
        <v>0</v>
      </c>
      <c r="GU137" t="s">
        <v>3</v>
      </c>
      <c r="GV137">
        <f t="shared" si="139"/>
        <v>0</v>
      </c>
      <c r="GW137">
        <v>1</v>
      </c>
      <c r="GX137">
        <f t="shared" si="140"/>
        <v>0</v>
      </c>
      <c r="HA137">
        <v>0</v>
      </c>
      <c r="HB137">
        <v>0</v>
      </c>
      <c r="HC137">
        <f t="shared" si="141"/>
        <v>0</v>
      </c>
      <c r="HE137" t="s">
        <v>3</v>
      </c>
      <c r="HF137" t="s">
        <v>3</v>
      </c>
      <c r="IK137">
        <v>0</v>
      </c>
    </row>
    <row r="138" spans="1:245" x14ac:dyDescent="0.2">
      <c r="A138">
        <v>18</v>
      </c>
      <c r="B138">
        <v>1</v>
      </c>
      <c r="C138">
        <v>100</v>
      </c>
      <c r="E138" t="s">
        <v>229</v>
      </c>
      <c r="F138" t="s">
        <v>55</v>
      </c>
      <c r="G138" t="s">
        <v>230</v>
      </c>
      <c r="H138" t="s">
        <v>100</v>
      </c>
      <c r="I138">
        <f>I137*J138</f>
        <v>1</v>
      </c>
      <c r="J138">
        <v>0.55555555555555558</v>
      </c>
      <c r="O138">
        <f t="shared" si="110"/>
        <v>419815</v>
      </c>
      <c r="P138">
        <f t="shared" si="111"/>
        <v>419815</v>
      </c>
      <c r="Q138">
        <f t="shared" si="112"/>
        <v>0</v>
      </c>
      <c r="R138">
        <f t="shared" si="113"/>
        <v>0</v>
      </c>
      <c r="S138">
        <f t="shared" si="114"/>
        <v>0</v>
      </c>
      <c r="T138">
        <f t="shared" si="115"/>
        <v>0</v>
      </c>
      <c r="U138">
        <f t="shared" si="116"/>
        <v>0</v>
      </c>
      <c r="V138">
        <f t="shared" si="117"/>
        <v>0</v>
      </c>
      <c r="W138">
        <f t="shared" si="118"/>
        <v>0</v>
      </c>
      <c r="X138">
        <f t="shared" si="119"/>
        <v>0</v>
      </c>
      <c r="Y138">
        <f t="shared" si="120"/>
        <v>0</v>
      </c>
      <c r="AA138">
        <v>49707740</v>
      </c>
      <c r="AB138">
        <f t="shared" si="121"/>
        <v>419815</v>
      </c>
      <c r="AC138">
        <f t="shared" si="122"/>
        <v>419815</v>
      </c>
      <c r="AD138">
        <f t="shared" si="144"/>
        <v>0</v>
      </c>
      <c r="AE138">
        <f t="shared" si="145"/>
        <v>0</v>
      </c>
      <c r="AF138">
        <f t="shared" si="142"/>
        <v>0</v>
      </c>
      <c r="AG138">
        <f t="shared" si="124"/>
        <v>0</v>
      </c>
      <c r="AH138">
        <f t="shared" si="143"/>
        <v>0</v>
      </c>
      <c r="AI138">
        <f t="shared" si="146"/>
        <v>0</v>
      </c>
      <c r="AJ138">
        <f t="shared" si="126"/>
        <v>0</v>
      </c>
      <c r="AK138">
        <v>419815</v>
      </c>
      <c r="AL138">
        <v>419815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1</v>
      </c>
      <c r="AW138">
        <v>1</v>
      </c>
      <c r="AZ138">
        <v>1</v>
      </c>
      <c r="BA138">
        <v>1</v>
      </c>
      <c r="BB138">
        <v>1</v>
      </c>
      <c r="BC138">
        <v>1</v>
      </c>
      <c r="BD138" t="s">
        <v>3</v>
      </c>
      <c r="BE138" t="s">
        <v>3</v>
      </c>
      <c r="BF138" t="s">
        <v>3</v>
      </c>
      <c r="BG138" t="s">
        <v>3</v>
      </c>
      <c r="BH138">
        <v>3</v>
      </c>
      <c r="BI138">
        <v>1</v>
      </c>
      <c r="BJ138" t="s">
        <v>3</v>
      </c>
      <c r="BM138">
        <v>6001</v>
      </c>
      <c r="BN138">
        <v>0</v>
      </c>
      <c r="BO138" t="s">
        <v>3</v>
      </c>
      <c r="BP138">
        <v>0</v>
      </c>
      <c r="BQ138">
        <v>1</v>
      </c>
      <c r="BR138">
        <v>0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 t="s">
        <v>3</v>
      </c>
      <c r="BZ138">
        <v>0</v>
      </c>
      <c r="CA138">
        <v>0</v>
      </c>
      <c r="CE138">
        <v>0</v>
      </c>
      <c r="CF138">
        <v>0</v>
      </c>
      <c r="CG138">
        <v>0</v>
      </c>
      <c r="CM138">
        <v>0</v>
      </c>
      <c r="CN138" t="s">
        <v>3</v>
      </c>
      <c r="CO138">
        <v>0</v>
      </c>
      <c r="CP138">
        <f t="shared" si="127"/>
        <v>419815</v>
      </c>
      <c r="CQ138">
        <f t="shared" si="128"/>
        <v>419815</v>
      </c>
      <c r="CR138">
        <f t="shared" si="147"/>
        <v>0</v>
      </c>
      <c r="CS138">
        <f t="shared" si="129"/>
        <v>0</v>
      </c>
      <c r="CT138">
        <f t="shared" si="130"/>
        <v>0</v>
      </c>
      <c r="CU138">
        <f t="shared" si="131"/>
        <v>0</v>
      </c>
      <c r="CV138">
        <f t="shared" si="132"/>
        <v>0</v>
      </c>
      <c r="CW138">
        <f t="shared" si="133"/>
        <v>0</v>
      </c>
      <c r="CX138">
        <f t="shared" si="134"/>
        <v>0</v>
      </c>
      <c r="CY138">
        <f t="shared" si="135"/>
        <v>0</v>
      </c>
      <c r="CZ138">
        <f t="shared" si="136"/>
        <v>0</v>
      </c>
      <c r="DC138" t="s">
        <v>3</v>
      </c>
      <c r="DD138" t="s">
        <v>3</v>
      </c>
      <c r="DE138" t="s">
        <v>3</v>
      </c>
      <c r="DF138" t="s">
        <v>3</v>
      </c>
      <c r="DG138" t="s">
        <v>3</v>
      </c>
      <c r="DH138" t="s">
        <v>3</v>
      </c>
      <c r="DI138" t="s">
        <v>3</v>
      </c>
      <c r="DJ138" t="s">
        <v>3</v>
      </c>
      <c r="DK138" t="s">
        <v>3</v>
      </c>
      <c r="DL138" t="s">
        <v>3</v>
      </c>
      <c r="DM138" t="s">
        <v>3</v>
      </c>
      <c r="DN138">
        <v>0</v>
      </c>
      <c r="DO138">
        <v>0</v>
      </c>
      <c r="DP138">
        <v>1</v>
      </c>
      <c r="DQ138">
        <v>1</v>
      </c>
      <c r="DU138">
        <v>1010</v>
      </c>
      <c r="DV138" t="s">
        <v>100</v>
      </c>
      <c r="DW138" t="s">
        <v>100</v>
      </c>
      <c r="DX138">
        <v>1</v>
      </c>
      <c r="DZ138" t="s">
        <v>3</v>
      </c>
      <c r="EA138" t="s">
        <v>3</v>
      </c>
      <c r="EB138" t="s">
        <v>3</v>
      </c>
      <c r="EC138" t="s">
        <v>3</v>
      </c>
      <c r="EE138">
        <v>49387493</v>
      </c>
      <c r="EF138">
        <v>0</v>
      </c>
      <c r="EG138" t="s">
        <v>58</v>
      </c>
      <c r="EH138">
        <v>0</v>
      </c>
      <c r="EI138" t="s">
        <v>3</v>
      </c>
      <c r="EJ138">
        <v>1</v>
      </c>
      <c r="EK138">
        <v>6001</v>
      </c>
      <c r="EL138" t="s">
        <v>59</v>
      </c>
      <c r="EM138" t="s">
        <v>58</v>
      </c>
      <c r="EO138" t="s">
        <v>3</v>
      </c>
      <c r="EQ138">
        <v>0</v>
      </c>
      <c r="ER138">
        <v>419815</v>
      </c>
      <c r="ES138">
        <v>419815</v>
      </c>
      <c r="ET138">
        <v>0</v>
      </c>
      <c r="EU138">
        <v>0</v>
      </c>
      <c r="EV138">
        <v>0</v>
      </c>
      <c r="EW138">
        <v>0</v>
      </c>
      <c r="EX138">
        <v>0</v>
      </c>
      <c r="EZ138">
        <v>5</v>
      </c>
      <c r="FC138">
        <v>1</v>
      </c>
      <c r="FD138">
        <v>18</v>
      </c>
      <c r="FF138">
        <v>493900</v>
      </c>
      <c r="FQ138">
        <v>0</v>
      </c>
      <c r="FR138">
        <f t="shared" si="137"/>
        <v>0</v>
      </c>
      <c r="FS138">
        <v>0</v>
      </c>
      <c r="FX138">
        <v>0</v>
      </c>
      <c r="FY138">
        <v>0</v>
      </c>
      <c r="GA138" t="s">
        <v>231</v>
      </c>
      <c r="GD138">
        <v>0</v>
      </c>
      <c r="GF138">
        <v>-821138886</v>
      </c>
      <c r="GG138">
        <v>2</v>
      </c>
      <c r="GH138">
        <v>3</v>
      </c>
      <c r="GI138">
        <v>-2</v>
      </c>
      <c r="GJ138">
        <v>0</v>
      </c>
      <c r="GK138">
        <f>ROUND(R138*(R12)/100,2)</f>
        <v>0</v>
      </c>
      <c r="GL138">
        <f t="shared" si="138"/>
        <v>0</v>
      </c>
      <c r="GM138">
        <f t="shared" si="148"/>
        <v>419815</v>
      </c>
      <c r="GN138">
        <f t="shared" si="149"/>
        <v>419815</v>
      </c>
      <c r="GO138">
        <f t="shared" si="150"/>
        <v>0</v>
      </c>
      <c r="GP138">
        <f t="shared" si="151"/>
        <v>0</v>
      </c>
      <c r="GR138">
        <v>1</v>
      </c>
      <c r="GS138">
        <v>1</v>
      </c>
      <c r="GT138">
        <v>0</v>
      </c>
      <c r="GU138" t="s">
        <v>3</v>
      </c>
      <c r="GV138">
        <f t="shared" si="139"/>
        <v>0</v>
      </c>
      <c r="GW138">
        <v>1</v>
      </c>
      <c r="GX138">
        <f t="shared" si="140"/>
        <v>0</v>
      </c>
      <c r="HA138">
        <v>0</v>
      </c>
      <c r="HB138">
        <v>0</v>
      </c>
      <c r="HC138">
        <f t="shared" si="141"/>
        <v>0</v>
      </c>
      <c r="HE138" t="s">
        <v>61</v>
      </c>
      <c r="HF138" t="s">
        <v>35</v>
      </c>
      <c r="IK138">
        <v>0</v>
      </c>
    </row>
    <row r="140" spans="1:245" x14ac:dyDescent="0.2">
      <c r="A140" s="2">
        <v>51</v>
      </c>
      <c r="B140" s="2">
        <f>B124</f>
        <v>1</v>
      </c>
      <c r="C140" s="2">
        <f>A124</f>
        <v>4</v>
      </c>
      <c r="D140" s="2">
        <f>ROW(A124)</f>
        <v>124</v>
      </c>
      <c r="E140" s="2"/>
      <c r="F140" s="2" t="str">
        <f>IF(F124&lt;&gt;"",F124,"")</f>
        <v>коробка+</v>
      </c>
      <c r="G140" s="2" t="str">
        <f>IF(G124&lt;&gt;"",G124,"")</f>
        <v>Установка хоккейной коробки</v>
      </c>
      <c r="H140" s="2">
        <v>0</v>
      </c>
      <c r="I140" s="2"/>
      <c r="J140" s="2"/>
      <c r="K140" s="2"/>
      <c r="L140" s="2"/>
      <c r="M140" s="2"/>
      <c r="N140" s="2"/>
      <c r="O140" s="2">
        <f t="shared" ref="O140:T140" si="152">ROUND(AB140,2)</f>
        <v>601413.35</v>
      </c>
      <c r="P140" s="2">
        <f t="shared" si="152"/>
        <v>527987.81999999995</v>
      </c>
      <c r="Q140" s="2">
        <f t="shared" si="152"/>
        <v>4468.55</v>
      </c>
      <c r="R140" s="2">
        <f t="shared" si="152"/>
        <v>1268.3599999999999</v>
      </c>
      <c r="S140" s="2">
        <f t="shared" si="152"/>
        <v>68956.98</v>
      </c>
      <c r="T140" s="2">
        <f t="shared" si="152"/>
        <v>0</v>
      </c>
      <c r="U140" s="2">
        <f>AH140</f>
        <v>372.63353999999998</v>
      </c>
      <c r="V140" s="2">
        <f>AI140</f>
        <v>0</v>
      </c>
      <c r="W140" s="2">
        <f>ROUND(AJ140,2)</f>
        <v>0</v>
      </c>
      <c r="X140" s="2">
        <f>ROUND(AK140,2)</f>
        <v>48269.89</v>
      </c>
      <c r="Y140" s="2">
        <f>ROUND(AL140,2)</f>
        <v>6895.7</v>
      </c>
      <c r="Z140" s="2"/>
      <c r="AA140" s="2"/>
      <c r="AB140" s="2">
        <f>ROUND(SUMIF(AA128:AA138,"=49707740",O128:O138),2)</f>
        <v>601413.35</v>
      </c>
      <c r="AC140" s="2">
        <f>ROUND(SUMIF(AA128:AA138,"=49707740",P128:P138),2)</f>
        <v>527987.81999999995</v>
      </c>
      <c r="AD140" s="2">
        <f>ROUND(SUMIF(AA128:AA138,"=49707740",Q128:Q138),2)</f>
        <v>4468.55</v>
      </c>
      <c r="AE140" s="2">
        <f>ROUND(SUMIF(AA128:AA138,"=49707740",R128:R138),2)</f>
        <v>1268.3599999999999</v>
      </c>
      <c r="AF140" s="2">
        <f>ROUND(SUMIF(AA128:AA138,"=49707740",S128:S138),2)</f>
        <v>68956.98</v>
      </c>
      <c r="AG140" s="2">
        <f>ROUND(SUMIF(AA128:AA138,"=49707740",T128:T138),2)</f>
        <v>0</v>
      </c>
      <c r="AH140" s="2">
        <f>SUMIF(AA128:AA138,"=49707740",U128:U138)</f>
        <v>372.63353999999998</v>
      </c>
      <c r="AI140" s="2">
        <f>SUMIF(AA128:AA138,"=49707740",V128:V138)</f>
        <v>0</v>
      </c>
      <c r="AJ140" s="2">
        <f>ROUND(SUMIF(AA128:AA138,"=49707740",W128:W138),2)</f>
        <v>0</v>
      </c>
      <c r="AK140" s="2">
        <f>ROUND(SUMIF(AA128:AA138,"=49707740",X128:X138),2)</f>
        <v>48269.89</v>
      </c>
      <c r="AL140" s="2">
        <f>ROUND(SUMIF(AA128:AA138,"=49707740",Y128:Y138),2)</f>
        <v>6895.7</v>
      </c>
      <c r="AM140" s="2"/>
      <c r="AN140" s="2"/>
      <c r="AO140" s="2">
        <f t="shared" ref="AO140:BD140" si="153">ROUND(BX140,2)</f>
        <v>0</v>
      </c>
      <c r="AP140" s="2">
        <f t="shared" si="153"/>
        <v>0</v>
      </c>
      <c r="AQ140" s="2">
        <f t="shared" si="153"/>
        <v>0</v>
      </c>
      <c r="AR140" s="2">
        <f t="shared" si="153"/>
        <v>656712.12</v>
      </c>
      <c r="AS140" s="2">
        <f t="shared" si="153"/>
        <v>420143.58</v>
      </c>
      <c r="AT140" s="2">
        <f t="shared" si="153"/>
        <v>0</v>
      </c>
      <c r="AU140" s="2">
        <f t="shared" si="153"/>
        <v>236568.54</v>
      </c>
      <c r="AV140" s="2">
        <f t="shared" si="153"/>
        <v>527987.81999999995</v>
      </c>
      <c r="AW140" s="2">
        <f t="shared" si="153"/>
        <v>527987.81999999995</v>
      </c>
      <c r="AX140" s="2">
        <f t="shared" si="153"/>
        <v>0</v>
      </c>
      <c r="AY140" s="2">
        <f t="shared" si="153"/>
        <v>527987.81999999995</v>
      </c>
      <c r="AZ140" s="2">
        <f t="shared" si="153"/>
        <v>0</v>
      </c>
      <c r="BA140" s="2">
        <f t="shared" si="153"/>
        <v>0</v>
      </c>
      <c r="BB140" s="2">
        <f t="shared" si="153"/>
        <v>0</v>
      </c>
      <c r="BC140" s="2">
        <f t="shared" si="153"/>
        <v>0</v>
      </c>
      <c r="BD140" s="2">
        <f t="shared" si="153"/>
        <v>0</v>
      </c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>
        <f>ROUND(SUMIF(AA128:AA138,"=49707740",FQ128:FQ138),2)</f>
        <v>0</v>
      </c>
      <c r="BY140" s="2">
        <f>ROUND(SUMIF(AA128:AA138,"=49707740",FR128:FR138),2)</f>
        <v>0</v>
      </c>
      <c r="BZ140" s="2">
        <f>ROUND(SUMIF(AA128:AA138,"=49707740",GL128:GL138),2)</f>
        <v>0</v>
      </c>
      <c r="CA140" s="2">
        <f>ROUND(SUMIF(AA128:AA138,"=49707740",GM128:GM138),2)</f>
        <v>656712.12</v>
      </c>
      <c r="CB140" s="2">
        <f>ROUND(SUMIF(AA128:AA138,"=49707740",GN128:GN138),2)</f>
        <v>420143.58</v>
      </c>
      <c r="CC140" s="2">
        <f>ROUND(SUMIF(AA128:AA138,"=49707740",GO128:GO138),2)</f>
        <v>0</v>
      </c>
      <c r="CD140" s="2">
        <f>ROUND(SUMIF(AA128:AA138,"=49707740",GP128:GP138),2)</f>
        <v>236568.54</v>
      </c>
      <c r="CE140" s="2">
        <f>AC140-BX140</f>
        <v>527987.81999999995</v>
      </c>
      <c r="CF140" s="2">
        <f>AC140-BY140</f>
        <v>527987.81999999995</v>
      </c>
      <c r="CG140" s="2">
        <f>BX140-BZ140</f>
        <v>0</v>
      </c>
      <c r="CH140" s="2">
        <f>AC140-BX140-BY140+BZ140</f>
        <v>527987.81999999995</v>
      </c>
      <c r="CI140" s="2">
        <f>BY140-BZ140</f>
        <v>0</v>
      </c>
      <c r="CJ140" s="2">
        <f>ROUND(SUMIF(AA128:AA138,"=49707740",GX128:GX138),2)</f>
        <v>0</v>
      </c>
      <c r="CK140" s="2">
        <f>ROUND(SUMIF(AA128:AA138,"=49707740",GY128:GY138),2)</f>
        <v>0</v>
      </c>
      <c r="CL140" s="2">
        <f>ROUND(SUMIF(AA128:AA138,"=49707740",GZ128:GZ138),2)</f>
        <v>0</v>
      </c>
      <c r="CM140" s="2">
        <f>ROUND(SUMIF(AA128:AA138,"=49707740",HD128:HD138),2)</f>
        <v>0</v>
      </c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>
        <v>0</v>
      </c>
    </row>
    <row r="142" spans="1:245" x14ac:dyDescent="0.2">
      <c r="A142" s="4">
        <v>50</v>
      </c>
      <c r="B142" s="4">
        <v>0</v>
      </c>
      <c r="C142" s="4">
        <v>0</v>
      </c>
      <c r="D142" s="4">
        <v>1</v>
      </c>
      <c r="E142" s="4">
        <v>201</v>
      </c>
      <c r="F142" s="4">
        <f>ROUND(Source!O140,O142)</f>
        <v>601413.35</v>
      </c>
      <c r="G142" s="4" t="s">
        <v>106</v>
      </c>
      <c r="H142" s="4" t="s">
        <v>107</v>
      </c>
      <c r="I142" s="4"/>
      <c r="J142" s="4"/>
      <c r="K142" s="4">
        <v>-201</v>
      </c>
      <c r="L142" s="4">
        <v>1</v>
      </c>
      <c r="M142" s="4">
        <v>3</v>
      </c>
      <c r="N142" s="4" t="s">
        <v>3</v>
      </c>
      <c r="O142" s="4">
        <v>2</v>
      </c>
      <c r="P142" s="4"/>
      <c r="Q142" s="4"/>
      <c r="R142" s="4"/>
      <c r="S142" s="4"/>
      <c r="T142" s="4"/>
      <c r="U142" s="4"/>
      <c r="V142" s="4"/>
      <c r="W142" s="4"/>
    </row>
    <row r="143" spans="1:245" x14ac:dyDescent="0.2">
      <c r="A143" s="4">
        <v>50</v>
      </c>
      <c r="B143" s="4">
        <v>0</v>
      </c>
      <c r="C143" s="4">
        <v>0</v>
      </c>
      <c r="D143" s="4">
        <v>1</v>
      </c>
      <c r="E143" s="4">
        <v>202</v>
      </c>
      <c r="F143" s="4">
        <f>ROUND(Source!P140,O143)</f>
        <v>527987.81999999995</v>
      </c>
      <c r="G143" s="4" t="s">
        <v>108</v>
      </c>
      <c r="H143" s="4" t="s">
        <v>109</v>
      </c>
      <c r="I143" s="4"/>
      <c r="J143" s="4"/>
      <c r="K143" s="4">
        <v>-202</v>
      </c>
      <c r="L143" s="4">
        <v>2</v>
      </c>
      <c r="M143" s="4">
        <v>3</v>
      </c>
      <c r="N143" s="4" t="s">
        <v>3</v>
      </c>
      <c r="O143" s="4">
        <v>2</v>
      </c>
      <c r="P143" s="4"/>
      <c r="Q143" s="4"/>
      <c r="R143" s="4"/>
      <c r="S143" s="4"/>
      <c r="T143" s="4"/>
      <c r="U143" s="4"/>
      <c r="V143" s="4"/>
      <c r="W143" s="4"/>
    </row>
    <row r="144" spans="1:245" x14ac:dyDescent="0.2">
      <c r="A144" s="4">
        <v>50</v>
      </c>
      <c r="B144" s="4">
        <v>0</v>
      </c>
      <c r="C144" s="4">
        <v>0</v>
      </c>
      <c r="D144" s="4">
        <v>1</v>
      </c>
      <c r="E144" s="4">
        <v>222</v>
      </c>
      <c r="F144" s="4">
        <f>ROUND(Source!AO140,O144)</f>
        <v>0</v>
      </c>
      <c r="G144" s="4" t="s">
        <v>110</v>
      </c>
      <c r="H144" s="4" t="s">
        <v>111</v>
      </c>
      <c r="I144" s="4"/>
      <c r="J144" s="4"/>
      <c r="K144" s="4">
        <v>-222</v>
      </c>
      <c r="L144" s="4">
        <v>3</v>
      </c>
      <c r="M144" s="4">
        <v>3</v>
      </c>
      <c r="N144" s="4" t="s">
        <v>3</v>
      </c>
      <c r="O144" s="4">
        <v>2</v>
      </c>
      <c r="P144" s="4"/>
      <c r="Q144" s="4"/>
      <c r="R144" s="4"/>
      <c r="S144" s="4"/>
      <c r="T144" s="4"/>
      <c r="U144" s="4"/>
      <c r="V144" s="4"/>
      <c r="W144" s="4"/>
    </row>
    <row r="145" spans="1:23" x14ac:dyDescent="0.2">
      <c r="A145" s="4">
        <v>50</v>
      </c>
      <c r="B145" s="4">
        <v>0</v>
      </c>
      <c r="C145" s="4">
        <v>0</v>
      </c>
      <c r="D145" s="4">
        <v>1</v>
      </c>
      <c r="E145" s="4">
        <v>225</v>
      </c>
      <c r="F145" s="4">
        <f>ROUND(Source!AV140,O145)</f>
        <v>527987.81999999995</v>
      </c>
      <c r="G145" s="4" t="s">
        <v>112</v>
      </c>
      <c r="H145" s="4" t="s">
        <v>113</v>
      </c>
      <c r="I145" s="4"/>
      <c r="J145" s="4"/>
      <c r="K145" s="4">
        <v>-225</v>
      </c>
      <c r="L145" s="4">
        <v>4</v>
      </c>
      <c r="M145" s="4">
        <v>3</v>
      </c>
      <c r="N145" s="4" t="s">
        <v>3</v>
      </c>
      <c r="O145" s="4">
        <v>2</v>
      </c>
      <c r="P145" s="4"/>
      <c r="Q145" s="4"/>
      <c r="R145" s="4"/>
      <c r="S145" s="4"/>
      <c r="T145" s="4"/>
      <c r="U145" s="4"/>
      <c r="V145" s="4"/>
      <c r="W145" s="4"/>
    </row>
    <row r="146" spans="1:23" x14ac:dyDescent="0.2">
      <c r="A146" s="4">
        <v>50</v>
      </c>
      <c r="B146" s="4">
        <v>0</v>
      </c>
      <c r="C146" s="4">
        <v>0</v>
      </c>
      <c r="D146" s="4">
        <v>1</v>
      </c>
      <c r="E146" s="4">
        <v>226</v>
      </c>
      <c r="F146" s="4">
        <f>ROUND(Source!AW140,O146)</f>
        <v>527987.81999999995</v>
      </c>
      <c r="G146" s="4" t="s">
        <v>114</v>
      </c>
      <c r="H146" s="4" t="s">
        <v>115</v>
      </c>
      <c r="I146" s="4"/>
      <c r="J146" s="4"/>
      <c r="K146" s="4">
        <v>-226</v>
      </c>
      <c r="L146" s="4">
        <v>5</v>
      </c>
      <c r="M146" s="4">
        <v>3</v>
      </c>
      <c r="N146" s="4" t="s">
        <v>3</v>
      </c>
      <c r="O146" s="4">
        <v>2</v>
      </c>
      <c r="P146" s="4"/>
      <c r="Q146" s="4"/>
      <c r="R146" s="4"/>
      <c r="S146" s="4"/>
      <c r="T146" s="4"/>
      <c r="U146" s="4"/>
      <c r="V146" s="4"/>
      <c r="W146" s="4"/>
    </row>
    <row r="147" spans="1:23" x14ac:dyDescent="0.2">
      <c r="A147" s="4">
        <v>50</v>
      </c>
      <c r="B147" s="4">
        <v>0</v>
      </c>
      <c r="C147" s="4">
        <v>0</v>
      </c>
      <c r="D147" s="4">
        <v>1</v>
      </c>
      <c r="E147" s="4">
        <v>227</v>
      </c>
      <c r="F147" s="4">
        <f>ROUND(Source!AX140,O147)</f>
        <v>0</v>
      </c>
      <c r="G147" s="4" t="s">
        <v>116</v>
      </c>
      <c r="H147" s="4" t="s">
        <v>117</v>
      </c>
      <c r="I147" s="4"/>
      <c r="J147" s="4"/>
      <c r="K147" s="4">
        <v>-227</v>
      </c>
      <c r="L147" s="4">
        <v>6</v>
      </c>
      <c r="M147" s="4">
        <v>3</v>
      </c>
      <c r="N147" s="4" t="s">
        <v>3</v>
      </c>
      <c r="O147" s="4">
        <v>2</v>
      </c>
      <c r="P147" s="4"/>
      <c r="Q147" s="4"/>
      <c r="R147" s="4"/>
      <c r="S147" s="4"/>
      <c r="T147" s="4"/>
      <c r="U147" s="4"/>
      <c r="V147" s="4"/>
      <c r="W147" s="4"/>
    </row>
    <row r="148" spans="1:23" x14ac:dyDescent="0.2">
      <c r="A148" s="4">
        <v>50</v>
      </c>
      <c r="B148" s="4">
        <v>0</v>
      </c>
      <c r="C148" s="4">
        <v>0</v>
      </c>
      <c r="D148" s="4">
        <v>1</v>
      </c>
      <c r="E148" s="4">
        <v>228</v>
      </c>
      <c r="F148" s="4">
        <f>ROUND(Source!AY140,O148)</f>
        <v>527987.81999999995</v>
      </c>
      <c r="G148" s="4" t="s">
        <v>118</v>
      </c>
      <c r="H148" s="4" t="s">
        <v>119</v>
      </c>
      <c r="I148" s="4"/>
      <c r="J148" s="4"/>
      <c r="K148" s="4">
        <v>-228</v>
      </c>
      <c r="L148" s="4">
        <v>7</v>
      </c>
      <c r="M148" s="4">
        <v>3</v>
      </c>
      <c r="N148" s="4" t="s">
        <v>3</v>
      </c>
      <c r="O148" s="4">
        <v>2</v>
      </c>
      <c r="P148" s="4"/>
      <c r="Q148" s="4"/>
      <c r="R148" s="4"/>
      <c r="S148" s="4"/>
      <c r="T148" s="4"/>
      <c r="U148" s="4"/>
      <c r="V148" s="4"/>
      <c r="W148" s="4"/>
    </row>
    <row r="149" spans="1:23" x14ac:dyDescent="0.2">
      <c r="A149" s="4">
        <v>50</v>
      </c>
      <c r="B149" s="4">
        <v>0</v>
      </c>
      <c r="C149" s="4">
        <v>0</v>
      </c>
      <c r="D149" s="4">
        <v>1</v>
      </c>
      <c r="E149" s="4">
        <v>216</v>
      </c>
      <c r="F149" s="4">
        <f>ROUND(Source!AP140,O149)</f>
        <v>0</v>
      </c>
      <c r="G149" s="4" t="s">
        <v>120</v>
      </c>
      <c r="H149" s="4" t="s">
        <v>121</v>
      </c>
      <c r="I149" s="4"/>
      <c r="J149" s="4"/>
      <c r="K149" s="4">
        <v>-216</v>
      </c>
      <c r="L149" s="4">
        <v>8</v>
      </c>
      <c r="M149" s="4">
        <v>3</v>
      </c>
      <c r="N149" s="4" t="s">
        <v>3</v>
      </c>
      <c r="O149" s="4">
        <v>2</v>
      </c>
      <c r="P149" s="4"/>
      <c r="Q149" s="4"/>
      <c r="R149" s="4"/>
      <c r="S149" s="4"/>
      <c r="T149" s="4"/>
      <c r="U149" s="4"/>
      <c r="V149" s="4"/>
      <c r="W149" s="4"/>
    </row>
    <row r="150" spans="1:23" x14ac:dyDescent="0.2">
      <c r="A150" s="4">
        <v>50</v>
      </c>
      <c r="B150" s="4">
        <v>0</v>
      </c>
      <c r="C150" s="4">
        <v>0</v>
      </c>
      <c r="D150" s="4">
        <v>1</v>
      </c>
      <c r="E150" s="4">
        <v>223</v>
      </c>
      <c r="F150" s="4">
        <f>ROUND(Source!AQ140,O150)</f>
        <v>0</v>
      </c>
      <c r="G150" s="4" t="s">
        <v>122</v>
      </c>
      <c r="H150" s="4" t="s">
        <v>123</v>
      </c>
      <c r="I150" s="4"/>
      <c r="J150" s="4"/>
      <c r="K150" s="4">
        <v>-223</v>
      </c>
      <c r="L150" s="4">
        <v>9</v>
      </c>
      <c r="M150" s="4">
        <v>3</v>
      </c>
      <c r="N150" s="4" t="s">
        <v>3</v>
      </c>
      <c r="O150" s="4">
        <v>2</v>
      </c>
      <c r="P150" s="4"/>
      <c r="Q150" s="4"/>
      <c r="R150" s="4"/>
      <c r="S150" s="4"/>
      <c r="T150" s="4"/>
      <c r="U150" s="4"/>
      <c r="V150" s="4"/>
      <c r="W150" s="4"/>
    </row>
    <row r="151" spans="1:23" x14ac:dyDescent="0.2">
      <c r="A151" s="4">
        <v>50</v>
      </c>
      <c r="B151" s="4">
        <v>0</v>
      </c>
      <c r="C151" s="4">
        <v>0</v>
      </c>
      <c r="D151" s="4">
        <v>1</v>
      </c>
      <c r="E151" s="4">
        <v>229</v>
      </c>
      <c r="F151" s="4">
        <f>ROUND(Source!AZ140,O151)</f>
        <v>0</v>
      </c>
      <c r="G151" s="4" t="s">
        <v>124</v>
      </c>
      <c r="H151" s="4" t="s">
        <v>125</v>
      </c>
      <c r="I151" s="4"/>
      <c r="J151" s="4"/>
      <c r="K151" s="4">
        <v>-229</v>
      </c>
      <c r="L151" s="4">
        <v>10</v>
      </c>
      <c r="M151" s="4">
        <v>3</v>
      </c>
      <c r="N151" s="4" t="s">
        <v>3</v>
      </c>
      <c r="O151" s="4">
        <v>2</v>
      </c>
      <c r="P151" s="4"/>
      <c r="Q151" s="4"/>
      <c r="R151" s="4"/>
      <c r="S151" s="4"/>
      <c r="T151" s="4"/>
      <c r="U151" s="4"/>
      <c r="V151" s="4"/>
      <c r="W151" s="4"/>
    </row>
    <row r="152" spans="1:23" x14ac:dyDescent="0.2">
      <c r="A152" s="4">
        <v>50</v>
      </c>
      <c r="B152" s="4">
        <v>0</v>
      </c>
      <c r="C152" s="4">
        <v>0</v>
      </c>
      <c r="D152" s="4">
        <v>1</v>
      </c>
      <c r="E152" s="4">
        <v>203</v>
      </c>
      <c r="F152" s="4">
        <f>ROUND(Source!Q140,O152)</f>
        <v>4468.55</v>
      </c>
      <c r="G152" s="4" t="s">
        <v>126</v>
      </c>
      <c r="H152" s="4" t="s">
        <v>127</v>
      </c>
      <c r="I152" s="4"/>
      <c r="J152" s="4"/>
      <c r="K152" s="4">
        <v>-203</v>
      </c>
      <c r="L152" s="4">
        <v>11</v>
      </c>
      <c r="M152" s="4">
        <v>3</v>
      </c>
      <c r="N152" s="4" t="s">
        <v>3</v>
      </c>
      <c r="O152" s="4">
        <v>2</v>
      </c>
      <c r="P152" s="4"/>
      <c r="Q152" s="4"/>
      <c r="R152" s="4"/>
      <c r="S152" s="4"/>
      <c r="T152" s="4"/>
      <c r="U152" s="4"/>
      <c r="V152" s="4"/>
      <c r="W152" s="4"/>
    </row>
    <row r="153" spans="1:23" x14ac:dyDescent="0.2">
      <c r="A153" s="4">
        <v>50</v>
      </c>
      <c r="B153" s="4">
        <v>0</v>
      </c>
      <c r="C153" s="4">
        <v>0</v>
      </c>
      <c r="D153" s="4">
        <v>1</v>
      </c>
      <c r="E153" s="4">
        <v>231</v>
      </c>
      <c r="F153" s="4">
        <f>ROUND(Source!BB140,O153)</f>
        <v>0</v>
      </c>
      <c r="G153" s="4" t="s">
        <v>128</v>
      </c>
      <c r="H153" s="4" t="s">
        <v>129</v>
      </c>
      <c r="I153" s="4"/>
      <c r="J153" s="4"/>
      <c r="K153" s="4">
        <v>-231</v>
      </c>
      <c r="L153" s="4">
        <v>12</v>
      </c>
      <c r="M153" s="4">
        <v>3</v>
      </c>
      <c r="N153" s="4" t="s">
        <v>3</v>
      </c>
      <c r="O153" s="4">
        <v>2</v>
      </c>
      <c r="P153" s="4"/>
      <c r="Q153" s="4"/>
      <c r="R153" s="4"/>
      <c r="S153" s="4"/>
      <c r="T153" s="4"/>
      <c r="U153" s="4"/>
      <c r="V153" s="4"/>
      <c r="W153" s="4"/>
    </row>
    <row r="154" spans="1:23" x14ac:dyDescent="0.2">
      <c r="A154" s="4">
        <v>50</v>
      </c>
      <c r="B154" s="4">
        <v>0</v>
      </c>
      <c r="C154" s="4">
        <v>0</v>
      </c>
      <c r="D154" s="4">
        <v>1</v>
      </c>
      <c r="E154" s="4">
        <v>204</v>
      </c>
      <c r="F154" s="4">
        <f>ROUND(Source!R140,O154)</f>
        <v>1268.3599999999999</v>
      </c>
      <c r="G154" s="4" t="s">
        <v>130</v>
      </c>
      <c r="H154" s="4" t="s">
        <v>131</v>
      </c>
      <c r="I154" s="4"/>
      <c r="J154" s="4"/>
      <c r="K154" s="4">
        <v>-204</v>
      </c>
      <c r="L154" s="4">
        <v>13</v>
      </c>
      <c r="M154" s="4">
        <v>3</v>
      </c>
      <c r="N154" s="4" t="s">
        <v>3</v>
      </c>
      <c r="O154" s="4">
        <v>2</v>
      </c>
      <c r="P154" s="4"/>
      <c r="Q154" s="4"/>
      <c r="R154" s="4"/>
      <c r="S154" s="4"/>
      <c r="T154" s="4"/>
      <c r="U154" s="4"/>
      <c r="V154" s="4"/>
      <c r="W154" s="4"/>
    </row>
    <row r="155" spans="1:23" x14ac:dyDescent="0.2">
      <c r="A155" s="4">
        <v>50</v>
      </c>
      <c r="B155" s="4">
        <v>0</v>
      </c>
      <c r="C155" s="4">
        <v>0</v>
      </c>
      <c r="D155" s="4">
        <v>1</v>
      </c>
      <c r="E155" s="4">
        <v>205</v>
      </c>
      <c r="F155" s="4">
        <f>ROUND(Source!S140,O155)</f>
        <v>68956.98</v>
      </c>
      <c r="G155" s="4" t="s">
        <v>132</v>
      </c>
      <c r="H155" s="4" t="s">
        <v>133</v>
      </c>
      <c r="I155" s="4"/>
      <c r="J155" s="4"/>
      <c r="K155" s="4">
        <v>-205</v>
      </c>
      <c r="L155" s="4">
        <v>14</v>
      </c>
      <c r="M155" s="4">
        <v>3</v>
      </c>
      <c r="N155" s="4" t="s">
        <v>3</v>
      </c>
      <c r="O155" s="4">
        <v>2</v>
      </c>
      <c r="P155" s="4"/>
      <c r="Q155" s="4"/>
      <c r="R155" s="4"/>
      <c r="S155" s="4"/>
      <c r="T155" s="4"/>
      <c r="U155" s="4"/>
      <c r="V155" s="4"/>
      <c r="W155" s="4"/>
    </row>
    <row r="156" spans="1:23" x14ac:dyDescent="0.2">
      <c r="A156" s="4">
        <v>50</v>
      </c>
      <c r="B156" s="4">
        <v>0</v>
      </c>
      <c r="C156" s="4">
        <v>0</v>
      </c>
      <c r="D156" s="4">
        <v>1</v>
      </c>
      <c r="E156" s="4">
        <v>232</v>
      </c>
      <c r="F156" s="4">
        <f>ROUND(Source!BC140,O156)</f>
        <v>0</v>
      </c>
      <c r="G156" s="4" t="s">
        <v>134</v>
      </c>
      <c r="H156" s="4" t="s">
        <v>135</v>
      </c>
      <c r="I156" s="4"/>
      <c r="J156" s="4"/>
      <c r="K156" s="4">
        <v>-232</v>
      </c>
      <c r="L156" s="4">
        <v>15</v>
      </c>
      <c r="M156" s="4">
        <v>3</v>
      </c>
      <c r="N156" s="4" t="s">
        <v>3</v>
      </c>
      <c r="O156" s="4">
        <v>2</v>
      </c>
      <c r="P156" s="4"/>
      <c r="Q156" s="4"/>
      <c r="R156" s="4"/>
      <c r="S156" s="4"/>
      <c r="T156" s="4"/>
      <c r="U156" s="4"/>
      <c r="V156" s="4"/>
      <c r="W156" s="4"/>
    </row>
    <row r="157" spans="1:23" x14ac:dyDescent="0.2">
      <c r="A157" s="4">
        <v>50</v>
      </c>
      <c r="B157" s="4">
        <v>0</v>
      </c>
      <c r="C157" s="4">
        <v>0</v>
      </c>
      <c r="D157" s="4">
        <v>1</v>
      </c>
      <c r="E157" s="4">
        <v>214</v>
      </c>
      <c r="F157" s="4">
        <f>ROUND(Source!AS140,O157)</f>
        <v>420143.58</v>
      </c>
      <c r="G157" s="4" t="s">
        <v>136</v>
      </c>
      <c r="H157" s="4" t="s">
        <v>137</v>
      </c>
      <c r="I157" s="4"/>
      <c r="J157" s="4"/>
      <c r="K157" s="4">
        <v>-214</v>
      </c>
      <c r="L157" s="4">
        <v>16</v>
      </c>
      <c r="M157" s="4">
        <v>3</v>
      </c>
      <c r="N157" s="4" t="s">
        <v>3</v>
      </c>
      <c r="O157" s="4">
        <v>2</v>
      </c>
      <c r="P157" s="4"/>
      <c r="Q157" s="4"/>
      <c r="R157" s="4"/>
      <c r="S157" s="4"/>
      <c r="T157" s="4"/>
      <c r="U157" s="4"/>
      <c r="V157" s="4"/>
      <c r="W157" s="4"/>
    </row>
    <row r="158" spans="1:23" x14ac:dyDescent="0.2">
      <c r="A158" s="4">
        <v>50</v>
      </c>
      <c r="B158" s="4">
        <v>0</v>
      </c>
      <c r="C158" s="4">
        <v>0</v>
      </c>
      <c r="D158" s="4">
        <v>1</v>
      </c>
      <c r="E158" s="4">
        <v>215</v>
      </c>
      <c r="F158" s="4">
        <f>ROUND(Source!AT140,O158)</f>
        <v>0</v>
      </c>
      <c r="G158" s="4" t="s">
        <v>138</v>
      </c>
      <c r="H158" s="4" t="s">
        <v>139</v>
      </c>
      <c r="I158" s="4"/>
      <c r="J158" s="4"/>
      <c r="K158" s="4">
        <v>-215</v>
      </c>
      <c r="L158" s="4">
        <v>17</v>
      </c>
      <c r="M158" s="4">
        <v>3</v>
      </c>
      <c r="N158" s="4" t="s">
        <v>3</v>
      </c>
      <c r="O158" s="4">
        <v>2</v>
      </c>
      <c r="P158" s="4"/>
      <c r="Q158" s="4"/>
      <c r="R158" s="4"/>
      <c r="S158" s="4"/>
      <c r="T158" s="4"/>
      <c r="U158" s="4"/>
      <c r="V158" s="4"/>
      <c r="W158" s="4"/>
    </row>
    <row r="159" spans="1:23" x14ac:dyDescent="0.2">
      <c r="A159" s="4">
        <v>50</v>
      </c>
      <c r="B159" s="4">
        <v>0</v>
      </c>
      <c r="C159" s="4">
        <v>0</v>
      </c>
      <c r="D159" s="4">
        <v>1</v>
      </c>
      <c r="E159" s="4">
        <v>217</v>
      </c>
      <c r="F159" s="4">
        <f>ROUND(Source!AU140,O159)</f>
        <v>236568.54</v>
      </c>
      <c r="G159" s="4" t="s">
        <v>140</v>
      </c>
      <c r="H159" s="4" t="s">
        <v>141</v>
      </c>
      <c r="I159" s="4"/>
      <c r="J159" s="4"/>
      <c r="K159" s="4">
        <v>-217</v>
      </c>
      <c r="L159" s="4">
        <v>18</v>
      </c>
      <c r="M159" s="4">
        <v>3</v>
      </c>
      <c r="N159" s="4" t="s">
        <v>3</v>
      </c>
      <c r="O159" s="4">
        <v>2</v>
      </c>
      <c r="P159" s="4"/>
      <c r="Q159" s="4"/>
      <c r="R159" s="4"/>
      <c r="S159" s="4"/>
      <c r="T159" s="4"/>
      <c r="U159" s="4"/>
      <c r="V159" s="4"/>
      <c r="W159" s="4"/>
    </row>
    <row r="160" spans="1:23" x14ac:dyDescent="0.2">
      <c r="A160" s="4">
        <v>50</v>
      </c>
      <c r="B160" s="4">
        <v>0</v>
      </c>
      <c r="C160" s="4">
        <v>0</v>
      </c>
      <c r="D160" s="4">
        <v>1</v>
      </c>
      <c r="E160" s="4">
        <v>230</v>
      </c>
      <c r="F160" s="4">
        <f>ROUND(Source!BA140,O160)</f>
        <v>0</v>
      </c>
      <c r="G160" s="4" t="s">
        <v>142</v>
      </c>
      <c r="H160" s="4" t="s">
        <v>143</v>
      </c>
      <c r="I160" s="4"/>
      <c r="J160" s="4"/>
      <c r="K160" s="4">
        <v>-230</v>
      </c>
      <c r="L160" s="4">
        <v>19</v>
      </c>
      <c r="M160" s="4">
        <v>3</v>
      </c>
      <c r="N160" s="4" t="s">
        <v>3</v>
      </c>
      <c r="O160" s="4">
        <v>2</v>
      </c>
      <c r="P160" s="4"/>
      <c r="Q160" s="4"/>
      <c r="R160" s="4"/>
      <c r="S160" s="4"/>
      <c r="T160" s="4"/>
      <c r="U160" s="4"/>
      <c r="V160" s="4"/>
      <c r="W160" s="4"/>
    </row>
    <row r="161" spans="1:206" x14ac:dyDescent="0.2">
      <c r="A161" s="4">
        <v>50</v>
      </c>
      <c r="B161" s="4">
        <v>0</v>
      </c>
      <c r="C161" s="4">
        <v>0</v>
      </c>
      <c r="D161" s="4">
        <v>1</v>
      </c>
      <c r="E161" s="4">
        <v>206</v>
      </c>
      <c r="F161" s="4">
        <f>ROUND(Source!T140,O161)</f>
        <v>0</v>
      </c>
      <c r="G161" s="4" t="s">
        <v>144</v>
      </c>
      <c r="H161" s="4" t="s">
        <v>145</v>
      </c>
      <c r="I161" s="4"/>
      <c r="J161" s="4"/>
      <c r="K161" s="4">
        <v>-206</v>
      </c>
      <c r="L161" s="4">
        <v>20</v>
      </c>
      <c r="M161" s="4">
        <v>3</v>
      </c>
      <c r="N161" s="4" t="s">
        <v>3</v>
      </c>
      <c r="O161" s="4">
        <v>2</v>
      </c>
      <c r="P161" s="4"/>
      <c r="Q161" s="4"/>
      <c r="R161" s="4"/>
      <c r="S161" s="4"/>
      <c r="T161" s="4"/>
      <c r="U161" s="4"/>
      <c r="V161" s="4"/>
      <c r="W161" s="4"/>
    </row>
    <row r="162" spans="1:206" x14ac:dyDescent="0.2">
      <c r="A162" s="4">
        <v>50</v>
      </c>
      <c r="B162" s="4">
        <v>0</v>
      </c>
      <c r="C162" s="4">
        <v>0</v>
      </c>
      <c r="D162" s="4">
        <v>1</v>
      </c>
      <c r="E162" s="4">
        <v>207</v>
      </c>
      <c r="F162" s="4">
        <f>Source!U140</f>
        <v>372.63353999999998</v>
      </c>
      <c r="G162" s="4" t="s">
        <v>146</v>
      </c>
      <c r="H162" s="4" t="s">
        <v>147</v>
      </c>
      <c r="I162" s="4"/>
      <c r="J162" s="4"/>
      <c r="K162" s="4">
        <v>-207</v>
      </c>
      <c r="L162" s="4">
        <v>21</v>
      </c>
      <c r="M162" s="4">
        <v>3</v>
      </c>
      <c r="N162" s="4" t="s">
        <v>3</v>
      </c>
      <c r="O162" s="4">
        <v>-1</v>
      </c>
      <c r="P162" s="4"/>
      <c r="Q162" s="4"/>
      <c r="R162" s="4"/>
      <c r="S162" s="4"/>
      <c r="T162" s="4"/>
      <c r="U162" s="4"/>
      <c r="V162" s="4"/>
      <c r="W162" s="4"/>
    </row>
    <row r="163" spans="1:206" x14ac:dyDescent="0.2">
      <c r="A163" s="4">
        <v>50</v>
      </c>
      <c r="B163" s="4">
        <v>0</v>
      </c>
      <c r="C163" s="4">
        <v>0</v>
      </c>
      <c r="D163" s="4">
        <v>1</v>
      </c>
      <c r="E163" s="4">
        <v>208</v>
      </c>
      <c r="F163" s="4">
        <f>Source!V140</f>
        <v>0</v>
      </c>
      <c r="G163" s="4" t="s">
        <v>148</v>
      </c>
      <c r="H163" s="4" t="s">
        <v>149</v>
      </c>
      <c r="I163" s="4"/>
      <c r="J163" s="4"/>
      <c r="K163" s="4">
        <v>-208</v>
      </c>
      <c r="L163" s="4">
        <v>22</v>
      </c>
      <c r="M163" s="4">
        <v>3</v>
      </c>
      <c r="N163" s="4" t="s">
        <v>3</v>
      </c>
      <c r="O163" s="4">
        <v>-1</v>
      </c>
      <c r="P163" s="4"/>
      <c r="Q163" s="4"/>
      <c r="R163" s="4"/>
      <c r="S163" s="4"/>
      <c r="T163" s="4"/>
      <c r="U163" s="4"/>
      <c r="V163" s="4"/>
      <c r="W163" s="4"/>
    </row>
    <row r="164" spans="1:206" x14ac:dyDescent="0.2">
      <c r="A164" s="4">
        <v>50</v>
      </c>
      <c r="B164" s="4">
        <v>0</v>
      </c>
      <c r="C164" s="4">
        <v>0</v>
      </c>
      <c r="D164" s="4">
        <v>1</v>
      </c>
      <c r="E164" s="4">
        <v>209</v>
      </c>
      <c r="F164" s="4">
        <f>ROUND(Source!W140,O164)</f>
        <v>0</v>
      </c>
      <c r="G164" s="4" t="s">
        <v>150</v>
      </c>
      <c r="H164" s="4" t="s">
        <v>151</v>
      </c>
      <c r="I164" s="4"/>
      <c r="J164" s="4"/>
      <c r="K164" s="4">
        <v>-209</v>
      </c>
      <c r="L164" s="4">
        <v>23</v>
      </c>
      <c r="M164" s="4">
        <v>3</v>
      </c>
      <c r="N164" s="4" t="s">
        <v>3</v>
      </c>
      <c r="O164" s="4">
        <v>2</v>
      </c>
      <c r="P164" s="4"/>
      <c r="Q164" s="4"/>
      <c r="R164" s="4"/>
      <c r="S164" s="4"/>
      <c r="T164" s="4"/>
      <c r="U164" s="4"/>
      <c r="V164" s="4"/>
      <c r="W164" s="4"/>
    </row>
    <row r="165" spans="1:206" x14ac:dyDescent="0.2">
      <c r="A165" s="4">
        <v>50</v>
      </c>
      <c r="B165" s="4">
        <v>0</v>
      </c>
      <c r="C165" s="4">
        <v>0</v>
      </c>
      <c r="D165" s="4">
        <v>1</v>
      </c>
      <c r="E165" s="4">
        <v>233</v>
      </c>
      <c r="F165" s="4">
        <f>ROUND(Source!BD140,O165)</f>
        <v>0</v>
      </c>
      <c r="G165" s="4" t="s">
        <v>152</v>
      </c>
      <c r="H165" s="4" t="s">
        <v>153</v>
      </c>
      <c r="I165" s="4"/>
      <c r="J165" s="4"/>
      <c r="K165" s="4">
        <v>-233</v>
      </c>
      <c r="L165" s="4">
        <v>24</v>
      </c>
      <c r="M165" s="4">
        <v>3</v>
      </c>
      <c r="N165" s="4" t="s">
        <v>3</v>
      </c>
      <c r="O165" s="4">
        <v>2</v>
      </c>
      <c r="P165" s="4"/>
      <c r="Q165" s="4"/>
      <c r="R165" s="4"/>
      <c r="S165" s="4"/>
      <c r="T165" s="4"/>
      <c r="U165" s="4"/>
      <c r="V165" s="4"/>
      <c r="W165" s="4"/>
    </row>
    <row r="166" spans="1:206" x14ac:dyDescent="0.2">
      <c r="A166" s="4">
        <v>50</v>
      </c>
      <c r="B166" s="4">
        <v>0</v>
      </c>
      <c r="C166" s="4">
        <v>0</v>
      </c>
      <c r="D166" s="4">
        <v>1</v>
      </c>
      <c r="E166" s="4">
        <v>210</v>
      </c>
      <c r="F166" s="4">
        <f>ROUND(Source!X140,O166)</f>
        <v>48269.89</v>
      </c>
      <c r="G166" s="4" t="s">
        <v>154</v>
      </c>
      <c r="H166" s="4" t="s">
        <v>155</v>
      </c>
      <c r="I166" s="4"/>
      <c r="J166" s="4"/>
      <c r="K166" s="4">
        <v>-210</v>
      </c>
      <c r="L166" s="4">
        <v>25</v>
      </c>
      <c r="M166" s="4">
        <v>3</v>
      </c>
      <c r="N166" s="4" t="s">
        <v>3</v>
      </c>
      <c r="O166" s="4">
        <v>2</v>
      </c>
      <c r="P166" s="4"/>
      <c r="Q166" s="4"/>
      <c r="R166" s="4"/>
      <c r="S166" s="4"/>
      <c r="T166" s="4"/>
      <c r="U166" s="4"/>
      <c r="V166" s="4"/>
      <c r="W166" s="4"/>
    </row>
    <row r="167" spans="1:206" x14ac:dyDescent="0.2">
      <c r="A167" s="4">
        <v>50</v>
      </c>
      <c r="B167" s="4">
        <v>0</v>
      </c>
      <c r="C167" s="4">
        <v>0</v>
      </c>
      <c r="D167" s="4">
        <v>1</v>
      </c>
      <c r="E167" s="4">
        <v>211</v>
      </c>
      <c r="F167" s="4">
        <f>ROUND(Source!Y140,O167)</f>
        <v>6895.7</v>
      </c>
      <c r="G167" s="4" t="s">
        <v>156</v>
      </c>
      <c r="H167" s="4" t="s">
        <v>157</v>
      </c>
      <c r="I167" s="4"/>
      <c r="J167" s="4"/>
      <c r="K167" s="4">
        <v>-211</v>
      </c>
      <c r="L167" s="4">
        <v>26</v>
      </c>
      <c r="M167" s="4">
        <v>3</v>
      </c>
      <c r="N167" s="4" t="s">
        <v>3</v>
      </c>
      <c r="O167" s="4">
        <v>2</v>
      </c>
      <c r="P167" s="4"/>
      <c r="Q167" s="4"/>
      <c r="R167" s="4"/>
      <c r="S167" s="4"/>
      <c r="T167" s="4"/>
      <c r="U167" s="4"/>
      <c r="V167" s="4"/>
      <c r="W167" s="4"/>
    </row>
    <row r="168" spans="1:206" x14ac:dyDescent="0.2">
      <c r="A168" s="4">
        <v>50</v>
      </c>
      <c r="B168" s="4">
        <v>0</v>
      </c>
      <c r="C168" s="4">
        <v>0</v>
      </c>
      <c r="D168" s="4">
        <v>1</v>
      </c>
      <c r="E168" s="4">
        <v>224</v>
      </c>
      <c r="F168" s="4">
        <f>ROUND(Source!AR140,O168)</f>
        <v>656712.12</v>
      </c>
      <c r="G168" s="4" t="s">
        <v>158</v>
      </c>
      <c r="H168" s="4" t="s">
        <v>159</v>
      </c>
      <c r="I168" s="4"/>
      <c r="J168" s="4"/>
      <c r="K168" s="4">
        <v>-224</v>
      </c>
      <c r="L168" s="4">
        <v>27</v>
      </c>
      <c r="M168" s="4">
        <v>3</v>
      </c>
      <c r="N168" s="4" t="s">
        <v>3</v>
      </c>
      <c r="O168" s="4">
        <v>2</v>
      </c>
      <c r="P168" s="4"/>
      <c r="Q168" s="4"/>
      <c r="R168" s="4"/>
      <c r="S168" s="4"/>
      <c r="T168" s="4"/>
      <c r="U168" s="4"/>
      <c r="V168" s="4"/>
      <c r="W168" s="4"/>
    </row>
    <row r="169" spans="1:206" x14ac:dyDescent="0.2">
      <c r="A169" s="4">
        <v>50</v>
      </c>
      <c r="B169" s="4">
        <v>1</v>
      </c>
      <c r="C169" s="4">
        <v>0</v>
      </c>
      <c r="D169" s="4">
        <v>2</v>
      </c>
      <c r="E169" s="4">
        <v>0</v>
      </c>
      <c r="F169" s="4">
        <f>ROUND(F168,O169)</f>
        <v>656712.12</v>
      </c>
      <c r="G169" s="4" t="s">
        <v>27</v>
      </c>
      <c r="H169" s="4" t="s">
        <v>160</v>
      </c>
      <c r="I169" s="4"/>
      <c r="J169" s="4"/>
      <c r="K169" s="4">
        <v>212</v>
      </c>
      <c r="L169" s="4">
        <v>28</v>
      </c>
      <c r="M169" s="4">
        <v>0</v>
      </c>
      <c r="N169" s="4" t="s">
        <v>3</v>
      </c>
      <c r="O169" s="4">
        <v>2</v>
      </c>
      <c r="P169" s="4"/>
      <c r="Q169" s="4"/>
      <c r="R169" s="4"/>
      <c r="S169" s="4"/>
      <c r="T169" s="4"/>
      <c r="U169" s="4"/>
      <c r="V169" s="4"/>
      <c r="W169" s="4"/>
    </row>
    <row r="170" spans="1:206" x14ac:dyDescent="0.2">
      <c r="A170" s="4">
        <v>50</v>
      </c>
      <c r="B170" s="4">
        <v>1</v>
      </c>
      <c r="C170" s="4">
        <v>0</v>
      </c>
      <c r="D170" s="4">
        <v>2</v>
      </c>
      <c r="E170" s="4">
        <v>0</v>
      </c>
      <c r="F170" s="4">
        <f>ROUND(F169*0.2,O170)</f>
        <v>131342.42000000001</v>
      </c>
      <c r="G170" s="4" t="s">
        <v>35</v>
      </c>
      <c r="H170" s="4" t="s">
        <v>161</v>
      </c>
      <c r="I170" s="4"/>
      <c r="J170" s="4"/>
      <c r="K170" s="4">
        <v>212</v>
      </c>
      <c r="L170" s="4">
        <v>29</v>
      </c>
      <c r="M170" s="4">
        <v>0</v>
      </c>
      <c r="N170" s="4" t="s">
        <v>3</v>
      </c>
      <c r="O170" s="4">
        <v>2</v>
      </c>
      <c r="P170" s="4"/>
      <c r="Q170" s="4"/>
      <c r="R170" s="4"/>
      <c r="S170" s="4"/>
      <c r="T170" s="4"/>
      <c r="U170" s="4"/>
      <c r="V170" s="4"/>
      <c r="W170" s="4"/>
    </row>
    <row r="171" spans="1:206" x14ac:dyDescent="0.2">
      <c r="A171" s="4">
        <v>50</v>
      </c>
      <c r="B171" s="4">
        <v>1</v>
      </c>
      <c r="C171" s="4">
        <v>0</v>
      </c>
      <c r="D171" s="4">
        <v>2</v>
      </c>
      <c r="E171" s="4">
        <v>213</v>
      </c>
      <c r="F171" s="4">
        <f>ROUND(F169+F170,O171)</f>
        <v>788054.54</v>
      </c>
      <c r="G171" s="4" t="s">
        <v>39</v>
      </c>
      <c r="H171" s="4" t="s">
        <v>162</v>
      </c>
      <c r="I171" s="4"/>
      <c r="J171" s="4"/>
      <c r="K171" s="4">
        <v>212</v>
      </c>
      <c r="L171" s="4">
        <v>30</v>
      </c>
      <c r="M171" s="4">
        <v>0</v>
      </c>
      <c r="N171" s="4" t="s">
        <v>3</v>
      </c>
      <c r="O171" s="4">
        <v>2</v>
      </c>
      <c r="P171" s="4"/>
      <c r="Q171" s="4"/>
      <c r="R171" s="4"/>
      <c r="S171" s="4"/>
      <c r="T171" s="4"/>
      <c r="U171" s="4"/>
      <c r="V171" s="4"/>
      <c r="W171" s="4"/>
    </row>
    <row r="173" spans="1:206" x14ac:dyDescent="0.2">
      <c r="A173" s="1">
        <v>4</v>
      </c>
      <c r="B173" s="1">
        <v>1</v>
      </c>
      <c r="C173" s="1"/>
      <c r="D173" s="1">
        <f>ROW(A190)</f>
        <v>190</v>
      </c>
      <c r="E173" s="1"/>
      <c r="F173" s="1" t="s">
        <v>232</v>
      </c>
      <c r="G173" s="1" t="s">
        <v>233</v>
      </c>
      <c r="H173" s="1" t="s">
        <v>3</v>
      </c>
      <c r="I173" s="1">
        <v>0</v>
      </c>
      <c r="J173" s="1"/>
      <c r="K173" s="1">
        <v>-1</v>
      </c>
      <c r="L173" s="1"/>
      <c r="M173" s="1" t="s">
        <v>3</v>
      </c>
      <c r="N173" s="1"/>
      <c r="O173" s="1"/>
      <c r="P173" s="1"/>
      <c r="Q173" s="1"/>
      <c r="R173" s="1"/>
      <c r="S173" s="1">
        <v>0</v>
      </c>
      <c r="T173" s="1"/>
      <c r="U173" s="1" t="s">
        <v>3</v>
      </c>
      <c r="V173" s="1">
        <v>0</v>
      </c>
      <c r="W173" s="1"/>
      <c r="X173" s="1"/>
      <c r="Y173" s="1"/>
      <c r="Z173" s="1"/>
      <c r="AA173" s="1"/>
      <c r="AB173" s="1" t="s">
        <v>3</v>
      </c>
      <c r="AC173" s="1" t="s">
        <v>3</v>
      </c>
      <c r="AD173" s="1" t="s">
        <v>3</v>
      </c>
      <c r="AE173" s="1" t="s">
        <v>3</v>
      </c>
      <c r="AF173" s="1" t="s">
        <v>3</v>
      </c>
      <c r="AG173" s="1" t="s">
        <v>3</v>
      </c>
      <c r="AH173" s="1"/>
      <c r="AI173" s="1"/>
      <c r="AJ173" s="1"/>
      <c r="AK173" s="1"/>
      <c r="AL173" s="1"/>
      <c r="AM173" s="1"/>
      <c r="AN173" s="1"/>
      <c r="AO173" s="1"/>
      <c r="AP173" s="1" t="s">
        <v>3</v>
      </c>
      <c r="AQ173" s="1" t="s">
        <v>3</v>
      </c>
      <c r="AR173" s="1" t="s">
        <v>3</v>
      </c>
      <c r="AS173" s="1"/>
      <c r="AT173" s="1"/>
      <c r="AU173" s="1"/>
      <c r="AV173" s="1"/>
      <c r="AW173" s="1"/>
      <c r="AX173" s="1"/>
      <c r="AY173" s="1"/>
      <c r="AZ173" s="1" t="s">
        <v>3</v>
      </c>
      <c r="BA173" s="1"/>
      <c r="BB173" s="1" t="s">
        <v>3</v>
      </c>
      <c r="BC173" s="1" t="s">
        <v>3</v>
      </c>
      <c r="BD173" s="1" t="s">
        <v>3</v>
      </c>
      <c r="BE173" s="1" t="s">
        <v>3</v>
      </c>
      <c r="BF173" s="1" t="s">
        <v>3</v>
      </c>
      <c r="BG173" s="1" t="s">
        <v>3</v>
      </c>
      <c r="BH173" s="1" t="s">
        <v>3</v>
      </c>
      <c r="BI173" s="1" t="s">
        <v>3</v>
      </c>
      <c r="BJ173" s="1" t="s">
        <v>3</v>
      </c>
      <c r="BK173" s="1" t="s">
        <v>3</v>
      </c>
      <c r="BL173" s="1" t="s">
        <v>3</v>
      </c>
      <c r="BM173" s="1" t="s">
        <v>3</v>
      </c>
      <c r="BN173" s="1" t="s">
        <v>3</v>
      </c>
      <c r="BO173" s="1" t="s">
        <v>3</v>
      </c>
      <c r="BP173" s="1" t="s">
        <v>3</v>
      </c>
      <c r="BQ173" s="1"/>
      <c r="BR173" s="1"/>
      <c r="BS173" s="1"/>
      <c r="BT173" s="1"/>
      <c r="BU173" s="1"/>
      <c r="BV173" s="1"/>
      <c r="BW173" s="1"/>
      <c r="BX173" s="1">
        <v>0</v>
      </c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>
        <v>0</v>
      </c>
    </row>
    <row r="175" spans="1:206" x14ac:dyDescent="0.2">
      <c r="A175" s="2">
        <v>52</v>
      </c>
      <c r="B175" s="2">
        <f t="shared" ref="B175:G175" si="154">B190</f>
        <v>1</v>
      </c>
      <c r="C175" s="2">
        <f t="shared" si="154"/>
        <v>4</v>
      </c>
      <c r="D175" s="2">
        <f t="shared" si="154"/>
        <v>173</v>
      </c>
      <c r="E175" s="2">
        <f t="shared" si="154"/>
        <v>0</v>
      </c>
      <c r="F175" s="2" t="str">
        <f t="shared" si="154"/>
        <v>сп/оборуд.</v>
      </c>
      <c r="G175" s="2" t="str">
        <f t="shared" si="154"/>
        <v>Спортивное оборудование</v>
      </c>
      <c r="H175" s="2"/>
      <c r="I175" s="2"/>
      <c r="J175" s="2"/>
      <c r="K175" s="2"/>
      <c r="L175" s="2"/>
      <c r="M175" s="2"/>
      <c r="N175" s="2"/>
      <c r="O175" s="2">
        <f t="shared" ref="O175:AT175" si="155">O190</f>
        <v>96968.2</v>
      </c>
      <c r="P175" s="2">
        <f t="shared" si="155"/>
        <v>88037.81</v>
      </c>
      <c r="Q175" s="2">
        <f t="shared" si="155"/>
        <v>597.54</v>
      </c>
      <c r="R175" s="2">
        <f t="shared" si="155"/>
        <v>165.95</v>
      </c>
      <c r="S175" s="2">
        <f t="shared" si="155"/>
        <v>8332.85</v>
      </c>
      <c r="T175" s="2">
        <f t="shared" si="155"/>
        <v>0</v>
      </c>
      <c r="U175" s="2">
        <f t="shared" si="155"/>
        <v>44.472380000000001</v>
      </c>
      <c r="V175" s="2">
        <f t="shared" si="155"/>
        <v>0</v>
      </c>
      <c r="W175" s="2">
        <f t="shared" si="155"/>
        <v>0</v>
      </c>
      <c r="X175" s="2">
        <f t="shared" si="155"/>
        <v>5832.99</v>
      </c>
      <c r="Y175" s="2">
        <f t="shared" si="155"/>
        <v>833.29</v>
      </c>
      <c r="Z175" s="2">
        <f t="shared" si="155"/>
        <v>0</v>
      </c>
      <c r="AA175" s="2">
        <f t="shared" si="155"/>
        <v>0</v>
      </c>
      <c r="AB175" s="2">
        <f t="shared" si="155"/>
        <v>96968.2</v>
      </c>
      <c r="AC175" s="2">
        <f t="shared" si="155"/>
        <v>88037.81</v>
      </c>
      <c r="AD175" s="2">
        <f t="shared" si="155"/>
        <v>597.54</v>
      </c>
      <c r="AE175" s="2">
        <f t="shared" si="155"/>
        <v>165.95</v>
      </c>
      <c r="AF175" s="2">
        <f t="shared" si="155"/>
        <v>8332.85</v>
      </c>
      <c r="AG175" s="2">
        <f t="shared" si="155"/>
        <v>0</v>
      </c>
      <c r="AH175" s="2">
        <f t="shared" si="155"/>
        <v>44.472380000000001</v>
      </c>
      <c r="AI175" s="2">
        <f t="shared" si="155"/>
        <v>0</v>
      </c>
      <c r="AJ175" s="2">
        <f t="shared" si="155"/>
        <v>0</v>
      </c>
      <c r="AK175" s="2">
        <f t="shared" si="155"/>
        <v>5832.99</v>
      </c>
      <c r="AL175" s="2">
        <f t="shared" si="155"/>
        <v>833.29</v>
      </c>
      <c r="AM175" s="2">
        <f t="shared" si="155"/>
        <v>0</v>
      </c>
      <c r="AN175" s="2">
        <f t="shared" si="155"/>
        <v>0</v>
      </c>
      <c r="AO175" s="2">
        <f t="shared" si="155"/>
        <v>0</v>
      </c>
      <c r="AP175" s="2">
        <f t="shared" si="155"/>
        <v>0</v>
      </c>
      <c r="AQ175" s="2">
        <f t="shared" si="155"/>
        <v>0</v>
      </c>
      <c r="AR175" s="2">
        <f t="shared" si="155"/>
        <v>103649.88</v>
      </c>
      <c r="AS175" s="2">
        <f t="shared" si="155"/>
        <v>73291.429999999993</v>
      </c>
      <c r="AT175" s="2">
        <f t="shared" si="155"/>
        <v>0</v>
      </c>
      <c r="AU175" s="2">
        <f t="shared" ref="AU175:BZ175" si="156">AU190</f>
        <v>30358.45</v>
      </c>
      <c r="AV175" s="2">
        <f t="shared" si="156"/>
        <v>88037.81</v>
      </c>
      <c r="AW175" s="2">
        <f t="shared" si="156"/>
        <v>88037.81</v>
      </c>
      <c r="AX175" s="2">
        <f t="shared" si="156"/>
        <v>0</v>
      </c>
      <c r="AY175" s="2">
        <f t="shared" si="156"/>
        <v>88037.81</v>
      </c>
      <c r="AZ175" s="2">
        <f t="shared" si="156"/>
        <v>0</v>
      </c>
      <c r="BA175" s="2">
        <f t="shared" si="156"/>
        <v>0</v>
      </c>
      <c r="BB175" s="2">
        <f t="shared" si="156"/>
        <v>0</v>
      </c>
      <c r="BC175" s="2">
        <f t="shared" si="156"/>
        <v>0</v>
      </c>
      <c r="BD175" s="2">
        <f t="shared" si="156"/>
        <v>0</v>
      </c>
      <c r="BE175" s="2">
        <f t="shared" si="156"/>
        <v>0</v>
      </c>
      <c r="BF175" s="2">
        <f t="shared" si="156"/>
        <v>0</v>
      </c>
      <c r="BG175" s="2">
        <f t="shared" si="156"/>
        <v>0</v>
      </c>
      <c r="BH175" s="2">
        <f t="shared" si="156"/>
        <v>0</v>
      </c>
      <c r="BI175" s="2">
        <f t="shared" si="156"/>
        <v>0</v>
      </c>
      <c r="BJ175" s="2">
        <f t="shared" si="156"/>
        <v>0</v>
      </c>
      <c r="BK175" s="2">
        <f t="shared" si="156"/>
        <v>0</v>
      </c>
      <c r="BL175" s="2">
        <f t="shared" si="156"/>
        <v>0</v>
      </c>
      <c r="BM175" s="2">
        <f t="shared" si="156"/>
        <v>0</v>
      </c>
      <c r="BN175" s="2">
        <f t="shared" si="156"/>
        <v>0</v>
      </c>
      <c r="BO175" s="2">
        <f t="shared" si="156"/>
        <v>0</v>
      </c>
      <c r="BP175" s="2">
        <f t="shared" si="156"/>
        <v>0</v>
      </c>
      <c r="BQ175" s="2">
        <f t="shared" si="156"/>
        <v>0</v>
      </c>
      <c r="BR175" s="2">
        <f t="shared" si="156"/>
        <v>0</v>
      </c>
      <c r="BS175" s="2">
        <f t="shared" si="156"/>
        <v>0</v>
      </c>
      <c r="BT175" s="2">
        <f t="shared" si="156"/>
        <v>0</v>
      </c>
      <c r="BU175" s="2">
        <f t="shared" si="156"/>
        <v>0</v>
      </c>
      <c r="BV175" s="2">
        <f t="shared" si="156"/>
        <v>0</v>
      </c>
      <c r="BW175" s="2">
        <f t="shared" si="156"/>
        <v>0</v>
      </c>
      <c r="BX175" s="2">
        <f t="shared" si="156"/>
        <v>0</v>
      </c>
      <c r="BY175" s="2">
        <f t="shared" si="156"/>
        <v>0</v>
      </c>
      <c r="BZ175" s="2">
        <f t="shared" si="156"/>
        <v>0</v>
      </c>
      <c r="CA175" s="2">
        <f t="shared" ref="CA175:DF175" si="157">CA190</f>
        <v>103649.88</v>
      </c>
      <c r="CB175" s="2">
        <f t="shared" si="157"/>
        <v>73291.429999999993</v>
      </c>
      <c r="CC175" s="2">
        <f t="shared" si="157"/>
        <v>0</v>
      </c>
      <c r="CD175" s="2">
        <f t="shared" si="157"/>
        <v>30358.45</v>
      </c>
      <c r="CE175" s="2">
        <f t="shared" si="157"/>
        <v>88037.81</v>
      </c>
      <c r="CF175" s="2">
        <f t="shared" si="157"/>
        <v>88037.81</v>
      </c>
      <c r="CG175" s="2">
        <f t="shared" si="157"/>
        <v>0</v>
      </c>
      <c r="CH175" s="2">
        <f t="shared" si="157"/>
        <v>88037.81</v>
      </c>
      <c r="CI175" s="2">
        <f t="shared" si="157"/>
        <v>0</v>
      </c>
      <c r="CJ175" s="2">
        <f t="shared" si="157"/>
        <v>0</v>
      </c>
      <c r="CK175" s="2">
        <f t="shared" si="157"/>
        <v>0</v>
      </c>
      <c r="CL175" s="2">
        <f t="shared" si="157"/>
        <v>0</v>
      </c>
      <c r="CM175" s="2">
        <f t="shared" si="157"/>
        <v>0</v>
      </c>
      <c r="CN175" s="2">
        <f t="shared" si="157"/>
        <v>0</v>
      </c>
      <c r="CO175" s="2">
        <f t="shared" si="157"/>
        <v>0</v>
      </c>
      <c r="CP175" s="2">
        <f t="shared" si="157"/>
        <v>0</v>
      </c>
      <c r="CQ175" s="2">
        <f t="shared" si="157"/>
        <v>0</v>
      </c>
      <c r="CR175" s="2">
        <f t="shared" si="157"/>
        <v>0</v>
      </c>
      <c r="CS175" s="2">
        <f t="shared" si="157"/>
        <v>0</v>
      </c>
      <c r="CT175" s="2">
        <f t="shared" si="157"/>
        <v>0</v>
      </c>
      <c r="CU175" s="2">
        <f t="shared" si="157"/>
        <v>0</v>
      </c>
      <c r="CV175" s="2">
        <f t="shared" si="157"/>
        <v>0</v>
      </c>
      <c r="CW175" s="2">
        <f t="shared" si="157"/>
        <v>0</v>
      </c>
      <c r="CX175" s="2">
        <f t="shared" si="157"/>
        <v>0</v>
      </c>
      <c r="CY175" s="2">
        <f t="shared" si="157"/>
        <v>0</v>
      </c>
      <c r="CZ175" s="2">
        <f t="shared" si="157"/>
        <v>0</v>
      </c>
      <c r="DA175" s="2">
        <f t="shared" si="157"/>
        <v>0</v>
      </c>
      <c r="DB175" s="2">
        <f t="shared" si="157"/>
        <v>0</v>
      </c>
      <c r="DC175" s="2">
        <f t="shared" si="157"/>
        <v>0</v>
      </c>
      <c r="DD175" s="2">
        <f t="shared" si="157"/>
        <v>0</v>
      </c>
      <c r="DE175" s="2">
        <f t="shared" si="157"/>
        <v>0</v>
      </c>
      <c r="DF175" s="2">
        <f t="shared" si="157"/>
        <v>0</v>
      </c>
      <c r="DG175" s="3">
        <f t="shared" ref="DG175:EL175" si="158">DG190</f>
        <v>0</v>
      </c>
      <c r="DH175" s="3">
        <f t="shared" si="158"/>
        <v>0</v>
      </c>
      <c r="DI175" s="3">
        <f t="shared" si="158"/>
        <v>0</v>
      </c>
      <c r="DJ175" s="3">
        <f t="shared" si="158"/>
        <v>0</v>
      </c>
      <c r="DK175" s="3">
        <f t="shared" si="158"/>
        <v>0</v>
      </c>
      <c r="DL175" s="3">
        <f t="shared" si="158"/>
        <v>0</v>
      </c>
      <c r="DM175" s="3">
        <f t="shared" si="158"/>
        <v>0</v>
      </c>
      <c r="DN175" s="3">
        <f t="shared" si="158"/>
        <v>0</v>
      </c>
      <c r="DO175" s="3">
        <f t="shared" si="158"/>
        <v>0</v>
      </c>
      <c r="DP175" s="3">
        <f t="shared" si="158"/>
        <v>0</v>
      </c>
      <c r="DQ175" s="3">
        <f t="shared" si="158"/>
        <v>0</v>
      </c>
      <c r="DR175" s="3">
        <f t="shared" si="158"/>
        <v>0</v>
      </c>
      <c r="DS175" s="3">
        <f t="shared" si="158"/>
        <v>0</v>
      </c>
      <c r="DT175" s="3">
        <f t="shared" si="158"/>
        <v>0</v>
      </c>
      <c r="DU175" s="3">
        <f t="shared" si="158"/>
        <v>0</v>
      </c>
      <c r="DV175" s="3">
        <f t="shared" si="158"/>
        <v>0</v>
      </c>
      <c r="DW175" s="3">
        <f t="shared" si="158"/>
        <v>0</v>
      </c>
      <c r="DX175" s="3">
        <f t="shared" si="158"/>
        <v>0</v>
      </c>
      <c r="DY175" s="3">
        <f t="shared" si="158"/>
        <v>0</v>
      </c>
      <c r="DZ175" s="3">
        <f t="shared" si="158"/>
        <v>0</v>
      </c>
      <c r="EA175" s="3">
        <f t="shared" si="158"/>
        <v>0</v>
      </c>
      <c r="EB175" s="3">
        <f t="shared" si="158"/>
        <v>0</v>
      </c>
      <c r="EC175" s="3">
        <f t="shared" si="158"/>
        <v>0</v>
      </c>
      <c r="ED175" s="3">
        <f t="shared" si="158"/>
        <v>0</v>
      </c>
      <c r="EE175" s="3">
        <f t="shared" si="158"/>
        <v>0</v>
      </c>
      <c r="EF175" s="3">
        <f t="shared" si="158"/>
        <v>0</v>
      </c>
      <c r="EG175" s="3">
        <f t="shared" si="158"/>
        <v>0</v>
      </c>
      <c r="EH175" s="3">
        <f t="shared" si="158"/>
        <v>0</v>
      </c>
      <c r="EI175" s="3">
        <f t="shared" si="158"/>
        <v>0</v>
      </c>
      <c r="EJ175" s="3">
        <f t="shared" si="158"/>
        <v>0</v>
      </c>
      <c r="EK175" s="3">
        <f t="shared" si="158"/>
        <v>0</v>
      </c>
      <c r="EL175" s="3">
        <f t="shared" si="158"/>
        <v>0</v>
      </c>
      <c r="EM175" s="3">
        <f t="shared" ref="EM175:FR175" si="159">EM190</f>
        <v>0</v>
      </c>
      <c r="EN175" s="3">
        <f t="shared" si="159"/>
        <v>0</v>
      </c>
      <c r="EO175" s="3">
        <f t="shared" si="159"/>
        <v>0</v>
      </c>
      <c r="EP175" s="3">
        <f t="shared" si="159"/>
        <v>0</v>
      </c>
      <c r="EQ175" s="3">
        <f t="shared" si="159"/>
        <v>0</v>
      </c>
      <c r="ER175" s="3">
        <f t="shared" si="159"/>
        <v>0</v>
      </c>
      <c r="ES175" s="3">
        <f t="shared" si="159"/>
        <v>0</v>
      </c>
      <c r="ET175" s="3">
        <f t="shared" si="159"/>
        <v>0</v>
      </c>
      <c r="EU175" s="3">
        <f t="shared" si="159"/>
        <v>0</v>
      </c>
      <c r="EV175" s="3">
        <f t="shared" si="159"/>
        <v>0</v>
      </c>
      <c r="EW175" s="3">
        <f t="shared" si="159"/>
        <v>0</v>
      </c>
      <c r="EX175" s="3">
        <f t="shared" si="159"/>
        <v>0</v>
      </c>
      <c r="EY175" s="3">
        <f t="shared" si="159"/>
        <v>0</v>
      </c>
      <c r="EZ175" s="3">
        <f t="shared" si="159"/>
        <v>0</v>
      </c>
      <c r="FA175" s="3">
        <f t="shared" si="159"/>
        <v>0</v>
      </c>
      <c r="FB175" s="3">
        <f t="shared" si="159"/>
        <v>0</v>
      </c>
      <c r="FC175" s="3">
        <f t="shared" si="159"/>
        <v>0</v>
      </c>
      <c r="FD175" s="3">
        <f t="shared" si="159"/>
        <v>0</v>
      </c>
      <c r="FE175" s="3">
        <f t="shared" si="159"/>
        <v>0</v>
      </c>
      <c r="FF175" s="3">
        <f t="shared" si="159"/>
        <v>0</v>
      </c>
      <c r="FG175" s="3">
        <f t="shared" si="159"/>
        <v>0</v>
      </c>
      <c r="FH175" s="3">
        <f t="shared" si="159"/>
        <v>0</v>
      </c>
      <c r="FI175" s="3">
        <f t="shared" si="159"/>
        <v>0</v>
      </c>
      <c r="FJ175" s="3">
        <f t="shared" si="159"/>
        <v>0</v>
      </c>
      <c r="FK175" s="3">
        <f t="shared" si="159"/>
        <v>0</v>
      </c>
      <c r="FL175" s="3">
        <f t="shared" si="159"/>
        <v>0</v>
      </c>
      <c r="FM175" s="3">
        <f t="shared" si="159"/>
        <v>0</v>
      </c>
      <c r="FN175" s="3">
        <f t="shared" si="159"/>
        <v>0</v>
      </c>
      <c r="FO175" s="3">
        <f t="shared" si="159"/>
        <v>0</v>
      </c>
      <c r="FP175" s="3">
        <f t="shared" si="159"/>
        <v>0</v>
      </c>
      <c r="FQ175" s="3">
        <f t="shared" si="159"/>
        <v>0</v>
      </c>
      <c r="FR175" s="3">
        <f t="shared" si="159"/>
        <v>0</v>
      </c>
      <c r="FS175" s="3">
        <f t="shared" ref="FS175:GX175" si="160">FS190</f>
        <v>0</v>
      </c>
      <c r="FT175" s="3">
        <f t="shared" si="160"/>
        <v>0</v>
      </c>
      <c r="FU175" s="3">
        <f t="shared" si="160"/>
        <v>0</v>
      </c>
      <c r="FV175" s="3">
        <f t="shared" si="160"/>
        <v>0</v>
      </c>
      <c r="FW175" s="3">
        <f t="shared" si="160"/>
        <v>0</v>
      </c>
      <c r="FX175" s="3">
        <f t="shared" si="160"/>
        <v>0</v>
      </c>
      <c r="FY175" s="3">
        <f t="shared" si="160"/>
        <v>0</v>
      </c>
      <c r="FZ175" s="3">
        <f t="shared" si="160"/>
        <v>0</v>
      </c>
      <c r="GA175" s="3">
        <f t="shared" si="160"/>
        <v>0</v>
      </c>
      <c r="GB175" s="3">
        <f t="shared" si="160"/>
        <v>0</v>
      </c>
      <c r="GC175" s="3">
        <f t="shared" si="160"/>
        <v>0</v>
      </c>
      <c r="GD175" s="3">
        <f t="shared" si="160"/>
        <v>0</v>
      </c>
      <c r="GE175" s="3">
        <f t="shared" si="160"/>
        <v>0</v>
      </c>
      <c r="GF175" s="3">
        <f t="shared" si="160"/>
        <v>0</v>
      </c>
      <c r="GG175" s="3">
        <f t="shared" si="160"/>
        <v>0</v>
      </c>
      <c r="GH175" s="3">
        <f t="shared" si="160"/>
        <v>0</v>
      </c>
      <c r="GI175" s="3">
        <f t="shared" si="160"/>
        <v>0</v>
      </c>
      <c r="GJ175" s="3">
        <f t="shared" si="160"/>
        <v>0</v>
      </c>
      <c r="GK175" s="3">
        <f t="shared" si="160"/>
        <v>0</v>
      </c>
      <c r="GL175" s="3">
        <f t="shared" si="160"/>
        <v>0</v>
      </c>
      <c r="GM175" s="3">
        <f t="shared" si="160"/>
        <v>0</v>
      </c>
      <c r="GN175" s="3">
        <f t="shared" si="160"/>
        <v>0</v>
      </c>
      <c r="GO175" s="3">
        <f t="shared" si="160"/>
        <v>0</v>
      </c>
      <c r="GP175" s="3">
        <f t="shared" si="160"/>
        <v>0</v>
      </c>
      <c r="GQ175" s="3">
        <f t="shared" si="160"/>
        <v>0</v>
      </c>
      <c r="GR175" s="3">
        <f t="shared" si="160"/>
        <v>0</v>
      </c>
      <c r="GS175" s="3">
        <f t="shared" si="160"/>
        <v>0</v>
      </c>
      <c r="GT175" s="3">
        <f t="shared" si="160"/>
        <v>0</v>
      </c>
      <c r="GU175" s="3">
        <f t="shared" si="160"/>
        <v>0</v>
      </c>
      <c r="GV175" s="3">
        <f t="shared" si="160"/>
        <v>0</v>
      </c>
      <c r="GW175" s="3">
        <f t="shared" si="160"/>
        <v>0</v>
      </c>
      <c r="GX175" s="3">
        <f t="shared" si="160"/>
        <v>0</v>
      </c>
    </row>
    <row r="177" spans="1:245" x14ac:dyDescent="0.2">
      <c r="A177">
        <v>17</v>
      </c>
      <c r="B177">
        <v>1</v>
      </c>
      <c r="C177">
        <f>ROW(SmtRes!A101)</f>
        <v>101</v>
      </c>
      <c r="D177">
        <f>ROW(EtalonRes!A97)</f>
        <v>97</v>
      </c>
      <c r="E177" t="s">
        <v>3</v>
      </c>
      <c r="F177" t="s">
        <v>199</v>
      </c>
      <c r="G177" t="s">
        <v>200</v>
      </c>
      <c r="H177" t="s">
        <v>201</v>
      </c>
      <c r="I177">
        <f>ROUND(4/100,4)</f>
        <v>0.04</v>
      </c>
      <c r="J177">
        <v>0</v>
      </c>
      <c r="O177">
        <f t="shared" ref="O177:O188" si="161">ROUND(CP177,2)</f>
        <v>1946.57</v>
      </c>
      <c r="P177">
        <f t="shared" ref="P177:P188" si="162">ROUND(CQ177*I177,2)</f>
        <v>0</v>
      </c>
      <c r="Q177">
        <f t="shared" ref="Q177:Q188" si="163">ROUND(CR177*I177,2)</f>
        <v>0</v>
      </c>
      <c r="R177">
        <f t="shared" ref="R177:R188" si="164">ROUND(CS177*I177,2)</f>
        <v>0</v>
      </c>
      <c r="S177">
        <f t="shared" ref="S177:S188" si="165">ROUND(CT177*I177,2)</f>
        <v>1946.57</v>
      </c>
      <c r="T177">
        <f t="shared" ref="T177:T188" si="166">ROUND(CU177*I177,2)</f>
        <v>0</v>
      </c>
      <c r="U177">
        <f t="shared" ref="U177:U188" si="167">CV177*I177</f>
        <v>10.4</v>
      </c>
      <c r="V177">
        <f t="shared" ref="V177:V188" si="168">CW177*I177</f>
        <v>0</v>
      </c>
      <c r="W177">
        <f t="shared" ref="W177:W188" si="169">ROUND(CX177*I177,2)</f>
        <v>0</v>
      </c>
      <c r="X177">
        <f t="shared" ref="X177:X188" si="170">ROUND(CY177,2)</f>
        <v>1362.6</v>
      </c>
      <c r="Y177">
        <f t="shared" ref="Y177:Y188" si="171">ROUND(CZ177,2)</f>
        <v>194.66</v>
      </c>
      <c r="AA177">
        <v>-1</v>
      </c>
      <c r="AB177">
        <f t="shared" ref="AB177:AB188" si="172">ROUND((AC177+AD177+AF177),6)</f>
        <v>48664.2</v>
      </c>
      <c r="AC177">
        <f t="shared" ref="AC177:AC188" si="173">ROUND((ES177),6)</f>
        <v>0</v>
      </c>
      <c r="AD177">
        <f>ROUND((((ET177)-(EU177))+AE177),6)</f>
        <v>0</v>
      </c>
      <c r="AE177">
        <f t="shared" ref="AE177:AF180" si="174">ROUND((EU177),6)</f>
        <v>0</v>
      </c>
      <c r="AF177">
        <f t="shared" si="174"/>
        <v>48664.2</v>
      </c>
      <c r="AG177">
        <f t="shared" ref="AG177:AG188" si="175">ROUND((AP177),6)</f>
        <v>0</v>
      </c>
      <c r="AH177">
        <f t="shared" ref="AH177:AI180" si="176">(EW177)</f>
        <v>260</v>
      </c>
      <c r="AI177">
        <f t="shared" si="176"/>
        <v>0</v>
      </c>
      <c r="AJ177">
        <f t="shared" ref="AJ177:AJ188" si="177">(AS177)</f>
        <v>0</v>
      </c>
      <c r="AK177">
        <v>48664.2</v>
      </c>
      <c r="AL177">
        <v>0</v>
      </c>
      <c r="AM177">
        <v>0</v>
      </c>
      <c r="AN177">
        <v>0</v>
      </c>
      <c r="AO177">
        <v>48664.2</v>
      </c>
      <c r="AP177">
        <v>0</v>
      </c>
      <c r="AQ177">
        <v>260</v>
      </c>
      <c r="AR177">
        <v>0</v>
      </c>
      <c r="AS177">
        <v>0</v>
      </c>
      <c r="AT177">
        <v>70</v>
      </c>
      <c r="AU177">
        <v>10</v>
      </c>
      <c r="AV177">
        <v>1</v>
      </c>
      <c r="AW177">
        <v>1</v>
      </c>
      <c r="AZ177">
        <v>1</v>
      </c>
      <c r="BA177">
        <v>1</v>
      </c>
      <c r="BB177">
        <v>1</v>
      </c>
      <c r="BC177">
        <v>1</v>
      </c>
      <c r="BD177" t="s">
        <v>3</v>
      </c>
      <c r="BE177" t="s">
        <v>3</v>
      </c>
      <c r="BF177" t="s">
        <v>3</v>
      </c>
      <c r="BG177" t="s">
        <v>3</v>
      </c>
      <c r="BH177">
        <v>0</v>
      </c>
      <c r="BI177">
        <v>4</v>
      </c>
      <c r="BJ177" t="s">
        <v>202</v>
      </c>
      <c r="BM177">
        <v>0</v>
      </c>
      <c r="BN177">
        <v>0</v>
      </c>
      <c r="BO177" t="s">
        <v>3</v>
      </c>
      <c r="BP177">
        <v>0</v>
      </c>
      <c r="BQ177">
        <v>1</v>
      </c>
      <c r="BR177">
        <v>0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 t="s">
        <v>3</v>
      </c>
      <c r="BZ177">
        <v>70</v>
      </c>
      <c r="CA177">
        <v>10</v>
      </c>
      <c r="CE177">
        <v>0</v>
      </c>
      <c r="CF177">
        <v>0</v>
      </c>
      <c r="CG177">
        <v>0</v>
      </c>
      <c r="CM177">
        <v>0</v>
      </c>
      <c r="CN177" t="s">
        <v>3</v>
      </c>
      <c r="CO177">
        <v>0</v>
      </c>
      <c r="CP177">
        <f t="shared" ref="CP177:CP188" si="178">(P177+Q177+S177)</f>
        <v>1946.57</v>
      </c>
      <c r="CQ177">
        <f t="shared" ref="CQ177:CQ186" si="179">(AC177*BC177*AW177)</f>
        <v>0</v>
      </c>
      <c r="CR177">
        <f>((((ET177)*BB177-(EU177)*BS177)+AE177*BS177)*AV177)</f>
        <v>0</v>
      </c>
      <c r="CS177">
        <f t="shared" ref="CS177:CS186" si="180">(AE177*BS177*AV177)</f>
        <v>0</v>
      </c>
      <c r="CT177">
        <f t="shared" ref="CT177:CT186" si="181">(AF177*BA177*AV177)</f>
        <v>48664.2</v>
      </c>
      <c r="CU177">
        <f t="shared" ref="CU177:CU188" si="182">AG177</f>
        <v>0</v>
      </c>
      <c r="CV177">
        <f t="shared" ref="CV177:CV186" si="183">(AH177*AV177)</f>
        <v>260</v>
      </c>
      <c r="CW177">
        <f t="shared" ref="CW177:CW188" si="184">AI177</f>
        <v>0</v>
      </c>
      <c r="CX177">
        <f t="shared" ref="CX177:CX188" si="185">AJ177</f>
        <v>0</v>
      </c>
      <c r="CY177">
        <f t="shared" ref="CY177:CY186" si="186">((S177*BZ177)/100)</f>
        <v>1362.5989999999999</v>
      </c>
      <c r="CZ177">
        <f t="shared" ref="CZ177:CZ186" si="187">((S177*CA177)/100)</f>
        <v>194.65700000000001</v>
      </c>
      <c r="DC177" t="s">
        <v>3</v>
      </c>
      <c r="DD177" t="s">
        <v>3</v>
      </c>
      <c r="DE177" t="s">
        <v>3</v>
      </c>
      <c r="DF177" t="s">
        <v>3</v>
      </c>
      <c r="DG177" t="s">
        <v>3</v>
      </c>
      <c r="DH177" t="s">
        <v>3</v>
      </c>
      <c r="DI177" t="s">
        <v>3</v>
      </c>
      <c r="DJ177" t="s">
        <v>3</v>
      </c>
      <c r="DK177" t="s">
        <v>3</v>
      </c>
      <c r="DL177" t="s">
        <v>3</v>
      </c>
      <c r="DM177" t="s">
        <v>3</v>
      </c>
      <c r="DN177">
        <v>0</v>
      </c>
      <c r="DO177">
        <v>0</v>
      </c>
      <c r="DP177">
        <v>1</v>
      </c>
      <c r="DQ177">
        <v>1</v>
      </c>
      <c r="DU177">
        <v>1013</v>
      </c>
      <c r="DV177" t="s">
        <v>201</v>
      </c>
      <c r="DW177" t="s">
        <v>201</v>
      </c>
      <c r="DX177">
        <v>1</v>
      </c>
      <c r="DZ177" t="s">
        <v>3</v>
      </c>
      <c r="EA177" t="s">
        <v>3</v>
      </c>
      <c r="EB177" t="s">
        <v>3</v>
      </c>
      <c r="EC177" t="s">
        <v>3</v>
      </c>
      <c r="EE177">
        <v>49145957</v>
      </c>
      <c r="EF177">
        <v>1</v>
      </c>
      <c r="EG177" t="s">
        <v>32</v>
      </c>
      <c r="EH177">
        <v>0</v>
      </c>
      <c r="EI177" t="s">
        <v>3</v>
      </c>
      <c r="EJ177">
        <v>4</v>
      </c>
      <c r="EK177">
        <v>0</v>
      </c>
      <c r="EL177" t="s">
        <v>33</v>
      </c>
      <c r="EM177" t="s">
        <v>34</v>
      </c>
      <c r="EO177" t="s">
        <v>3</v>
      </c>
      <c r="EQ177">
        <v>1024</v>
      </c>
      <c r="ER177">
        <v>48664.2</v>
      </c>
      <c r="ES177">
        <v>0</v>
      </c>
      <c r="ET177">
        <v>0</v>
      </c>
      <c r="EU177">
        <v>0</v>
      </c>
      <c r="EV177">
        <v>48664.2</v>
      </c>
      <c r="EW177">
        <v>260</v>
      </c>
      <c r="EX177">
        <v>0</v>
      </c>
      <c r="EY177">
        <v>0</v>
      </c>
      <c r="FQ177">
        <v>0</v>
      </c>
      <c r="FR177">
        <f t="shared" ref="FR177:FR188" si="188">ROUND(IF(AND(BH177=3,BI177=3),P177,0),2)</f>
        <v>0</v>
      </c>
      <c r="FS177">
        <v>0</v>
      </c>
      <c r="FX177">
        <v>70</v>
      </c>
      <c r="FY177">
        <v>10</v>
      </c>
      <c r="GA177" t="s">
        <v>3</v>
      </c>
      <c r="GD177">
        <v>0</v>
      </c>
      <c r="GF177">
        <v>-1997720599</v>
      </c>
      <c r="GG177">
        <v>2</v>
      </c>
      <c r="GH177">
        <v>1</v>
      </c>
      <c r="GI177">
        <v>-2</v>
      </c>
      <c r="GJ177">
        <v>0</v>
      </c>
      <c r="GK177">
        <f>ROUND(R177*(R12)/100,2)</f>
        <v>0</v>
      </c>
      <c r="GL177">
        <f t="shared" ref="GL177:GL188" si="189">ROUND(IF(AND(BH177=3,BI177=3,FS177&lt;&gt;0),P177,0),2)</f>
        <v>0</v>
      </c>
      <c r="GM177">
        <f>ROUND(O177+X177+Y177+GK177,2)+GX177</f>
        <v>3503.83</v>
      </c>
      <c r="GN177">
        <f>IF(OR(BI177=0,BI177=1),ROUND(O177+X177+Y177+GK177,2),0)</f>
        <v>0</v>
      </c>
      <c r="GO177">
        <f>IF(BI177=2,ROUND(O177+X177+Y177+GK177,2),0)</f>
        <v>0</v>
      </c>
      <c r="GP177">
        <f>IF(BI177=4,ROUND(O177+X177+Y177+GK177,2)+GX177,0)</f>
        <v>3503.83</v>
      </c>
      <c r="GR177">
        <v>0</v>
      </c>
      <c r="GS177">
        <v>3</v>
      </c>
      <c r="GT177">
        <v>0</v>
      </c>
      <c r="GU177" t="s">
        <v>3</v>
      </c>
      <c r="GV177">
        <f t="shared" ref="GV177:GV188" si="190">ROUND((GT177),6)</f>
        <v>0</v>
      </c>
      <c r="GW177">
        <v>1</v>
      </c>
      <c r="GX177">
        <f t="shared" ref="GX177:GX188" si="191">ROUND(HC177*I177,2)</f>
        <v>0</v>
      </c>
      <c r="HA177">
        <v>0</v>
      </c>
      <c r="HB177">
        <v>0</v>
      </c>
      <c r="HC177">
        <f t="shared" ref="HC177:HC188" si="192">GV177*GW177</f>
        <v>0</v>
      </c>
      <c r="HE177" t="s">
        <v>3</v>
      </c>
      <c r="HF177" t="s">
        <v>3</v>
      </c>
      <c r="IK177">
        <v>0</v>
      </c>
    </row>
    <row r="178" spans="1:245" x14ac:dyDescent="0.2">
      <c r="A178">
        <v>17</v>
      </c>
      <c r="B178">
        <v>1</v>
      </c>
      <c r="C178">
        <f>ROW(SmtRes!A102)</f>
        <v>102</v>
      </c>
      <c r="D178">
        <f>ROW(EtalonRes!A98)</f>
        <v>98</v>
      </c>
      <c r="E178" t="s">
        <v>234</v>
      </c>
      <c r="F178" t="s">
        <v>204</v>
      </c>
      <c r="G178" t="s">
        <v>205</v>
      </c>
      <c r="H178" t="s">
        <v>201</v>
      </c>
      <c r="I178">
        <f>ROUND(6/100,4)</f>
        <v>0.06</v>
      </c>
      <c r="J178">
        <v>0</v>
      </c>
      <c r="O178">
        <f t="shared" si="161"/>
        <v>5904.97</v>
      </c>
      <c r="P178">
        <f t="shared" si="162"/>
        <v>0</v>
      </c>
      <c r="Q178">
        <f t="shared" si="163"/>
        <v>0</v>
      </c>
      <c r="R178">
        <f t="shared" si="164"/>
        <v>0</v>
      </c>
      <c r="S178">
        <f t="shared" si="165"/>
        <v>5904.97</v>
      </c>
      <c r="T178">
        <f t="shared" si="166"/>
        <v>0</v>
      </c>
      <c r="U178">
        <f t="shared" si="167"/>
        <v>34.92</v>
      </c>
      <c r="V178">
        <f t="shared" si="168"/>
        <v>0</v>
      </c>
      <c r="W178">
        <f t="shared" si="169"/>
        <v>0</v>
      </c>
      <c r="X178">
        <f t="shared" si="170"/>
        <v>4133.4799999999996</v>
      </c>
      <c r="Y178">
        <f t="shared" si="171"/>
        <v>590.5</v>
      </c>
      <c r="AA178">
        <v>49707740</v>
      </c>
      <c r="AB178">
        <f t="shared" si="172"/>
        <v>98416.2</v>
      </c>
      <c r="AC178">
        <f t="shared" si="173"/>
        <v>0</v>
      </c>
      <c r="AD178">
        <f>ROUND((((ET178)-(EU178))+AE178),6)</f>
        <v>0</v>
      </c>
      <c r="AE178">
        <f t="shared" si="174"/>
        <v>0</v>
      </c>
      <c r="AF178">
        <f t="shared" si="174"/>
        <v>98416.2</v>
      </c>
      <c r="AG178">
        <f t="shared" si="175"/>
        <v>0</v>
      </c>
      <c r="AH178">
        <f t="shared" si="176"/>
        <v>582</v>
      </c>
      <c r="AI178">
        <f t="shared" si="176"/>
        <v>0</v>
      </c>
      <c r="AJ178">
        <f t="shared" si="177"/>
        <v>0</v>
      </c>
      <c r="AK178">
        <v>98416.2</v>
      </c>
      <c r="AL178">
        <v>0</v>
      </c>
      <c r="AM178">
        <v>0</v>
      </c>
      <c r="AN178">
        <v>0</v>
      </c>
      <c r="AO178">
        <v>98416.2</v>
      </c>
      <c r="AP178">
        <v>0</v>
      </c>
      <c r="AQ178">
        <v>582</v>
      </c>
      <c r="AR178">
        <v>0</v>
      </c>
      <c r="AS178">
        <v>0</v>
      </c>
      <c r="AT178">
        <v>70</v>
      </c>
      <c r="AU178">
        <v>10</v>
      </c>
      <c r="AV178">
        <v>1</v>
      </c>
      <c r="AW178">
        <v>1</v>
      </c>
      <c r="AZ178">
        <v>1</v>
      </c>
      <c r="BA178">
        <v>1</v>
      </c>
      <c r="BB178">
        <v>1</v>
      </c>
      <c r="BC178">
        <v>1</v>
      </c>
      <c r="BD178" t="s">
        <v>3</v>
      </c>
      <c r="BE178" t="s">
        <v>3</v>
      </c>
      <c r="BF178" t="s">
        <v>3</v>
      </c>
      <c r="BG178" t="s">
        <v>3</v>
      </c>
      <c r="BH178">
        <v>0</v>
      </c>
      <c r="BI178">
        <v>4</v>
      </c>
      <c r="BJ178" t="s">
        <v>206</v>
      </c>
      <c r="BM178">
        <v>0</v>
      </c>
      <c r="BN178">
        <v>0</v>
      </c>
      <c r="BO178" t="s">
        <v>3</v>
      </c>
      <c r="BP178">
        <v>0</v>
      </c>
      <c r="BQ178">
        <v>1</v>
      </c>
      <c r="BR178">
        <v>0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 t="s">
        <v>3</v>
      </c>
      <c r="BZ178">
        <v>70</v>
      </c>
      <c r="CA178">
        <v>10</v>
      </c>
      <c r="CE178">
        <v>0</v>
      </c>
      <c r="CF178">
        <v>0</v>
      </c>
      <c r="CG178">
        <v>0</v>
      </c>
      <c r="CM178">
        <v>0</v>
      </c>
      <c r="CN178" t="s">
        <v>3</v>
      </c>
      <c r="CO178">
        <v>0</v>
      </c>
      <c r="CP178">
        <f t="shared" si="178"/>
        <v>5904.97</v>
      </c>
      <c r="CQ178">
        <f t="shared" si="179"/>
        <v>0</v>
      </c>
      <c r="CR178">
        <f>((((ET178)*BB178-(EU178)*BS178)+AE178*BS178)*AV178)</f>
        <v>0</v>
      </c>
      <c r="CS178">
        <f t="shared" si="180"/>
        <v>0</v>
      </c>
      <c r="CT178">
        <f t="shared" si="181"/>
        <v>98416.2</v>
      </c>
      <c r="CU178">
        <f t="shared" si="182"/>
        <v>0</v>
      </c>
      <c r="CV178">
        <f t="shared" si="183"/>
        <v>582</v>
      </c>
      <c r="CW178">
        <f t="shared" si="184"/>
        <v>0</v>
      </c>
      <c r="CX178">
        <f t="shared" si="185"/>
        <v>0</v>
      </c>
      <c r="CY178">
        <f t="shared" si="186"/>
        <v>4133.4790000000003</v>
      </c>
      <c r="CZ178">
        <f t="shared" si="187"/>
        <v>590.49700000000007</v>
      </c>
      <c r="DC178" t="s">
        <v>3</v>
      </c>
      <c r="DD178" t="s">
        <v>3</v>
      </c>
      <c r="DE178" t="s">
        <v>3</v>
      </c>
      <c r="DF178" t="s">
        <v>3</v>
      </c>
      <c r="DG178" t="s">
        <v>3</v>
      </c>
      <c r="DH178" t="s">
        <v>3</v>
      </c>
      <c r="DI178" t="s">
        <v>3</v>
      </c>
      <c r="DJ178" t="s">
        <v>3</v>
      </c>
      <c r="DK178" t="s">
        <v>3</v>
      </c>
      <c r="DL178" t="s">
        <v>3</v>
      </c>
      <c r="DM178" t="s">
        <v>3</v>
      </c>
      <c r="DN178">
        <v>0</v>
      </c>
      <c r="DO178">
        <v>0</v>
      </c>
      <c r="DP178">
        <v>1</v>
      </c>
      <c r="DQ178">
        <v>1</v>
      </c>
      <c r="DU178">
        <v>1013</v>
      </c>
      <c r="DV178" t="s">
        <v>201</v>
      </c>
      <c r="DW178" t="s">
        <v>201</v>
      </c>
      <c r="DX178">
        <v>1</v>
      </c>
      <c r="DZ178" t="s">
        <v>3</v>
      </c>
      <c r="EA178" t="s">
        <v>3</v>
      </c>
      <c r="EB178" t="s">
        <v>3</v>
      </c>
      <c r="EC178" t="s">
        <v>3</v>
      </c>
      <c r="EE178">
        <v>49145957</v>
      </c>
      <c r="EF178">
        <v>1</v>
      </c>
      <c r="EG178" t="s">
        <v>32</v>
      </c>
      <c r="EH178">
        <v>0</v>
      </c>
      <c r="EI178" t="s">
        <v>3</v>
      </c>
      <c r="EJ178">
        <v>4</v>
      </c>
      <c r="EK178">
        <v>0</v>
      </c>
      <c r="EL178" t="s">
        <v>33</v>
      </c>
      <c r="EM178" t="s">
        <v>34</v>
      </c>
      <c r="EO178" t="s">
        <v>3</v>
      </c>
      <c r="EQ178">
        <v>0</v>
      </c>
      <c r="ER178">
        <v>98416.2</v>
      </c>
      <c r="ES178">
        <v>0</v>
      </c>
      <c r="ET178">
        <v>0</v>
      </c>
      <c r="EU178">
        <v>0</v>
      </c>
      <c r="EV178">
        <v>98416.2</v>
      </c>
      <c r="EW178">
        <v>582</v>
      </c>
      <c r="EX178">
        <v>0</v>
      </c>
      <c r="EY178">
        <v>0</v>
      </c>
      <c r="FQ178">
        <v>0</v>
      </c>
      <c r="FR178">
        <f t="shared" si="188"/>
        <v>0</v>
      </c>
      <c r="FS178">
        <v>0</v>
      </c>
      <c r="FX178">
        <v>70</v>
      </c>
      <c r="FY178">
        <v>10</v>
      </c>
      <c r="GA178" t="s">
        <v>3</v>
      </c>
      <c r="GD178">
        <v>0</v>
      </c>
      <c r="GF178">
        <v>1317440119</v>
      </c>
      <c r="GG178">
        <v>2</v>
      </c>
      <c r="GH178">
        <v>1</v>
      </c>
      <c r="GI178">
        <v>-2</v>
      </c>
      <c r="GJ178">
        <v>0</v>
      </c>
      <c r="GK178">
        <f>ROUND(R178*(R12)/100,2)</f>
        <v>0</v>
      </c>
      <c r="GL178">
        <f t="shared" si="189"/>
        <v>0</v>
      </c>
      <c r="GM178">
        <f>ROUND(O178+X178+Y178+GK178,2)+GX178</f>
        <v>10628.95</v>
      </c>
      <c r="GN178">
        <f>IF(OR(BI178=0,BI178=1),ROUND(O178+X178+Y178+GK178,2),0)</f>
        <v>0</v>
      </c>
      <c r="GO178">
        <f>IF(BI178=2,ROUND(O178+X178+Y178+GK178,2),0)</f>
        <v>0</v>
      </c>
      <c r="GP178">
        <f>IF(BI178=4,ROUND(O178+X178+Y178+GK178,2)+GX178,0)</f>
        <v>10628.95</v>
      </c>
      <c r="GR178">
        <v>0</v>
      </c>
      <c r="GS178">
        <v>3</v>
      </c>
      <c r="GT178">
        <v>0</v>
      </c>
      <c r="GU178" t="s">
        <v>3</v>
      </c>
      <c r="GV178">
        <f t="shared" si="190"/>
        <v>0</v>
      </c>
      <c r="GW178">
        <v>1</v>
      </c>
      <c r="GX178">
        <f t="shared" si="191"/>
        <v>0</v>
      </c>
      <c r="HA178">
        <v>0</v>
      </c>
      <c r="HB178">
        <v>0</v>
      </c>
      <c r="HC178">
        <f t="shared" si="192"/>
        <v>0</v>
      </c>
      <c r="HE178" t="s">
        <v>3</v>
      </c>
      <c r="HF178" t="s">
        <v>3</v>
      </c>
      <c r="IK178">
        <v>0</v>
      </c>
    </row>
    <row r="179" spans="1:245" x14ac:dyDescent="0.2">
      <c r="A179">
        <v>17</v>
      </c>
      <c r="B179">
        <v>1</v>
      </c>
      <c r="C179">
        <f>ROW(SmtRes!A103)</f>
        <v>103</v>
      </c>
      <c r="D179">
        <f>ROW(EtalonRes!A99)</f>
        <v>99</v>
      </c>
      <c r="E179" t="s">
        <v>235</v>
      </c>
      <c r="F179" t="s">
        <v>40</v>
      </c>
      <c r="G179" t="s">
        <v>41</v>
      </c>
      <c r="H179" t="s">
        <v>30</v>
      </c>
      <c r="I179">
        <f>ROUND(((0.3*0.3*0.5*4+0.3*0.3*0.7*2))/100,4)</f>
        <v>3.0999999999999999E-3</v>
      </c>
      <c r="J179">
        <v>0</v>
      </c>
      <c r="O179">
        <f t="shared" si="161"/>
        <v>34.5</v>
      </c>
      <c r="P179">
        <f t="shared" si="162"/>
        <v>0</v>
      </c>
      <c r="Q179">
        <f t="shared" si="163"/>
        <v>0</v>
      </c>
      <c r="R179">
        <f t="shared" si="164"/>
        <v>0</v>
      </c>
      <c r="S179">
        <f t="shared" si="165"/>
        <v>34.5</v>
      </c>
      <c r="T179">
        <f t="shared" si="166"/>
        <v>0</v>
      </c>
      <c r="U179">
        <f t="shared" si="167"/>
        <v>0.25729999999999997</v>
      </c>
      <c r="V179">
        <f t="shared" si="168"/>
        <v>0</v>
      </c>
      <c r="W179">
        <f t="shared" si="169"/>
        <v>0</v>
      </c>
      <c r="X179">
        <f t="shared" si="170"/>
        <v>24.15</v>
      </c>
      <c r="Y179">
        <f t="shared" si="171"/>
        <v>3.45</v>
      </c>
      <c r="AA179">
        <v>49707740</v>
      </c>
      <c r="AB179">
        <f t="shared" si="172"/>
        <v>11130.3</v>
      </c>
      <c r="AC179">
        <f t="shared" si="173"/>
        <v>0</v>
      </c>
      <c r="AD179">
        <f>ROUND((((ET179)-(EU179))+AE179),6)</f>
        <v>0</v>
      </c>
      <c r="AE179">
        <f t="shared" si="174"/>
        <v>0</v>
      </c>
      <c r="AF179">
        <f t="shared" si="174"/>
        <v>11130.3</v>
      </c>
      <c r="AG179">
        <f t="shared" si="175"/>
        <v>0</v>
      </c>
      <c r="AH179">
        <f t="shared" si="176"/>
        <v>83</v>
      </c>
      <c r="AI179">
        <f t="shared" si="176"/>
        <v>0</v>
      </c>
      <c r="AJ179">
        <f t="shared" si="177"/>
        <v>0</v>
      </c>
      <c r="AK179">
        <v>11130.3</v>
      </c>
      <c r="AL179">
        <v>0</v>
      </c>
      <c r="AM179">
        <v>0</v>
      </c>
      <c r="AN179">
        <v>0</v>
      </c>
      <c r="AO179">
        <v>11130.3</v>
      </c>
      <c r="AP179">
        <v>0</v>
      </c>
      <c r="AQ179">
        <v>83</v>
      </c>
      <c r="AR179">
        <v>0</v>
      </c>
      <c r="AS179">
        <v>0</v>
      </c>
      <c r="AT179">
        <v>70</v>
      </c>
      <c r="AU179">
        <v>10</v>
      </c>
      <c r="AV179">
        <v>1</v>
      </c>
      <c r="AW179">
        <v>1</v>
      </c>
      <c r="AZ179">
        <v>1</v>
      </c>
      <c r="BA179">
        <v>1</v>
      </c>
      <c r="BB179">
        <v>1</v>
      </c>
      <c r="BC179">
        <v>1</v>
      </c>
      <c r="BD179" t="s">
        <v>3</v>
      </c>
      <c r="BE179" t="s">
        <v>3</v>
      </c>
      <c r="BF179" t="s">
        <v>3</v>
      </c>
      <c r="BG179" t="s">
        <v>3</v>
      </c>
      <c r="BH179">
        <v>0</v>
      </c>
      <c r="BI179">
        <v>4</v>
      </c>
      <c r="BJ179" t="s">
        <v>42</v>
      </c>
      <c r="BM179">
        <v>0</v>
      </c>
      <c r="BN179">
        <v>0</v>
      </c>
      <c r="BO179" t="s">
        <v>3</v>
      </c>
      <c r="BP179">
        <v>0</v>
      </c>
      <c r="BQ179">
        <v>1</v>
      </c>
      <c r="BR179">
        <v>0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 t="s">
        <v>3</v>
      </c>
      <c r="BZ179">
        <v>70</v>
      </c>
      <c r="CA179">
        <v>10</v>
      </c>
      <c r="CE179">
        <v>0</v>
      </c>
      <c r="CF179">
        <v>0</v>
      </c>
      <c r="CG179">
        <v>0</v>
      </c>
      <c r="CM179">
        <v>0</v>
      </c>
      <c r="CN179" t="s">
        <v>3</v>
      </c>
      <c r="CO179">
        <v>0</v>
      </c>
      <c r="CP179">
        <f t="shared" si="178"/>
        <v>34.5</v>
      </c>
      <c r="CQ179">
        <f t="shared" si="179"/>
        <v>0</v>
      </c>
      <c r="CR179">
        <f>((((ET179)*BB179-(EU179)*BS179)+AE179*BS179)*AV179)</f>
        <v>0</v>
      </c>
      <c r="CS179">
        <f t="shared" si="180"/>
        <v>0</v>
      </c>
      <c r="CT179">
        <f t="shared" si="181"/>
        <v>11130.3</v>
      </c>
      <c r="CU179">
        <f t="shared" si="182"/>
        <v>0</v>
      </c>
      <c r="CV179">
        <f t="shared" si="183"/>
        <v>83</v>
      </c>
      <c r="CW179">
        <f t="shared" si="184"/>
        <v>0</v>
      </c>
      <c r="CX179">
        <f t="shared" si="185"/>
        <v>0</v>
      </c>
      <c r="CY179">
        <f t="shared" si="186"/>
        <v>24.15</v>
      </c>
      <c r="CZ179">
        <f t="shared" si="187"/>
        <v>3.45</v>
      </c>
      <c r="DC179" t="s">
        <v>3</v>
      </c>
      <c r="DD179" t="s">
        <v>3</v>
      </c>
      <c r="DE179" t="s">
        <v>3</v>
      </c>
      <c r="DF179" t="s">
        <v>3</v>
      </c>
      <c r="DG179" t="s">
        <v>3</v>
      </c>
      <c r="DH179" t="s">
        <v>3</v>
      </c>
      <c r="DI179" t="s">
        <v>3</v>
      </c>
      <c r="DJ179" t="s">
        <v>3</v>
      </c>
      <c r="DK179" t="s">
        <v>3</v>
      </c>
      <c r="DL179" t="s">
        <v>3</v>
      </c>
      <c r="DM179" t="s">
        <v>3</v>
      </c>
      <c r="DN179">
        <v>0</v>
      </c>
      <c r="DO179">
        <v>0</v>
      </c>
      <c r="DP179">
        <v>1</v>
      </c>
      <c r="DQ179">
        <v>1</v>
      </c>
      <c r="DU179">
        <v>1007</v>
      </c>
      <c r="DV179" t="s">
        <v>30</v>
      </c>
      <c r="DW179" t="s">
        <v>30</v>
      </c>
      <c r="DX179">
        <v>100</v>
      </c>
      <c r="DZ179" t="s">
        <v>3</v>
      </c>
      <c r="EA179" t="s">
        <v>3</v>
      </c>
      <c r="EB179" t="s">
        <v>3</v>
      </c>
      <c r="EC179" t="s">
        <v>3</v>
      </c>
      <c r="EE179">
        <v>49145957</v>
      </c>
      <c r="EF179">
        <v>1</v>
      </c>
      <c r="EG179" t="s">
        <v>32</v>
      </c>
      <c r="EH179">
        <v>0</v>
      </c>
      <c r="EI179" t="s">
        <v>3</v>
      </c>
      <c r="EJ179">
        <v>4</v>
      </c>
      <c r="EK179">
        <v>0</v>
      </c>
      <c r="EL179" t="s">
        <v>33</v>
      </c>
      <c r="EM179" t="s">
        <v>34</v>
      </c>
      <c r="EO179" t="s">
        <v>3</v>
      </c>
      <c r="EQ179">
        <v>0</v>
      </c>
      <c r="ER179">
        <v>11130.3</v>
      </c>
      <c r="ES179">
        <v>0</v>
      </c>
      <c r="ET179">
        <v>0</v>
      </c>
      <c r="EU179">
        <v>0</v>
      </c>
      <c r="EV179">
        <v>11130.3</v>
      </c>
      <c r="EW179">
        <v>83</v>
      </c>
      <c r="EX179">
        <v>0</v>
      </c>
      <c r="EY179">
        <v>0</v>
      </c>
      <c r="FQ179">
        <v>0</v>
      </c>
      <c r="FR179">
        <f t="shared" si="188"/>
        <v>0</v>
      </c>
      <c r="FS179">
        <v>0</v>
      </c>
      <c r="FX179">
        <v>70</v>
      </c>
      <c r="FY179">
        <v>10</v>
      </c>
      <c r="GA179" t="s">
        <v>3</v>
      </c>
      <c r="GD179">
        <v>0</v>
      </c>
      <c r="GF179">
        <v>-1624416853</v>
      </c>
      <c r="GG179">
        <v>2</v>
      </c>
      <c r="GH179">
        <v>1</v>
      </c>
      <c r="GI179">
        <v>-2</v>
      </c>
      <c r="GJ179">
        <v>0</v>
      </c>
      <c r="GK179">
        <f>ROUND(R179*(R12)/100,2)</f>
        <v>0</v>
      </c>
      <c r="GL179">
        <f t="shared" si="189"/>
        <v>0</v>
      </c>
      <c r="GM179">
        <f>ROUND(O179+X179+Y179+GK179,2)+GX179</f>
        <v>62.1</v>
      </c>
      <c r="GN179">
        <f>IF(OR(BI179=0,BI179=1),ROUND(O179+X179+Y179+GK179,2),0)</f>
        <v>0</v>
      </c>
      <c r="GO179">
        <f>IF(BI179=2,ROUND(O179+X179+Y179+GK179,2),0)</f>
        <v>0</v>
      </c>
      <c r="GP179">
        <f>IF(BI179=4,ROUND(O179+X179+Y179+GK179,2)+GX179,0)</f>
        <v>62.1</v>
      </c>
      <c r="GR179">
        <v>0</v>
      </c>
      <c r="GS179">
        <v>3</v>
      </c>
      <c r="GT179">
        <v>0</v>
      </c>
      <c r="GU179" t="s">
        <v>3</v>
      </c>
      <c r="GV179">
        <f t="shared" si="190"/>
        <v>0</v>
      </c>
      <c r="GW179">
        <v>1</v>
      </c>
      <c r="GX179">
        <f t="shared" si="191"/>
        <v>0</v>
      </c>
      <c r="HA179">
        <v>0</v>
      </c>
      <c r="HB179">
        <v>0</v>
      </c>
      <c r="HC179">
        <f t="shared" si="192"/>
        <v>0</v>
      </c>
      <c r="HE179" t="s">
        <v>3</v>
      </c>
      <c r="HF179" t="s">
        <v>3</v>
      </c>
      <c r="IK179">
        <v>0</v>
      </c>
    </row>
    <row r="180" spans="1:245" x14ac:dyDescent="0.2">
      <c r="A180">
        <v>17</v>
      </c>
      <c r="B180">
        <v>1</v>
      </c>
      <c r="C180">
        <f>ROW(SmtRes!A104)</f>
        <v>104</v>
      </c>
      <c r="D180">
        <f>ROW(EtalonRes!A100)</f>
        <v>100</v>
      </c>
      <c r="E180" t="s">
        <v>236</v>
      </c>
      <c r="F180" t="s">
        <v>44</v>
      </c>
      <c r="G180" t="s">
        <v>45</v>
      </c>
      <c r="H180" t="s">
        <v>46</v>
      </c>
      <c r="I180">
        <f>ROUND(I179*100,4)</f>
        <v>0.31</v>
      </c>
      <c r="J180">
        <v>0</v>
      </c>
      <c r="O180">
        <f t="shared" si="161"/>
        <v>14.65</v>
      </c>
      <c r="P180">
        <f t="shared" si="162"/>
        <v>0</v>
      </c>
      <c r="Q180">
        <f t="shared" si="163"/>
        <v>14.65</v>
      </c>
      <c r="R180">
        <f t="shared" si="164"/>
        <v>7.95</v>
      </c>
      <c r="S180">
        <f t="shared" si="165"/>
        <v>0</v>
      </c>
      <c r="T180">
        <f t="shared" si="166"/>
        <v>0</v>
      </c>
      <c r="U180">
        <f t="shared" si="167"/>
        <v>0</v>
      </c>
      <c r="V180">
        <f t="shared" si="168"/>
        <v>0</v>
      </c>
      <c r="W180">
        <f t="shared" si="169"/>
        <v>0</v>
      </c>
      <c r="X180">
        <f t="shared" si="170"/>
        <v>0</v>
      </c>
      <c r="Y180">
        <f t="shared" si="171"/>
        <v>0</v>
      </c>
      <c r="AA180">
        <v>49707740</v>
      </c>
      <c r="AB180">
        <f t="shared" si="172"/>
        <v>47.27</v>
      </c>
      <c r="AC180">
        <f t="shared" si="173"/>
        <v>0</v>
      </c>
      <c r="AD180">
        <f>ROUND((((ET180)-(EU180))+AE180),6)</f>
        <v>47.27</v>
      </c>
      <c r="AE180">
        <f t="shared" si="174"/>
        <v>25.66</v>
      </c>
      <c r="AF180">
        <f t="shared" si="174"/>
        <v>0</v>
      </c>
      <c r="AG180">
        <f t="shared" si="175"/>
        <v>0</v>
      </c>
      <c r="AH180">
        <f t="shared" si="176"/>
        <v>0</v>
      </c>
      <c r="AI180">
        <f t="shared" si="176"/>
        <v>0</v>
      </c>
      <c r="AJ180">
        <f t="shared" si="177"/>
        <v>0</v>
      </c>
      <c r="AK180">
        <v>47.27</v>
      </c>
      <c r="AL180">
        <v>0</v>
      </c>
      <c r="AM180">
        <v>47.27</v>
      </c>
      <c r="AN180">
        <v>25.66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1</v>
      </c>
      <c r="AW180">
        <v>1</v>
      </c>
      <c r="AZ180">
        <v>1</v>
      </c>
      <c r="BA180">
        <v>1</v>
      </c>
      <c r="BB180">
        <v>1</v>
      </c>
      <c r="BC180">
        <v>1</v>
      </c>
      <c r="BD180" t="s">
        <v>3</v>
      </c>
      <c r="BE180" t="s">
        <v>3</v>
      </c>
      <c r="BF180" t="s">
        <v>3</v>
      </c>
      <c r="BG180" t="s">
        <v>3</v>
      </c>
      <c r="BH180">
        <v>0</v>
      </c>
      <c r="BI180">
        <v>4</v>
      </c>
      <c r="BJ180" t="s">
        <v>209</v>
      </c>
      <c r="BM180">
        <v>1</v>
      </c>
      <c r="BN180">
        <v>0</v>
      </c>
      <c r="BO180" t="s">
        <v>3</v>
      </c>
      <c r="BP180">
        <v>0</v>
      </c>
      <c r="BQ180">
        <v>1</v>
      </c>
      <c r="BR180">
        <v>0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 t="s">
        <v>3</v>
      </c>
      <c r="BZ180">
        <v>0</v>
      </c>
      <c r="CA180">
        <v>0</v>
      </c>
      <c r="CE180">
        <v>0</v>
      </c>
      <c r="CF180">
        <v>0</v>
      </c>
      <c r="CG180">
        <v>0</v>
      </c>
      <c r="CM180">
        <v>0</v>
      </c>
      <c r="CN180" t="s">
        <v>3</v>
      </c>
      <c r="CO180">
        <v>0</v>
      </c>
      <c r="CP180">
        <f t="shared" si="178"/>
        <v>14.65</v>
      </c>
      <c r="CQ180">
        <f t="shared" si="179"/>
        <v>0</v>
      </c>
      <c r="CR180">
        <f>((((ET180)*BB180-(EU180)*BS180)+AE180*BS180)*AV180)</f>
        <v>47.27</v>
      </c>
      <c r="CS180">
        <f t="shared" si="180"/>
        <v>25.66</v>
      </c>
      <c r="CT180">
        <f t="shared" si="181"/>
        <v>0</v>
      </c>
      <c r="CU180">
        <f t="shared" si="182"/>
        <v>0</v>
      </c>
      <c r="CV180">
        <f t="shared" si="183"/>
        <v>0</v>
      </c>
      <c r="CW180">
        <f t="shared" si="184"/>
        <v>0</v>
      </c>
      <c r="CX180">
        <f t="shared" si="185"/>
        <v>0</v>
      </c>
      <c r="CY180">
        <f t="shared" si="186"/>
        <v>0</v>
      </c>
      <c r="CZ180">
        <f t="shared" si="187"/>
        <v>0</v>
      </c>
      <c r="DC180" t="s">
        <v>3</v>
      </c>
      <c r="DD180" t="s">
        <v>3</v>
      </c>
      <c r="DE180" t="s">
        <v>3</v>
      </c>
      <c r="DF180" t="s">
        <v>3</v>
      </c>
      <c r="DG180" t="s">
        <v>3</v>
      </c>
      <c r="DH180" t="s">
        <v>3</v>
      </c>
      <c r="DI180" t="s">
        <v>3</v>
      </c>
      <c r="DJ180" t="s">
        <v>3</v>
      </c>
      <c r="DK180" t="s">
        <v>3</v>
      </c>
      <c r="DL180" t="s">
        <v>3</v>
      </c>
      <c r="DM180" t="s">
        <v>3</v>
      </c>
      <c r="DN180">
        <v>0</v>
      </c>
      <c r="DO180">
        <v>0</v>
      </c>
      <c r="DP180">
        <v>1</v>
      </c>
      <c r="DQ180">
        <v>1</v>
      </c>
      <c r="DU180">
        <v>1007</v>
      </c>
      <c r="DV180" t="s">
        <v>46</v>
      </c>
      <c r="DW180" t="s">
        <v>46</v>
      </c>
      <c r="DX180">
        <v>1</v>
      </c>
      <c r="DZ180" t="s">
        <v>3</v>
      </c>
      <c r="EA180" t="s">
        <v>3</v>
      </c>
      <c r="EB180" t="s">
        <v>3</v>
      </c>
      <c r="EC180" t="s">
        <v>3</v>
      </c>
      <c r="EE180">
        <v>49145959</v>
      </c>
      <c r="EF180">
        <v>1</v>
      </c>
      <c r="EG180" t="s">
        <v>32</v>
      </c>
      <c r="EH180">
        <v>0</v>
      </c>
      <c r="EI180" t="s">
        <v>3</v>
      </c>
      <c r="EJ180">
        <v>4</v>
      </c>
      <c r="EK180">
        <v>1</v>
      </c>
      <c r="EL180" t="s">
        <v>48</v>
      </c>
      <c r="EM180" t="s">
        <v>34</v>
      </c>
      <c r="EO180" t="s">
        <v>3</v>
      </c>
      <c r="EQ180">
        <v>0</v>
      </c>
      <c r="ER180">
        <v>47.27</v>
      </c>
      <c r="ES180">
        <v>0</v>
      </c>
      <c r="ET180">
        <v>47.27</v>
      </c>
      <c r="EU180">
        <v>25.66</v>
      </c>
      <c r="EV180">
        <v>0</v>
      </c>
      <c r="EW180">
        <v>0</v>
      </c>
      <c r="EX180">
        <v>0</v>
      </c>
      <c r="EY180">
        <v>0</v>
      </c>
      <c r="FQ180">
        <v>0</v>
      </c>
      <c r="FR180">
        <f t="shared" si="188"/>
        <v>0</v>
      </c>
      <c r="FS180">
        <v>0</v>
      </c>
      <c r="FX180">
        <v>0</v>
      </c>
      <c r="FY180">
        <v>0</v>
      </c>
      <c r="GA180" t="s">
        <v>3</v>
      </c>
      <c r="GD180">
        <v>1</v>
      </c>
      <c r="GF180">
        <v>-1023303705</v>
      </c>
      <c r="GG180">
        <v>2</v>
      </c>
      <c r="GH180">
        <v>1</v>
      </c>
      <c r="GI180">
        <v>-2</v>
      </c>
      <c r="GJ180">
        <v>0</v>
      </c>
      <c r="GK180">
        <v>0</v>
      </c>
      <c r="GL180">
        <f t="shared" si="189"/>
        <v>0</v>
      </c>
      <c r="GM180">
        <f>ROUND(O180+X180+Y180,2)+GX180</f>
        <v>14.65</v>
      </c>
      <c r="GN180">
        <f>IF(OR(BI180=0,BI180=1),ROUND(O180+X180+Y180,2),0)</f>
        <v>0</v>
      </c>
      <c r="GO180">
        <f>IF(BI180=2,ROUND(O180+X180+Y180,2),0)</f>
        <v>0</v>
      </c>
      <c r="GP180">
        <f>IF(BI180=4,ROUND(O180+X180+Y180,2)+GX180,0)</f>
        <v>14.65</v>
      </c>
      <c r="GR180">
        <v>0</v>
      </c>
      <c r="GS180">
        <v>3</v>
      </c>
      <c r="GT180">
        <v>0</v>
      </c>
      <c r="GU180" t="s">
        <v>3</v>
      </c>
      <c r="GV180">
        <f t="shared" si="190"/>
        <v>0</v>
      </c>
      <c r="GW180">
        <v>1</v>
      </c>
      <c r="GX180">
        <f t="shared" si="191"/>
        <v>0</v>
      </c>
      <c r="HA180">
        <v>0</v>
      </c>
      <c r="HB180">
        <v>0</v>
      </c>
      <c r="HC180">
        <f t="shared" si="192"/>
        <v>0</v>
      </c>
      <c r="HE180" t="s">
        <v>3</v>
      </c>
      <c r="HF180" t="s">
        <v>3</v>
      </c>
      <c r="IK180">
        <v>0</v>
      </c>
    </row>
    <row r="181" spans="1:245" x14ac:dyDescent="0.2">
      <c r="A181">
        <v>17</v>
      </c>
      <c r="B181">
        <v>1</v>
      </c>
      <c r="C181">
        <f>ROW(SmtRes!A105)</f>
        <v>105</v>
      </c>
      <c r="D181">
        <f>ROW(EtalonRes!A101)</f>
        <v>101</v>
      </c>
      <c r="E181" t="s">
        <v>237</v>
      </c>
      <c r="F181" t="s">
        <v>50</v>
      </c>
      <c r="G181" t="s">
        <v>51</v>
      </c>
      <c r="H181" t="s">
        <v>46</v>
      </c>
      <c r="I181">
        <f>ROUND(I180,4)</f>
        <v>0.31</v>
      </c>
      <c r="J181">
        <v>0</v>
      </c>
      <c r="O181">
        <f t="shared" si="161"/>
        <v>264.74</v>
      </c>
      <c r="P181">
        <f t="shared" si="162"/>
        <v>0</v>
      </c>
      <c r="Q181">
        <f t="shared" si="163"/>
        <v>264.74</v>
      </c>
      <c r="R181">
        <f t="shared" si="164"/>
        <v>143.74</v>
      </c>
      <c r="S181">
        <f t="shared" si="165"/>
        <v>0</v>
      </c>
      <c r="T181">
        <f t="shared" si="166"/>
        <v>0</v>
      </c>
      <c r="U181">
        <f t="shared" si="167"/>
        <v>0</v>
      </c>
      <c r="V181">
        <f t="shared" si="168"/>
        <v>0</v>
      </c>
      <c r="W181">
        <f t="shared" si="169"/>
        <v>0</v>
      </c>
      <c r="X181">
        <f t="shared" si="170"/>
        <v>0</v>
      </c>
      <c r="Y181">
        <f t="shared" si="171"/>
        <v>0</v>
      </c>
      <c r="AA181">
        <v>49707740</v>
      </c>
      <c r="AB181">
        <f t="shared" si="172"/>
        <v>854</v>
      </c>
      <c r="AC181">
        <f t="shared" si="173"/>
        <v>0</v>
      </c>
      <c r="AD181">
        <f>ROUND(((((ET181*56))-((EU181*56)))+AE181),6)</f>
        <v>854</v>
      </c>
      <c r="AE181">
        <f>ROUND(((EU181*56)),6)</f>
        <v>463.68</v>
      </c>
      <c r="AF181">
        <f t="shared" ref="AF181:AF188" si="193">ROUND((EV181),6)</f>
        <v>0</v>
      </c>
      <c r="AG181">
        <f t="shared" si="175"/>
        <v>0</v>
      </c>
      <c r="AH181">
        <f t="shared" ref="AH181:AH188" si="194">(EW181)</f>
        <v>0</v>
      </c>
      <c r="AI181">
        <f>((EX181*56))</f>
        <v>0</v>
      </c>
      <c r="AJ181">
        <f t="shared" si="177"/>
        <v>0</v>
      </c>
      <c r="AK181">
        <v>15.25</v>
      </c>
      <c r="AL181">
        <v>0</v>
      </c>
      <c r="AM181">
        <v>15.25</v>
      </c>
      <c r="AN181">
        <v>8.2799999999999994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1</v>
      </c>
      <c r="AW181">
        <v>1</v>
      </c>
      <c r="AZ181">
        <v>1</v>
      </c>
      <c r="BA181">
        <v>1</v>
      </c>
      <c r="BB181">
        <v>1</v>
      </c>
      <c r="BC181">
        <v>1</v>
      </c>
      <c r="BD181" t="s">
        <v>3</v>
      </c>
      <c r="BE181" t="s">
        <v>3</v>
      </c>
      <c r="BF181" t="s">
        <v>3</v>
      </c>
      <c r="BG181" t="s">
        <v>3</v>
      </c>
      <c r="BH181">
        <v>0</v>
      </c>
      <c r="BI181">
        <v>4</v>
      </c>
      <c r="BJ181" t="s">
        <v>211</v>
      </c>
      <c r="BM181">
        <v>1</v>
      </c>
      <c r="BN181">
        <v>0</v>
      </c>
      <c r="BO181" t="s">
        <v>3</v>
      </c>
      <c r="BP181">
        <v>0</v>
      </c>
      <c r="BQ181">
        <v>1</v>
      </c>
      <c r="BR181">
        <v>0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 t="s">
        <v>3</v>
      </c>
      <c r="BZ181">
        <v>0</v>
      </c>
      <c r="CA181">
        <v>0</v>
      </c>
      <c r="CE181">
        <v>0</v>
      </c>
      <c r="CF181">
        <v>0</v>
      </c>
      <c r="CG181">
        <v>0</v>
      </c>
      <c r="CM181">
        <v>0</v>
      </c>
      <c r="CN181" t="s">
        <v>3</v>
      </c>
      <c r="CO181">
        <v>0</v>
      </c>
      <c r="CP181">
        <f t="shared" si="178"/>
        <v>264.74</v>
      </c>
      <c r="CQ181">
        <f t="shared" si="179"/>
        <v>0</v>
      </c>
      <c r="CR181">
        <f>(((((ET181*56))*BB181-((EU181*56))*BS181)+AE181*BS181)*AV181)</f>
        <v>854</v>
      </c>
      <c r="CS181">
        <f t="shared" si="180"/>
        <v>463.68</v>
      </c>
      <c r="CT181">
        <f t="shared" si="181"/>
        <v>0</v>
      </c>
      <c r="CU181">
        <f t="shared" si="182"/>
        <v>0</v>
      </c>
      <c r="CV181">
        <f t="shared" si="183"/>
        <v>0</v>
      </c>
      <c r="CW181">
        <f t="shared" si="184"/>
        <v>0</v>
      </c>
      <c r="CX181">
        <f t="shared" si="185"/>
        <v>0</v>
      </c>
      <c r="CY181">
        <f t="shared" si="186"/>
        <v>0</v>
      </c>
      <c r="CZ181">
        <f t="shared" si="187"/>
        <v>0</v>
      </c>
      <c r="DC181" t="s">
        <v>3</v>
      </c>
      <c r="DD181" t="s">
        <v>3</v>
      </c>
      <c r="DE181" t="s">
        <v>53</v>
      </c>
      <c r="DF181" t="s">
        <v>53</v>
      </c>
      <c r="DG181" t="s">
        <v>3</v>
      </c>
      <c r="DH181" t="s">
        <v>3</v>
      </c>
      <c r="DI181" t="s">
        <v>3</v>
      </c>
      <c r="DJ181" t="s">
        <v>53</v>
      </c>
      <c r="DK181" t="s">
        <v>3</v>
      </c>
      <c r="DL181" t="s">
        <v>3</v>
      </c>
      <c r="DM181" t="s">
        <v>3</v>
      </c>
      <c r="DN181">
        <v>0</v>
      </c>
      <c r="DO181">
        <v>0</v>
      </c>
      <c r="DP181">
        <v>1</v>
      </c>
      <c r="DQ181">
        <v>1</v>
      </c>
      <c r="DU181">
        <v>1007</v>
      </c>
      <c r="DV181" t="s">
        <v>46</v>
      </c>
      <c r="DW181" t="s">
        <v>46</v>
      </c>
      <c r="DX181">
        <v>1</v>
      </c>
      <c r="DZ181" t="s">
        <v>3</v>
      </c>
      <c r="EA181" t="s">
        <v>3</v>
      </c>
      <c r="EB181" t="s">
        <v>3</v>
      </c>
      <c r="EC181" t="s">
        <v>3</v>
      </c>
      <c r="EE181">
        <v>49145959</v>
      </c>
      <c r="EF181">
        <v>1</v>
      </c>
      <c r="EG181" t="s">
        <v>32</v>
      </c>
      <c r="EH181">
        <v>0</v>
      </c>
      <c r="EI181" t="s">
        <v>3</v>
      </c>
      <c r="EJ181">
        <v>4</v>
      </c>
      <c r="EK181">
        <v>1</v>
      </c>
      <c r="EL181" t="s">
        <v>48</v>
      </c>
      <c r="EM181" t="s">
        <v>34</v>
      </c>
      <c r="EO181" t="s">
        <v>3</v>
      </c>
      <c r="EQ181">
        <v>0</v>
      </c>
      <c r="ER181">
        <v>15.25</v>
      </c>
      <c r="ES181">
        <v>0</v>
      </c>
      <c r="ET181">
        <v>15.25</v>
      </c>
      <c r="EU181">
        <v>8.2799999999999994</v>
      </c>
      <c r="EV181">
        <v>0</v>
      </c>
      <c r="EW181">
        <v>0</v>
      </c>
      <c r="EX181">
        <v>0</v>
      </c>
      <c r="EY181">
        <v>0</v>
      </c>
      <c r="FQ181">
        <v>0</v>
      </c>
      <c r="FR181">
        <f t="shared" si="188"/>
        <v>0</v>
      </c>
      <c r="FS181">
        <v>0</v>
      </c>
      <c r="FX181">
        <v>0</v>
      </c>
      <c r="FY181">
        <v>0</v>
      </c>
      <c r="GA181" t="s">
        <v>3</v>
      </c>
      <c r="GD181">
        <v>1</v>
      </c>
      <c r="GF181">
        <v>-103757531</v>
      </c>
      <c r="GG181">
        <v>2</v>
      </c>
      <c r="GH181">
        <v>1</v>
      </c>
      <c r="GI181">
        <v>-2</v>
      </c>
      <c r="GJ181">
        <v>0</v>
      </c>
      <c r="GK181">
        <v>0</v>
      </c>
      <c r="GL181">
        <f t="shared" si="189"/>
        <v>0</v>
      </c>
      <c r="GM181">
        <f>ROUND(O181+X181+Y181,2)+GX181</f>
        <v>264.74</v>
      </c>
      <c r="GN181">
        <f>IF(OR(BI181=0,BI181=1),ROUND(O181+X181+Y181,2),0)</f>
        <v>0</v>
      </c>
      <c r="GO181">
        <f>IF(BI181=2,ROUND(O181+X181+Y181,2),0)</f>
        <v>0</v>
      </c>
      <c r="GP181">
        <f>IF(BI181=4,ROUND(O181+X181+Y181,2)+GX181,0)</f>
        <v>264.74</v>
      </c>
      <c r="GR181">
        <v>0</v>
      </c>
      <c r="GS181">
        <v>3</v>
      </c>
      <c r="GT181">
        <v>0</v>
      </c>
      <c r="GU181" t="s">
        <v>3</v>
      </c>
      <c r="GV181">
        <f t="shared" si="190"/>
        <v>0</v>
      </c>
      <c r="GW181">
        <v>1</v>
      </c>
      <c r="GX181">
        <f t="shared" si="191"/>
        <v>0</v>
      </c>
      <c r="HA181">
        <v>0</v>
      </c>
      <c r="HB181">
        <v>0</v>
      </c>
      <c r="HC181">
        <f t="shared" si="192"/>
        <v>0</v>
      </c>
      <c r="HE181" t="s">
        <v>3</v>
      </c>
      <c r="HF181" t="s">
        <v>3</v>
      </c>
      <c r="IK181">
        <v>0</v>
      </c>
    </row>
    <row r="182" spans="1:245" x14ac:dyDescent="0.2">
      <c r="A182">
        <v>17</v>
      </c>
      <c r="B182">
        <v>1</v>
      </c>
      <c r="E182" t="s">
        <v>238</v>
      </c>
      <c r="F182" t="s">
        <v>55</v>
      </c>
      <c r="G182" t="s">
        <v>56</v>
      </c>
      <c r="H182" t="s">
        <v>57</v>
      </c>
      <c r="I182">
        <f>ROUND(I181*1.4,4)</f>
        <v>0.434</v>
      </c>
      <c r="J182">
        <v>0</v>
      </c>
      <c r="O182">
        <f t="shared" si="161"/>
        <v>43.53</v>
      </c>
      <c r="P182">
        <f t="shared" si="162"/>
        <v>43.53</v>
      </c>
      <c r="Q182">
        <f t="shared" si="163"/>
        <v>0</v>
      </c>
      <c r="R182">
        <f t="shared" si="164"/>
        <v>0</v>
      </c>
      <c r="S182">
        <f t="shared" si="165"/>
        <v>0</v>
      </c>
      <c r="T182">
        <f t="shared" si="166"/>
        <v>0</v>
      </c>
      <c r="U182">
        <f t="shared" si="167"/>
        <v>0</v>
      </c>
      <c r="V182">
        <f t="shared" si="168"/>
        <v>0</v>
      </c>
      <c r="W182">
        <f t="shared" si="169"/>
        <v>0</v>
      </c>
      <c r="X182">
        <f t="shared" si="170"/>
        <v>0</v>
      </c>
      <c r="Y182">
        <f t="shared" si="171"/>
        <v>0</v>
      </c>
      <c r="AA182">
        <v>49707740</v>
      </c>
      <c r="AB182">
        <f t="shared" si="172"/>
        <v>100.3</v>
      </c>
      <c r="AC182">
        <f t="shared" si="173"/>
        <v>100.3</v>
      </c>
      <c r="AD182">
        <f>ROUND((((ET182)-(EU182))+AE182),6)</f>
        <v>0</v>
      </c>
      <c r="AE182">
        <f t="shared" ref="AE182:AE188" si="195">ROUND((EU182),6)</f>
        <v>0</v>
      </c>
      <c r="AF182">
        <f t="shared" si="193"/>
        <v>0</v>
      </c>
      <c r="AG182">
        <f t="shared" si="175"/>
        <v>0</v>
      </c>
      <c r="AH182">
        <f t="shared" si="194"/>
        <v>0</v>
      </c>
      <c r="AI182">
        <f t="shared" ref="AI182:AI188" si="196">(EX182)</f>
        <v>0</v>
      </c>
      <c r="AJ182">
        <f t="shared" si="177"/>
        <v>0</v>
      </c>
      <c r="AK182">
        <v>100.3</v>
      </c>
      <c r="AL182">
        <v>100.3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1</v>
      </c>
      <c r="AW182">
        <v>1</v>
      </c>
      <c r="AZ182">
        <v>1</v>
      </c>
      <c r="BA182">
        <v>1</v>
      </c>
      <c r="BB182">
        <v>1</v>
      </c>
      <c r="BC182">
        <v>1</v>
      </c>
      <c r="BD182" t="s">
        <v>3</v>
      </c>
      <c r="BE182" t="s">
        <v>3</v>
      </c>
      <c r="BF182" t="s">
        <v>3</v>
      </c>
      <c r="BG182" t="s">
        <v>3</v>
      </c>
      <c r="BH182">
        <v>3</v>
      </c>
      <c r="BI182">
        <v>1</v>
      </c>
      <c r="BJ182" t="s">
        <v>3</v>
      </c>
      <c r="BM182">
        <v>6001</v>
      </c>
      <c r="BN182">
        <v>0</v>
      </c>
      <c r="BO182" t="s">
        <v>3</v>
      </c>
      <c r="BP182">
        <v>0</v>
      </c>
      <c r="BQ182">
        <v>0</v>
      </c>
      <c r="BR182">
        <v>0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 t="s">
        <v>3</v>
      </c>
      <c r="BZ182">
        <v>0</v>
      </c>
      <c r="CA182">
        <v>0</v>
      </c>
      <c r="CE182">
        <v>0</v>
      </c>
      <c r="CF182">
        <v>0</v>
      </c>
      <c r="CG182">
        <v>0</v>
      </c>
      <c r="CM182">
        <v>0</v>
      </c>
      <c r="CN182" t="s">
        <v>3</v>
      </c>
      <c r="CO182">
        <v>0</v>
      </c>
      <c r="CP182">
        <f t="shared" si="178"/>
        <v>43.53</v>
      </c>
      <c r="CQ182">
        <f t="shared" si="179"/>
        <v>100.3</v>
      </c>
      <c r="CR182">
        <f>((((ET182)*BB182-(EU182)*BS182)+AE182*BS182)*AV182)</f>
        <v>0</v>
      </c>
      <c r="CS182">
        <f t="shared" si="180"/>
        <v>0</v>
      </c>
      <c r="CT182">
        <f t="shared" si="181"/>
        <v>0</v>
      </c>
      <c r="CU182">
        <f t="shared" si="182"/>
        <v>0</v>
      </c>
      <c r="CV182">
        <f t="shared" si="183"/>
        <v>0</v>
      </c>
      <c r="CW182">
        <f t="shared" si="184"/>
        <v>0</v>
      </c>
      <c r="CX182">
        <f t="shared" si="185"/>
        <v>0</v>
      </c>
      <c r="CY182">
        <f t="shared" si="186"/>
        <v>0</v>
      </c>
      <c r="CZ182">
        <f t="shared" si="187"/>
        <v>0</v>
      </c>
      <c r="DC182" t="s">
        <v>3</v>
      </c>
      <c r="DD182" t="s">
        <v>3</v>
      </c>
      <c r="DE182" t="s">
        <v>3</v>
      </c>
      <c r="DF182" t="s">
        <v>3</v>
      </c>
      <c r="DG182" t="s">
        <v>3</v>
      </c>
      <c r="DH182" t="s">
        <v>3</v>
      </c>
      <c r="DI182" t="s">
        <v>3</v>
      </c>
      <c r="DJ182" t="s">
        <v>3</v>
      </c>
      <c r="DK182" t="s">
        <v>3</v>
      </c>
      <c r="DL182" t="s">
        <v>3</v>
      </c>
      <c r="DM182" t="s">
        <v>3</v>
      </c>
      <c r="DN182">
        <v>0</v>
      </c>
      <c r="DO182">
        <v>0</v>
      </c>
      <c r="DP182">
        <v>1</v>
      </c>
      <c r="DQ182">
        <v>1</v>
      </c>
      <c r="DU182">
        <v>1009</v>
      </c>
      <c r="DV182" t="s">
        <v>57</v>
      </c>
      <c r="DW182" t="s">
        <v>57</v>
      </c>
      <c r="DX182">
        <v>1000</v>
      </c>
      <c r="DZ182" t="s">
        <v>3</v>
      </c>
      <c r="EA182" t="s">
        <v>3</v>
      </c>
      <c r="EB182" t="s">
        <v>3</v>
      </c>
      <c r="EC182" t="s">
        <v>3</v>
      </c>
      <c r="EE182">
        <v>49387493</v>
      </c>
      <c r="EF182">
        <v>0</v>
      </c>
      <c r="EG182" t="s">
        <v>58</v>
      </c>
      <c r="EH182">
        <v>0</v>
      </c>
      <c r="EI182" t="s">
        <v>3</v>
      </c>
      <c r="EJ182">
        <v>1</v>
      </c>
      <c r="EK182">
        <v>6001</v>
      </c>
      <c r="EL182" t="s">
        <v>59</v>
      </c>
      <c r="EM182" t="s">
        <v>58</v>
      </c>
      <c r="EO182" t="s">
        <v>3</v>
      </c>
      <c r="EQ182">
        <v>0</v>
      </c>
      <c r="ER182">
        <v>100.3</v>
      </c>
      <c r="ES182">
        <v>100.3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5</v>
      </c>
      <c r="FC182">
        <v>1</v>
      </c>
      <c r="FD182">
        <v>18</v>
      </c>
      <c r="FF182">
        <v>120.36</v>
      </c>
      <c r="FQ182">
        <v>0</v>
      </c>
      <c r="FR182">
        <f t="shared" si="188"/>
        <v>0</v>
      </c>
      <c r="FS182">
        <v>0</v>
      </c>
      <c r="FX182">
        <v>0</v>
      </c>
      <c r="FY182">
        <v>0</v>
      </c>
      <c r="GA182" t="s">
        <v>60</v>
      </c>
      <c r="GD182">
        <v>0</v>
      </c>
      <c r="GF182">
        <v>-1632517758</v>
      </c>
      <c r="GG182">
        <v>2</v>
      </c>
      <c r="GH182">
        <v>3</v>
      </c>
      <c r="GI182">
        <v>-2</v>
      </c>
      <c r="GJ182">
        <v>0</v>
      </c>
      <c r="GK182">
        <f>ROUND(R182*(R12)/100,2)</f>
        <v>0</v>
      </c>
      <c r="GL182">
        <f t="shared" si="189"/>
        <v>0</v>
      </c>
      <c r="GM182">
        <f t="shared" ref="GM182:GM188" si="197">ROUND(O182+X182+Y182+GK182,2)+GX182</f>
        <v>43.53</v>
      </c>
      <c r="GN182">
        <f t="shared" ref="GN182:GN188" si="198">IF(OR(BI182=0,BI182=1),ROUND(O182+X182+Y182+GK182,2),0)</f>
        <v>43.53</v>
      </c>
      <c r="GO182">
        <f t="shared" ref="GO182:GO188" si="199">IF(BI182=2,ROUND(O182+X182+Y182+GK182,2),0)</f>
        <v>0</v>
      </c>
      <c r="GP182">
        <f t="shared" ref="GP182:GP188" si="200">IF(BI182=4,ROUND(O182+X182+Y182+GK182,2)+GX182,0)</f>
        <v>0</v>
      </c>
      <c r="GR182">
        <v>1</v>
      </c>
      <c r="GS182">
        <v>1</v>
      </c>
      <c r="GT182">
        <v>0</v>
      </c>
      <c r="GU182" t="s">
        <v>3</v>
      </c>
      <c r="GV182">
        <f t="shared" si="190"/>
        <v>0</v>
      </c>
      <c r="GW182">
        <v>1</v>
      </c>
      <c r="GX182">
        <f t="shared" si="191"/>
        <v>0</v>
      </c>
      <c r="HA182">
        <v>0</v>
      </c>
      <c r="HB182">
        <v>0</v>
      </c>
      <c r="HC182">
        <f t="shared" si="192"/>
        <v>0</v>
      </c>
      <c r="HE182" t="s">
        <v>61</v>
      </c>
      <c r="HF182" t="s">
        <v>61</v>
      </c>
      <c r="IK182">
        <v>0</v>
      </c>
    </row>
    <row r="183" spans="1:245" x14ac:dyDescent="0.2">
      <c r="A183">
        <v>17</v>
      </c>
      <c r="B183">
        <v>1</v>
      </c>
      <c r="C183">
        <f>ROW(SmtRes!A111)</f>
        <v>111</v>
      </c>
      <c r="D183">
        <f>ROW(EtalonRes!A107)</f>
        <v>107</v>
      </c>
      <c r="E183" t="s">
        <v>239</v>
      </c>
      <c r="F183" t="s">
        <v>214</v>
      </c>
      <c r="G183" t="s">
        <v>215</v>
      </c>
      <c r="H183" t="s">
        <v>46</v>
      </c>
      <c r="I183">
        <f>ROUND(0.3*0.3*0.1*6,4)</f>
        <v>5.3999999999999999E-2</v>
      </c>
      <c r="J183">
        <v>0</v>
      </c>
      <c r="O183">
        <f t="shared" si="161"/>
        <v>55.75</v>
      </c>
      <c r="P183">
        <f t="shared" si="162"/>
        <v>35.380000000000003</v>
      </c>
      <c r="Q183">
        <f t="shared" si="163"/>
        <v>11.38</v>
      </c>
      <c r="R183">
        <f t="shared" si="164"/>
        <v>6.7</v>
      </c>
      <c r="S183">
        <f t="shared" si="165"/>
        <v>8.99</v>
      </c>
      <c r="T183">
        <f t="shared" si="166"/>
        <v>0</v>
      </c>
      <c r="U183">
        <f t="shared" si="167"/>
        <v>4.8599999999999997E-2</v>
      </c>
      <c r="V183">
        <f t="shared" si="168"/>
        <v>0</v>
      </c>
      <c r="W183">
        <f t="shared" si="169"/>
        <v>0</v>
      </c>
      <c r="X183">
        <f t="shared" si="170"/>
        <v>6.29</v>
      </c>
      <c r="Y183">
        <f t="shared" si="171"/>
        <v>0.9</v>
      </c>
      <c r="AA183">
        <v>49707740</v>
      </c>
      <c r="AB183">
        <f t="shared" si="172"/>
        <v>1032.3499999999999</v>
      </c>
      <c r="AC183">
        <f t="shared" si="173"/>
        <v>655.15</v>
      </c>
      <c r="AD183">
        <f>ROUND((((ET183)-(EU183))+AE183),6)</f>
        <v>210.68</v>
      </c>
      <c r="AE183">
        <f t="shared" si="195"/>
        <v>124.16</v>
      </c>
      <c r="AF183">
        <f t="shared" si="193"/>
        <v>166.52</v>
      </c>
      <c r="AG183">
        <f t="shared" si="175"/>
        <v>0</v>
      </c>
      <c r="AH183">
        <f t="shared" si="194"/>
        <v>0.9</v>
      </c>
      <c r="AI183">
        <f t="shared" si="196"/>
        <v>0</v>
      </c>
      <c r="AJ183">
        <f t="shared" si="177"/>
        <v>0</v>
      </c>
      <c r="AK183">
        <v>1032.3499999999999</v>
      </c>
      <c r="AL183">
        <v>655.15</v>
      </c>
      <c r="AM183">
        <v>210.68</v>
      </c>
      <c r="AN183">
        <v>124.16</v>
      </c>
      <c r="AO183">
        <v>166.52</v>
      </c>
      <c r="AP183">
        <v>0</v>
      </c>
      <c r="AQ183">
        <v>0.9</v>
      </c>
      <c r="AR183">
        <v>0</v>
      </c>
      <c r="AS183">
        <v>0</v>
      </c>
      <c r="AT183">
        <v>70</v>
      </c>
      <c r="AU183">
        <v>10</v>
      </c>
      <c r="AV183">
        <v>1</v>
      </c>
      <c r="AW183">
        <v>1</v>
      </c>
      <c r="AZ183">
        <v>1</v>
      </c>
      <c r="BA183">
        <v>1</v>
      </c>
      <c r="BB183">
        <v>1</v>
      </c>
      <c r="BC183">
        <v>1</v>
      </c>
      <c r="BD183" t="s">
        <v>3</v>
      </c>
      <c r="BE183" t="s">
        <v>3</v>
      </c>
      <c r="BF183" t="s">
        <v>3</v>
      </c>
      <c r="BG183" t="s">
        <v>3</v>
      </c>
      <c r="BH183">
        <v>0</v>
      </c>
      <c r="BI183">
        <v>4</v>
      </c>
      <c r="BJ183" t="s">
        <v>216</v>
      </c>
      <c r="BM183">
        <v>0</v>
      </c>
      <c r="BN183">
        <v>0</v>
      </c>
      <c r="BO183" t="s">
        <v>3</v>
      </c>
      <c r="BP183">
        <v>0</v>
      </c>
      <c r="BQ183">
        <v>1</v>
      </c>
      <c r="BR183">
        <v>0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 t="s">
        <v>3</v>
      </c>
      <c r="BZ183">
        <v>70</v>
      </c>
      <c r="CA183">
        <v>10</v>
      </c>
      <c r="CE183">
        <v>0</v>
      </c>
      <c r="CF183">
        <v>0</v>
      </c>
      <c r="CG183">
        <v>0</v>
      </c>
      <c r="CM183">
        <v>0</v>
      </c>
      <c r="CN183" t="s">
        <v>3</v>
      </c>
      <c r="CO183">
        <v>0</v>
      </c>
      <c r="CP183">
        <f t="shared" si="178"/>
        <v>55.750000000000007</v>
      </c>
      <c r="CQ183">
        <f t="shared" si="179"/>
        <v>655.15</v>
      </c>
      <c r="CR183">
        <f>((((ET183)*BB183-(EU183)*BS183)+AE183*BS183)*AV183)</f>
        <v>210.68</v>
      </c>
      <c r="CS183">
        <f t="shared" si="180"/>
        <v>124.16</v>
      </c>
      <c r="CT183">
        <f t="shared" si="181"/>
        <v>166.52</v>
      </c>
      <c r="CU183">
        <f t="shared" si="182"/>
        <v>0</v>
      </c>
      <c r="CV183">
        <f t="shared" si="183"/>
        <v>0.9</v>
      </c>
      <c r="CW183">
        <f t="shared" si="184"/>
        <v>0</v>
      </c>
      <c r="CX183">
        <f t="shared" si="185"/>
        <v>0</v>
      </c>
      <c r="CY183">
        <f t="shared" si="186"/>
        <v>6.293000000000001</v>
      </c>
      <c r="CZ183">
        <f t="shared" si="187"/>
        <v>0.89900000000000002</v>
      </c>
      <c r="DC183" t="s">
        <v>3</v>
      </c>
      <c r="DD183" t="s">
        <v>3</v>
      </c>
      <c r="DE183" t="s">
        <v>3</v>
      </c>
      <c r="DF183" t="s">
        <v>3</v>
      </c>
      <c r="DG183" t="s">
        <v>3</v>
      </c>
      <c r="DH183" t="s">
        <v>3</v>
      </c>
      <c r="DI183" t="s">
        <v>3</v>
      </c>
      <c r="DJ183" t="s">
        <v>3</v>
      </c>
      <c r="DK183" t="s">
        <v>3</v>
      </c>
      <c r="DL183" t="s">
        <v>3</v>
      </c>
      <c r="DM183" t="s">
        <v>3</v>
      </c>
      <c r="DN183">
        <v>0</v>
      </c>
      <c r="DO183">
        <v>0</v>
      </c>
      <c r="DP183">
        <v>1</v>
      </c>
      <c r="DQ183">
        <v>1</v>
      </c>
      <c r="DU183">
        <v>1007</v>
      </c>
      <c r="DV183" t="s">
        <v>46</v>
      </c>
      <c r="DW183" t="s">
        <v>46</v>
      </c>
      <c r="DX183">
        <v>1</v>
      </c>
      <c r="DZ183" t="s">
        <v>3</v>
      </c>
      <c r="EA183" t="s">
        <v>3</v>
      </c>
      <c r="EB183" t="s">
        <v>3</v>
      </c>
      <c r="EC183" t="s">
        <v>3</v>
      </c>
      <c r="EE183">
        <v>49145957</v>
      </c>
      <c r="EF183">
        <v>1</v>
      </c>
      <c r="EG183" t="s">
        <v>32</v>
      </c>
      <c r="EH183">
        <v>0</v>
      </c>
      <c r="EI183" t="s">
        <v>3</v>
      </c>
      <c r="EJ183">
        <v>4</v>
      </c>
      <c r="EK183">
        <v>0</v>
      </c>
      <c r="EL183" t="s">
        <v>33</v>
      </c>
      <c r="EM183" t="s">
        <v>34</v>
      </c>
      <c r="EO183" t="s">
        <v>3</v>
      </c>
      <c r="EQ183">
        <v>0</v>
      </c>
      <c r="ER183">
        <v>1032.3499999999999</v>
      </c>
      <c r="ES183">
        <v>655.15</v>
      </c>
      <c r="ET183">
        <v>210.68</v>
      </c>
      <c r="EU183">
        <v>124.16</v>
      </c>
      <c r="EV183">
        <v>166.52</v>
      </c>
      <c r="EW183">
        <v>0.9</v>
      </c>
      <c r="EX183">
        <v>0</v>
      </c>
      <c r="EY183">
        <v>0</v>
      </c>
      <c r="FQ183">
        <v>0</v>
      </c>
      <c r="FR183">
        <f t="shared" si="188"/>
        <v>0</v>
      </c>
      <c r="FS183">
        <v>0</v>
      </c>
      <c r="FX183">
        <v>70</v>
      </c>
      <c r="FY183">
        <v>10</v>
      </c>
      <c r="GA183" t="s">
        <v>3</v>
      </c>
      <c r="GD183">
        <v>0</v>
      </c>
      <c r="GF183">
        <v>844358921</v>
      </c>
      <c r="GG183">
        <v>2</v>
      </c>
      <c r="GH183">
        <v>1</v>
      </c>
      <c r="GI183">
        <v>-2</v>
      </c>
      <c r="GJ183">
        <v>0</v>
      </c>
      <c r="GK183">
        <f>ROUND(R183*(R12)/100,2)</f>
        <v>7.24</v>
      </c>
      <c r="GL183">
        <f t="shared" si="189"/>
        <v>0</v>
      </c>
      <c r="GM183">
        <f t="shared" si="197"/>
        <v>70.180000000000007</v>
      </c>
      <c r="GN183">
        <f t="shared" si="198"/>
        <v>0</v>
      </c>
      <c r="GO183">
        <f t="shared" si="199"/>
        <v>0</v>
      </c>
      <c r="GP183">
        <f t="shared" si="200"/>
        <v>70.180000000000007</v>
      </c>
      <c r="GR183">
        <v>0</v>
      </c>
      <c r="GS183">
        <v>3</v>
      </c>
      <c r="GT183">
        <v>0</v>
      </c>
      <c r="GU183" t="s">
        <v>3</v>
      </c>
      <c r="GV183">
        <f t="shared" si="190"/>
        <v>0</v>
      </c>
      <c r="GW183">
        <v>1</v>
      </c>
      <c r="GX183">
        <f t="shared" si="191"/>
        <v>0</v>
      </c>
      <c r="HA183">
        <v>0</v>
      </c>
      <c r="HB183">
        <v>0</v>
      </c>
      <c r="HC183">
        <f t="shared" si="192"/>
        <v>0</v>
      </c>
      <c r="HE183" t="s">
        <v>3</v>
      </c>
      <c r="HF183" t="s">
        <v>3</v>
      </c>
      <c r="IK183">
        <v>0</v>
      </c>
    </row>
    <row r="184" spans="1:245" x14ac:dyDescent="0.2">
      <c r="A184">
        <v>17</v>
      </c>
      <c r="B184">
        <v>1</v>
      </c>
      <c r="C184">
        <f>ROW(SmtRes!A117)</f>
        <v>117</v>
      </c>
      <c r="D184">
        <f>ROW(EtalonRes!A113)</f>
        <v>113</v>
      </c>
      <c r="E184" t="s">
        <v>240</v>
      </c>
      <c r="F184" t="s">
        <v>218</v>
      </c>
      <c r="G184" t="s">
        <v>219</v>
      </c>
      <c r="H184" t="s">
        <v>46</v>
      </c>
      <c r="I184">
        <f>ROUND(0.3*0.3*0.1*6,4)</f>
        <v>5.3999999999999999E-2</v>
      </c>
      <c r="J184">
        <v>0</v>
      </c>
      <c r="O184">
        <f t="shared" si="161"/>
        <v>111.43</v>
      </c>
      <c r="P184">
        <f t="shared" si="162"/>
        <v>89.49</v>
      </c>
      <c r="Q184">
        <f t="shared" si="163"/>
        <v>12.15</v>
      </c>
      <c r="R184">
        <f t="shared" si="164"/>
        <v>7.29</v>
      </c>
      <c r="S184">
        <f t="shared" si="165"/>
        <v>9.7899999999999991</v>
      </c>
      <c r="T184">
        <f t="shared" si="166"/>
        <v>0</v>
      </c>
      <c r="U184">
        <f t="shared" si="167"/>
        <v>5.2920000000000002E-2</v>
      </c>
      <c r="V184">
        <f t="shared" si="168"/>
        <v>0</v>
      </c>
      <c r="W184">
        <f t="shared" si="169"/>
        <v>0</v>
      </c>
      <c r="X184">
        <f t="shared" si="170"/>
        <v>6.85</v>
      </c>
      <c r="Y184">
        <f t="shared" si="171"/>
        <v>0.98</v>
      </c>
      <c r="AA184">
        <v>49707740</v>
      </c>
      <c r="AB184">
        <f t="shared" si="172"/>
        <v>2063.5700000000002</v>
      </c>
      <c r="AC184">
        <f t="shared" si="173"/>
        <v>1657.26</v>
      </c>
      <c r="AD184">
        <f>ROUND((((ET184)-(EU184))+AE184),6)</f>
        <v>224.99</v>
      </c>
      <c r="AE184">
        <f t="shared" si="195"/>
        <v>135.08000000000001</v>
      </c>
      <c r="AF184">
        <f t="shared" si="193"/>
        <v>181.32</v>
      </c>
      <c r="AG184">
        <f t="shared" si="175"/>
        <v>0</v>
      </c>
      <c r="AH184">
        <f t="shared" si="194"/>
        <v>0.98</v>
      </c>
      <c r="AI184">
        <f t="shared" si="196"/>
        <v>0</v>
      </c>
      <c r="AJ184">
        <f t="shared" si="177"/>
        <v>0</v>
      </c>
      <c r="AK184">
        <v>2063.5700000000002</v>
      </c>
      <c r="AL184">
        <v>1657.26</v>
      </c>
      <c r="AM184">
        <v>224.99</v>
      </c>
      <c r="AN184">
        <v>135.08000000000001</v>
      </c>
      <c r="AO184">
        <v>181.32</v>
      </c>
      <c r="AP184">
        <v>0</v>
      </c>
      <c r="AQ184">
        <v>0.98</v>
      </c>
      <c r="AR184">
        <v>0</v>
      </c>
      <c r="AS184">
        <v>0</v>
      </c>
      <c r="AT184">
        <v>70</v>
      </c>
      <c r="AU184">
        <v>10</v>
      </c>
      <c r="AV184">
        <v>1</v>
      </c>
      <c r="AW184">
        <v>1</v>
      </c>
      <c r="AZ184">
        <v>1</v>
      </c>
      <c r="BA184">
        <v>1</v>
      </c>
      <c r="BB184">
        <v>1</v>
      </c>
      <c r="BC184">
        <v>1</v>
      </c>
      <c r="BD184" t="s">
        <v>3</v>
      </c>
      <c r="BE184" t="s">
        <v>3</v>
      </c>
      <c r="BF184" t="s">
        <v>3</v>
      </c>
      <c r="BG184" t="s">
        <v>3</v>
      </c>
      <c r="BH184">
        <v>0</v>
      </c>
      <c r="BI184">
        <v>4</v>
      </c>
      <c r="BJ184" t="s">
        <v>220</v>
      </c>
      <c r="BM184">
        <v>0</v>
      </c>
      <c r="BN184">
        <v>0</v>
      </c>
      <c r="BO184" t="s">
        <v>3</v>
      </c>
      <c r="BP184">
        <v>0</v>
      </c>
      <c r="BQ184">
        <v>1</v>
      </c>
      <c r="BR184">
        <v>0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 t="s">
        <v>3</v>
      </c>
      <c r="BZ184">
        <v>70</v>
      </c>
      <c r="CA184">
        <v>10</v>
      </c>
      <c r="CE184">
        <v>0</v>
      </c>
      <c r="CF184">
        <v>0</v>
      </c>
      <c r="CG184">
        <v>0</v>
      </c>
      <c r="CM184">
        <v>0</v>
      </c>
      <c r="CN184" t="s">
        <v>3</v>
      </c>
      <c r="CO184">
        <v>0</v>
      </c>
      <c r="CP184">
        <f t="shared" si="178"/>
        <v>111.43</v>
      </c>
      <c r="CQ184">
        <f t="shared" si="179"/>
        <v>1657.26</v>
      </c>
      <c r="CR184">
        <f>((((ET184)*BB184-(EU184)*BS184)+AE184*BS184)*AV184)</f>
        <v>224.99</v>
      </c>
      <c r="CS184">
        <f t="shared" si="180"/>
        <v>135.08000000000001</v>
      </c>
      <c r="CT184">
        <f t="shared" si="181"/>
        <v>181.32</v>
      </c>
      <c r="CU184">
        <f t="shared" si="182"/>
        <v>0</v>
      </c>
      <c r="CV184">
        <f t="shared" si="183"/>
        <v>0.98</v>
      </c>
      <c r="CW184">
        <f t="shared" si="184"/>
        <v>0</v>
      </c>
      <c r="CX184">
        <f t="shared" si="185"/>
        <v>0</v>
      </c>
      <c r="CY184">
        <f t="shared" si="186"/>
        <v>6.8529999999999998</v>
      </c>
      <c r="CZ184">
        <f t="shared" si="187"/>
        <v>0.97899999999999987</v>
      </c>
      <c r="DC184" t="s">
        <v>3</v>
      </c>
      <c r="DD184" t="s">
        <v>3</v>
      </c>
      <c r="DE184" t="s">
        <v>3</v>
      </c>
      <c r="DF184" t="s">
        <v>3</v>
      </c>
      <c r="DG184" t="s">
        <v>3</v>
      </c>
      <c r="DH184" t="s">
        <v>3</v>
      </c>
      <c r="DI184" t="s">
        <v>3</v>
      </c>
      <c r="DJ184" t="s">
        <v>3</v>
      </c>
      <c r="DK184" t="s">
        <v>3</v>
      </c>
      <c r="DL184" t="s">
        <v>3</v>
      </c>
      <c r="DM184" t="s">
        <v>3</v>
      </c>
      <c r="DN184">
        <v>0</v>
      </c>
      <c r="DO184">
        <v>0</v>
      </c>
      <c r="DP184">
        <v>1</v>
      </c>
      <c r="DQ184">
        <v>1</v>
      </c>
      <c r="DU184">
        <v>1007</v>
      </c>
      <c r="DV184" t="s">
        <v>46</v>
      </c>
      <c r="DW184" t="s">
        <v>46</v>
      </c>
      <c r="DX184">
        <v>1</v>
      </c>
      <c r="DZ184" t="s">
        <v>3</v>
      </c>
      <c r="EA184" t="s">
        <v>3</v>
      </c>
      <c r="EB184" t="s">
        <v>3</v>
      </c>
      <c r="EC184" t="s">
        <v>3</v>
      </c>
      <c r="EE184">
        <v>49145957</v>
      </c>
      <c r="EF184">
        <v>1</v>
      </c>
      <c r="EG184" t="s">
        <v>32</v>
      </c>
      <c r="EH184">
        <v>0</v>
      </c>
      <c r="EI184" t="s">
        <v>3</v>
      </c>
      <c r="EJ184">
        <v>4</v>
      </c>
      <c r="EK184">
        <v>0</v>
      </c>
      <c r="EL184" t="s">
        <v>33</v>
      </c>
      <c r="EM184" t="s">
        <v>34</v>
      </c>
      <c r="EO184" t="s">
        <v>3</v>
      </c>
      <c r="EQ184">
        <v>0</v>
      </c>
      <c r="ER184">
        <v>2063.5700000000002</v>
      </c>
      <c r="ES184">
        <v>1657.26</v>
      </c>
      <c r="ET184">
        <v>224.99</v>
      </c>
      <c r="EU184">
        <v>135.08000000000001</v>
      </c>
      <c r="EV184">
        <v>181.32</v>
      </c>
      <c r="EW184">
        <v>0.98</v>
      </c>
      <c r="EX184">
        <v>0</v>
      </c>
      <c r="EY184">
        <v>0</v>
      </c>
      <c r="FQ184">
        <v>0</v>
      </c>
      <c r="FR184">
        <f t="shared" si="188"/>
        <v>0</v>
      </c>
      <c r="FS184">
        <v>0</v>
      </c>
      <c r="FX184">
        <v>70</v>
      </c>
      <c r="FY184">
        <v>10</v>
      </c>
      <c r="GA184" t="s">
        <v>3</v>
      </c>
      <c r="GD184">
        <v>0</v>
      </c>
      <c r="GF184">
        <v>485822794</v>
      </c>
      <c r="GG184">
        <v>2</v>
      </c>
      <c r="GH184">
        <v>1</v>
      </c>
      <c r="GI184">
        <v>-2</v>
      </c>
      <c r="GJ184">
        <v>0</v>
      </c>
      <c r="GK184">
        <f>ROUND(R184*(R12)/100,2)</f>
        <v>7.87</v>
      </c>
      <c r="GL184">
        <f t="shared" si="189"/>
        <v>0</v>
      </c>
      <c r="GM184">
        <f t="shared" si="197"/>
        <v>127.13</v>
      </c>
      <c r="GN184">
        <f t="shared" si="198"/>
        <v>0</v>
      </c>
      <c r="GO184">
        <f t="shared" si="199"/>
        <v>0</v>
      </c>
      <c r="GP184">
        <f t="shared" si="200"/>
        <v>127.13</v>
      </c>
      <c r="GR184">
        <v>0</v>
      </c>
      <c r="GS184">
        <v>3</v>
      </c>
      <c r="GT184">
        <v>0</v>
      </c>
      <c r="GU184" t="s">
        <v>3</v>
      </c>
      <c r="GV184">
        <f t="shared" si="190"/>
        <v>0</v>
      </c>
      <c r="GW184">
        <v>1</v>
      </c>
      <c r="GX184">
        <f t="shared" si="191"/>
        <v>0</v>
      </c>
      <c r="HA184">
        <v>0</v>
      </c>
      <c r="HB184">
        <v>0</v>
      </c>
      <c r="HC184">
        <f t="shared" si="192"/>
        <v>0</v>
      </c>
      <c r="HE184" t="s">
        <v>3</v>
      </c>
      <c r="HF184" t="s">
        <v>3</v>
      </c>
      <c r="IK184">
        <v>0</v>
      </c>
    </row>
    <row r="185" spans="1:245" x14ac:dyDescent="0.2">
      <c r="A185">
        <v>17</v>
      </c>
      <c r="B185">
        <v>1</v>
      </c>
      <c r="C185">
        <f>ROW(SmtRes!A122)</f>
        <v>122</v>
      </c>
      <c r="D185">
        <f>ROW(EtalonRes!A118)</f>
        <v>118</v>
      </c>
      <c r="E185" t="s">
        <v>241</v>
      </c>
      <c r="F185" t="s">
        <v>222</v>
      </c>
      <c r="G185" t="s">
        <v>223</v>
      </c>
      <c r="H185" t="s">
        <v>30</v>
      </c>
      <c r="I185">
        <f>ROUND((I181-I183-I184)/100,4)</f>
        <v>2E-3</v>
      </c>
      <c r="J185">
        <v>0</v>
      </c>
      <c r="O185">
        <f t="shared" si="161"/>
        <v>764.68</v>
      </c>
      <c r="P185">
        <f t="shared" si="162"/>
        <v>708.5</v>
      </c>
      <c r="Q185">
        <f t="shared" si="163"/>
        <v>0.06</v>
      </c>
      <c r="R185">
        <f t="shared" si="164"/>
        <v>0</v>
      </c>
      <c r="S185">
        <f t="shared" si="165"/>
        <v>56.12</v>
      </c>
      <c r="T185">
        <f t="shared" si="166"/>
        <v>0</v>
      </c>
      <c r="U185">
        <f t="shared" si="167"/>
        <v>0.3105</v>
      </c>
      <c r="V185">
        <f t="shared" si="168"/>
        <v>0</v>
      </c>
      <c r="W185">
        <f t="shared" si="169"/>
        <v>0</v>
      </c>
      <c r="X185">
        <f t="shared" si="170"/>
        <v>39.28</v>
      </c>
      <c r="Y185">
        <f t="shared" si="171"/>
        <v>5.61</v>
      </c>
      <c r="AA185">
        <v>49707740</v>
      </c>
      <c r="AB185">
        <f t="shared" si="172"/>
        <v>382339.99</v>
      </c>
      <c r="AC185">
        <f t="shared" si="173"/>
        <v>354251.65</v>
      </c>
      <c r="AD185">
        <f>ROUND((((ET185)-(EU185))+AE185),6)</f>
        <v>28.45</v>
      </c>
      <c r="AE185">
        <f t="shared" si="195"/>
        <v>7.0000000000000007E-2</v>
      </c>
      <c r="AF185">
        <f t="shared" si="193"/>
        <v>28059.89</v>
      </c>
      <c r="AG185">
        <f t="shared" si="175"/>
        <v>0</v>
      </c>
      <c r="AH185">
        <f t="shared" si="194"/>
        <v>155.25</v>
      </c>
      <c r="AI185">
        <f t="shared" si="196"/>
        <v>0</v>
      </c>
      <c r="AJ185">
        <f t="shared" si="177"/>
        <v>0</v>
      </c>
      <c r="AK185">
        <v>382339.99</v>
      </c>
      <c r="AL185">
        <v>354251.65</v>
      </c>
      <c r="AM185">
        <v>28.45</v>
      </c>
      <c r="AN185">
        <v>7.0000000000000007E-2</v>
      </c>
      <c r="AO185">
        <v>28059.89</v>
      </c>
      <c r="AP185">
        <v>0</v>
      </c>
      <c r="AQ185">
        <v>155.25</v>
      </c>
      <c r="AR185">
        <v>0</v>
      </c>
      <c r="AS185">
        <v>0</v>
      </c>
      <c r="AT185">
        <v>70</v>
      </c>
      <c r="AU185">
        <v>10</v>
      </c>
      <c r="AV185">
        <v>1</v>
      </c>
      <c r="AW185">
        <v>1</v>
      </c>
      <c r="AZ185">
        <v>1</v>
      </c>
      <c r="BA185">
        <v>1</v>
      </c>
      <c r="BB185">
        <v>1</v>
      </c>
      <c r="BC185">
        <v>1</v>
      </c>
      <c r="BD185" t="s">
        <v>3</v>
      </c>
      <c r="BE185" t="s">
        <v>3</v>
      </c>
      <c r="BF185" t="s">
        <v>3</v>
      </c>
      <c r="BG185" t="s">
        <v>3</v>
      </c>
      <c r="BH185">
        <v>0</v>
      </c>
      <c r="BI185">
        <v>4</v>
      </c>
      <c r="BJ185" t="s">
        <v>224</v>
      </c>
      <c r="BM185">
        <v>0</v>
      </c>
      <c r="BN185">
        <v>0</v>
      </c>
      <c r="BO185" t="s">
        <v>3</v>
      </c>
      <c r="BP185">
        <v>0</v>
      </c>
      <c r="BQ185">
        <v>1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 t="s">
        <v>3</v>
      </c>
      <c r="BZ185">
        <v>70</v>
      </c>
      <c r="CA185">
        <v>10</v>
      </c>
      <c r="CE185">
        <v>0</v>
      </c>
      <c r="CF185">
        <v>0</v>
      </c>
      <c r="CG185">
        <v>0</v>
      </c>
      <c r="CM185">
        <v>0</v>
      </c>
      <c r="CN185" t="s">
        <v>3</v>
      </c>
      <c r="CO185">
        <v>0</v>
      </c>
      <c r="CP185">
        <f t="shared" si="178"/>
        <v>764.68</v>
      </c>
      <c r="CQ185">
        <f t="shared" si="179"/>
        <v>354251.65</v>
      </c>
      <c r="CR185">
        <f>((((ET185)*BB185-(EU185)*BS185)+AE185*BS185)*AV185)</f>
        <v>28.45</v>
      </c>
      <c r="CS185">
        <f t="shared" si="180"/>
        <v>7.0000000000000007E-2</v>
      </c>
      <c r="CT185">
        <f t="shared" si="181"/>
        <v>28059.89</v>
      </c>
      <c r="CU185">
        <f t="shared" si="182"/>
        <v>0</v>
      </c>
      <c r="CV185">
        <f t="shared" si="183"/>
        <v>155.25</v>
      </c>
      <c r="CW185">
        <f t="shared" si="184"/>
        <v>0</v>
      </c>
      <c r="CX185">
        <f t="shared" si="185"/>
        <v>0</v>
      </c>
      <c r="CY185">
        <f t="shared" si="186"/>
        <v>39.283999999999999</v>
      </c>
      <c r="CZ185">
        <f t="shared" si="187"/>
        <v>5.6119999999999992</v>
      </c>
      <c r="DC185" t="s">
        <v>3</v>
      </c>
      <c r="DD185" t="s">
        <v>3</v>
      </c>
      <c r="DE185" t="s">
        <v>3</v>
      </c>
      <c r="DF185" t="s">
        <v>3</v>
      </c>
      <c r="DG185" t="s">
        <v>3</v>
      </c>
      <c r="DH185" t="s">
        <v>3</v>
      </c>
      <c r="DI185" t="s">
        <v>3</v>
      </c>
      <c r="DJ185" t="s">
        <v>3</v>
      </c>
      <c r="DK185" t="s">
        <v>3</v>
      </c>
      <c r="DL185" t="s">
        <v>3</v>
      </c>
      <c r="DM185" t="s">
        <v>3</v>
      </c>
      <c r="DN185">
        <v>0</v>
      </c>
      <c r="DO185">
        <v>0</v>
      </c>
      <c r="DP185">
        <v>1</v>
      </c>
      <c r="DQ185">
        <v>1</v>
      </c>
      <c r="DU185">
        <v>1007</v>
      </c>
      <c r="DV185" t="s">
        <v>30</v>
      </c>
      <c r="DW185" t="s">
        <v>30</v>
      </c>
      <c r="DX185">
        <v>100</v>
      </c>
      <c r="DZ185" t="s">
        <v>3</v>
      </c>
      <c r="EA185" t="s">
        <v>3</v>
      </c>
      <c r="EB185" t="s">
        <v>3</v>
      </c>
      <c r="EC185" t="s">
        <v>3</v>
      </c>
      <c r="EE185">
        <v>49145957</v>
      </c>
      <c r="EF185">
        <v>1</v>
      </c>
      <c r="EG185" t="s">
        <v>32</v>
      </c>
      <c r="EH185">
        <v>0</v>
      </c>
      <c r="EI185" t="s">
        <v>3</v>
      </c>
      <c r="EJ185">
        <v>4</v>
      </c>
      <c r="EK185">
        <v>0</v>
      </c>
      <c r="EL185" t="s">
        <v>33</v>
      </c>
      <c r="EM185" t="s">
        <v>34</v>
      </c>
      <c r="EO185" t="s">
        <v>3</v>
      </c>
      <c r="EQ185">
        <v>0</v>
      </c>
      <c r="ER185">
        <v>382339.99</v>
      </c>
      <c r="ES185">
        <v>354251.65</v>
      </c>
      <c r="ET185">
        <v>28.45</v>
      </c>
      <c r="EU185">
        <v>7.0000000000000007E-2</v>
      </c>
      <c r="EV185">
        <v>28059.89</v>
      </c>
      <c r="EW185">
        <v>155.25</v>
      </c>
      <c r="EX185">
        <v>0</v>
      </c>
      <c r="EY185">
        <v>0</v>
      </c>
      <c r="FQ185">
        <v>0</v>
      </c>
      <c r="FR185">
        <f t="shared" si="188"/>
        <v>0</v>
      </c>
      <c r="FS185">
        <v>0</v>
      </c>
      <c r="FX185">
        <v>70</v>
      </c>
      <c r="FY185">
        <v>10</v>
      </c>
      <c r="GA185" t="s">
        <v>3</v>
      </c>
      <c r="GD185">
        <v>0</v>
      </c>
      <c r="GF185">
        <v>1927483890</v>
      </c>
      <c r="GG185">
        <v>2</v>
      </c>
      <c r="GH185">
        <v>1</v>
      </c>
      <c r="GI185">
        <v>-2</v>
      </c>
      <c r="GJ185">
        <v>0</v>
      </c>
      <c r="GK185">
        <f>ROUND(R185*(R12)/100,2)</f>
        <v>0</v>
      </c>
      <c r="GL185">
        <f t="shared" si="189"/>
        <v>0</v>
      </c>
      <c r="GM185">
        <f t="shared" si="197"/>
        <v>809.57</v>
      </c>
      <c r="GN185">
        <f t="shared" si="198"/>
        <v>0</v>
      </c>
      <c r="GO185">
        <f t="shared" si="199"/>
        <v>0</v>
      </c>
      <c r="GP185">
        <f t="shared" si="200"/>
        <v>809.57</v>
      </c>
      <c r="GR185">
        <v>0</v>
      </c>
      <c r="GS185">
        <v>3</v>
      </c>
      <c r="GT185">
        <v>0</v>
      </c>
      <c r="GU185" t="s">
        <v>3</v>
      </c>
      <c r="GV185">
        <f t="shared" si="190"/>
        <v>0</v>
      </c>
      <c r="GW185">
        <v>1</v>
      </c>
      <c r="GX185">
        <f t="shared" si="191"/>
        <v>0</v>
      </c>
      <c r="HA185">
        <v>0</v>
      </c>
      <c r="HB185">
        <v>0</v>
      </c>
      <c r="HC185">
        <f t="shared" si="192"/>
        <v>0</v>
      </c>
      <c r="HE185" t="s">
        <v>3</v>
      </c>
      <c r="HF185" t="s">
        <v>3</v>
      </c>
      <c r="IK185">
        <v>0</v>
      </c>
    </row>
    <row r="186" spans="1:245" x14ac:dyDescent="0.2">
      <c r="A186">
        <v>17</v>
      </c>
      <c r="B186">
        <v>1</v>
      </c>
      <c r="C186">
        <f>ROW(SmtRes!A128)</f>
        <v>128</v>
      </c>
      <c r="D186">
        <f>ROW(EtalonRes!A122)</f>
        <v>122</v>
      </c>
      <c r="E186" t="s">
        <v>242</v>
      </c>
      <c r="F186" t="s">
        <v>226</v>
      </c>
      <c r="G186" t="s">
        <v>227</v>
      </c>
      <c r="H186" t="s">
        <v>57</v>
      </c>
      <c r="I186">
        <f>ROUND(0.246,4)</f>
        <v>0.246</v>
      </c>
      <c r="J186">
        <v>0</v>
      </c>
      <c r="O186">
        <f t="shared" si="161"/>
        <v>16526.05</v>
      </c>
      <c r="P186">
        <f t="shared" si="162"/>
        <v>13913.01</v>
      </c>
      <c r="Q186">
        <f t="shared" si="163"/>
        <v>294.56</v>
      </c>
      <c r="R186">
        <f t="shared" si="164"/>
        <v>0.27</v>
      </c>
      <c r="S186">
        <f t="shared" si="165"/>
        <v>2318.48</v>
      </c>
      <c r="T186">
        <f t="shared" si="166"/>
        <v>0</v>
      </c>
      <c r="U186">
        <f t="shared" si="167"/>
        <v>8.8830600000000004</v>
      </c>
      <c r="V186">
        <f t="shared" si="168"/>
        <v>0</v>
      </c>
      <c r="W186">
        <f t="shared" si="169"/>
        <v>0</v>
      </c>
      <c r="X186">
        <f t="shared" si="170"/>
        <v>1622.94</v>
      </c>
      <c r="Y186">
        <f t="shared" si="171"/>
        <v>231.85</v>
      </c>
      <c r="AA186">
        <v>49707740</v>
      </c>
      <c r="AB186">
        <f t="shared" si="172"/>
        <v>67179.039999999994</v>
      </c>
      <c r="AC186">
        <f t="shared" si="173"/>
        <v>56556.95</v>
      </c>
      <c r="AD186">
        <f>ROUND((((ET186)-(EU186))+AE186),6)</f>
        <v>1197.3800000000001</v>
      </c>
      <c r="AE186">
        <f t="shared" si="195"/>
        <v>1.1000000000000001</v>
      </c>
      <c r="AF186">
        <f t="shared" si="193"/>
        <v>9424.7099999999991</v>
      </c>
      <c r="AG186">
        <f t="shared" si="175"/>
        <v>0</v>
      </c>
      <c r="AH186">
        <f t="shared" si="194"/>
        <v>36.11</v>
      </c>
      <c r="AI186">
        <f t="shared" si="196"/>
        <v>0</v>
      </c>
      <c r="AJ186">
        <f t="shared" si="177"/>
        <v>0</v>
      </c>
      <c r="AK186">
        <v>67179.039999999994</v>
      </c>
      <c r="AL186">
        <v>56556.95</v>
      </c>
      <c r="AM186">
        <v>1197.3800000000001</v>
      </c>
      <c r="AN186">
        <v>1.1000000000000001</v>
      </c>
      <c r="AO186">
        <v>9424.7099999999991</v>
      </c>
      <c r="AP186">
        <v>0</v>
      </c>
      <c r="AQ186">
        <v>36.11</v>
      </c>
      <c r="AR186">
        <v>0</v>
      </c>
      <c r="AS186">
        <v>0</v>
      </c>
      <c r="AT186">
        <v>70</v>
      </c>
      <c r="AU186">
        <v>10</v>
      </c>
      <c r="AV186">
        <v>1</v>
      </c>
      <c r="AW186">
        <v>1</v>
      </c>
      <c r="AZ186">
        <v>1</v>
      </c>
      <c r="BA186">
        <v>1</v>
      </c>
      <c r="BB186">
        <v>1</v>
      </c>
      <c r="BC186">
        <v>1</v>
      </c>
      <c r="BD186" t="s">
        <v>3</v>
      </c>
      <c r="BE186" t="s">
        <v>3</v>
      </c>
      <c r="BF186" t="s">
        <v>3</v>
      </c>
      <c r="BG186" t="s">
        <v>3</v>
      </c>
      <c r="BH186">
        <v>0</v>
      </c>
      <c r="BI186">
        <v>4</v>
      </c>
      <c r="BJ186" t="s">
        <v>228</v>
      </c>
      <c r="BM186">
        <v>0</v>
      </c>
      <c r="BN186">
        <v>0</v>
      </c>
      <c r="BO186" t="s">
        <v>3</v>
      </c>
      <c r="BP186">
        <v>0</v>
      </c>
      <c r="BQ186">
        <v>1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 t="s">
        <v>3</v>
      </c>
      <c r="BZ186">
        <v>70</v>
      </c>
      <c r="CA186">
        <v>10</v>
      </c>
      <c r="CE186">
        <v>0</v>
      </c>
      <c r="CF186">
        <v>0</v>
      </c>
      <c r="CG186">
        <v>0</v>
      </c>
      <c r="CM186">
        <v>0</v>
      </c>
      <c r="CN186" t="s">
        <v>3</v>
      </c>
      <c r="CO186">
        <v>0</v>
      </c>
      <c r="CP186">
        <f t="shared" si="178"/>
        <v>16526.05</v>
      </c>
      <c r="CQ186">
        <f t="shared" si="179"/>
        <v>56556.95</v>
      </c>
      <c r="CR186">
        <f>((((ET186)*BB186-(EU186)*BS186)+AE186*BS186)*AV186)</f>
        <v>1197.3800000000001</v>
      </c>
      <c r="CS186">
        <f t="shared" si="180"/>
        <v>1.1000000000000001</v>
      </c>
      <c r="CT186">
        <f t="shared" si="181"/>
        <v>9424.7099999999991</v>
      </c>
      <c r="CU186">
        <f t="shared" si="182"/>
        <v>0</v>
      </c>
      <c r="CV186">
        <f t="shared" si="183"/>
        <v>36.11</v>
      </c>
      <c r="CW186">
        <f t="shared" si="184"/>
        <v>0</v>
      </c>
      <c r="CX186">
        <f t="shared" si="185"/>
        <v>0</v>
      </c>
      <c r="CY186">
        <f t="shared" si="186"/>
        <v>1622.9360000000001</v>
      </c>
      <c r="CZ186">
        <f t="shared" si="187"/>
        <v>231.84799999999998</v>
      </c>
      <c r="DC186" t="s">
        <v>3</v>
      </c>
      <c r="DD186" t="s">
        <v>3</v>
      </c>
      <c r="DE186" t="s">
        <v>3</v>
      </c>
      <c r="DF186" t="s">
        <v>3</v>
      </c>
      <c r="DG186" t="s">
        <v>3</v>
      </c>
      <c r="DH186" t="s">
        <v>3</v>
      </c>
      <c r="DI186" t="s">
        <v>3</v>
      </c>
      <c r="DJ186" t="s">
        <v>3</v>
      </c>
      <c r="DK186" t="s">
        <v>3</v>
      </c>
      <c r="DL186" t="s">
        <v>3</v>
      </c>
      <c r="DM186" t="s">
        <v>3</v>
      </c>
      <c r="DN186">
        <v>0</v>
      </c>
      <c r="DO186">
        <v>0</v>
      </c>
      <c r="DP186">
        <v>1</v>
      </c>
      <c r="DQ186">
        <v>1</v>
      </c>
      <c r="DU186">
        <v>1009</v>
      </c>
      <c r="DV186" t="s">
        <v>57</v>
      </c>
      <c r="DW186" t="s">
        <v>57</v>
      </c>
      <c r="DX186">
        <v>1000</v>
      </c>
      <c r="DZ186" t="s">
        <v>3</v>
      </c>
      <c r="EA186" t="s">
        <v>3</v>
      </c>
      <c r="EB186" t="s">
        <v>3</v>
      </c>
      <c r="EC186" t="s">
        <v>3</v>
      </c>
      <c r="EE186">
        <v>49145957</v>
      </c>
      <c r="EF186">
        <v>1</v>
      </c>
      <c r="EG186" t="s">
        <v>32</v>
      </c>
      <c r="EH186">
        <v>0</v>
      </c>
      <c r="EI186" t="s">
        <v>3</v>
      </c>
      <c r="EJ186">
        <v>4</v>
      </c>
      <c r="EK186">
        <v>0</v>
      </c>
      <c r="EL186" t="s">
        <v>33</v>
      </c>
      <c r="EM186" t="s">
        <v>34</v>
      </c>
      <c r="EO186" t="s">
        <v>3</v>
      </c>
      <c r="EQ186">
        <v>0</v>
      </c>
      <c r="ER186">
        <v>67179.039999999994</v>
      </c>
      <c r="ES186">
        <v>56556.95</v>
      </c>
      <c r="ET186">
        <v>1197.3800000000001</v>
      </c>
      <c r="EU186">
        <v>1.1000000000000001</v>
      </c>
      <c r="EV186">
        <v>9424.7099999999991</v>
      </c>
      <c r="EW186">
        <v>36.11</v>
      </c>
      <c r="EX186">
        <v>0</v>
      </c>
      <c r="EY186">
        <v>0</v>
      </c>
      <c r="FQ186">
        <v>0</v>
      </c>
      <c r="FR186">
        <f t="shared" si="188"/>
        <v>0</v>
      </c>
      <c r="FS186">
        <v>0</v>
      </c>
      <c r="FX186">
        <v>70</v>
      </c>
      <c r="FY186">
        <v>10</v>
      </c>
      <c r="GA186" t="s">
        <v>3</v>
      </c>
      <c r="GD186">
        <v>0</v>
      </c>
      <c r="GF186">
        <v>861890752</v>
      </c>
      <c r="GG186">
        <v>2</v>
      </c>
      <c r="GH186">
        <v>1</v>
      </c>
      <c r="GI186">
        <v>-2</v>
      </c>
      <c r="GJ186">
        <v>0</v>
      </c>
      <c r="GK186">
        <f>ROUND(R186*(R12)/100,2)</f>
        <v>0.28999999999999998</v>
      </c>
      <c r="GL186">
        <f t="shared" si="189"/>
        <v>0</v>
      </c>
      <c r="GM186">
        <f t="shared" si="197"/>
        <v>18381.13</v>
      </c>
      <c r="GN186">
        <f t="shared" si="198"/>
        <v>0</v>
      </c>
      <c r="GO186">
        <f t="shared" si="199"/>
        <v>0</v>
      </c>
      <c r="GP186">
        <f t="shared" si="200"/>
        <v>18381.13</v>
      </c>
      <c r="GR186">
        <v>0</v>
      </c>
      <c r="GS186">
        <v>3</v>
      </c>
      <c r="GT186">
        <v>0</v>
      </c>
      <c r="GU186" t="s">
        <v>3</v>
      </c>
      <c r="GV186">
        <f t="shared" si="190"/>
        <v>0</v>
      </c>
      <c r="GW186">
        <v>1</v>
      </c>
      <c r="GX186">
        <f t="shared" si="191"/>
        <v>0</v>
      </c>
      <c r="HA186">
        <v>0</v>
      </c>
      <c r="HB186">
        <v>0</v>
      </c>
      <c r="HC186">
        <f t="shared" si="192"/>
        <v>0</v>
      </c>
      <c r="HE186" t="s">
        <v>3</v>
      </c>
      <c r="HF186" t="s">
        <v>3</v>
      </c>
      <c r="IK186">
        <v>0</v>
      </c>
    </row>
    <row r="187" spans="1:245" x14ac:dyDescent="0.2">
      <c r="A187">
        <v>18</v>
      </c>
      <c r="B187">
        <v>1</v>
      </c>
      <c r="C187">
        <v>127</v>
      </c>
      <c r="E187" t="s">
        <v>243</v>
      </c>
      <c r="F187" t="s">
        <v>55</v>
      </c>
      <c r="G187" t="s">
        <v>244</v>
      </c>
      <c r="H187" t="s">
        <v>100</v>
      </c>
      <c r="I187">
        <f>I186*J187</f>
        <v>2</v>
      </c>
      <c r="J187">
        <v>8.1300813008130088</v>
      </c>
      <c r="O187">
        <f t="shared" si="161"/>
        <v>43327.9</v>
      </c>
      <c r="P187">
        <f t="shared" si="162"/>
        <v>43327.9</v>
      </c>
      <c r="Q187">
        <f t="shared" si="163"/>
        <v>0</v>
      </c>
      <c r="R187">
        <f t="shared" si="164"/>
        <v>0</v>
      </c>
      <c r="S187">
        <f t="shared" si="165"/>
        <v>0</v>
      </c>
      <c r="T187">
        <f t="shared" si="166"/>
        <v>0</v>
      </c>
      <c r="U187">
        <f t="shared" si="167"/>
        <v>0</v>
      </c>
      <c r="V187">
        <f t="shared" si="168"/>
        <v>0</v>
      </c>
      <c r="W187">
        <f t="shared" si="169"/>
        <v>0</v>
      </c>
      <c r="X187">
        <f t="shared" si="170"/>
        <v>0</v>
      </c>
      <c r="Y187">
        <f t="shared" si="171"/>
        <v>0</v>
      </c>
      <c r="AA187">
        <v>49707740</v>
      </c>
      <c r="AB187">
        <f t="shared" si="172"/>
        <v>21663.95</v>
      </c>
      <c r="AC187">
        <f t="shared" si="173"/>
        <v>21663.95</v>
      </c>
      <c r="AD187">
        <f>ROUND((ET187),6)</f>
        <v>0</v>
      </c>
      <c r="AE187">
        <f t="shared" si="195"/>
        <v>0</v>
      </c>
      <c r="AF187">
        <f t="shared" si="193"/>
        <v>0</v>
      </c>
      <c r="AG187">
        <f t="shared" si="175"/>
        <v>0</v>
      </c>
      <c r="AH187">
        <f t="shared" si="194"/>
        <v>0</v>
      </c>
      <c r="AI187">
        <f t="shared" si="196"/>
        <v>0</v>
      </c>
      <c r="AJ187">
        <f t="shared" si="177"/>
        <v>0</v>
      </c>
      <c r="AK187">
        <v>21663.949999999997</v>
      </c>
      <c r="AL187">
        <v>21663.949999999997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1</v>
      </c>
      <c r="AW187">
        <v>1</v>
      </c>
      <c r="AZ187">
        <v>1</v>
      </c>
      <c r="BA187">
        <v>1</v>
      </c>
      <c r="BB187">
        <v>1</v>
      </c>
      <c r="BC187">
        <v>1</v>
      </c>
      <c r="BD187" t="s">
        <v>3</v>
      </c>
      <c r="BE187" t="s">
        <v>3</v>
      </c>
      <c r="BF187" t="s">
        <v>3</v>
      </c>
      <c r="BG187" t="s">
        <v>3</v>
      </c>
      <c r="BH187">
        <v>3</v>
      </c>
      <c r="BI187">
        <v>1</v>
      </c>
      <c r="BJ187" t="s">
        <v>3</v>
      </c>
      <c r="BM187">
        <v>400002</v>
      </c>
      <c r="BN187">
        <v>0</v>
      </c>
      <c r="BO187" t="s">
        <v>3</v>
      </c>
      <c r="BP187">
        <v>0</v>
      </c>
      <c r="BQ187">
        <v>1</v>
      </c>
      <c r="BR187">
        <v>0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 t="s">
        <v>3</v>
      </c>
      <c r="BZ187">
        <v>0</v>
      </c>
      <c r="CA187">
        <v>0</v>
      </c>
      <c r="CE187">
        <v>0</v>
      </c>
      <c r="CF187">
        <v>0</v>
      </c>
      <c r="CG187">
        <v>0</v>
      </c>
      <c r="CM187">
        <v>0</v>
      </c>
      <c r="CN187" t="s">
        <v>3</v>
      </c>
      <c r="CO187">
        <v>0</v>
      </c>
      <c r="CP187">
        <f t="shared" si="178"/>
        <v>43327.9</v>
      </c>
      <c r="CQ187">
        <f>AC187*BC187</f>
        <v>21663.95</v>
      </c>
      <c r="CR187">
        <f>AD187*BB187</f>
        <v>0</v>
      </c>
      <c r="CS187">
        <f>AE187*BS187</f>
        <v>0</v>
      </c>
      <c r="CT187">
        <f>AF187*BA187</f>
        <v>0</v>
      </c>
      <c r="CU187">
        <f t="shared" si="182"/>
        <v>0</v>
      </c>
      <c r="CV187">
        <f>AH187</f>
        <v>0</v>
      </c>
      <c r="CW187">
        <f t="shared" si="184"/>
        <v>0</v>
      </c>
      <c r="CX187">
        <f t="shared" si="185"/>
        <v>0</v>
      </c>
      <c r="CY187">
        <f>0</f>
        <v>0</v>
      </c>
      <c r="CZ187">
        <f>0</f>
        <v>0</v>
      </c>
      <c r="DC187" t="s">
        <v>3</v>
      </c>
      <c r="DD187" t="s">
        <v>3</v>
      </c>
      <c r="DE187" t="s">
        <v>3</v>
      </c>
      <c r="DF187" t="s">
        <v>3</v>
      </c>
      <c r="DG187" t="s">
        <v>3</v>
      </c>
      <c r="DH187" t="s">
        <v>3</v>
      </c>
      <c r="DI187" t="s">
        <v>3</v>
      </c>
      <c r="DJ187" t="s">
        <v>3</v>
      </c>
      <c r="DK187" t="s">
        <v>3</v>
      </c>
      <c r="DL187" t="s">
        <v>3</v>
      </c>
      <c r="DM187" t="s">
        <v>3</v>
      </c>
      <c r="DN187">
        <v>0</v>
      </c>
      <c r="DO187">
        <v>0</v>
      </c>
      <c r="DP187">
        <v>1</v>
      </c>
      <c r="DQ187">
        <v>1</v>
      </c>
      <c r="DU187">
        <v>1010</v>
      </c>
      <c r="DV187" t="s">
        <v>100</v>
      </c>
      <c r="DW187" t="s">
        <v>100</v>
      </c>
      <c r="DX187">
        <v>1</v>
      </c>
      <c r="DZ187" t="s">
        <v>3</v>
      </c>
      <c r="EA187" t="s">
        <v>3</v>
      </c>
      <c r="EB187" t="s">
        <v>3</v>
      </c>
      <c r="EC187" t="s">
        <v>3</v>
      </c>
      <c r="EE187">
        <v>0</v>
      </c>
      <c r="EF187">
        <v>0</v>
      </c>
      <c r="EG187" t="s">
        <v>3</v>
      </c>
      <c r="EH187">
        <v>0</v>
      </c>
      <c r="EI187" t="s">
        <v>3</v>
      </c>
      <c r="EJ187">
        <v>0</v>
      </c>
      <c r="EK187">
        <v>400002</v>
      </c>
      <c r="EL187" t="s">
        <v>3</v>
      </c>
      <c r="EM187" t="s">
        <v>3</v>
      </c>
      <c r="EO187" t="s">
        <v>3</v>
      </c>
      <c r="EQ187">
        <v>0</v>
      </c>
      <c r="ER187">
        <v>21663.949999999997</v>
      </c>
      <c r="ES187">
        <v>21663.949999999997</v>
      </c>
      <c r="ET187">
        <v>0</v>
      </c>
      <c r="EU187">
        <v>0</v>
      </c>
      <c r="EV187">
        <v>0</v>
      </c>
      <c r="EW187">
        <v>0</v>
      </c>
      <c r="EX187">
        <v>0</v>
      </c>
      <c r="EZ187">
        <v>5</v>
      </c>
      <c r="FC187">
        <v>1</v>
      </c>
      <c r="FD187">
        <v>18</v>
      </c>
      <c r="FF187">
        <v>25487</v>
      </c>
      <c r="FQ187">
        <v>0</v>
      </c>
      <c r="FR187">
        <f t="shared" si="188"/>
        <v>0</v>
      </c>
      <c r="FS187">
        <v>0</v>
      </c>
      <c r="FX187">
        <v>0</v>
      </c>
      <c r="FY187">
        <v>0</v>
      </c>
      <c r="GA187" t="s">
        <v>245</v>
      </c>
      <c r="GD187">
        <v>0</v>
      </c>
      <c r="GF187">
        <v>1406858603</v>
      </c>
      <c r="GG187">
        <v>2</v>
      </c>
      <c r="GH187">
        <v>3</v>
      </c>
      <c r="GI187">
        <v>-2</v>
      </c>
      <c r="GJ187">
        <v>0</v>
      </c>
      <c r="GK187">
        <f>ROUND(R187*(R12)/100,2)</f>
        <v>0</v>
      </c>
      <c r="GL187">
        <f t="shared" si="189"/>
        <v>0</v>
      </c>
      <c r="GM187">
        <f t="shared" si="197"/>
        <v>43327.9</v>
      </c>
      <c r="GN187">
        <f t="shared" si="198"/>
        <v>43327.9</v>
      </c>
      <c r="GO187">
        <f t="shared" si="199"/>
        <v>0</v>
      </c>
      <c r="GP187">
        <f t="shared" si="200"/>
        <v>0</v>
      </c>
      <c r="GR187">
        <v>1</v>
      </c>
      <c r="GS187">
        <v>1</v>
      </c>
      <c r="GT187">
        <v>0</v>
      </c>
      <c r="GU187" t="s">
        <v>3</v>
      </c>
      <c r="GV187">
        <f t="shared" si="190"/>
        <v>0</v>
      </c>
      <c r="GW187">
        <v>1</v>
      </c>
      <c r="GX187">
        <f t="shared" si="191"/>
        <v>0</v>
      </c>
      <c r="HA187">
        <v>0</v>
      </c>
      <c r="HB187">
        <v>0</v>
      </c>
      <c r="HC187">
        <f t="shared" si="192"/>
        <v>0</v>
      </c>
      <c r="HE187" t="s">
        <v>61</v>
      </c>
      <c r="HF187" t="s">
        <v>35</v>
      </c>
      <c r="IK187">
        <v>0</v>
      </c>
    </row>
    <row r="188" spans="1:245" x14ac:dyDescent="0.2">
      <c r="A188">
        <v>18</v>
      </c>
      <c r="B188">
        <v>1</v>
      </c>
      <c r="C188">
        <v>128</v>
      </c>
      <c r="E188" t="s">
        <v>246</v>
      </c>
      <c r="F188" t="s">
        <v>55</v>
      </c>
      <c r="G188" t="s">
        <v>247</v>
      </c>
      <c r="H188" t="s">
        <v>100</v>
      </c>
      <c r="I188">
        <f>I186*J188</f>
        <v>2</v>
      </c>
      <c r="J188">
        <v>8.1300813008130088</v>
      </c>
      <c r="O188">
        <f t="shared" si="161"/>
        <v>29920</v>
      </c>
      <c r="P188">
        <f t="shared" si="162"/>
        <v>29920</v>
      </c>
      <c r="Q188">
        <f t="shared" si="163"/>
        <v>0</v>
      </c>
      <c r="R188">
        <f t="shared" si="164"/>
        <v>0</v>
      </c>
      <c r="S188">
        <f t="shared" si="165"/>
        <v>0</v>
      </c>
      <c r="T188">
        <f t="shared" si="166"/>
        <v>0</v>
      </c>
      <c r="U188">
        <f t="shared" si="167"/>
        <v>0</v>
      </c>
      <c r="V188">
        <f t="shared" si="168"/>
        <v>0</v>
      </c>
      <c r="W188">
        <f t="shared" si="169"/>
        <v>0</v>
      </c>
      <c r="X188">
        <f t="shared" si="170"/>
        <v>0</v>
      </c>
      <c r="Y188">
        <f t="shared" si="171"/>
        <v>0</v>
      </c>
      <c r="AA188">
        <v>49707740</v>
      </c>
      <c r="AB188">
        <f t="shared" si="172"/>
        <v>14960</v>
      </c>
      <c r="AC188">
        <f t="shared" si="173"/>
        <v>14960</v>
      </c>
      <c r="AD188">
        <f>ROUND((ET188),6)</f>
        <v>0</v>
      </c>
      <c r="AE188">
        <f t="shared" si="195"/>
        <v>0</v>
      </c>
      <c r="AF188">
        <f t="shared" si="193"/>
        <v>0</v>
      </c>
      <c r="AG188">
        <f t="shared" si="175"/>
        <v>0</v>
      </c>
      <c r="AH188">
        <f t="shared" si="194"/>
        <v>0</v>
      </c>
      <c r="AI188">
        <f t="shared" si="196"/>
        <v>0</v>
      </c>
      <c r="AJ188">
        <f t="shared" si="177"/>
        <v>0</v>
      </c>
      <c r="AK188">
        <v>14960</v>
      </c>
      <c r="AL188">
        <v>14960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1</v>
      </c>
      <c r="AW188">
        <v>1</v>
      </c>
      <c r="AZ188">
        <v>1</v>
      </c>
      <c r="BA188">
        <v>1</v>
      </c>
      <c r="BB188">
        <v>1</v>
      </c>
      <c r="BC188">
        <v>1</v>
      </c>
      <c r="BD188" t="s">
        <v>3</v>
      </c>
      <c r="BE188" t="s">
        <v>3</v>
      </c>
      <c r="BF188" t="s">
        <v>3</v>
      </c>
      <c r="BG188" t="s">
        <v>3</v>
      </c>
      <c r="BH188">
        <v>3</v>
      </c>
      <c r="BI188">
        <v>1</v>
      </c>
      <c r="BJ188" t="s">
        <v>3</v>
      </c>
      <c r="BM188">
        <v>400002</v>
      </c>
      <c r="BN188">
        <v>0</v>
      </c>
      <c r="BO188" t="s">
        <v>3</v>
      </c>
      <c r="BP188">
        <v>0</v>
      </c>
      <c r="BQ188">
        <v>1</v>
      </c>
      <c r="BR188">
        <v>0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 t="s">
        <v>3</v>
      </c>
      <c r="BZ188">
        <v>0</v>
      </c>
      <c r="CA188">
        <v>0</v>
      </c>
      <c r="CE188">
        <v>0</v>
      </c>
      <c r="CF188">
        <v>0</v>
      </c>
      <c r="CG188">
        <v>0</v>
      </c>
      <c r="CM188">
        <v>0</v>
      </c>
      <c r="CN188" t="s">
        <v>3</v>
      </c>
      <c r="CO188">
        <v>0</v>
      </c>
      <c r="CP188">
        <f t="shared" si="178"/>
        <v>29920</v>
      </c>
      <c r="CQ188">
        <f>AC188*BC188</f>
        <v>14960</v>
      </c>
      <c r="CR188">
        <f>AD188*BB188</f>
        <v>0</v>
      </c>
      <c r="CS188">
        <f>AE188*BS188</f>
        <v>0</v>
      </c>
      <c r="CT188">
        <f>AF188*BA188</f>
        <v>0</v>
      </c>
      <c r="CU188">
        <f t="shared" si="182"/>
        <v>0</v>
      </c>
      <c r="CV188">
        <f>AH188</f>
        <v>0</v>
      </c>
      <c r="CW188">
        <f t="shared" si="184"/>
        <v>0</v>
      </c>
      <c r="CX188">
        <f t="shared" si="185"/>
        <v>0</v>
      </c>
      <c r="CY188">
        <f>0</f>
        <v>0</v>
      </c>
      <c r="CZ188">
        <f>0</f>
        <v>0</v>
      </c>
      <c r="DC188" t="s">
        <v>3</v>
      </c>
      <c r="DD188" t="s">
        <v>3</v>
      </c>
      <c r="DE188" t="s">
        <v>3</v>
      </c>
      <c r="DF188" t="s">
        <v>3</v>
      </c>
      <c r="DG188" t="s">
        <v>3</v>
      </c>
      <c r="DH188" t="s">
        <v>3</v>
      </c>
      <c r="DI188" t="s">
        <v>3</v>
      </c>
      <c r="DJ188" t="s">
        <v>3</v>
      </c>
      <c r="DK188" t="s">
        <v>3</v>
      </c>
      <c r="DL188" t="s">
        <v>3</v>
      </c>
      <c r="DM188" t="s">
        <v>3</v>
      </c>
      <c r="DN188">
        <v>0</v>
      </c>
      <c r="DO188">
        <v>0</v>
      </c>
      <c r="DP188">
        <v>1</v>
      </c>
      <c r="DQ188">
        <v>1</v>
      </c>
      <c r="DU188">
        <v>1010</v>
      </c>
      <c r="DV188" t="s">
        <v>100</v>
      </c>
      <c r="DW188" t="s">
        <v>100</v>
      </c>
      <c r="DX188">
        <v>1</v>
      </c>
      <c r="DZ188" t="s">
        <v>3</v>
      </c>
      <c r="EA188" t="s">
        <v>3</v>
      </c>
      <c r="EB188" t="s">
        <v>3</v>
      </c>
      <c r="EC188" t="s">
        <v>3</v>
      </c>
      <c r="EE188">
        <v>0</v>
      </c>
      <c r="EF188">
        <v>0</v>
      </c>
      <c r="EG188" t="s">
        <v>3</v>
      </c>
      <c r="EH188">
        <v>0</v>
      </c>
      <c r="EI188" t="s">
        <v>3</v>
      </c>
      <c r="EJ188">
        <v>0</v>
      </c>
      <c r="EK188">
        <v>400002</v>
      </c>
      <c r="EL188" t="s">
        <v>3</v>
      </c>
      <c r="EM188" t="s">
        <v>3</v>
      </c>
      <c r="EO188" t="s">
        <v>3</v>
      </c>
      <c r="EQ188">
        <v>0</v>
      </c>
      <c r="ER188">
        <v>14960</v>
      </c>
      <c r="ES188">
        <v>14960</v>
      </c>
      <c r="ET188">
        <v>0</v>
      </c>
      <c r="EU188">
        <v>0</v>
      </c>
      <c r="EV188">
        <v>0</v>
      </c>
      <c r="EW188">
        <v>0</v>
      </c>
      <c r="EX188">
        <v>0</v>
      </c>
      <c r="EZ188">
        <v>5</v>
      </c>
      <c r="FC188">
        <v>1</v>
      </c>
      <c r="FD188">
        <v>18</v>
      </c>
      <c r="FF188">
        <v>17600</v>
      </c>
      <c r="FQ188">
        <v>0</v>
      </c>
      <c r="FR188">
        <f t="shared" si="188"/>
        <v>0</v>
      </c>
      <c r="FS188">
        <v>0</v>
      </c>
      <c r="FX188">
        <v>0</v>
      </c>
      <c r="FY188">
        <v>0</v>
      </c>
      <c r="GA188" t="s">
        <v>248</v>
      </c>
      <c r="GD188">
        <v>0</v>
      </c>
      <c r="GF188">
        <v>-2138184854</v>
      </c>
      <c r="GG188">
        <v>2</v>
      </c>
      <c r="GH188">
        <v>3</v>
      </c>
      <c r="GI188">
        <v>-2</v>
      </c>
      <c r="GJ188">
        <v>0</v>
      </c>
      <c r="GK188">
        <f>ROUND(R188*(R12)/100,2)</f>
        <v>0</v>
      </c>
      <c r="GL188">
        <f t="shared" si="189"/>
        <v>0</v>
      </c>
      <c r="GM188">
        <f t="shared" si="197"/>
        <v>29920</v>
      </c>
      <c r="GN188">
        <f t="shared" si="198"/>
        <v>29920</v>
      </c>
      <c r="GO188">
        <f t="shared" si="199"/>
        <v>0</v>
      </c>
      <c r="GP188">
        <f t="shared" si="200"/>
        <v>0</v>
      </c>
      <c r="GR188">
        <v>1</v>
      </c>
      <c r="GS188">
        <v>1</v>
      </c>
      <c r="GT188">
        <v>0</v>
      </c>
      <c r="GU188" t="s">
        <v>3</v>
      </c>
      <c r="GV188">
        <f t="shared" si="190"/>
        <v>0</v>
      </c>
      <c r="GW188">
        <v>1</v>
      </c>
      <c r="GX188">
        <f t="shared" si="191"/>
        <v>0</v>
      </c>
      <c r="HA188">
        <v>0</v>
      </c>
      <c r="HB188">
        <v>0</v>
      </c>
      <c r="HC188">
        <f t="shared" si="192"/>
        <v>0</v>
      </c>
      <c r="HE188" t="s">
        <v>61</v>
      </c>
      <c r="HF188" t="s">
        <v>35</v>
      </c>
      <c r="IK188">
        <v>0</v>
      </c>
    </row>
    <row r="190" spans="1:245" x14ac:dyDescent="0.2">
      <c r="A190" s="2">
        <v>51</v>
      </c>
      <c r="B190" s="2">
        <f>B173</f>
        <v>1</v>
      </c>
      <c r="C190" s="2">
        <f>A173</f>
        <v>4</v>
      </c>
      <c r="D190" s="2">
        <f>ROW(A173)</f>
        <v>173</v>
      </c>
      <c r="E190" s="2"/>
      <c r="F190" s="2" t="str">
        <f>IF(F173&lt;&gt;"",F173,"")</f>
        <v>сп/оборуд.</v>
      </c>
      <c r="G190" s="2" t="str">
        <f>IF(G173&lt;&gt;"",G173,"")</f>
        <v>Спортивное оборудование</v>
      </c>
      <c r="H190" s="2">
        <v>0</v>
      </c>
      <c r="I190" s="2"/>
      <c r="J190" s="2"/>
      <c r="K190" s="2"/>
      <c r="L190" s="2"/>
      <c r="M190" s="2"/>
      <c r="N190" s="2"/>
      <c r="O190" s="2">
        <f t="shared" ref="O190:T190" si="201">ROUND(AB190,2)</f>
        <v>96968.2</v>
      </c>
      <c r="P190" s="2">
        <f t="shared" si="201"/>
        <v>88037.81</v>
      </c>
      <c r="Q190" s="2">
        <f t="shared" si="201"/>
        <v>597.54</v>
      </c>
      <c r="R190" s="2">
        <f t="shared" si="201"/>
        <v>165.95</v>
      </c>
      <c r="S190" s="2">
        <f t="shared" si="201"/>
        <v>8332.85</v>
      </c>
      <c r="T190" s="2">
        <f t="shared" si="201"/>
        <v>0</v>
      </c>
      <c r="U190" s="2">
        <f>AH190</f>
        <v>44.472380000000001</v>
      </c>
      <c r="V190" s="2">
        <f>AI190</f>
        <v>0</v>
      </c>
      <c r="W190" s="2">
        <f>ROUND(AJ190,2)</f>
        <v>0</v>
      </c>
      <c r="X190" s="2">
        <f>ROUND(AK190,2)</f>
        <v>5832.99</v>
      </c>
      <c r="Y190" s="2">
        <f>ROUND(AL190,2)</f>
        <v>833.29</v>
      </c>
      <c r="Z190" s="2"/>
      <c r="AA190" s="2"/>
      <c r="AB190" s="2">
        <f>ROUND(SUMIF(AA177:AA188,"=49707740",O177:O188),2)</f>
        <v>96968.2</v>
      </c>
      <c r="AC190" s="2">
        <f>ROUND(SUMIF(AA177:AA188,"=49707740",P177:P188),2)</f>
        <v>88037.81</v>
      </c>
      <c r="AD190" s="2">
        <f>ROUND(SUMIF(AA177:AA188,"=49707740",Q177:Q188),2)</f>
        <v>597.54</v>
      </c>
      <c r="AE190" s="2">
        <f>ROUND(SUMIF(AA177:AA188,"=49707740",R177:R188),2)</f>
        <v>165.95</v>
      </c>
      <c r="AF190" s="2">
        <f>ROUND(SUMIF(AA177:AA188,"=49707740",S177:S188),2)</f>
        <v>8332.85</v>
      </c>
      <c r="AG190" s="2">
        <f>ROUND(SUMIF(AA177:AA188,"=49707740",T177:T188),2)</f>
        <v>0</v>
      </c>
      <c r="AH190" s="2">
        <f>SUMIF(AA177:AA188,"=49707740",U177:U188)</f>
        <v>44.472380000000001</v>
      </c>
      <c r="AI190" s="2">
        <f>SUMIF(AA177:AA188,"=49707740",V177:V188)</f>
        <v>0</v>
      </c>
      <c r="AJ190" s="2">
        <f>ROUND(SUMIF(AA177:AA188,"=49707740",W177:W188),2)</f>
        <v>0</v>
      </c>
      <c r="AK190" s="2">
        <f>ROUND(SUMIF(AA177:AA188,"=49707740",X177:X188),2)</f>
        <v>5832.99</v>
      </c>
      <c r="AL190" s="2">
        <f>ROUND(SUMIF(AA177:AA188,"=49707740",Y177:Y188),2)</f>
        <v>833.29</v>
      </c>
      <c r="AM190" s="2"/>
      <c r="AN190" s="2"/>
      <c r="AO190" s="2">
        <f t="shared" ref="AO190:BD190" si="202">ROUND(BX190,2)</f>
        <v>0</v>
      </c>
      <c r="AP190" s="2">
        <f t="shared" si="202"/>
        <v>0</v>
      </c>
      <c r="AQ190" s="2">
        <f t="shared" si="202"/>
        <v>0</v>
      </c>
      <c r="AR190" s="2">
        <f t="shared" si="202"/>
        <v>103649.88</v>
      </c>
      <c r="AS190" s="2">
        <f t="shared" si="202"/>
        <v>73291.429999999993</v>
      </c>
      <c r="AT190" s="2">
        <f t="shared" si="202"/>
        <v>0</v>
      </c>
      <c r="AU190" s="2">
        <f t="shared" si="202"/>
        <v>30358.45</v>
      </c>
      <c r="AV190" s="2">
        <f t="shared" si="202"/>
        <v>88037.81</v>
      </c>
      <c r="AW190" s="2">
        <f t="shared" si="202"/>
        <v>88037.81</v>
      </c>
      <c r="AX190" s="2">
        <f t="shared" si="202"/>
        <v>0</v>
      </c>
      <c r="AY190" s="2">
        <f t="shared" si="202"/>
        <v>88037.81</v>
      </c>
      <c r="AZ190" s="2">
        <f t="shared" si="202"/>
        <v>0</v>
      </c>
      <c r="BA190" s="2">
        <f t="shared" si="202"/>
        <v>0</v>
      </c>
      <c r="BB190" s="2">
        <f t="shared" si="202"/>
        <v>0</v>
      </c>
      <c r="BC190" s="2">
        <f t="shared" si="202"/>
        <v>0</v>
      </c>
      <c r="BD190" s="2">
        <f t="shared" si="202"/>
        <v>0</v>
      </c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>
        <f>ROUND(SUMIF(AA177:AA188,"=49707740",FQ177:FQ188),2)</f>
        <v>0</v>
      </c>
      <c r="BY190" s="2">
        <f>ROUND(SUMIF(AA177:AA188,"=49707740",FR177:FR188),2)</f>
        <v>0</v>
      </c>
      <c r="BZ190" s="2">
        <f>ROUND(SUMIF(AA177:AA188,"=49707740",GL177:GL188),2)</f>
        <v>0</v>
      </c>
      <c r="CA190" s="2">
        <f>ROUND(SUMIF(AA177:AA188,"=49707740",GM177:GM188),2)</f>
        <v>103649.88</v>
      </c>
      <c r="CB190" s="2">
        <f>ROUND(SUMIF(AA177:AA188,"=49707740",GN177:GN188),2)</f>
        <v>73291.429999999993</v>
      </c>
      <c r="CC190" s="2">
        <f>ROUND(SUMIF(AA177:AA188,"=49707740",GO177:GO188),2)</f>
        <v>0</v>
      </c>
      <c r="CD190" s="2">
        <f>ROUND(SUMIF(AA177:AA188,"=49707740",GP177:GP188),2)</f>
        <v>30358.45</v>
      </c>
      <c r="CE190" s="2">
        <f>AC190-BX190</f>
        <v>88037.81</v>
      </c>
      <c r="CF190" s="2">
        <f>AC190-BY190</f>
        <v>88037.81</v>
      </c>
      <c r="CG190" s="2">
        <f>BX190-BZ190</f>
        <v>0</v>
      </c>
      <c r="CH190" s="2">
        <f>AC190-BX190-BY190+BZ190</f>
        <v>88037.81</v>
      </c>
      <c r="CI190" s="2">
        <f>BY190-BZ190</f>
        <v>0</v>
      </c>
      <c r="CJ190" s="2">
        <f>ROUND(SUMIF(AA177:AA188,"=49707740",GX177:GX188),2)</f>
        <v>0</v>
      </c>
      <c r="CK190" s="2">
        <f>ROUND(SUMIF(AA177:AA188,"=49707740",GY177:GY188),2)</f>
        <v>0</v>
      </c>
      <c r="CL190" s="2">
        <f>ROUND(SUMIF(AA177:AA188,"=49707740",GZ177:GZ188),2)</f>
        <v>0</v>
      </c>
      <c r="CM190" s="2">
        <f>ROUND(SUMIF(AA177:AA188,"=49707740",HD177:HD188),2)</f>
        <v>0</v>
      </c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/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/>
      <c r="GD190" s="3"/>
      <c r="GE190" s="3"/>
      <c r="GF190" s="3"/>
      <c r="GG190" s="3"/>
      <c r="GH190" s="3"/>
      <c r="GI190" s="3"/>
      <c r="GJ190" s="3"/>
      <c r="GK190" s="3"/>
      <c r="GL190" s="3"/>
      <c r="GM190" s="3"/>
      <c r="GN190" s="3"/>
      <c r="GO190" s="3"/>
      <c r="GP190" s="3"/>
      <c r="GQ190" s="3"/>
      <c r="GR190" s="3"/>
      <c r="GS190" s="3"/>
      <c r="GT190" s="3"/>
      <c r="GU190" s="3"/>
      <c r="GV190" s="3"/>
      <c r="GW190" s="3"/>
      <c r="GX190" s="3">
        <v>0</v>
      </c>
    </row>
    <row r="192" spans="1:245" x14ac:dyDescent="0.2">
      <c r="A192" s="4">
        <v>50</v>
      </c>
      <c r="B192" s="4">
        <v>0</v>
      </c>
      <c r="C192" s="4">
        <v>0</v>
      </c>
      <c r="D192" s="4">
        <v>1</v>
      </c>
      <c r="E192" s="4">
        <v>201</v>
      </c>
      <c r="F192" s="4">
        <f>ROUND(Source!O190,O192)</f>
        <v>96968.2</v>
      </c>
      <c r="G192" s="4" t="s">
        <v>106</v>
      </c>
      <c r="H192" s="4" t="s">
        <v>107</v>
      </c>
      <c r="I192" s="4"/>
      <c r="J192" s="4"/>
      <c r="K192" s="4">
        <v>-201</v>
      </c>
      <c r="L192" s="4">
        <v>1</v>
      </c>
      <c r="M192" s="4">
        <v>3</v>
      </c>
      <c r="N192" s="4" t="s">
        <v>3</v>
      </c>
      <c r="O192" s="4">
        <v>2</v>
      </c>
      <c r="P192" s="4"/>
      <c r="Q192" s="4"/>
      <c r="R192" s="4"/>
      <c r="S192" s="4"/>
      <c r="T192" s="4"/>
      <c r="U192" s="4"/>
      <c r="V192" s="4"/>
      <c r="W192" s="4"/>
    </row>
    <row r="193" spans="1:23" x14ac:dyDescent="0.2">
      <c r="A193" s="4">
        <v>50</v>
      </c>
      <c r="B193" s="4">
        <v>0</v>
      </c>
      <c r="C193" s="4">
        <v>0</v>
      </c>
      <c r="D193" s="4">
        <v>1</v>
      </c>
      <c r="E193" s="4">
        <v>202</v>
      </c>
      <c r="F193" s="4">
        <f>ROUND(Source!P190,O193)</f>
        <v>88037.81</v>
      </c>
      <c r="G193" s="4" t="s">
        <v>108</v>
      </c>
      <c r="H193" s="4" t="s">
        <v>109</v>
      </c>
      <c r="I193" s="4"/>
      <c r="J193" s="4"/>
      <c r="K193" s="4">
        <v>-202</v>
      </c>
      <c r="L193" s="4">
        <v>2</v>
      </c>
      <c r="M193" s="4">
        <v>3</v>
      </c>
      <c r="N193" s="4" t="s">
        <v>3</v>
      </c>
      <c r="O193" s="4">
        <v>2</v>
      </c>
      <c r="P193" s="4"/>
      <c r="Q193" s="4"/>
      <c r="R193" s="4"/>
      <c r="S193" s="4"/>
      <c r="T193" s="4"/>
      <c r="U193" s="4"/>
      <c r="V193" s="4"/>
      <c r="W193" s="4"/>
    </row>
    <row r="194" spans="1:23" x14ac:dyDescent="0.2">
      <c r="A194" s="4">
        <v>50</v>
      </c>
      <c r="B194" s="4">
        <v>0</v>
      </c>
      <c r="C194" s="4">
        <v>0</v>
      </c>
      <c r="D194" s="4">
        <v>1</v>
      </c>
      <c r="E194" s="4">
        <v>222</v>
      </c>
      <c r="F194" s="4">
        <f>ROUND(Source!AO190,O194)</f>
        <v>0</v>
      </c>
      <c r="G194" s="4" t="s">
        <v>110</v>
      </c>
      <c r="H194" s="4" t="s">
        <v>111</v>
      </c>
      <c r="I194" s="4"/>
      <c r="J194" s="4"/>
      <c r="K194" s="4">
        <v>-222</v>
      </c>
      <c r="L194" s="4">
        <v>3</v>
      </c>
      <c r="M194" s="4">
        <v>3</v>
      </c>
      <c r="N194" s="4" t="s">
        <v>3</v>
      </c>
      <c r="O194" s="4">
        <v>2</v>
      </c>
      <c r="P194" s="4"/>
      <c r="Q194" s="4"/>
      <c r="R194" s="4"/>
      <c r="S194" s="4"/>
      <c r="T194" s="4"/>
      <c r="U194" s="4"/>
      <c r="V194" s="4"/>
      <c r="W194" s="4"/>
    </row>
    <row r="195" spans="1:23" x14ac:dyDescent="0.2">
      <c r="A195" s="4">
        <v>50</v>
      </c>
      <c r="B195" s="4">
        <v>0</v>
      </c>
      <c r="C195" s="4">
        <v>0</v>
      </c>
      <c r="D195" s="4">
        <v>1</v>
      </c>
      <c r="E195" s="4">
        <v>225</v>
      </c>
      <c r="F195" s="4">
        <f>ROUND(Source!AV190,O195)</f>
        <v>88037.81</v>
      </c>
      <c r="G195" s="4" t="s">
        <v>112</v>
      </c>
      <c r="H195" s="4" t="s">
        <v>113</v>
      </c>
      <c r="I195" s="4"/>
      <c r="J195" s="4"/>
      <c r="K195" s="4">
        <v>-225</v>
      </c>
      <c r="L195" s="4">
        <v>4</v>
      </c>
      <c r="M195" s="4">
        <v>3</v>
      </c>
      <c r="N195" s="4" t="s">
        <v>3</v>
      </c>
      <c r="O195" s="4">
        <v>2</v>
      </c>
      <c r="P195" s="4"/>
      <c r="Q195" s="4"/>
      <c r="R195" s="4"/>
      <c r="S195" s="4"/>
      <c r="T195" s="4"/>
      <c r="U195" s="4"/>
      <c r="V195" s="4"/>
      <c r="W195" s="4"/>
    </row>
    <row r="196" spans="1:23" x14ac:dyDescent="0.2">
      <c r="A196" s="4">
        <v>50</v>
      </c>
      <c r="B196" s="4">
        <v>0</v>
      </c>
      <c r="C196" s="4">
        <v>0</v>
      </c>
      <c r="D196" s="4">
        <v>1</v>
      </c>
      <c r="E196" s="4">
        <v>226</v>
      </c>
      <c r="F196" s="4">
        <f>ROUND(Source!AW190,O196)</f>
        <v>88037.81</v>
      </c>
      <c r="G196" s="4" t="s">
        <v>114</v>
      </c>
      <c r="H196" s="4" t="s">
        <v>115</v>
      </c>
      <c r="I196" s="4"/>
      <c r="J196" s="4"/>
      <c r="K196" s="4">
        <v>-226</v>
      </c>
      <c r="L196" s="4">
        <v>5</v>
      </c>
      <c r="M196" s="4">
        <v>3</v>
      </c>
      <c r="N196" s="4" t="s">
        <v>3</v>
      </c>
      <c r="O196" s="4">
        <v>2</v>
      </c>
      <c r="P196" s="4"/>
      <c r="Q196" s="4"/>
      <c r="R196" s="4"/>
      <c r="S196" s="4"/>
      <c r="T196" s="4"/>
      <c r="U196" s="4"/>
      <c r="V196" s="4"/>
      <c r="W196" s="4"/>
    </row>
    <row r="197" spans="1:23" x14ac:dyDescent="0.2">
      <c r="A197" s="4">
        <v>50</v>
      </c>
      <c r="B197" s="4">
        <v>0</v>
      </c>
      <c r="C197" s="4">
        <v>0</v>
      </c>
      <c r="D197" s="4">
        <v>1</v>
      </c>
      <c r="E197" s="4">
        <v>227</v>
      </c>
      <c r="F197" s="4">
        <f>ROUND(Source!AX190,O197)</f>
        <v>0</v>
      </c>
      <c r="G197" s="4" t="s">
        <v>116</v>
      </c>
      <c r="H197" s="4" t="s">
        <v>117</v>
      </c>
      <c r="I197" s="4"/>
      <c r="J197" s="4"/>
      <c r="K197" s="4">
        <v>-227</v>
      </c>
      <c r="L197" s="4">
        <v>6</v>
      </c>
      <c r="M197" s="4">
        <v>3</v>
      </c>
      <c r="N197" s="4" t="s">
        <v>3</v>
      </c>
      <c r="O197" s="4">
        <v>2</v>
      </c>
      <c r="P197" s="4"/>
      <c r="Q197" s="4"/>
      <c r="R197" s="4"/>
      <c r="S197" s="4"/>
      <c r="T197" s="4"/>
      <c r="U197" s="4"/>
      <c r="V197" s="4"/>
      <c r="W197" s="4"/>
    </row>
    <row r="198" spans="1:23" x14ac:dyDescent="0.2">
      <c r="A198" s="4">
        <v>50</v>
      </c>
      <c r="B198" s="4">
        <v>0</v>
      </c>
      <c r="C198" s="4">
        <v>0</v>
      </c>
      <c r="D198" s="4">
        <v>1</v>
      </c>
      <c r="E198" s="4">
        <v>228</v>
      </c>
      <c r="F198" s="4">
        <f>ROUND(Source!AY190,O198)</f>
        <v>88037.81</v>
      </c>
      <c r="G198" s="4" t="s">
        <v>118</v>
      </c>
      <c r="H198" s="4" t="s">
        <v>119</v>
      </c>
      <c r="I198" s="4"/>
      <c r="J198" s="4"/>
      <c r="K198" s="4">
        <v>-228</v>
      </c>
      <c r="L198" s="4">
        <v>7</v>
      </c>
      <c r="M198" s="4">
        <v>3</v>
      </c>
      <c r="N198" s="4" t="s">
        <v>3</v>
      </c>
      <c r="O198" s="4">
        <v>2</v>
      </c>
      <c r="P198" s="4"/>
      <c r="Q198" s="4"/>
      <c r="R198" s="4"/>
      <c r="S198" s="4"/>
      <c r="T198" s="4"/>
      <c r="U198" s="4"/>
      <c r="V198" s="4"/>
      <c r="W198" s="4"/>
    </row>
    <row r="199" spans="1:23" x14ac:dyDescent="0.2">
      <c r="A199" s="4">
        <v>50</v>
      </c>
      <c r="B199" s="4">
        <v>0</v>
      </c>
      <c r="C199" s="4">
        <v>0</v>
      </c>
      <c r="D199" s="4">
        <v>1</v>
      </c>
      <c r="E199" s="4">
        <v>216</v>
      </c>
      <c r="F199" s="4">
        <f>ROUND(Source!AP190,O199)</f>
        <v>0</v>
      </c>
      <c r="G199" s="4" t="s">
        <v>120</v>
      </c>
      <c r="H199" s="4" t="s">
        <v>121</v>
      </c>
      <c r="I199" s="4"/>
      <c r="J199" s="4"/>
      <c r="K199" s="4">
        <v>-216</v>
      </c>
      <c r="L199" s="4">
        <v>8</v>
      </c>
      <c r="M199" s="4">
        <v>3</v>
      </c>
      <c r="N199" s="4" t="s">
        <v>3</v>
      </c>
      <c r="O199" s="4">
        <v>2</v>
      </c>
      <c r="P199" s="4"/>
      <c r="Q199" s="4"/>
      <c r="R199" s="4"/>
      <c r="S199" s="4"/>
      <c r="T199" s="4"/>
      <c r="U199" s="4"/>
      <c r="V199" s="4"/>
      <c r="W199" s="4"/>
    </row>
    <row r="200" spans="1:23" x14ac:dyDescent="0.2">
      <c r="A200" s="4">
        <v>50</v>
      </c>
      <c r="B200" s="4">
        <v>0</v>
      </c>
      <c r="C200" s="4">
        <v>0</v>
      </c>
      <c r="D200" s="4">
        <v>1</v>
      </c>
      <c r="E200" s="4">
        <v>223</v>
      </c>
      <c r="F200" s="4">
        <f>ROUND(Source!AQ190,O200)</f>
        <v>0</v>
      </c>
      <c r="G200" s="4" t="s">
        <v>122</v>
      </c>
      <c r="H200" s="4" t="s">
        <v>123</v>
      </c>
      <c r="I200" s="4"/>
      <c r="J200" s="4"/>
      <c r="K200" s="4">
        <v>-223</v>
      </c>
      <c r="L200" s="4">
        <v>9</v>
      </c>
      <c r="M200" s="4">
        <v>3</v>
      </c>
      <c r="N200" s="4" t="s">
        <v>3</v>
      </c>
      <c r="O200" s="4">
        <v>2</v>
      </c>
      <c r="P200" s="4"/>
      <c r="Q200" s="4"/>
      <c r="R200" s="4"/>
      <c r="S200" s="4"/>
      <c r="T200" s="4"/>
      <c r="U200" s="4"/>
      <c r="V200" s="4"/>
      <c r="W200" s="4"/>
    </row>
    <row r="201" spans="1:23" x14ac:dyDescent="0.2">
      <c r="A201" s="4">
        <v>50</v>
      </c>
      <c r="B201" s="4">
        <v>0</v>
      </c>
      <c r="C201" s="4">
        <v>0</v>
      </c>
      <c r="D201" s="4">
        <v>1</v>
      </c>
      <c r="E201" s="4">
        <v>229</v>
      </c>
      <c r="F201" s="4">
        <f>ROUND(Source!AZ190,O201)</f>
        <v>0</v>
      </c>
      <c r="G201" s="4" t="s">
        <v>124</v>
      </c>
      <c r="H201" s="4" t="s">
        <v>125</v>
      </c>
      <c r="I201" s="4"/>
      <c r="J201" s="4"/>
      <c r="K201" s="4">
        <v>-229</v>
      </c>
      <c r="L201" s="4">
        <v>10</v>
      </c>
      <c r="M201" s="4">
        <v>3</v>
      </c>
      <c r="N201" s="4" t="s">
        <v>3</v>
      </c>
      <c r="O201" s="4">
        <v>2</v>
      </c>
      <c r="P201" s="4"/>
      <c r="Q201" s="4"/>
      <c r="R201" s="4"/>
      <c r="S201" s="4"/>
      <c r="T201" s="4"/>
      <c r="U201" s="4"/>
      <c r="V201" s="4"/>
      <c r="W201" s="4"/>
    </row>
    <row r="202" spans="1:23" x14ac:dyDescent="0.2">
      <c r="A202" s="4">
        <v>50</v>
      </c>
      <c r="B202" s="4">
        <v>0</v>
      </c>
      <c r="C202" s="4">
        <v>0</v>
      </c>
      <c r="D202" s="4">
        <v>1</v>
      </c>
      <c r="E202" s="4">
        <v>203</v>
      </c>
      <c r="F202" s="4">
        <f>ROUND(Source!Q190,O202)</f>
        <v>597.54</v>
      </c>
      <c r="G202" s="4" t="s">
        <v>126</v>
      </c>
      <c r="H202" s="4" t="s">
        <v>127</v>
      </c>
      <c r="I202" s="4"/>
      <c r="J202" s="4"/>
      <c r="K202" s="4">
        <v>-203</v>
      </c>
      <c r="L202" s="4">
        <v>11</v>
      </c>
      <c r="M202" s="4">
        <v>3</v>
      </c>
      <c r="N202" s="4" t="s">
        <v>3</v>
      </c>
      <c r="O202" s="4">
        <v>2</v>
      </c>
      <c r="P202" s="4"/>
      <c r="Q202" s="4"/>
      <c r="R202" s="4"/>
      <c r="S202" s="4"/>
      <c r="T202" s="4"/>
      <c r="U202" s="4"/>
      <c r="V202" s="4"/>
      <c r="W202" s="4"/>
    </row>
    <row r="203" spans="1:23" x14ac:dyDescent="0.2">
      <c r="A203" s="4">
        <v>50</v>
      </c>
      <c r="B203" s="4">
        <v>0</v>
      </c>
      <c r="C203" s="4">
        <v>0</v>
      </c>
      <c r="D203" s="4">
        <v>1</v>
      </c>
      <c r="E203" s="4">
        <v>231</v>
      </c>
      <c r="F203" s="4">
        <f>ROUND(Source!BB190,O203)</f>
        <v>0</v>
      </c>
      <c r="G203" s="4" t="s">
        <v>128</v>
      </c>
      <c r="H203" s="4" t="s">
        <v>129</v>
      </c>
      <c r="I203" s="4"/>
      <c r="J203" s="4"/>
      <c r="K203" s="4">
        <v>-231</v>
      </c>
      <c r="L203" s="4">
        <v>12</v>
      </c>
      <c r="M203" s="4">
        <v>3</v>
      </c>
      <c r="N203" s="4" t="s">
        <v>3</v>
      </c>
      <c r="O203" s="4">
        <v>2</v>
      </c>
      <c r="P203" s="4"/>
      <c r="Q203" s="4"/>
      <c r="R203" s="4"/>
      <c r="S203" s="4"/>
      <c r="T203" s="4"/>
      <c r="U203" s="4"/>
      <c r="V203" s="4"/>
      <c r="W203" s="4"/>
    </row>
    <row r="204" spans="1:23" x14ac:dyDescent="0.2">
      <c r="A204" s="4">
        <v>50</v>
      </c>
      <c r="B204" s="4">
        <v>0</v>
      </c>
      <c r="C204" s="4">
        <v>0</v>
      </c>
      <c r="D204" s="4">
        <v>1</v>
      </c>
      <c r="E204" s="4">
        <v>204</v>
      </c>
      <c r="F204" s="4">
        <f>ROUND(Source!R190,O204)</f>
        <v>165.95</v>
      </c>
      <c r="G204" s="4" t="s">
        <v>130</v>
      </c>
      <c r="H204" s="4" t="s">
        <v>131</v>
      </c>
      <c r="I204" s="4"/>
      <c r="J204" s="4"/>
      <c r="K204" s="4">
        <v>-204</v>
      </c>
      <c r="L204" s="4">
        <v>13</v>
      </c>
      <c r="M204" s="4">
        <v>3</v>
      </c>
      <c r="N204" s="4" t="s">
        <v>3</v>
      </c>
      <c r="O204" s="4">
        <v>2</v>
      </c>
      <c r="P204" s="4"/>
      <c r="Q204" s="4"/>
      <c r="R204" s="4"/>
      <c r="S204" s="4"/>
      <c r="T204" s="4"/>
      <c r="U204" s="4"/>
      <c r="V204" s="4"/>
      <c r="W204" s="4"/>
    </row>
    <row r="205" spans="1:23" x14ac:dyDescent="0.2">
      <c r="A205" s="4">
        <v>50</v>
      </c>
      <c r="B205" s="4">
        <v>0</v>
      </c>
      <c r="C205" s="4">
        <v>0</v>
      </c>
      <c r="D205" s="4">
        <v>1</v>
      </c>
      <c r="E205" s="4">
        <v>205</v>
      </c>
      <c r="F205" s="4">
        <f>ROUND(Source!S190,O205)</f>
        <v>8332.85</v>
      </c>
      <c r="G205" s="4" t="s">
        <v>132</v>
      </c>
      <c r="H205" s="4" t="s">
        <v>133</v>
      </c>
      <c r="I205" s="4"/>
      <c r="J205" s="4"/>
      <c r="K205" s="4">
        <v>-205</v>
      </c>
      <c r="L205" s="4">
        <v>14</v>
      </c>
      <c r="M205" s="4">
        <v>3</v>
      </c>
      <c r="N205" s="4" t="s">
        <v>3</v>
      </c>
      <c r="O205" s="4">
        <v>2</v>
      </c>
      <c r="P205" s="4"/>
      <c r="Q205" s="4"/>
      <c r="R205" s="4"/>
      <c r="S205" s="4"/>
      <c r="T205" s="4"/>
      <c r="U205" s="4"/>
      <c r="V205" s="4"/>
      <c r="W205" s="4"/>
    </row>
    <row r="206" spans="1:23" x14ac:dyDescent="0.2">
      <c r="A206" s="4">
        <v>50</v>
      </c>
      <c r="B206" s="4">
        <v>0</v>
      </c>
      <c r="C206" s="4">
        <v>0</v>
      </c>
      <c r="D206" s="4">
        <v>1</v>
      </c>
      <c r="E206" s="4">
        <v>232</v>
      </c>
      <c r="F206" s="4">
        <f>ROUND(Source!BC190,O206)</f>
        <v>0</v>
      </c>
      <c r="G206" s="4" t="s">
        <v>134</v>
      </c>
      <c r="H206" s="4" t="s">
        <v>135</v>
      </c>
      <c r="I206" s="4"/>
      <c r="J206" s="4"/>
      <c r="K206" s="4">
        <v>-232</v>
      </c>
      <c r="L206" s="4">
        <v>15</v>
      </c>
      <c r="M206" s="4">
        <v>3</v>
      </c>
      <c r="N206" s="4" t="s">
        <v>3</v>
      </c>
      <c r="O206" s="4">
        <v>2</v>
      </c>
      <c r="P206" s="4"/>
      <c r="Q206" s="4"/>
      <c r="R206" s="4"/>
      <c r="S206" s="4"/>
      <c r="T206" s="4"/>
      <c r="U206" s="4"/>
      <c r="V206" s="4"/>
      <c r="W206" s="4"/>
    </row>
    <row r="207" spans="1:23" x14ac:dyDescent="0.2">
      <c r="A207" s="4">
        <v>50</v>
      </c>
      <c r="B207" s="4">
        <v>0</v>
      </c>
      <c r="C207" s="4">
        <v>0</v>
      </c>
      <c r="D207" s="4">
        <v>1</v>
      </c>
      <c r="E207" s="4">
        <v>214</v>
      </c>
      <c r="F207" s="4">
        <f>ROUND(Source!AS190,O207)</f>
        <v>73291.429999999993</v>
      </c>
      <c r="G207" s="4" t="s">
        <v>136</v>
      </c>
      <c r="H207" s="4" t="s">
        <v>137</v>
      </c>
      <c r="I207" s="4"/>
      <c r="J207" s="4"/>
      <c r="K207" s="4">
        <v>-214</v>
      </c>
      <c r="L207" s="4">
        <v>16</v>
      </c>
      <c r="M207" s="4">
        <v>3</v>
      </c>
      <c r="N207" s="4" t="s">
        <v>3</v>
      </c>
      <c r="O207" s="4">
        <v>2</v>
      </c>
      <c r="P207" s="4"/>
      <c r="Q207" s="4"/>
      <c r="R207" s="4"/>
      <c r="S207" s="4"/>
      <c r="T207" s="4"/>
      <c r="U207" s="4"/>
      <c r="V207" s="4"/>
      <c r="W207" s="4"/>
    </row>
    <row r="208" spans="1:23" x14ac:dyDescent="0.2">
      <c r="A208" s="4">
        <v>50</v>
      </c>
      <c r="B208" s="4">
        <v>0</v>
      </c>
      <c r="C208" s="4">
        <v>0</v>
      </c>
      <c r="D208" s="4">
        <v>1</v>
      </c>
      <c r="E208" s="4">
        <v>215</v>
      </c>
      <c r="F208" s="4">
        <f>ROUND(Source!AT190,O208)</f>
        <v>0</v>
      </c>
      <c r="G208" s="4" t="s">
        <v>138</v>
      </c>
      <c r="H208" s="4" t="s">
        <v>139</v>
      </c>
      <c r="I208" s="4"/>
      <c r="J208" s="4"/>
      <c r="K208" s="4">
        <v>-215</v>
      </c>
      <c r="L208" s="4">
        <v>17</v>
      </c>
      <c r="M208" s="4">
        <v>3</v>
      </c>
      <c r="N208" s="4" t="s">
        <v>3</v>
      </c>
      <c r="O208" s="4">
        <v>2</v>
      </c>
      <c r="P208" s="4"/>
      <c r="Q208" s="4"/>
      <c r="R208" s="4"/>
      <c r="S208" s="4"/>
      <c r="T208" s="4"/>
      <c r="U208" s="4"/>
      <c r="V208" s="4"/>
      <c r="W208" s="4"/>
    </row>
    <row r="209" spans="1:88" x14ac:dyDescent="0.2">
      <c r="A209" s="4">
        <v>50</v>
      </c>
      <c r="B209" s="4">
        <v>0</v>
      </c>
      <c r="C209" s="4">
        <v>0</v>
      </c>
      <c r="D209" s="4">
        <v>1</v>
      </c>
      <c r="E209" s="4">
        <v>217</v>
      </c>
      <c r="F209" s="4">
        <f>ROUND(Source!AU190,O209)</f>
        <v>30358.45</v>
      </c>
      <c r="G209" s="4" t="s">
        <v>140</v>
      </c>
      <c r="H209" s="4" t="s">
        <v>141</v>
      </c>
      <c r="I209" s="4"/>
      <c r="J209" s="4"/>
      <c r="K209" s="4">
        <v>-217</v>
      </c>
      <c r="L209" s="4">
        <v>18</v>
      </c>
      <c r="M209" s="4">
        <v>3</v>
      </c>
      <c r="N209" s="4" t="s">
        <v>3</v>
      </c>
      <c r="O209" s="4">
        <v>2</v>
      </c>
      <c r="P209" s="4"/>
      <c r="Q209" s="4"/>
      <c r="R209" s="4"/>
      <c r="S209" s="4"/>
      <c r="T209" s="4"/>
      <c r="U209" s="4"/>
      <c r="V209" s="4"/>
      <c r="W209" s="4"/>
    </row>
    <row r="210" spans="1:88" x14ac:dyDescent="0.2">
      <c r="A210" s="4">
        <v>50</v>
      </c>
      <c r="B210" s="4">
        <v>0</v>
      </c>
      <c r="C210" s="4">
        <v>0</v>
      </c>
      <c r="D210" s="4">
        <v>1</v>
      </c>
      <c r="E210" s="4">
        <v>230</v>
      </c>
      <c r="F210" s="4">
        <f>ROUND(Source!BA190,O210)</f>
        <v>0</v>
      </c>
      <c r="G210" s="4" t="s">
        <v>142</v>
      </c>
      <c r="H210" s="4" t="s">
        <v>143</v>
      </c>
      <c r="I210" s="4"/>
      <c r="J210" s="4"/>
      <c r="K210" s="4">
        <v>-230</v>
      </c>
      <c r="L210" s="4">
        <v>19</v>
      </c>
      <c r="M210" s="4">
        <v>3</v>
      </c>
      <c r="N210" s="4" t="s">
        <v>3</v>
      </c>
      <c r="O210" s="4">
        <v>2</v>
      </c>
      <c r="P210" s="4"/>
      <c r="Q210" s="4"/>
      <c r="R210" s="4"/>
      <c r="S210" s="4"/>
      <c r="T210" s="4"/>
      <c r="U210" s="4"/>
      <c r="V210" s="4"/>
      <c r="W210" s="4"/>
    </row>
    <row r="211" spans="1:88" x14ac:dyDescent="0.2">
      <c r="A211" s="4">
        <v>50</v>
      </c>
      <c r="B211" s="4">
        <v>0</v>
      </c>
      <c r="C211" s="4">
        <v>0</v>
      </c>
      <c r="D211" s="4">
        <v>1</v>
      </c>
      <c r="E211" s="4">
        <v>206</v>
      </c>
      <c r="F211" s="4">
        <f>ROUND(Source!T190,O211)</f>
        <v>0</v>
      </c>
      <c r="G211" s="4" t="s">
        <v>144</v>
      </c>
      <c r="H211" s="4" t="s">
        <v>145</v>
      </c>
      <c r="I211" s="4"/>
      <c r="J211" s="4"/>
      <c r="K211" s="4">
        <v>-206</v>
      </c>
      <c r="L211" s="4">
        <v>20</v>
      </c>
      <c r="M211" s="4">
        <v>3</v>
      </c>
      <c r="N211" s="4" t="s">
        <v>3</v>
      </c>
      <c r="O211" s="4">
        <v>2</v>
      </c>
      <c r="P211" s="4"/>
      <c r="Q211" s="4"/>
      <c r="R211" s="4"/>
      <c r="S211" s="4"/>
      <c r="T211" s="4"/>
      <c r="U211" s="4"/>
      <c r="V211" s="4"/>
      <c r="W211" s="4"/>
    </row>
    <row r="212" spans="1:88" x14ac:dyDescent="0.2">
      <c r="A212" s="4">
        <v>50</v>
      </c>
      <c r="B212" s="4">
        <v>0</v>
      </c>
      <c r="C212" s="4">
        <v>0</v>
      </c>
      <c r="D212" s="4">
        <v>1</v>
      </c>
      <c r="E212" s="4">
        <v>207</v>
      </c>
      <c r="F212" s="4">
        <f>Source!U190</f>
        <v>44.472380000000001</v>
      </c>
      <c r="G212" s="4" t="s">
        <v>146</v>
      </c>
      <c r="H212" s="4" t="s">
        <v>147</v>
      </c>
      <c r="I212" s="4"/>
      <c r="J212" s="4"/>
      <c r="K212" s="4">
        <v>-207</v>
      </c>
      <c r="L212" s="4">
        <v>21</v>
      </c>
      <c r="M212" s="4">
        <v>3</v>
      </c>
      <c r="N212" s="4" t="s">
        <v>3</v>
      </c>
      <c r="O212" s="4">
        <v>-1</v>
      </c>
      <c r="P212" s="4"/>
      <c r="Q212" s="4"/>
      <c r="R212" s="4"/>
      <c r="S212" s="4"/>
      <c r="T212" s="4"/>
      <c r="U212" s="4"/>
      <c r="V212" s="4"/>
      <c r="W212" s="4"/>
    </row>
    <row r="213" spans="1:88" x14ac:dyDescent="0.2">
      <c r="A213" s="4">
        <v>50</v>
      </c>
      <c r="B213" s="4">
        <v>0</v>
      </c>
      <c r="C213" s="4">
        <v>0</v>
      </c>
      <c r="D213" s="4">
        <v>1</v>
      </c>
      <c r="E213" s="4">
        <v>208</v>
      </c>
      <c r="F213" s="4">
        <f>Source!V190</f>
        <v>0</v>
      </c>
      <c r="G213" s="4" t="s">
        <v>148</v>
      </c>
      <c r="H213" s="4" t="s">
        <v>149</v>
      </c>
      <c r="I213" s="4"/>
      <c r="J213" s="4"/>
      <c r="K213" s="4">
        <v>-208</v>
      </c>
      <c r="L213" s="4">
        <v>22</v>
      </c>
      <c r="M213" s="4">
        <v>3</v>
      </c>
      <c r="N213" s="4" t="s">
        <v>3</v>
      </c>
      <c r="O213" s="4">
        <v>-1</v>
      </c>
      <c r="P213" s="4"/>
      <c r="Q213" s="4"/>
      <c r="R213" s="4"/>
      <c r="S213" s="4"/>
      <c r="T213" s="4"/>
      <c r="U213" s="4"/>
      <c r="V213" s="4"/>
      <c r="W213" s="4"/>
    </row>
    <row r="214" spans="1:88" x14ac:dyDescent="0.2">
      <c r="A214" s="4">
        <v>50</v>
      </c>
      <c r="B214" s="4">
        <v>0</v>
      </c>
      <c r="C214" s="4">
        <v>0</v>
      </c>
      <c r="D214" s="4">
        <v>1</v>
      </c>
      <c r="E214" s="4">
        <v>209</v>
      </c>
      <c r="F214" s="4">
        <f>ROUND(Source!W190,O214)</f>
        <v>0</v>
      </c>
      <c r="G214" s="4" t="s">
        <v>150</v>
      </c>
      <c r="H214" s="4" t="s">
        <v>151</v>
      </c>
      <c r="I214" s="4"/>
      <c r="J214" s="4"/>
      <c r="K214" s="4">
        <v>-209</v>
      </c>
      <c r="L214" s="4">
        <v>23</v>
      </c>
      <c r="M214" s="4">
        <v>3</v>
      </c>
      <c r="N214" s="4" t="s">
        <v>3</v>
      </c>
      <c r="O214" s="4">
        <v>2</v>
      </c>
      <c r="P214" s="4"/>
      <c r="Q214" s="4"/>
      <c r="R214" s="4"/>
      <c r="S214" s="4"/>
      <c r="T214" s="4"/>
      <c r="U214" s="4"/>
      <c r="V214" s="4"/>
      <c r="W214" s="4"/>
    </row>
    <row r="215" spans="1:88" x14ac:dyDescent="0.2">
      <c r="A215" s="4">
        <v>50</v>
      </c>
      <c r="B215" s="4">
        <v>0</v>
      </c>
      <c r="C215" s="4">
        <v>0</v>
      </c>
      <c r="D215" s="4">
        <v>1</v>
      </c>
      <c r="E215" s="4">
        <v>233</v>
      </c>
      <c r="F215" s="4">
        <f>ROUND(Source!BD190,O215)</f>
        <v>0</v>
      </c>
      <c r="G215" s="4" t="s">
        <v>152</v>
      </c>
      <c r="H215" s="4" t="s">
        <v>153</v>
      </c>
      <c r="I215" s="4"/>
      <c r="J215" s="4"/>
      <c r="K215" s="4">
        <v>-233</v>
      </c>
      <c r="L215" s="4">
        <v>24</v>
      </c>
      <c r="M215" s="4">
        <v>3</v>
      </c>
      <c r="N215" s="4" t="s">
        <v>3</v>
      </c>
      <c r="O215" s="4">
        <v>2</v>
      </c>
      <c r="P215" s="4"/>
      <c r="Q215" s="4"/>
      <c r="R215" s="4"/>
      <c r="S215" s="4"/>
      <c r="T215" s="4"/>
      <c r="U215" s="4"/>
      <c r="V215" s="4"/>
      <c r="W215" s="4"/>
    </row>
    <row r="216" spans="1:88" x14ac:dyDescent="0.2">
      <c r="A216" s="4">
        <v>50</v>
      </c>
      <c r="B216" s="4">
        <v>0</v>
      </c>
      <c r="C216" s="4">
        <v>0</v>
      </c>
      <c r="D216" s="4">
        <v>1</v>
      </c>
      <c r="E216" s="4">
        <v>210</v>
      </c>
      <c r="F216" s="4">
        <f>ROUND(Source!X190,O216)</f>
        <v>5832.99</v>
      </c>
      <c r="G216" s="4" t="s">
        <v>154</v>
      </c>
      <c r="H216" s="4" t="s">
        <v>155</v>
      </c>
      <c r="I216" s="4"/>
      <c r="J216" s="4"/>
      <c r="K216" s="4">
        <v>-210</v>
      </c>
      <c r="L216" s="4">
        <v>25</v>
      </c>
      <c r="M216" s="4">
        <v>3</v>
      </c>
      <c r="N216" s="4" t="s">
        <v>3</v>
      </c>
      <c r="O216" s="4">
        <v>2</v>
      </c>
      <c r="P216" s="4"/>
      <c r="Q216" s="4"/>
      <c r="R216" s="4"/>
      <c r="S216" s="4"/>
      <c r="T216" s="4"/>
      <c r="U216" s="4"/>
      <c r="V216" s="4"/>
      <c r="W216" s="4"/>
    </row>
    <row r="217" spans="1:88" x14ac:dyDescent="0.2">
      <c r="A217" s="4">
        <v>50</v>
      </c>
      <c r="B217" s="4">
        <v>0</v>
      </c>
      <c r="C217" s="4">
        <v>0</v>
      </c>
      <c r="D217" s="4">
        <v>1</v>
      </c>
      <c r="E217" s="4">
        <v>211</v>
      </c>
      <c r="F217" s="4">
        <f>ROUND(Source!Y190,O217)</f>
        <v>833.29</v>
      </c>
      <c r="G217" s="4" t="s">
        <v>156</v>
      </c>
      <c r="H217" s="4" t="s">
        <v>157</v>
      </c>
      <c r="I217" s="4"/>
      <c r="J217" s="4"/>
      <c r="K217" s="4">
        <v>-211</v>
      </c>
      <c r="L217" s="4">
        <v>26</v>
      </c>
      <c r="M217" s="4">
        <v>3</v>
      </c>
      <c r="N217" s="4" t="s">
        <v>3</v>
      </c>
      <c r="O217" s="4">
        <v>2</v>
      </c>
      <c r="P217" s="4"/>
      <c r="Q217" s="4"/>
      <c r="R217" s="4"/>
      <c r="S217" s="4"/>
      <c r="T217" s="4"/>
      <c r="U217" s="4"/>
      <c r="V217" s="4"/>
      <c r="W217" s="4"/>
    </row>
    <row r="218" spans="1:88" x14ac:dyDescent="0.2">
      <c r="A218" s="4">
        <v>50</v>
      </c>
      <c r="B218" s="4">
        <v>0</v>
      </c>
      <c r="C218" s="4">
        <v>0</v>
      </c>
      <c r="D218" s="4">
        <v>1</v>
      </c>
      <c r="E218" s="4">
        <v>224</v>
      </c>
      <c r="F218" s="4">
        <f>ROUND(Source!AR190,O218)</f>
        <v>103649.88</v>
      </c>
      <c r="G218" s="4" t="s">
        <v>158</v>
      </c>
      <c r="H218" s="4" t="s">
        <v>159</v>
      </c>
      <c r="I218" s="4"/>
      <c r="J218" s="4"/>
      <c r="K218" s="4">
        <v>-224</v>
      </c>
      <c r="L218" s="4">
        <v>27</v>
      </c>
      <c r="M218" s="4">
        <v>3</v>
      </c>
      <c r="N218" s="4" t="s">
        <v>3</v>
      </c>
      <c r="O218" s="4">
        <v>2</v>
      </c>
      <c r="P218" s="4"/>
      <c r="Q218" s="4"/>
      <c r="R218" s="4"/>
      <c r="S218" s="4"/>
      <c r="T218" s="4"/>
      <c r="U218" s="4"/>
      <c r="V218" s="4"/>
      <c r="W218" s="4"/>
    </row>
    <row r="219" spans="1:88" x14ac:dyDescent="0.2">
      <c r="A219" s="4">
        <v>50</v>
      </c>
      <c r="B219" s="4">
        <v>1</v>
      </c>
      <c r="C219" s="4">
        <v>0</v>
      </c>
      <c r="D219" s="4">
        <v>2</v>
      </c>
      <c r="E219" s="4">
        <v>0</v>
      </c>
      <c r="F219" s="4">
        <f>ROUND(F218,O219)</f>
        <v>103649.88</v>
      </c>
      <c r="G219" s="4" t="s">
        <v>27</v>
      </c>
      <c r="H219" s="4" t="s">
        <v>160</v>
      </c>
      <c r="I219" s="4"/>
      <c r="J219" s="4"/>
      <c r="K219" s="4">
        <v>212</v>
      </c>
      <c r="L219" s="4">
        <v>28</v>
      </c>
      <c r="M219" s="4">
        <v>0</v>
      </c>
      <c r="N219" s="4" t="s">
        <v>3</v>
      </c>
      <c r="O219" s="4">
        <v>2</v>
      </c>
      <c r="P219" s="4"/>
      <c r="Q219" s="4"/>
      <c r="R219" s="4"/>
      <c r="S219" s="4"/>
      <c r="T219" s="4"/>
      <c r="U219" s="4"/>
      <c r="V219" s="4"/>
      <c r="W219" s="4"/>
    </row>
    <row r="220" spans="1:88" x14ac:dyDescent="0.2">
      <c r="A220" s="4">
        <v>50</v>
      </c>
      <c r="B220" s="4">
        <v>1</v>
      </c>
      <c r="C220" s="4">
        <v>0</v>
      </c>
      <c r="D220" s="4">
        <v>2</v>
      </c>
      <c r="E220" s="4">
        <v>0</v>
      </c>
      <c r="F220" s="4">
        <f>ROUND(F219*0.2,O220)</f>
        <v>20729.98</v>
      </c>
      <c r="G220" s="4" t="s">
        <v>35</v>
      </c>
      <c r="H220" s="4" t="s">
        <v>161</v>
      </c>
      <c r="I220" s="4"/>
      <c r="J220" s="4"/>
      <c r="K220" s="4">
        <v>212</v>
      </c>
      <c r="L220" s="4">
        <v>29</v>
      </c>
      <c r="M220" s="4">
        <v>0</v>
      </c>
      <c r="N220" s="4" t="s">
        <v>3</v>
      </c>
      <c r="O220" s="4">
        <v>2</v>
      </c>
      <c r="P220" s="4"/>
      <c r="Q220" s="4"/>
      <c r="R220" s="4"/>
      <c r="S220" s="4"/>
      <c r="T220" s="4"/>
      <c r="U220" s="4"/>
      <c r="V220" s="4"/>
      <c r="W220" s="4"/>
    </row>
    <row r="221" spans="1:88" x14ac:dyDescent="0.2">
      <c r="A221" s="4">
        <v>50</v>
      </c>
      <c r="B221" s="4">
        <v>1</v>
      </c>
      <c r="C221" s="4">
        <v>0</v>
      </c>
      <c r="D221" s="4">
        <v>2</v>
      </c>
      <c r="E221" s="4">
        <v>213</v>
      </c>
      <c r="F221" s="4">
        <f>ROUND(F219+F220,O221)</f>
        <v>124379.86</v>
      </c>
      <c r="G221" s="4" t="s">
        <v>39</v>
      </c>
      <c r="H221" s="4" t="s">
        <v>162</v>
      </c>
      <c r="I221" s="4"/>
      <c r="J221" s="4"/>
      <c r="K221" s="4">
        <v>212</v>
      </c>
      <c r="L221" s="4">
        <v>30</v>
      </c>
      <c r="M221" s="4">
        <v>0</v>
      </c>
      <c r="N221" s="4" t="s">
        <v>3</v>
      </c>
      <c r="O221" s="4">
        <v>2</v>
      </c>
      <c r="P221" s="4"/>
      <c r="Q221" s="4"/>
      <c r="R221" s="4"/>
      <c r="S221" s="4"/>
      <c r="T221" s="4"/>
      <c r="U221" s="4"/>
      <c r="V221" s="4"/>
      <c r="W221" s="4"/>
    </row>
    <row r="223" spans="1:88" x14ac:dyDescent="0.2">
      <c r="A223" s="1">
        <v>4</v>
      </c>
      <c r="B223" s="1">
        <v>1</v>
      </c>
      <c r="C223" s="1"/>
      <c r="D223" s="1">
        <f>ROW(A232)</f>
        <v>232</v>
      </c>
      <c r="E223" s="1"/>
      <c r="F223" s="1" t="s">
        <v>249</v>
      </c>
      <c r="G223" s="1" t="s">
        <v>250</v>
      </c>
      <c r="H223" s="1" t="s">
        <v>3</v>
      </c>
      <c r="I223" s="1">
        <v>0</v>
      </c>
      <c r="J223" s="1"/>
      <c r="K223" s="1">
        <v>-1</v>
      </c>
      <c r="L223" s="1"/>
      <c r="M223" s="1" t="s">
        <v>3</v>
      </c>
      <c r="N223" s="1"/>
      <c r="O223" s="1"/>
      <c r="P223" s="1"/>
      <c r="Q223" s="1"/>
      <c r="R223" s="1"/>
      <c r="S223" s="1">
        <v>0</v>
      </c>
      <c r="T223" s="1"/>
      <c r="U223" s="1" t="s">
        <v>3</v>
      </c>
      <c r="V223" s="1">
        <v>0</v>
      </c>
      <c r="W223" s="1"/>
      <c r="X223" s="1"/>
      <c r="Y223" s="1"/>
      <c r="Z223" s="1"/>
      <c r="AA223" s="1"/>
      <c r="AB223" s="1" t="s">
        <v>3</v>
      </c>
      <c r="AC223" s="1" t="s">
        <v>3</v>
      </c>
      <c r="AD223" s="1" t="s">
        <v>3</v>
      </c>
      <c r="AE223" s="1" t="s">
        <v>3</v>
      </c>
      <c r="AF223" s="1" t="s">
        <v>3</v>
      </c>
      <c r="AG223" s="1" t="s">
        <v>3</v>
      </c>
      <c r="AH223" s="1"/>
      <c r="AI223" s="1"/>
      <c r="AJ223" s="1"/>
      <c r="AK223" s="1"/>
      <c r="AL223" s="1"/>
      <c r="AM223" s="1"/>
      <c r="AN223" s="1"/>
      <c r="AO223" s="1"/>
      <c r="AP223" s="1" t="s">
        <v>3</v>
      </c>
      <c r="AQ223" s="1" t="s">
        <v>3</v>
      </c>
      <c r="AR223" s="1" t="s">
        <v>3</v>
      </c>
      <c r="AS223" s="1"/>
      <c r="AT223" s="1"/>
      <c r="AU223" s="1"/>
      <c r="AV223" s="1"/>
      <c r="AW223" s="1"/>
      <c r="AX223" s="1"/>
      <c r="AY223" s="1"/>
      <c r="AZ223" s="1" t="s">
        <v>3</v>
      </c>
      <c r="BA223" s="1"/>
      <c r="BB223" s="1" t="s">
        <v>3</v>
      </c>
      <c r="BC223" s="1" t="s">
        <v>3</v>
      </c>
      <c r="BD223" s="1" t="s">
        <v>3</v>
      </c>
      <c r="BE223" s="1" t="s">
        <v>3</v>
      </c>
      <c r="BF223" s="1" t="s">
        <v>3</v>
      </c>
      <c r="BG223" s="1" t="s">
        <v>3</v>
      </c>
      <c r="BH223" s="1" t="s">
        <v>3</v>
      </c>
      <c r="BI223" s="1" t="s">
        <v>3</v>
      </c>
      <c r="BJ223" s="1" t="s">
        <v>3</v>
      </c>
      <c r="BK223" s="1" t="s">
        <v>3</v>
      </c>
      <c r="BL223" s="1" t="s">
        <v>3</v>
      </c>
      <c r="BM223" s="1" t="s">
        <v>3</v>
      </c>
      <c r="BN223" s="1" t="s">
        <v>3</v>
      </c>
      <c r="BO223" s="1" t="s">
        <v>3</v>
      </c>
      <c r="BP223" s="1" t="s">
        <v>3</v>
      </c>
      <c r="BQ223" s="1"/>
      <c r="BR223" s="1"/>
      <c r="BS223" s="1"/>
      <c r="BT223" s="1"/>
      <c r="BU223" s="1"/>
      <c r="BV223" s="1"/>
      <c r="BW223" s="1"/>
      <c r="BX223" s="1">
        <v>0</v>
      </c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>
        <v>0</v>
      </c>
    </row>
    <row r="225" spans="1:245" x14ac:dyDescent="0.2">
      <c r="A225" s="2">
        <v>52</v>
      </c>
      <c r="B225" s="2">
        <f t="shared" ref="B225:G225" si="203">B232</f>
        <v>1</v>
      </c>
      <c r="C225" s="2">
        <f t="shared" si="203"/>
        <v>4</v>
      </c>
      <c r="D225" s="2">
        <f t="shared" si="203"/>
        <v>223</v>
      </c>
      <c r="E225" s="2">
        <f t="shared" si="203"/>
        <v>0</v>
      </c>
      <c r="F225" s="2" t="str">
        <f t="shared" si="203"/>
        <v>лавочки 2</v>
      </c>
      <c r="G225" s="2" t="str">
        <f t="shared" si="203"/>
        <v>Установка лавочек 2 шт.</v>
      </c>
      <c r="H225" s="2"/>
      <c r="I225" s="2"/>
      <c r="J225" s="2"/>
      <c r="K225" s="2"/>
      <c r="L225" s="2"/>
      <c r="M225" s="2"/>
      <c r="N225" s="2"/>
      <c r="O225" s="2">
        <f t="shared" ref="O225:AT225" si="204">O232</f>
        <v>35541.17</v>
      </c>
      <c r="P225" s="2">
        <f t="shared" si="204"/>
        <v>34096.36</v>
      </c>
      <c r="Q225" s="2">
        <f t="shared" si="204"/>
        <v>105.64</v>
      </c>
      <c r="R225" s="2">
        <f t="shared" si="204"/>
        <v>0.1</v>
      </c>
      <c r="S225" s="2">
        <f t="shared" si="204"/>
        <v>1339.17</v>
      </c>
      <c r="T225" s="2">
        <f t="shared" si="204"/>
        <v>0</v>
      </c>
      <c r="U225" s="2">
        <f t="shared" si="204"/>
        <v>5.2254819999999995</v>
      </c>
      <c r="V225" s="2">
        <f t="shared" si="204"/>
        <v>0</v>
      </c>
      <c r="W225" s="2">
        <f t="shared" si="204"/>
        <v>0</v>
      </c>
      <c r="X225" s="2">
        <f t="shared" si="204"/>
        <v>937.42</v>
      </c>
      <c r="Y225" s="2">
        <f t="shared" si="204"/>
        <v>133.91999999999999</v>
      </c>
      <c r="Z225" s="2">
        <f t="shared" si="204"/>
        <v>0</v>
      </c>
      <c r="AA225" s="2">
        <f t="shared" si="204"/>
        <v>0</v>
      </c>
      <c r="AB225" s="2">
        <f t="shared" si="204"/>
        <v>35541.17</v>
      </c>
      <c r="AC225" s="2">
        <f t="shared" si="204"/>
        <v>34096.36</v>
      </c>
      <c r="AD225" s="2">
        <f t="shared" si="204"/>
        <v>105.64</v>
      </c>
      <c r="AE225" s="2">
        <f t="shared" si="204"/>
        <v>0.1</v>
      </c>
      <c r="AF225" s="2">
        <f t="shared" si="204"/>
        <v>1339.17</v>
      </c>
      <c r="AG225" s="2">
        <f t="shared" si="204"/>
        <v>0</v>
      </c>
      <c r="AH225" s="2">
        <f t="shared" si="204"/>
        <v>5.2254819999999995</v>
      </c>
      <c r="AI225" s="2">
        <f t="shared" si="204"/>
        <v>0</v>
      </c>
      <c r="AJ225" s="2">
        <f t="shared" si="204"/>
        <v>0</v>
      </c>
      <c r="AK225" s="2">
        <f t="shared" si="204"/>
        <v>937.42</v>
      </c>
      <c r="AL225" s="2">
        <f t="shared" si="204"/>
        <v>133.91999999999999</v>
      </c>
      <c r="AM225" s="2">
        <f t="shared" si="204"/>
        <v>0</v>
      </c>
      <c r="AN225" s="2">
        <f t="shared" si="204"/>
        <v>0</v>
      </c>
      <c r="AO225" s="2">
        <f t="shared" si="204"/>
        <v>0</v>
      </c>
      <c r="AP225" s="2">
        <f t="shared" si="204"/>
        <v>0</v>
      </c>
      <c r="AQ225" s="2">
        <f t="shared" si="204"/>
        <v>0</v>
      </c>
      <c r="AR225" s="2">
        <f t="shared" si="204"/>
        <v>36612.620000000003</v>
      </c>
      <c r="AS225" s="2">
        <f t="shared" si="204"/>
        <v>25670</v>
      </c>
      <c r="AT225" s="2">
        <f t="shared" si="204"/>
        <v>0</v>
      </c>
      <c r="AU225" s="2">
        <f t="shared" ref="AU225:BZ225" si="205">AU232</f>
        <v>10942.62</v>
      </c>
      <c r="AV225" s="2">
        <f t="shared" si="205"/>
        <v>34096.36</v>
      </c>
      <c r="AW225" s="2">
        <f t="shared" si="205"/>
        <v>34096.36</v>
      </c>
      <c r="AX225" s="2">
        <f t="shared" si="205"/>
        <v>0</v>
      </c>
      <c r="AY225" s="2">
        <f t="shared" si="205"/>
        <v>34096.36</v>
      </c>
      <c r="AZ225" s="2">
        <f t="shared" si="205"/>
        <v>0</v>
      </c>
      <c r="BA225" s="2">
        <f t="shared" si="205"/>
        <v>0</v>
      </c>
      <c r="BB225" s="2">
        <f t="shared" si="205"/>
        <v>0</v>
      </c>
      <c r="BC225" s="2">
        <f t="shared" si="205"/>
        <v>0</v>
      </c>
      <c r="BD225" s="2">
        <f t="shared" si="205"/>
        <v>0</v>
      </c>
      <c r="BE225" s="2">
        <f t="shared" si="205"/>
        <v>0</v>
      </c>
      <c r="BF225" s="2">
        <f t="shared" si="205"/>
        <v>0</v>
      </c>
      <c r="BG225" s="2">
        <f t="shared" si="205"/>
        <v>0</v>
      </c>
      <c r="BH225" s="2">
        <f t="shared" si="205"/>
        <v>0</v>
      </c>
      <c r="BI225" s="2">
        <f t="shared" si="205"/>
        <v>0</v>
      </c>
      <c r="BJ225" s="2">
        <f t="shared" si="205"/>
        <v>0</v>
      </c>
      <c r="BK225" s="2">
        <f t="shared" si="205"/>
        <v>0</v>
      </c>
      <c r="BL225" s="2">
        <f t="shared" si="205"/>
        <v>0</v>
      </c>
      <c r="BM225" s="2">
        <f t="shared" si="205"/>
        <v>0</v>
      </c>
      <c r="BN225" s="2">
        <f t="shared" si="205"/>
        <v>0</v>
      </c>
      <c r="BO225" s="2">
        <f t="shared" si="205"/>
        <v>0</v>
      </c>
      <c r="BP225" s="2">
        <f t="shared" si="205"/>
        <v>0</v>
      </c>
      <c r="BQ225" s="2">
        <f t="shared" si="205"/>
        <v>0</v>
      </c>
      <c r="BR225" s="2">
        <f t="shared" si="205"/>
        <v>0</v>
      </c>
      <c r="BS225" s="2">
        <f t="shared" si="205"/>
        <v>0</v>
      </c>
      <c r="BT225" s="2">
        <f t="shared" si="205"/>
        <v>0</v>
      </c>
      <c r="BU225" s="2">
        <f t="shared" si="205"/>
        <v>0</v>
      </c>
      <c r="BV225" s="2">
        <f t="shared" si="205"/>
        <v>0</v>
      </c>
      <c r="BW225" s="2">
        <f t="shared" si="205"/>
        <v>0</v>
      </c>
      <c r="BX225" s="2">
        <f t="shared" si="205"/>
        <v>0</v>
      </c>
      <c r="BY225" s="2">
        <f t="shared" si="205"/>
        <v>0</v>
      </c>
      <c r="BZ225" s="2">
        <f t="shared" si="205"/>
        <v>0</v>
      </c>
      <c r="CA225" s="2">
        <f t="shared" ref="CA225:DF225" si="206">CA232</f>
        <v>36612.620000000003</v>
      </c>
      <c r="CB225" s="2">
        <f t="shared" si="206"/>
        <v>25670</v>
      </c>
      <c r="CC225" s="2">
        <f t="shared" si="206"/>
        <v>0</v>
      </c>
      <c r="CD225" s="2">
        <f t="shared" si="206"/>
        <v>10942.62</v>
      </c>
      <c r="CE225" s="2">
        <f t="shared" si="206"/>
        <v>34096.36</v>
      </c>
      <c r="CF225" s="2">
        <f t="shared" si="206"/>
        <v>34096.36</v>
      </c>
      <c r="CG225" s="2">
        <f t="shared" si="206"/>
        <v>0</v>
      </c>
      <c r="CH225" s="2">
        <f t="shared" si="206"/>
        <v>34096.36</v>
      </c>
      <c r="CI225" s="2">
        <f t="shared" si="206"/>
        <v>0</v>
      </c>
      <c r="CJ225" s="2">
        <f t="shared" si="206"/>
        <v>0</v>
      </c>
      <c r="CK225" s="2">
        <f t="shared" si="206"/>
        <v>0</v>
      </c>
      <c r="CL225" s="2">
        <f t="shared" si="206"/>
        <v>0</v>
      </c>
      <c r="CM225" s="2">
        <f t="shared" si="206"/>
        <v>0</v>
      </c>
      <c r="CN225" s="2">
        <f t="shared" si="206"/>
        <v>0</v>
      </c>
      <c r="CO225" s="2">
        <f t="shared" si="206"/>
        <v>0</v>
      </c>
      <c r="CP225" s="2">
        <f t="shared" si="206"/>
        <v>0</v>
      </c>
      <c r="CQ225" s="2">
        <f t="shared" si="206"/>
        <v>0</v>
      </c>
      <c r="CR225" s="2">
        <f t="shared" si="206"/>
        <v>0</v>
      </c>
      <c r="CS225" s="2">
        <f t="shared" si="206"/>
        <v>0</v>
      </c>
      <c r="CT225" s="2">
        <f t="shared" si="206"/>
        <v>0</v>
      </c>
      <c r="CU225" s="2">
        <f t="shared" si="206"/>
        <v>0</v>
      </c>
      <c r="CV225" s="2">
        <f t="shared" si="206"/>
        <v>0</v>
      </c>
      <c r="CW225" s="2">
        <f t="shared" si="206"/>
        <v>0</v>
      </c>
      <c r="CX225" s="2">
        <f t="shared" si="206"/>
        <v>0</v>
      </c>
      <c r="CY225" s="2">
        <f t="shared" si="206"/>
        <v>0</v>
      </c>
      <c r="CZ225" s="2">
        <f t="shared" si="206"/>
        <v>0</v>
      </c>
      <c r="DA225" s="2">
        <f t="shared" si="206"/>
        <v>0</v>
      </c>
      <c r="DB225" s="2">
        <f t="shared" si="206"/>
        <v>0</v>
      </c>
      <c r="DC225" s="2">
        <f t="shared" si="206"/>
        <v>0</v>
      </c>
      <c r="DD225" s="2">
        <f t="shared" si="206"/>
        <v>0</v>
      </c>
      <c r="DE225" s="2">
        <f t="shared" si="206"/>
        <v>0</v>
      </c>
      <c r="DF225" s="2">
        <f t="shared" si="206"/>
        <v>0</v>
      </c>
      <c r="DG225" s="3">
        <f t="shared" ref="DG225:EL225" si="207">DG232</f>
        <v>0</v>
      </c>
      <c r="DH225" s="3">
        <f t="shared" si="207"/>
        <v>0</v>
      </c>
      <c r="DI225" s="3">
        <f t="shared" si="207"/>
        <v>0</v>
      </c>
      <c r="DJ225" s="3">
        <f t="shared" si="207"/>
        <v>0</v>
      </c>
      <c r="DK225" s="3">
        <f t="shared" si="207"/>
        <v>0</v>
      </c>
      <c r="DL225" s="3">
        <f t="shared" si="207"/>
        <v>0</v>
      </c>
      <c r="DM225" s="3">
        <f t="shared" si="207"/>
        <v>0</v>
      </c>
      <c r="DN225" s="3">
        <f t="shared" si="207"/>
        <v>0</v>
      </c>
      <c r="DO225" s="3">
        <f t="shared" si="207"/>
        <v>0</v>
      </c>
      <c r="DP225" s="3">
        <f t="shared" si="207"/>
        <v>0</v>
      </c>
      <c r="DQ225" s="3">
        <f t="shared" si="207"/>
        <v>0</v>
      </c>
      <c r="DR225" s="3">
        <f t="shared" si="207"/>
        <v>0</v>
      </c>
      <c r="DS225" s="3">
        <f t="shared" si="207"/>
        <v>0</v>
      </c>
      <c r="DT225" s="3">
        <f t="shared" si="207"/>
        <v>0</v>
      </c>
      <c r="DU225" s="3">
        <f t="shared" si="207"/>
        <v>0</v>
      </c>
      <c r="DV225" s="3">
        <f t="shared" si="207"/>
        <v>0</v>
      </c>
      <c r="DW225" s="3">
        <f t="shared" si="207"/>
        <v>0</v>
      </c>
      <c r="DX225" s="3">
        <f t="shared" si="207"/>
        <v>0</v>
      </c>
      <c r="DY225" s="3">
        <f t="shared" si="207"/>
        <v>0</v>
      </c>
      <c r="DZ225" s="3">
        <f t="shared" si="207"/>
        <v>0</v>
      </c>
      <c r="EA225" s="3">
        <f t="shared" si="207"/>
        <v>0</v>
      </c>
      <c r="EB225" s="3">
        <f t="shared" si="207"/>
        <v>0</v>
      </c>
      <c r="EC225" s="3">
        <f t="shared" si="207"/>
        <v>0</v>
      </c>
      <c r="ED225" s="3">
        <f t="shared" si="207"/>
        <v>0</v>
      </c>
      <c r="EE225" s="3">
        <f t="shared" si="207"/>
        <v>0</v>
      </c>
      <c r="EF225" s="3">
        <f t="shared" si="207"/>
        <v>0</v>
      </c>
      <c r="EG225" s="3">
        <f t="shared" si="207"/>
        <v>0</v>
      </c>
      <c r="EH225" s="3">
        <f t="shared" si="207"/>
        <v>0</v>
      </c>
      <c r="EI225" s="3">
        <f t="shared" si="207"/>
        <v>0</v>
      </c>
      <c r="EJ225" s="3">
        <f t="shared" si="207"/>
        <v>0</v>
      </c>
      <c r="EK225" s="3">
        <f t="shared" si="207"/>
        <v>0</v>
      </c>
      <c r="EL225" s="3">
        <f t="shared" si="207"/>
        <v>0</v>
      </c>
      <c r="EM225" s="3">
        <f t="shared" ref="EM225:FR225" si="208">EM232</f>
        <v>0</v>
      </c>
      <c r="EN225" s="3">
        <f t="shared" si="208"/>
        <v>0</v>
      </c>
      <c r="EO225" s="3">
        <f t="shared" si="208"/>
        <v>0</v>
      </c>
      <c r="EP225" s="3">
        <f t="shared" si="208"/>
        <v>0</v>
      </c>
      <c r="EQ225" s="3">
        <f t="shared" si="208"/>
        <v>0</v>
      </c>
      <c r="ER225" s="3">
        <f t="shared" si="208"/>
        <v>0</v>
      </c>
      <c r="ES225" s="3">
        <f t="shared" si="208"/>
        <v>0</v>
      </c>
      <c r="ET225" s="3">
        <f t="shared" si="208"/>
        <v>0</v>
      </c>
      <c r="EU225" s="3">
        <f t="shared" si="208"/>
        <v>0</v>
      </c>
      <c r="EV225" s="3">
        <f t="shared" si="208"/>
        <v>0</v>
      </c>
      <c r="EW225" s="3">
        <f t="shared" si="208"/>
        <v>0</v>
      </c>
      <c r="EX225" s="3">
        <f t="shared" si="208"/>
        <v>0</v>
      </c>
      <c r="EY225" s="3">
        <f t="shared" si="208"/>
        <v>0</v>
      </c>
      <c r="EZ225" s="3">
        <f t="shared" si="208"/>
        <v>0</v>
      </c>
      <c r="FA225" s="3">
        <f t="shared" si="208"/>
        <v>0</v>
      </c>
      <c r="FB225" s="3">
        <f t="shared" si="208"/>
        <v>0</v>
      </c>
      <c r="FC225" s="3">
        <f t="shared" si="208"/>
        <v>0</v>
      </c>
      <c r="FD225" s="3">
        <f t="shared" si="208"/>
        <v>0</v>
      </c>
      <c r="FE225" s="3">
        <f t="shared" si="208"/>
        <v>0</v>
      </c>
      <c r="FF225" s="3">
        <f t="shared" si="208"/>
        <v>0</v>
      </c>
      <c r="FG225" s="3">
        <f t="shared" si="208"/>
        <v>0</v>
      </c>
      <c r="FH225" s="3">
        <f t="shared" si="208"/>
        <v>0</v>
      </c>
      <c r="FI225" s="3">
        <f t="shared" si="208"/>
        <v>0</v>
      </c>
      <c r="FJ225" s="3">
        <f t="shared" si="208"/>
        <v>0</v>
      </c>
      <c r="FK225" s="3">
        <f t="shared" si="208"/>
        <v>0</v>
      </c>
      <c r="FL225" s="3">
        <f t="shared" si="208"/>
        <v>0</v>
      </c>
      <c r="FM225" s="3">
        <f t="shared" si="208"/>
        <v>0</v>
      </c>
      <c r="FN225" s="3">
        <f t="shared" si="208"/>
        <v>0</v>
      </c>
      <c r="FO225" s="3">
        <f t="shared" si="208"/>
        <v>0</v>
      </c>
      <c r="FP225" s="3">
        <f t="shared" si="208"/>
        <v>0</v>
      </c>
      <c r="FQ225" s="3">
        <f t="shared" si="208"/>
        <v>0</v>
      </c>
      <c r="FR225" s="3">
        <f t="shared" si="208"/>
        <v>0</v>
      </c>
      <c r="FS225" s="3">
        <f t="shared" ref="FS225:GX225" si="209">FS232</f>
        <v>0</v>
      </c>
      <c r="FT225" s="3">
        <f t="shared" si="209"/>
        <v>0</v>
      </c>
      <c r="FU225" s="3">
        <f t="shared" si="209"/>
        <v>0</v>
      </c>
      <c r="FV225" s="3">
        <f t="shared" si="209"/>
        <v>0</v>
      </c>
      <c r="FW225" s="3">
        <f t="shared" si="209"/>
        <v>0</v>
      </c>
      <c r="FX225" s="3">
        <f t="shared" si="209"/>
        <v>0</v>
      </c>
      <c r="FY225" s="3">
        <f t="shared" si="209"/>
        <v>0</v>
      </c>
      <c r="FZ225" s="3">
        <f t="shared" si="209"/>
        <v>0</v>
      </c>
      <c r="GA225" s="3">
        <f t="shared" si="209"/>
        <v>0</v>
      </c>
      <c r="GB225" s="3">
        <f t="shared" si="209"/>
        <v>0</v>
      </c>
      <c r="GC225" s="3">
        <f t="shared" si="209"/>
        <v>0</v>
      </c>
      <c r="GD225" s="3">
        <f t="shared" si="209"/>
        <v>0</v>
      </c>
      <c r="GE225" s="3">
        <f t="shared" si="209"/>
        <v>0</v>
      </c>
      <c r="GF225" s="3">
        <f t="shared" si="209"/>
        <v>0</v>
      </c>
      <c r="GG225" s="3">
        <f t="shared" si="209"/>
        <v>0</v>
      </c>
      <c r="GH225" s="3">
        <f t="shared" si="209"/>
        <v>0</v>
      </c>
      <c r="GI225" s="3">
        <f t="shared" si="209"/>
        <v>0</v>
      </c>
      <c r="GJ225" s="3">
        <f t="shared" si="209"/>
        <v>0</v>
      </c>
      <c r="GK225" s="3">
        <f t="shared" si="209"/>
        <v>0</v>
      </c>
      <c r="GL225" s="3">
        <f t="shared" si="209"/>
        <v>0</v>
      </c>
      <c r="GM225" s="3">
        <f t="shared" si="209"/>
        <v>0</v>
      </c>
      <c r="GN225" s="3">
        <f t="shared" si="209"/>
        <v>0</v>
      </c>
      <c r="GO225" s="3">
        <f t="shared" si="209"/>
        <v>0</v>
      </c>
      <c r="GP225" s="3">
        <f t="shared" si="209"/>
        <v>0</v>
      </c>
      <c r="GQ225" s="3">
        <f t="shared" si="209"/>
        <v>0</v>
      </c>
      <c r="GR225" s="3">
        <f t="shared" si="209"/>
        <v>0</v>
      </c>
      <c r="GS225" s="3">
        <f t="shared" si="209"/>
        <v>0</v>
      </c>
      <c r="GT225" s="3">
        <f t="shared" si="209"/>
        <v>0</v>
      </c>
      <c r="GU225" s="3">
        <f t="shared" si="209"/>
        <v>0</v>
      </c>
      <c r="GV225" s="3">
        <f t="shared" si="209"/>
        <v>0</v>
      </c>
      <c r="GW225" s="3">
        <f t="shared" si="209"/>
        <v>0</v>
      </c>
      <c r="GX225" s="3">
        <f t="shared" si="209"/>
        <v>0</v>
      </c>
    </row>
    <row r="227" spans="1:245" x14ac:dyDescent="0.2">
      <c r="A227">
        <v>17</v>
      </c>
      <c r="B227">
        <v>1</v>
      </c>
      <c r="C227">
        <f>ROW(SmtRes!A131)</f>
        <v>131</v>
      </c>
      <c r="D227">
        <f>ROW(EtalonRes!A125)</f>
        <v>125</v>
      </c>
      <c r="E227" t="s">
        <v>251</v>
      </c>
      <c r="F227" t="s">
        <v>252</v>
      </c>
      <c r="G227" t="s">
        <v>253</v>
      </c>
      <c r="H227" t="s">
        <v>254</v>
      </c>
      <c r="I227">
        <f>ROUND(8/100,4)</f>
        <v>0.08</v>
      </c>
      <c r="J227">
        <v>0</v>
      </c>
      <c r="O227">
        <f>ROUND(CP227,2)</f>
        <v>1808.66</v>
      </c>
      <c r="P227">
        <f>ROUND(CQ227*I227,2)</f>
        <v>1628.33</v>
      </c>
      <c r="Q227">
        <f>ROUND(CR227*I227,2)</f>
        <v>2.4300000000000002</v>
      </c>
      <c r="R227">
        <f>ROUND(CS227*I227,2)</f>
        <v>0.01</v>
      </c>
      <c r="S227">
        <f>ROUND(CT227*I227,2)</f>
        <v>177.9</v>
      </c>
      <c r="T227">
        <f>ROUND(CU227*I227,2)</f>
        <v>0</v>
      </c>
      <c r="U227">
        <f>CV227*I227</f>
        <v>0.88</v>
      </c>
      <c r="V227">
        <f>CW227*I227</f>
        <v>0</v>
      </c>
      <c r="W227">
        <f>ROUND(CX227*I227,2)</f>
        <v>0</v>
      </c>
      <c r="X227">
        <f t="shared" ref="X227:Y230" si="210">ROUND(CY227,2)</f>
        <v>124.53</v>
      </c>
      <c r="Y227">
        <f t="shared" si="210"/>
        <v>17.79</v>
      </c>
      <c r="AA227">
        <v>49707740</v>
      </c>
      <c r="AB227">
        <f>ROUND((AC227+AD227+AF227),6)</f>
        <v>22608.22</v>
      </c>
      <c r="AC227">
        <f>ROUND((ES227),6)</f>
        <v>20354.099999999999</v>
      </c>
      <c r="AD227">
        <f>ROUND((((ET227)-(EU227))+AE227),6)</f>
        <v>30.36</v>
      </c>
      <c r="AE227">
        <f t="shared" ref="AE227:AF230" si="211">ROUND((EU227),6)</f>
        <v>0.11</v>
      </c>
      <c r="AF227">
        <f t="shared" si="211"/>
        <v>2223.7600000000002</v>
      </c>
      <c r="AG227">
        <f>ROUND((AP227),6)</f>
        <v>0</v>
      </c>
      <c r="AH227">
        <f t="shared" ref="AH227:AI230" si="212">(EW227)</f>
        <v>11</v>
      </c>
      <c r="AI227">
        <f t="shared" si="212"/>
        <v>0</v>
      </c>
      <c r="AJ227">
        <f>(AS227)</f>
        <v>0</v>
      </c>
      <c r="AK227">
        <v>22608.22</v>
      </c>
      <c r="AL227">
        <v>20354.099999999999</v>
      </c>
      <c r="AM227">
        <v>30.36</v>
      </c>
      <c r="AN227">
        <v>0.11</v>
      </c>
      <c r="AO227">
        <v>2223.7600000000002</v>
      </c>
      <c r="AP227">
        <v>0</v>
      </c>
      <c r="AQ227">
        <v>11</v>
      </c>
      <c r="AR227">
        <v>0</v>
      </c>
      <c r="AS227">
        <v>0</v>
      </c>
      <c r="AT227">
        <v>70</v>
      </c>
      <c r="AU227">
        <v>10</v>
      </c>
      <c r="AV227">
        <v>1</v>
      </c>
      <c r="AW227">
        <v>1</v>
      </c>
      <c r="AZ227">
        <v>1</v>
      </c>
      <c r="BA227">
        <v>1</v>
      </c>
      <c r="BB227">
        <v>1</v>
      </c>
      <c r="BC227">
        <v>1</v>
      </c>
      <c r="BD227" t="s">
        <v>3</v>
      </c>
      <c r="BE227" t="s">
        <v>3</v>
      </c>
      <c r="BF227" t="s">
        <v>3</v>
      </c>
      <c r="BG227" t="s">
        <v>3</v>
      </c>
      <c r="BH227">
        <v>0</v>
      </c>
      <c r="BI227">
        <v>4</v>
      </c>
      <c r="BJ227" t="s">
        <v>255</v>
      </c>
      <c r="BM227">
        <v>0</v>
      </c>
      <c r="BN227">
        <v>0</v>
      </c>
      <c r="BO227" t="s">
        <v>3</v>
      </c>
      <c r="BP227">
        <v>0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 t="s">
        <v>3</v>
      </c>
      <c r="BZ227">
        <v>70</v>
      </c>
      <c r="CA227">
        <v>10</v>
      </c>
      <c r="CE227">
        <v>0</v>
      </c>
      <c r="CF227">
        <v>0</v>
      </c>
      <c r="CG227">
        <v>0</v>
      </c>
      <c r="CM227">
        <v>0</v>
      </c>
      <c r="CN227" t="s">
        <v>3</v>
      </c>
      <c r="CO227">
        <v>0</v>
      </c>
      <c r="CP227">
        <f>(P227+Q227+S227)</f>
        <v>1808.66</v>
      </c>
      <c r="CQ227">
        <f>(AC227*BC227*AW227)</f>
        <v>20354.099999999999</v>
      </c>
      <c r="CR227">
        <f>((((ET227)*BB227-(EU227)*BS227)+AE227*BS227)*AV227)</f>
        <v>30.36</v>
      </c>
      <c r="CS227">
        <f>(AE227*BS227*AV227)</f>
        <v>0.11</v>
      </c>
      <c r="CT227">
        <f>(AF227*BA227*AV227)</f>
        <v>2223.7600000000002</v>
      </c>
      <c r="CU227">
        <f>AG227</f>
        <v>0</v>
      </c>
      <c r="CV227">
        <f>(AH227*AV227)</f>
        <v>11</v>
      </c>
      <c r="CW227">
        <f t="shared" ref="CW227:CX230" si="213">AI227</f>
        <v>0</v>
      </c>
      <c r="CX227">
        <f t="shared" si="213"/>
        <v>0</v>
      </c>
      <c r="CY227">
        <f>((S227*BZ227)/100)</f>
        <v>124.53</v>
      </c>
      <c r="CZ227">
        <f>((S227*CA227)/100)</f>
        <v>17.79</v>
      </c>
      <c r="DC227" t="s">
        <v>3</v>
      </c>
      <c r="DD227" t="s">
        <v>3</v>
      </c>
      <c r="DE227" t="s">
        <v>3</v>
      </c>
      <c r="DF227" t="s">
        <v>3</v>
      </c>
      <c r="DG227" t="s">
        <v>3</v>
      </c>
      <c r="DH227" t="s">
        <v>3</v>
      </c>
      <c r="DI227" t="s">
        <v>3</v>
      </c>
      <c r="DJ227" t="s">
        <v>3</v>
      </c>
      <c r="DK227" t="s">
        <v>3</v>
      </c>
      <c r="DL227" t="s">
        <v>3</v>
      </c>
      <c r="DM227" t="s">
        <v>3</v>
      </c>
      <c r="DN227">
        <v>0</v>
      </c>
      <c r="DO227">
        <v>0</v>
      </c>
      <c r="DP227">
        <v>1</v>
      </c>
      <c r="DQ227">
        <v>1</v>
      </c>
      <c r="DU227">
        <v>1013</v>
      </c>
      <c r="DV227" t="s">
        <v>254</v>
      </c>
      <c r="DW227" t="s">
        <v>254</v>
      </c>
      <c r="DX227">
        <v>1</v>
      </c>
      <c r="DZ227" t="s">
        <v>3</v>
      </c>
      <c r="EA227" t="s">
        <v>3</v>
      </c>
      <c r="EB227" t="s">
        <v>3</v>
      </c>
      <c r="EC227" t="s">
        <v>3</v>
      </c>
      <c r="EE227">
        <v>49145957</v>
      </c>
      <c r="EF227">
        <v>1</v>
      </c>
      <c r="EG227" t="s">
        <v>32</v>
      </c>
      <c r="EH227">
        <v>0</v>
      </c>
      <c r="EI227" t="s">
        <v>3</v>
      </c>
      <c r="EJ227">
        <v>4</v>
      </c>
      <c r="EK227">
        <v>0</v>
      </c>
      <c r="EL227" t="s">
        <v>33</v>
      </c>
      <c r="EM227" t="s">
        <v>34</v>
      </c>
      <c r="EO227" t="s">
        <v>3</v>
      </c>
      <c r="EQ227">
        <v>0</v>
      </c>
      <c r="ER227">
        <v>22608.22</v>
      </c>
      <c r="ES227">
        <v>20354.099999999999</v>
      </c>
      <c r="ET227">
        <v>30.36</v>
      </c>
      <c r="EU227">
        <v>0.11</v>
      </c>
      <c r="EV227">
        <v>2223.7600000000002</v>
      </c>
      <c r="EW227">
        <v>11</v>
      </c>
      <c r="EX227">
        <v>0</v>
      </c>
      <c r="EY227">
        <v>0</v>
      </c>
      <c r="FQ227">
        <v>0</v>
      </c>
      <c r="FR227">
        <f>ROUND(IF(AND(BH227=3,BI227=3),P227,0),2)</f>
        <v>0</v>
      </c>
      <c r="FS227">
        <v>0</v>
      </c>
      <c r="FX227">
        <v>70</v>
      </c>
      <c r="FY227">
        <v>10</v>
      </c>
      <c r="GA227" t="s">
        <v>3</v>
      </c>
      <c r="GD227">
        <v>0</v>
      </c>
      <c r="GF227">
        <v>1383780067</v>
      </c>
      <c r="GG227">
        <v>2</v>
      </c>
      <c r="GH227">
        <v>1</v>
      </c>
      <c r="GI227">
        <v>-2</v>
      </c>
      <c r="GJ227">
        <v>0</v>
      </c>
      <c r="GK227">
        <f>ROUND(R227*(R12)/100,2)</f>
        <v>0.01</v>
      </c>
      <c r="GL227">
        <f>ROUND(IF(AND(BH227=3,BI227=3,FS227&lt;&gt;0),P227,0),2)</f>
        <v>0</v>
      </c>
      <c r="GM227">
        <f>ROUND(O227+X227+Y227+GK227,2)+GX227</f>
        <v>1950.99</v>
      </c>
      <c r="GN227">
        <f>IF(OR(BI227=0,BI227=1),ROUND(O227+X227+Y227+GK227,2),0)</f>
        <v>0</v>
      </c>
      <c r="GO227">
        <f>IF(BI227=2,ROUND(O227+X227+Y227+GK227,2),0)</f>
        <v>0</v>
      </c>
      <c r="GP227">
        <f>IF(BI227=4,ROUND(O227+X227+Y227+GK227,2)+GX227,0)</f>
        <v>1950.99</v>
      </c>
      <c r="GR227">
        <v>0</v>
      </c>
      <c r="GS227">
        <v>3</v>
      </c>
      <c r="GT227">
        <v>0</v>
      </c>
      <c r="GU227" t="s">
        <v>3</v>
      </c>
      <c r="GV227">
        <f>ROUND((GT227),6)</f>
        <v>0</v>
      </c>
      <c r="GW227">
        <v>1</v>
      </c>
      <c r="GX227">
        <f>ROUND(HC227*I227,2)</f>
        <v>0</v>
      </c>
      <c r="HA227">
        <v>0</v>
      </c>
      <c r="HB227">
        <v>0</v>
      </c>
      <c r="HC227">
        <f>GV227*GW227</f>
        <v>0</v>
      </c>
      <c r="HE227" t="s">
        <v>3</v>
      </c>
      <c r="HF227" t="s">
        <v>3</v>
      </c>
      <c r="IK227">
        <v>0</v>
      </c>
    </row>
    <row r="228" spans="1:245" x14ac:dyDescent="0.2">
      <c r="A228">
        <v>17</v>
      </c>
      <c r="B228">
        <v>1</v>
      </c>
      <c r="C228">
        <f>ROW(SmtRes!A135)</f>
        <v>135</v>
      </c>
      <c r="D228">
        <f>ROW(EtalonRes!A129)</f>
        <v>129</v>
      </c>
      <c r="E228" t="s">
        <v>256</v>
      </c>
      <c r="F228" t="s">
        <v>257</v>
      </c>
      <c r="G228" t="s">
        <v>258</v>
      </c>
      <c r="H228" t="s">
        <v>259</v>
      </c>
      <c r="I228">
        <f>ROUND(8/100,4)</f>
        <v>0.08</v>
      </c>
      <c r="J228">
        <v>0</v>
      </c>
      <c r="O228">
        <f>ROUND(CP228,2)</f>
        <v>2271.6799999999998</v>
      </c>
      <c r="P228">
        <f>ROUND(CQ228*I228,2)</f>
        <v>1922.82</v>
      </c>
      <c r="Q228">
        <f>ROUND(CR228*I228,2)</f>
        <v>0</v>
      </c>
      <c r="R228">
        <f>ROUND(CS228*I228,2)</f>
        <v>0</v>
      </c>
      <c r="S228">
        <f>ROUND(CT228*I228,2)</f>
        <v>348.86</v>
      </c>
      <c r="T228">
        <f>ROUND(CU228*I228,2)</f>
        <v>0</v>
      </c>
      <c r="U228">
        <f>CV228*I228</f>
        <v>1.2328000000000001</v>
      </c>
      <c r="V228">
        <f>CW228*I228</f>
        <v>0</v>
      </c>
      <c r="W228">
        <f>ROUND(CX228*I228,2)</f>
        <v>0</v>
      </c>
      <c r="X228">
        <f t="shared" si="210"/>
        <v>244.2</v>
      </c>
      <c r="Y228">
        <f t="shared" si="210"/>
        <v>34.89</v>
      </c>
      <c r="AA228">
        <v>49707740</v>
      </c>
      <c r="AB228">
        <f>ROUND((AC228+AD228+AF228),6)</f>
        <v>28396.01</v>
      </c>
      <c r="AC228">
        <f>ROUND((ES228),6)</f>
        <v>24035.23</v>
      </c>
      <c r="AD228">
        <f>ROUND((((ET228)-(EU228))+AE228),6)</f>
        <v>0</v>
      </c>
      <c r="AE228">
        <f t="shared" si="211"/>
        <v>0</v>
      </c>
      <c r="AF228">
        <f t="shared" si="211"/>
        <v>4360.78</v>
      </c>
      <c r="AG228">
        <f>ROUND((AP228),6)</f>
        <v>0</v>
      </c>
      <c r="AH228">
        <f t="shared" si="212"/>
        <v>15.41</v>
      </c>
      <c r="AI228">
        <f t="shared" si="212"/>
        <v>0</v>
      </c>
      <c r="AJ228">
        <f>(AS228)</f>
        <v>0</v>
      </c>
      <c r="AK228">
        <v>28396.01</v>
      </c>
      <c r="AL228">
        <v>24035.23</v>
      </c>
      <c r="AM228">
        <v>0</v>
      </c>
      <c r="AN228">
        <v>0</v>
      </c>
      <c r="AO228">
        <v>4360.78</v>
      </c>
      <c r="AP228">
        <v>0</v>
      </c>
      <c r="AQ228">
        <v>15.41</v>
      </c>
      <c r="AR228">
        <v>0</v>
      </c>
      <c r="AS228">
        <v>0</v>
      </c>
      <c r="AT228">
        <v>70</v>
      </c>
      <c r="AU228">
        <v>10</v>
      </c>
      <c r="AV228">
        <v>1</v>
      </c>
      <c r="AW228">
        <v>1</v>
      </c>
      <c r="AZ228">
        <v>1</v>
      </c>
      <c r="BA228">
        <v>1</v>
      </c>
      <c r="BB228">
        <v>1</v>
      </c>
      <c r="BC228">
        <v>1</v>
      </c>
      <c r="BD228" t="s">
        <v>3</v>
      </c>
      <c r="BE228" t="s">
        <v>3</v>
      </c>
      <c r="BF228" t="s">
        <v>3</v>
      </c>
      <c r="BG228" t="s">
        <v>3</v>
      </c>
      <c r="BH228">
        <v>0</v>
      </c>
      <c r="BI228">
        <v>4</v>
      </c>
      <c r="BJ228" t="s">
        <v>260</v>
      </c>
      <c r="BM228">
        <v>0</v>
      </c>
      <c r="BN228">
        <v>0</v>
      </c>
      <c r="BO228" t="s">
        <v>3</v>
      </c>
      <c r="BP228">
        <v>0</v>
      </c>
      <c r="BQ228">
        <v>1</v>
      </c>
      <c r="BR228">
        <v>0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 t="s">
        <v>3</v>
      </c>
      <c r="BZ228">
        <v>70</v>
      </c>
      <c r="CA228">
        <v>10</v>
      </c>
      <c r="CE228">
        <v>0</v>
      </c>
      <c r="CF228">
        <v>0</v>
      </c>
      <c r="CG228">
        <v>0</v>
      </c>
      <c r="CM228">
        <v>0</v>
      </c>
      <c r="CN228" t="s">
        <v>3</v>
      </c>
      <c r="CO228">
        <v>0</v>
      </c>
      <c r="CP228">
        <f>(P228+Q228+S228)</f>
        <v>2271.6799999999998</v>
      </c>
      <c r="CQ228">
        <f>(AC228*BC228*AW228)</f>
        <v>24035.23</v>
      </c>
      <c r="CR228">
        <f>((((ET228)*BB228-(EU228)*BS228)+AE228*BS228)*AV228)</f>
        <v>0</v>
      </c>
      <c r="CS228">
        <f>(AE228*BS228*AV228)</f>
        <v>0</v>
      </c>
      <c r="CT228">
        <f>(AF228*BA228*AV228)</f>
        <v>4360.78</v>
      </c>
      <c r="CU228">
        <f>AG228</f>
        <v>0</v>
      </c>
      <c r="CV228">
        <f>(AH228*AV228)</f>
        <v>15.41</v>
      </c>
      <c r="CW228">
        <f t="shared" si="213"/>
        <v>0</v>
      </c>
      <c r="CX228">
        <f t="shared" si="213"/>
        <v>0</v>
      </c>
      <c r="CY228">
        <f>((S228*BZ228)/100)</f>
        <v>244.202</v>
      </c>
      <c r="CZ228">
        <f>((S228*CA228)/100)</f>
        <v>34.886000000000003</v>
      </c>
      <c r="DC228" t="s">
        <v>3</v>
      </c>
      <c r="DD228" t="s">
        <v>3</v>
      </c>
      <c r="DE228" t="s">
        <v>3</v>
      </c>
      <c r="DF228" t="s">
        <v>3</v>
      </c>
      <c r="DG228" t="s">
        <v>3</v>
      </c>
      <c r="DH228" t="s">
        <v>3</v>
      </c>
      <c r="DI228" t="s">
        <v>3</v>
      </c>
      <c r="DJ228" t="s">
        <v>3</v>
      </c>
      <c r="DK228" t="s">
        <v>3</v>
      </c>
      <c r="DL228" t="s">
        <v>3</v>
      </c>
      <c r="DM228" t="s">
        <v>3</v>
      </c>
      <c r="DN228">
        <v>0</v>
      </c>
      <c r="DO228">
        <v>0</v>
      </c>
      <c r="DP228">
        <v>1</v>
      </c>
      <c r="DQ228">
        <v>1</v>
      </c>
      <c r="DU228">
        <v>1010</v>
      </c>
      <c r="DV228" t="s">
        <v>259</v>
      </c>
      <c r="DW228" t="s">
        <v>259</v>
      </c>
      <c r="DX228">
        <v>100</v>
      </c>
      <c r="DZ228" t="s">
        <v>3</v>
      </c>
      <c r="EA228" t="s">
        <v>3</v>
      </c>
      <c r="EB228" t="s">
        <v>3</v>
      </c>
      <c r="EC228" t="s">
        <v>3</v>
      </c>
      <c r="EE228">
        <v>49145957</v>
      </c>
      <c r="EF228">
        <v>1</v>
      </c>
      <c r="EG228" t="s">
        <v>32</v>
      </c>
      <c r="EH228">
        <v>0</v>
      </c>
      <c r="EI228" t="s">
        <v>3</v>
      </c>
      <c r="EJ228">
        <v>4</v>
      </c>
      <c r="EK228">
        <v>0</v>
      </c>
      <c r="EL228" t="s">
        <v>33</v>
      </c>
      <c r="EM228" t="s">
        <v>34</v>
      </c>
      <c r="EO228" t="s">
        <v>3</v>
      </c>
      <c r="EQ228">
        <v>0</v>
      </c>
      <c r="ER228">
        <v>28396.01</v>
      </c>
      <c r="ES228">
        <v>24035.23</v>
      </c>
      <c r="ET228">
        <v>0</v>
      </c>
      <c r="EU228">
        <v>0</v>
      </c>
      <c r="EV228">
        <v>4360.78</v>
      </c>
      <c r="EW228">
        <v>15.41</v>
      </c>
      <c r="EX228">
        <v>0</v>
      </c>
      <c r="EY228">
        <v>0</v>
      </c>
      <c r="FQ228">
        <v>0</v>
      </c>
      <c r="FR228">
        <f>ROUND(IF(AND(BH228=3,BI228=3),P228,0),2)</f>
        <v>0</v>
      </c>
      <c r="FS228">
        <v>0</v>
      </c>
      <c r="FX228">
        <v>70</v>
      </c>
      <c r="FY228">
        <v>10</v>
      </c>
      <c r="GA228" t="s">
        <v>3</v>
      </c>
      <c r="GD228">
        <v>0</v>
      </c>
      <c r="GF228">
        <v>-205426214</v>
      </c>
      <c r="GG228">
        <v>2</v>
      </c>
      <c r="GH228">
        <v>1</v>
      </c>
      <c r="GI228">
        <v>-2</v>
      </c>
      <c r="GJ228">
        <v>0</v>
      </c>
      <c r="GK228">
        <f>ROUND(R228*(R12)/100,2)</f>
        <v>0</v>
      </c>
      <c r="GL228">
        <f>ROUND(IF(AND(BH228=3,BI228=3,FS228&lt;&gt;0),P228,0),2)</f>
        <v>0</v>
      </c>
      <c r="GM228">
        <f>ROUND(O228+X228+Y228+GK228,2)+GX228</f>
        <v>2550.77</v>
      </c>
      <c r="GN228">
        <f>IF(OR(BI228=0,BI228=1),ROUND(O228+X228+Y228+GK228,2),0)</f>
        <v>0</v>
      </c>
      <c r="GO228">
        <f>IF(BI228=2,ROUND(O228+X228+Y228+GK228,2),0)</f>
        <v>0</v>
      </c>
      <c r="GP228">
        <f>IF(BI228=4,ROUND(O228+X228+Y228+GK228,2)+GX228,0)</f>
        <v>2550.77</v>
      </c>
      <c r="GR228">
        <v>0</v>
      </c>
      <c r="GS228">
        <v>3</v>
      </c>
      <c r="GT228">
        <v>0</v>
      </c>
      <c r="GU228" t="s">
        <v>3</v>
      </c>
      <c r="GV228">
        <f>ROUND((GT228),6)</f>
        <v>0</v>
      </c>
      <c r="GW228">
        <v>1</v>
      </c>
      <c r="GX228">
        <f>ROUND(HC228*I228,2)</f>
        <v>0</v>
      </c>
      <c r="HA228">
        <v>0</v>
      </c>
      <c r="HB228">
        <v>0</v>
      </c>
      <c r="HC228">
        <f>GV228*GW228</f>
        <v>0</v>
      </c>
      <c r="HE228" t="s">
        <v>3</v>
      </c>
      <c r="HF228" t="s">
        <v>3</v>
      </c>
      <c r="IK228">
        <v>0</v>
      </c>
    </row>
    <row r="229" spans="1:245" x14ac:dyDescent="0.2">
      <c r="A229">
        <v>17</v>
      </c>
      <c r="B229">
        <v>1</v>
      </c>
      <c r="C229">
        <f>ROW(SmtRes!A140)</f>
        <v>140</v>
      </c>
      <c r="D229">
        <f>ROW(EtalonRes!A133)</f>
        <v>133</v>
      </c>
      <c r="E229" t="s">
        <v>261</v>
      </c>
      <c r="F229" t="s">
        <v>226</v>
      </c>
      <c r="G229" t="s">
        <v>227</v>
      </c>
      <c r="H229" t="s">
        <v>57</v>
      </c>
      <c r="I229">
        <f>ROUND(0.0862,4)</f>
        <v>8.6199999999999999E-2</v>
      </c>
      <c r="J229">
        <v>0</v>
      </c>
      <c r="O229">
        <f>ROUND(CP229,2)</f>
        <v>5790.83</v>
      </c>
      <c r="P229">
        <f>ROUND(CQ229*I229,2)</f>
        <v>4875.21</v>
      </c>
      <c r="Q229">
        <f>ROUND(CR229*I229,2)</f>
        <v>103.21</v>
      </c>
      <c r="R229">
        <f>ROUND(CS229*I229,2)</f>
        <v>0.09</v>
      </c>
      <c r="S229">
        <f>ROUND(CT229*I229,2)</f>
        <v>812.41</v>
      </c>
      <c r="T229">
        <f>ROUND(CU229*I229,2)</f>
        <v>0</v>
      </c>
      <c r="U229">
        <f>CV229*I229</f>
        <v>3.1126819999999999</v>
      </c>
      <c r="V229">
        <f>CW229*I229</f>
        <v>0</v>
      </c>
      <c r="W229">
        <f>ROUND(CX229*I229,2)</f>
        <v>0</v>
      </c>
      <c r="X229">
        <f t="shared" si="210"/>
        <v>568.69000000000005</v>
      </c>
      <c r="Y229">
        <f t="shared" si="210"/>
        <v>81.239999999999995</v>
      </c>
      <c r="AA229">
        <v>49707740</v>
      </c>
      <c r="AB229">
        <f>ROUND((AC229+AD229+AF229),6)</f>
        <v>67179.039999999994</v>
      </c>
      <c r="AC229">
        <f>ROUND((ES229),6)</f>
        <v>56556.95</v>
      </c>
      <c r="AD229">
        <f>ROUND((((ET229)-(EU229))+AE229),6)</f>
        <v>1197.3800000000001</v>
      </c>
      <c r="AE229">
        <f t="shared" si="211"/>
        <v>1.1000000000000001</v>
      </c>
      <c r="AF229">
        <f t="shared" si="211"/>
        <v>9424.7099999999991</v>
      </c>
      <c r="AG229">
        <f>ROUND((AP229),6)</f>
        <v>0</v>
      </c>
      <c r="AH229">
        <f t="shared" si="212"/>
        <v>36.11</v>
      </c>
      <c r="AI229">
        <f t="shared" si="212"/>
        <v>0</v>
      </c>
      <c r="AJ229">
        <f>(AS229)</f>
        <v>0</v>
      </c>
      <c r="AK229">
        <v>67179.039999999994</v>
      </c>
      <c r="AL229">
        <v>56556.95</v>
      </c>
      <c r="AM229">
        <v>1197.3800000000001</v>
      </c>
      <c r="AN229">
        <v>1.1000000000000001</v>
      </c>
      <c r="AO229">
        <v>9424.7099999999991</v>
      </c>
      <c r="AP229">
        <v>0</v>
      </c>
      <c r="AQ229">
        <v>36.11</v>
      </c>
      <c r="AR229">
        <v>0</v>
      </c>
      <c r="AS229">
        <v>0</v>
      </c>
      <c r="AT229">
        <v>70</v>
      </c>
      <c r="AU229">
        <v>10</v>
      </c>
      <c r="AV229">
        <v>1</v>
      </c>
      <c r="AW229">
        <v>1</v>
      </c>
      <c r="AZ229">
        <v>1</v>
      </c>
      <c r="BA229">
        <v>1</v>
      </c>
      <c r="BB229">
        <v>1</v>
      </c>
      <c r="BC229">
        <v>1</v>
      </c>
      <c r="BD229" t="s">
        <v>3</v>
      </c>
      <c r="BE229" t="s">
        <v>3</v>
      </c>
      <c r="BF229" t="s">
        <v>3</v>
      </c>
      <c r="BG229" t="s">
        <v>3</v>
      </c>
      <c r="BH229">
        <v>0</v>
      </c>
      <c r="BI229">
        <v>4</v>
      </c>
      <c r="BJ229" t="s">
        <v>228</v>
      </c>
      <c r="BM229">
        <v>0</v>
      </c>
      <c r="BN229">
        <v>0</v>
      </c>
      <c r="BO229" t="s">
        <v>3</v>
      </c>
      <c r="BP229">
        <v>0</v>
      </c>
      <c r="BQ229">
        <v>1</v>
      </c>
      <c r="BR229">
        <v>0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 t="s">
        <v>3</v>
      </c>
      <c r="BZ229">
        <v>70</v>
      </c>
      <c r="CA229">
        <v>10</v>
      </c>
      <c r="CE229">
        <v>0</v>
      </c>
      <c r="CF229">
        <v>0</v>
      </c>
      <c r="CG229">
        <v>0</v>
      </c>
      <c r="CM229">
        <v>0</v>
      </c>
      <c r="CN229" t="s">
        <v>3</v>
      </c>
      <c r="CO229">
        <v>0</v>
      </c>
      <c r="CP229">
        <f>(P229+Q229+S229)</f>
        <v>5790.83</v>
      </c>
      <c r="CQ229">
        <f>(AC229*BC229*AW229)</f>
        <v>56556.95</v>
      </c>
      <c r="CR229">
        <f>((((ET229)*BB229-(EU229)*BS229)+AE229*BS229)*AV229)</f>
        <v>1197.3800000000001</v>
      </c>
      <c r="CS229">
        <f>(AE229*BS229*AV229)</f>
        <v>1.1000000000000001</v>
      </c>
      <c r="CT229">
        <f>(AF229*BA229*AV229)</f>
        <v>9424.7099999999991</v>
      </c>
      <c r="CU229">
        <f>AG229</f>
        <v>0</v>
      </c>
      <c r="CV229">
        <f>(AH229*AV229)</f>
        <v>36.11</v>
      </c>
      <c r="CW229">
        <f t="shared" si="213"/>
        <v>0</v>
      </c>
      <c r="CX229">
        <f t="shared" si="213"/>
        <v>0</v>
      </c>
      <c r="CY229">
        <f>((S229*BZ229)/100)</f>
        <v>568.68700000000001</v>
      </c>
      <c r="CZ229">
        <f>((S229*CA229)/100)</f>
        <v>81.241</v>
      </c>
      <c r="DC229" t="s">
        <v>3</v>
      </c>
      <c r="DD229" t="s">
        <v>3</v>
      </c>
      <c r="DE229" t="s">
        <v>3</v>
      </c>
      <c r="DF229" t="s">
        <v>3</v>
      </c>
      <c r="DG229" t="s">
        <v>3</v>
      </c>
      <c r="DH229" t="s">
        <v>3</v>
      </c>
      <c r="DI229" t="s">
        <v>3</v>
      </c>
      <c r="DJ229" t="s">
        <v>3</v>
      </c>
      <c r="DK229" t="s">
        <v>3</v>
      </c>
      <c r="DL229" t="s">
        <v>3</v>
      </c>
      <c r="DM229" t="s">
        <v>3</v>
      </c>
      <c r="DN229">
        <v>0</v>
      </c>
      <c r="DO229">
        <v>0</v>
      </c>
      <c r="DP229">
        <v>1</v>
      </c>
      <c r="DQ229">
        <v>1</v>
      </c>
      <c r="DU229">
        <v>1009</v>
      </c>
      <c r="DV229" t="s">
        <v>57</v>
      </c>
      <c r="DW229" t="s">
        <v>57</v>
      </c>
      <c r="DX229">
        <v>1000</v>
      </c>
      <c r="DZ229" t="s">
        <v>3</v>
      </c>
      <c r="EA229" t="s">
        <v>3</v>
      </c>
      <c r="EB229" t="s">
        <v>3</v>
      </c>
      <c r="EC229" t="s">
        <v>3</v>
      </c>
      <c r="EE229">
        <v>49145957</v>
      </c>
      <c r="EF229">
        <v>1</v>
      </c>
      <c r="EG229" t="s">
        <v>32</v>
      </c>
      <c r="EH229">
        <v>0</v>
      </c>
      <c r="EI229" t="s">
        <v>3</v>
      </c>
      <c r="EJ229">
        <v>4</v>
      </c>
      <c r="EK229">
        <v>0</v>
      </c>
      <c r="EL229" t="s">
        <v>33</v>
      </c>
      <c r="EM229" t="s">
        <v>34</v>
      </c>
      <c r="EO229" t="s">
        <v>3</v>
      </c>
      <c r="EQ229">
        <v>0</v>
      </c>
      <c r="ER229">
        <v>67179.039999999994</v>
      </c>
      <c r="ES229">
        <v>56556.95</v>
      </c>
      <c r="ET229">
        <v>1197.3800000000001</v>
      </c>
      <c r="EU229">
        <v>1.1000000000000001</v>
      </c>
      <c r="EV229">
        <v>9424.7099999999991</v>
      </c>
      <c r="EW229">
        <v>36.11</v>
      </c>
      <c r="EX229">
        <v>0</v>
      </c>
      <c r="EY229">
        <v>0</v>
      </c>
      <c r="FQ229">
        <v>0</v>
      </c>
      <c r="FR229">
        <f>ROUND(IF(AND(BH229=3,BI229=3),P229,0),2)</f>
        <v>0</v>
      </c>
      <c r="FS229">
        <v>0</v>
      </c>
      <c r="FX229">
        <v>70</v>
      </c>
      <c r="FY229">
        <v>10</v>
      </c>
      <c r="GA229" t="s">
        <v>3</v>
      </c>
      <c r="GD229">
        <v>0</v>
      </c>
      <c r="GF229">
        <v>861890752</v>
      </c>
      <c r="GG229">
        <v>2</v>
      </c>
      <c r="GH229">
        <v>1</v>
      </c>
      <c r="GI229">
        <v>-2</v>
      </c>
      <c r="GJ229">
        <v>0</v>
      </c>
      <c r="GK229">
        <f>ROUND(R229*(R12)/100,2)</f>
        <v>0.1</v>
      </c>
      <c r="GL229">
        <f>ROUND(IF(AND(BH229=3,BI229=3,FS229&lt;&gt;0),P229,0),2)</f>
        <v>0</v>
      </c>
      <c r="GM229">
        <f>ROUND(O229+X229+Y229+GK229,2)+GX229</f>
        <v>6440.86</v>
      </c>
      <c r="GN229">
        <f>IF(OR(BI229=0,BI229=1),ROUND(O229+X229+Y229+GK229,2),0)</f>
        <v>0</v>
      </c>
      <c r="GO229">
        <f>IF(BI229=2,ROUND(O229+X229+Y229+GK229,2),0)</f>
        <v>0</v>
      </c>
      <c r="GP229">
        <f>IF(BI229=4,ROUND(O229+X229+Y229+GK229,2)+GX229,0)</f>
        <v>6440.86</v>
      </c>
      <c r="GR229">
        <v>0</v>
      </c>
      <c r="GS229">
        <v>3</v>
      </c>
      <c r="GT229">
        <v>0</v>
      </c>
      <c r="GU229" t="s">
        <v>3</v>
      </c>
      <c r="GV229">
        <f>ROUND((GT229),6)</f>
        <v>0</v>
      </c>
      <c r="GW229">
        <v>1</v>
      </c>
      <c r="GX229">
        <f>ROUND(HC229*I229,2)</f>
        <v>0</v>
      </c>
      <c r="HA229">
        <v>0</v>
      </c>
      <c r="HB229">
        <v>0</v>
      </c>
      <c r="HC229">
        <f>GV229*GW229</f>
        <v>0</v>
      </c>
      <c r="HE229" t="s">
        <v>3</v>
      </c>
      <c r="HF229" t="s">
        <v>3</v>
      </c>
      <c r="IK229">
        <v>0</v>
      </c>
    </row>
    <row r="230" spans="1:245" x14ac:dyDescent="0.2">
      <c r="A230">
        <v>18</v>
      </c>
      <c r="B230">
        <v>1</v>
      </c>
      <c r="C230">
        <v>140</v>
      </c>
      <c r="E230" t="s">
        <v>262</v>
      </c>
      <c r="F230" t="s">
        <v>55</v>
      </c>
      <c r="G230" t="s">
        <v>263</v>
      </c>
      <c r="H230" t="s">
        <v>100</v>
      </c>
      <c r="I230">
        <f>I229*J230</f>
        <v>2</v>
      </c>
      <c r="J230">
        <v>23.201856148491881</v>
      </c>
      <c r="O230">
        <f>ROUND(CP230,2)</f>
        <v>25670</v>
      </c>
      <c r="P230">
        <f>ROUND(CQ230*I230,2)</f>
        <v>25670</v>
      </c>
      <c r="Q230">
        <f>ROUND(CR230*I230,2)</f>
        <v>0</v>
      </c>
      <c r="R230">
        <f>ROUND(CS230*I230,2)</f>
        <v>0</v>
      </c>
      <c r="S230">
        <f>ROUND(CT230*I230,2)</f>
        <v>0</v>
      </c>
      <c r="T230">
        <f>ROUND(CU230*I230,2)</f>
        <v>0</v>
      </c>
      <c r="U230">
        <f>CV230*I230</f>
        <v>0</v>
      </c>
      <c r="V230">
        <f>CW230*I230</f>
        <v>0</v>
      </c>
      <c r="W230">
        <f>ROUND(CX230*I230,2)</f>
        <v>0</v>
      </c>
      <c r="X230">
        <f t="shared" si="210"/>
        <v>0</v>
      </c>
      <c r="Y230">
        <f t="shared" si="210"/>
        <v>0</v>
      </c>
      <c r="AA230">
        <v>49707740</v>
      </c>
      <c r="AB230">
        <f>ROUND((AC230+AD230+AF230),6)</f>
        <v>12835</v>
      </c>
      <c r="AC230">
        <f>ROUND((ES230),6)</f>
        <v>12835</v>
      </c>
      <c r="AD230">
        <f>ROUND((((ET230)-(EU230))+AE230),6)</f>
        <v>0</v>
      </c>
      <c r="AE230">
        <f t="shared" si="211"/>
        <v>0</v>
      </c>
      <c r="AF230">
        <f t="shared" si="211"/>
        <v>0</v>
      </c>
      <c r="AG230">
        <f>ROUND((AP230),6)</f>
        <v>0</v>
      </c>
      <c r="AH230">
        <f t="shared" si="212"/>
        <v>0</v>
      </c>
      <c r="AI230">
        <f t="shared" si="212"/>
        <v>0</v>
      </c>
      <c r="AJ230">
        <f>(AS230)</f>
        <v>0</v>
      </c>
      <c r="AK230">
        <v>12835</v>
      </c>
      <c r="AL230">
        <v>12835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1</v>
      </c>
      <c r="AW230">
        <v>1</v>
      </c>
      <c r="AZ230">
        <v>1</v>
      </c>
      <c r="BA230">
        <v>1</v>
      </c>
      <c r="BB230">
        <v>1</v>
      </c>
      <c r="BC230">
        <v>1</v>
      </c>
      <c r="BD230" t="s">
        <v>3</v>
      </c>
      <c r="BE230" t="s">
        <v>3</v>
      </c>
      <c r="BF230" t="s">
        <v>3</v>
      </c>
      <c r="BG230" t="s">
        <v>3</v>
      </c>
      <c r="BH230">
        <v>3</v>
      </c>
      <c r="BI230">
        <v>1</v>
      </c>
      <c r="BJ230" t="s">
        <v>3</v>
      </c>
      <c r="BM230">
        <v>6001</v>
      </c>
      <c r="BN230">
        <v>0</v>
      </c>
      <c r="BO230" t="s">
        <v>3</v>
      </c>
      <c r="BP230">
        <v>0</v>
      </c>
      <c r="BQ230">
        <v>1</v>
      </c>
      <c r="BR230">
        <v>0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 t="s">
        <v>3</v>
      </c>
      <c r="BZ230">
        <v>0</v>
      </c>
      <c r="CA230">
        <v>0</v>
      </c>
      <c r="CE230">
        <v>0</v>
      </c>
      <c r="CF230">
        <v>0</v>
      </c>
      <c r="CG230">
        <v>0</v>
      </c>
      <c r="CM230">
        <v>0</v>
      </c>
      <c r="CN230" t="s">
        <v>3</v>
      </c>
      <c r="CO230">
        <v>0</v>
      </c>
      <c r="CP230">
        <f>(P230+Q230+S230)</f>
        <v>25670</v>
      </c>
      <c r="CQ230">
        <f>(AC230*BC230*AW230)</f>
        <v>12835</v>
      </c>
      <c r="CR230">
        <f>((((ET230)*BB230-(EU230)*BS230)+AE230*BS230)*AV230)</f>
        <v>0</v>
      </c>
      <c r="CS230">
        <f>(AE230*BS230*AV230)</f>
        <v>0</v>
      </c>
      <c r="CT230">
        <f>(AF230*BA230*AV230)</f>
        <v>0</v>
      </c>
      <c r="CU230">
        <f>AG230</f>
        <v>0</v>
      </c>
      <c r="CV230">
        <f>(AH230*AV230)</f>
        <v>0</v>
      </c>
      <c r="CW230">
        <f t="shared" si="213"/>
        <v>0</v>
      </c>
      <c r="CX230">
        <f t="shared" si="213"/>
        <v>0</v>
      </c>
      <c r="CY230">
        <f>((S230*BZ230)/100)</f>
        <v>0</v>
      </c>
      <c r="CZ230">
        <f>((S230*CA230)/100)</f>
        <v>0</v>
      </c>
      <c r="DC230" t="s">
        <v>3</v>
      </c>
      <c r="DD230" t="s">
        <v>3</v>
      </c>
      <c r="DE230" t="s">
        <v>3</v>
      </c>
      <c r="DF230" t="s">
        <v>3</v>
      </c>
      <c r="DG230" t="s">
        <v>3</v>
      </c>
      <c r="DH230" t="s">
        <v>3</v>
      </c>
      <c r="DI230" t="s">
        <v>3</v>
      </c>
      <c r="DJ230" t="s">
        <v>3</v>
      </c>
      <c r="DK230" t="s">
        <v>3</v>
      </c>
      <c r="DL230" t="s">
        <v>3</v>
      </c>
      <c r="DM230" t="s">
        <v>3</v>
      </c>
      <c r="DN230">
        <v>0</v>
      </c>
      <c r="DO230">
        <v>0</v>
      </c>
      <c r="DP230">
        <v>1</v>
      </c>
      <c r="DQ230">
        <v>1</v>
      </c>
      <c r="DU230">
        <v>1010</v>
      </c>
      <c r="DV230" t="s">
        <v>100</v>
      </c>
      <c r="DW230" t="s">
        <v>100</v>
      </c>
      <c r="DX230">
        <v>1</v>
      </c>
      <c r="DZ230" t="s">
        <v>3</v>
      </c>
      <c r="EA230" t="s">
        <v>3</v>
      </c>
      <c r="EB230" t="s">
        <v>3</v>
      </c>
      <c r="EC230" t="s">
        <v>3</v>
      </c>
      <c r="EE230">
        <v>49387493</v>
      </c>
      <c r="EF230">
        <v>0</v>
      </c>
      <c r="EG230" t="s">
        <v>58</v>
      </c>
      <c r="EH230">
        <v>0</v>
      </c>
      <c r="EI230" t="s">
        <v>3</v>
      </c>
      <c r="EJ230">
        <v>1</v>
      </c>
      <c r="EK230">
        <v>6001</v>
      </c>
      <c r="EL230" t="s">
        <v>59</v>
      </c>
      <c r="EM230" t="s">
        <v>58</v>
      </c>
      <c r="EO230" t="s">
        <v>3</v>
      </c>
      <c r="EQ230">
        <v>0</v>
      </c>
      <c r="ER230">
        <v>12835</v>
      </c>
      <c r="ES230">
        <v>12835</v>
      </c>
      <c r="ET230">
        <v>0</v>
      </c>
      <c r="EU230">
        <v>0</v>
      </c>
      <c r="EV230">
        <v>0</v>
      </c>
      <c r="EW230">
        <v>0</v>
      </c>
      <c r="EX230">
        <v>0</v>
      </c>
      <c r="EZ230">
        <v>5</v>
      </c>
      <c r="FC230">
        <v>1</v>
      </c>
      <c r="FD230">
        <v>18</v>
      </c>
      <c r="FF230">
        <v>15100</v>
      </c>
      <c r="FQ230">
        <v>0</v>
      </c>
      <c r="FR230">
        <f>ROUND(IF(AND(BH230=3,BI230=3),P230,0),2)</f>
        <v>0</v>
      </c>
      <c r="FS230">
        <v>0</v>
      </c>
      <c r="FX230">
        <v>0</v>
      </c>
      <c r="FY230">
        <v>0</v>
      </c>
      <c r="GA230" t="s">
        <v>264</v>
      </c>
      <c r="GD230">
        <v>0</v>
      </c>
      <c r="GF230">
        <v>2096180198</v>
      </c>
      <c r="GG230">
        <v>2</v>
      </c>
      <c r="GH230">
        <v>3</v>
      </c>
      <c r="GI230">
        <v>-2</v>
      </c>
      <c r="GJ230">
        <v>0</v>
      </c>
      <c r="GK230">
        <f>ROUND(R230*(R12)/100,2)</f>
        <v>0</v>
      </c>
      <c r="GL230">
        <f>ROUND(IF(AND(BH230=3,BI230=3,FS230&lt;&gt;0),P230,0),2)</f>
        <v>0</v>
      </c>
      <c r="GM230">
        <f>ROUND(O230+X230+Y230+GK230,2)+GX230</f>
        <v>25670</v>
      </c>
      <c r="GN230">
        <f>IF(OR(BI230=0,BI230=1),ROUND(O230+X230+Y230+GK230,2),0)</f>
        <v>25670</v>
      </c>
      <c r="GO230">
        <f>IF(BI230=2,ROUND(O230+X230+Y230+GK230,2),0)</f>
        <v>0</v>
      </c>
      <c r="GP230">
        <f>IF(BI230=4,ROUND(O230+X230+Y230+GK230,2)+GX230,0)</f>
        <v>0</v>
      </c>
      <c r="GR230">
        <v>1</v>
      </c>
      <c r="GS230">
        <v>1</v>
      </c>
      <c r="GT230">
        <v>0</v>
      </c>
      <c r="GU230" t="s">
        <v>3</v>
      </c>
      <c r="GV230">
        <f>ROUND((GT230),6)</f>
        <v>0</v>
      </c>
      <c r="GW230">
        <v>1</v>
      </c>
      <c r="GX230">
        <f>ROUND(HC230*I230,2)</f>
        <v>0</v>
      </c>
      <c r="HA230">
        <v>0</v>
      </c>
      <c r="HB230">
        <v>0</v>
      </c>
      <c r="HC230">
        <f>GV230*GW230</f>
        <v>0</v>
      </c>
      <c r="HE230" t="s">
        <v>61</v>
      </c>
      <c r="HF230" t="s">
        <v>35</v>
      </c>
      <c r="IK230">
        <v>0</v>
      </c>
    </row>
    <row r="232" spans="1:245" x14ac:dyDescent="0.2">
      <c r="A232" s="2">
        <v>51</v>
      </c>
      <c r="B232" s="2">
        <f>B223</f>
        <v>1</v>
      </c>
      <c r="C232" s="2">
        <f>A223</f>
        <v>4</v>
      </c>
      <c r="D232" s="2">
        <f>ROW(A223)</f>
        <v>223</v>
      </c>
      <c r="E232" s="2"/>
      <c r="F232" s="2" t="str">
        <f>IF(F223&lt;&gt;"",F223,"")</f>
        <v>лавочки 2</v>
      </c>
      <c r="G232" s="2" t="str">
        <f>IF(G223&lt;&gt;"",G223,"")</f>
        <v>Установка лавочек 2 шт.</v>
      </c>
      <c r="H232" s="2">
        <v>0</v>
      </c>
      <c r="I232" s="2"/>
      <c r="J232" s="2"/>
      <c r="K232" s="2"/>
      <c r="L232" s="2"/>
      <c r="M232" s="2"/>
      <c r="N232" s="2"/>
      <c r="O232" s="2">
        <f t="shared" ref="O232:T232" si="214">ROUND(AB232,2)</f>
        <v>35541.17</v>
      </c>
      <c r="P232" s="2">
        <f t="shared" si="214"/>
        <v>34096.36</v>
      </c>
      <c r="Q232" s="2">
        <f t="shared" si="214"/>
        <v>105.64</v>
      </c>
      <c r="R232" s="2">
        <f t="shared" si="214"/>
        <v>0.1</v>
      </c>
      <c r="S232" s="2">
        <f t="shared" si="214"/>
        <v>1339.17</v>
      </c>
      <c r="T232" s="2">
        <f t="shared" si="214"/>
        <v>0</v>
      </c>
      <c r="U232" s="2">
        <f>AH232</f>
        <v>5.2254819999999995</v>
      </c>
      <c r="V232" s="2">
        <f>AI232</f>
        <v>0</v>
      </c>
      <c r="W232" s="2">
        <f>ROUND(AJ232,2)</f>
        <v>0</v>
      </c>
      <c r="X232" s="2">
        <f>ROUND(AK232,2)</f>
        <v>937.42</v>
      </c>
      <c r="Y232" s="2">
        <f>ROUND(AL232,2)</f>
        <v>133.91999999999999</v>
      </c>
      <c r="Z232" s="2"/>
      <c r="AA232" s="2"/>
      <c r="AB232" s="2">
        <f>ROUND(SUMIF(AA227:AA230,"=49707740",O227:O230),2)</f>
        <v>35541.17</v>
      </c>
      <c r="AC232" s="2">
        <f>ROUND(SUMIF(AA227:AA230,"=49707740",P227:P230),2)</f>
        <v>34096.36</v>
      </c>
      <c r="AD232" s="2">
        <f>ROUND(SUMIF(AA227:AA230,"=49707740",Q227:Q230),2)</f>
        <v>105.64</v>
      </c>
      <c r="AE232" s="2">
        <f>ROUND(SUMIF(AA227:AA230,"=49707740",R227:R230),2)</f>
        <v>0.1</v>
      </c>
      <c r="AF232" s="2">
        <f>ROUND(SUMIF(AA227:AA230,"=49707740",S227:S230),2)</f>
        <v>1339.17</v>
      </c>
      <c r="AG232" s="2">
        <f>ROUND(SUMIF(AA227:AA230,"=49707740",T227:T230),2)</f>
        <v>0</v>
      </c>
      <c r="AH232" s="2">
        <f>SUMIF(AA227:AA230,"=49707740",U227:U230)</f>
        <v>5.2254819999999995</v>
      </c>
      <c r="AI232" s="2">
        <f>SUMIF(AA227:AA230,"=49707740",V227:V230)</f>
        <v>0</v>
      </c>
      <c r="AJ232" s="2">
        <f>ROUND(SUMIF(AA227:AA230,"=49707740",W227:W230),2)</f>
        <v>0</v>
      </c>
      <c r="AK232" s="2">
        <f>ROUND(SUMIF(AA227:AA230,"=49707740",X227:X230),2)</f>
        <v>937.42</v>
      </c>
      <c r="AL232" s="2">
        <f>ROUND(SUMIF(AA227:AA230,"=49707740",Y227:Y230),2)</f>
        <v>133.91999999999999</v>
      </c>
      <c r="AM232" s="2"/>
      <c r="AN232" s="2"/>
      <c r="AO232" s="2">
        <f t="shared" ref="AO232:BD232" si="215">ROUND(BX232,2)</f>
        <v>0</v>
      </c>
      <c r="AP232" s="2">
        <f t="shared" si="215"/>
        <v>0</v>
      </c>
      <c r="AQ232" s="2">
        <f t="shared" si="215"/>
        <v>0</v>
      </c>
      <c r="AR232" s="2">
        <f t="shared" si="215"/>
        <v>36612.620000000003</v>
      </c>
      <c r="AS232" s="2">
        <f t="shared" si="215"/>
        <v>25670</v>
      </c>
      <c r="AT232" s="2">
        <f t="shared" si="215"/>
        <v>0</v>
      </c>
      <c r="AU232" s="2">
        <f t="shared" si="215"/>
        <v>10942.62</v>
      </c>
      <c r="AV232" s="2">
        <f t="shared" si="215"/>
        <v>34096.36</v>
      </c>
      <c r="AW232" s="2">
        <f t="shared" si="215"/>
        <v>34096.36</v>
      </c>
      <c r="AX232" s="2">
        <f t="shared" si="215"/>
        <v>0</v>
      </c>
      <c r="AY232" s="2">
        <f t="shared" si="215"/>
        <v>34096.36</v>
      </c>
      <c r="AZ232" s="2">
        <f t="shared" si="215"/>
        <v>0</v>
      </c>
      <c r="BA232" s="2">
        <f t="shared" si="215"/>
        <v>0</v>
      </c>
      <c r="BB232" s="2">
        <f t="shared" si="215"/>
        <v>0</v>
      </c>
      <c r="BC232" s="2">
        <f t="shared" si="215"/>
        <v>0</v>
      </c>
      <c r="BD232" s="2">
        <f t="shared" si="215"/>
        <v>0</v>
      </c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>
        <f>ROUND(SUMIF(AA227:AA230,"=49707740",FQ227:FQ230),2)</f>
        <v>0</v>
      </c>
      <c r="BY232" s="2">
        <f>ROUND(SUMIF(AA227:AA230,"=49707740",FR227:FR230),2)</f>
        <v>0</v>
      </c>
      <c r="BZ232" s="2">
        <f>ROUND(SUMIF(AA227:AA230,"=49707740",GL227:GL230),2)</f>
        <v>0</v>
      </c>
      <c r="CA232" s="2">
        <f>ROUND(SUMIF(AA227:AA230,"=49707740",GM227:GM230),2)</f>
        <v>36612.620000000003</v>
      </c>
      <c r="CB232" s="2">
        <f>ROUND(SUMIF(AA227:AA230,"=49707740",GN227:GN230),2)</f>
        <v>25670</v>
      </c>
      <c r="CC232" s="2">
        <f>ROUND(SUMIF(AA227:AA230,"=49707740",GO227:GO230),2)</f>
        <v>0</v>
      </c>
      <c r="CD232" s="2">
        <f>ROUND(SUMIF(AA227:AA230,"=49707740",GP227:GP230),2)</f>
        <v>10942.62</v>
      </c>
      <c r="CE232" s="2">
        <f>AC232-BX232</f>
        <v>34096.36</v>
      </c>
      <c r="CF232" s="2">
        <f>AC232-BY232</f>
        <v>34096.36</v>
      </c>
      <c r="CG232" s="2">
        <f>BX232-BZ232</f>
        <v>0</v>
      </c>
      <c r="CH232" s="2">
        <f>AC232-BX232-BY232+BZ232</f>
        <v>34096.36</v>
      </c>
      <c r="CI232" s="2">
        <f>BY232-BZ232</f>
        <v>0</v>
      </c>
      <c r="CJ232" s="2">
        <f>ROUND(SUMIF(AA227:AA230,"=49707740",GX227:GX230),2)</f>
        <v>0</v>
      </c>
      <c r="CK232" s="2">
        <f>ROUND(SUMIF(AA227:AA230,"=49707740",GY227:GY230),2)</f>
        <v>0</v>
      </c>
      <c r="CL232" s="2">
        <f>ROUND(SUMIF(AA227:AA230,"=49707740",GZ227:GZ230),2)</f>
        <v>0</v>
      </c>
      <c r="CM232" s="2">
        <f>ROUND(SUMIF(AA227:AA230,"=49707740",HD227:HD230),2)</f>
        <v>0</v>
      </c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3"/>
      <c r="DH232" s="3"/>
      <c r="DI232" s="3"/>
      <c r="DJ232" s="3"/>
      <c r="DK232" s="3"/>
      <c r="DL232" s="3"/>
      <c r="DM232" s="3"/>
      <c r="DN232" s="3"/>
      <c r="DO232" s="3"/>
      <c r="DP232" s="3"/>
      <c r="DQ232" s="3"/>
      <c r="DR232" s="3"/>
      <c r="DS232" s="3"/>
      <c r="DT232" s="3"/>
      <c r="DU232" s="3"/>
      <c r="DV232" s="3"/>
      <c r="DW232" s="3"/>
      <c r="DX232" s="3"/>
      <c r="DY232" s="3"/>
      <c r="DZ232" s="3"/>
      <c r="EA232" s="3"/>
      <c r="EB232" s="3"/>
      <c r="EC232" s="3"/>
      <c r="ED232" s="3"/>
      <c r="EE232" s="3"/>
      <c r="EF232" s="3"/>
      <c r="EG232" s="3"/>
      <c r="EH232" s="3"/>
      <c r="EI232" s="3"/>
      <c r="EJ232" s="3"/>
      <c r="EK232" s="3"/>
      <c r="EL232" s="3"/>
      <c r="EM232" s="3"/>
      <c r="EN232" s="3"/>
      <c r="EO232" s="3"/>
      <c r="EP232" s="3"/>
      <c r="EQ232" s="3"/>
      <c r="ER232" s="3"/>
      <c r="ES232" s="3"/>
      <c r="ET232" s="3"/>
      <c r="EU232" s="3"/>
      <c r="EV232" s="3"/>
      <c r="EW232" s="3"/>
      <c r="EX232" s="3"/>
      <c r="EY232" s="3"/>
      <c r="EZ232" s="3"/>
      <c r="FA232" s="3"/>
      <c r="FB232" s="3"/>
      <c r="FC232" s="3"/>
      <c r="FD232" s="3"/>
      <c r="FE232" s="3"/>
      <c r="FF232" s="3"/>
      <c r="FG232" s="3"/>
      <c r="FH232" s="3"/>
      <c r="FI232" s="3"/>
      <c r="FJ232" s="3"/>
      <c r="FK232" s="3"/>
      <c r="FL232" s="3"/>
      <c r="FM232" s="3"/>
      <c r="FN232" s="3"/>
      <c r="FO232" s="3"/>
      <c r="FP232" s="3"/>
      <c r="FQ232" s="3"/>
      <c r="FR232" s="3"/>
      <c r="FS232" s="3"/>
      <c r="FT232" s="3"/>
      <c r="FU232" s="3"/>
      <c r="FV232" s="3"/>
      <c r="FW232" s="3"/>
      <c r="FX232" s="3"/>
      <c r="FY232" s="3"/>
      <c r="FZ232" s="3"/>
      <c r="GA232" s="3"/>
      <c r="GB232" s="3"/>
      <c r="GC232" s="3"/>
      <c r="GD232" s="3"/>
      <c r="GE232" s="3"/>
      <c r="GF232" s="3"/>
      <c r="GG232" s="3"/>
      <c r="GH232" s="3"/>
      <c r="GI232" s="3"/>
      <c r="GJ232" s="3"/>
      <c r="GK232" s="3"/>
      <c r="GL232" s="3"/>
      <c r="GM232" s="3"/>
      <c r="GN232" s="3"/>
      <c r="GO232" s="3"/>
      <c r="GP232" s="3"/>
      <c r="GQ232" s="3"/>
      <c r="GR232" s="3"/>
      <c r="GS232" s="3"/>
      <c r="GT232" s="3"/>
      <c r="GU232" s="3"/>
      <c r="GV232" s="3"/>
      <c r="GW232" s="3"/>
      <c r="GX232" s="3">
        <v>0</v>
      </c>
    </row>
    <row r="234" spans="1:245" x14ac:dyDescent="0.2">
      <c r="A234" s="4">
        <v>50</v>
      </c>
      <c r="B234" s="4">
        <v>0</v>
      </c>
      <c r="C234" s="4">
        <v>0</v>
      </c>
      <c r="D234" s="4">
        <v>1</v>
      </c>
      <c r="E234" s="4">
        <v>201</v>
      </c>
      <c r="F234" s="4">
        <f>ROUND(Source!O232,O234)</f>
        <v>35541.17</v>
      </c>
      <c r="G234" s="4" t="s">
        <v>106</v>
      </c>
      <c r="H234" s="4" t="s">
        <v>107</v>
      </c>
      <c r="I234" s="4"/>
      <c r="J234" s="4"/>
      <c r="K234" s="4">
        <v>-201</v>
      </c>
      <c r="L234" s="4">
        <v>1</v>
      </c>
      <c r="M234" s="4">
        <v>3</v>
      </c>
      <c r="N234" s="4" t="s">
        <v>3</v>
      </c>
      <c r="O234" s="4">
        <v>2</v>
      </c>
      <c r="P234" s="4"/>
      <c r="Q234" s="4"/>
      <c r="R234" s="4"/>
      <c r="S234" s="4"/>
      <c r="T234" s="4"/>
      <c r="U234" s="4"/>
      <c r="V234" s="4"/>
      <c r="W234" s="4"/>
    </row>
    <row r="235" spans="1:245" x14ac:dyDescent="0.2">
      <c r="A235" s="4">
        <v>50</v>
      </c>
      <c r="B235" s="4">
        <v>0</v>
      </c>
      <c r="C235" s="4">
        <v>0</v>
      </c>
      <c r="D235" s="4">
        <v>1</v>
      </c>
      <c r="E235" s="4">
        <v>202</v>
      </c>
      <c r="F235" s="4">
        <f>ROUND(Source!P232,O235)</f>
        <v>34096.36</v>
      </c>
      <c r="G235" s="4" t="s">
        <v>108</v>
      </c>
      <c r="H235" s="4" t="s">
        <v>109</v>
      </c>
      <c r="I235" s="4"/>
      <c r="J235" s="4"/>
      <c r="K235" s="4">
        <v>-202</v>
      </c>
      <c r="L235" s="4">
        <v>2</v>
      </c>
      <c r="M235" s="4">
        <v>3</v>
      </c>
      <c r="N235" s="4" t="s">
        <v>3</v>
      </c>
      <c r="O235" s="4">
        <v>2</v>
      </c>
      <c r="P235" s="4"/>
      <c r="Q235" s="4"/>
      <c r="R235" s="4"/>
      <c r="S235" s="4"/>
      <c r="T235" s="4"/>
      <c r="U235" s="4"/>
      <c r="V235" s="4"/>
      <c r="W235" s="4"/>
    </row>
    <row r="236" spans="1:245" x14ac:dyDescent="0.2">
      <c r="A236" s="4">
        <v>50</v>
      </c>
      <c r="B236" s="4">
        <v>0</v>
      </c>
      <c r="C236" s="4">
        <v>0</v>
      </c>
      <c r="D236" s="4">
        <v>1</v>
      </c>
      <c r="E236" s="4">
        <v>222</v>
      </c>
      <c r="F236" s="4">
        <f>ROUND(Source!AO232,O236)</f>
        <v>0</v>
      </c>
      <c r="G236" s="4" t="s">
        <v>110</v>
      </c>
      <c r="H236" s="4" t="s">
        <v>111</v>
      </c>
      <c r="I236" s="4"/>
      <c r="J236" s="4"/>
      <c r="K236" s="4">
        <v>-222</v>
      </c>
      <c r="L236" s="4">
        <v>3</v>
      </c>
      <c r="M236" s="4">
        <v>3</v>
      </c>
      <c r="N236" s="4" t="s">
        <v>3</v>
      </c>
      <c r="O236" s="4">
        <v>2</v>
      </c>
      <c r="P236" s="4"/>
      <c r="Q236" s="4"/>
      <c r="R236" s="4"/>
      <c r="S236" s="4"/>
      <c r="T236" s="4"/>
      <c r="U236" s="4"/>
      <c r="V236" s="4"/>
      <c r="W236" s="4"/>
    </row>
    <row r="237" spans="1:245" x14ac:dyDescent="0.2">
      <c r="A237" s="4">
        <v>50</v>
      </c>
      <c r="B237" s="4">
        <v>0</v>
      </c>
      <c r="C237" s="4">
        <v>0</v>
      </c>
      <c r="D237" s="4">
        <v>1</v>
      </c>
      <c r="E237" s="4">
        <v>225</v>
      </c>
      <c r="F237" s="4">
        <f>ROUND(Source!AV232,O237)</f>
        <v>34096.36</v>
      </c>
      <c r="G237" s="4" t="s">
        <v>112</v>
      </c>
      <c r="H237" s="4" t="s">
        <v>113</v>
      </c>
      <c r="I237" s="4"/>
      <c r="J237" s="4"/>
      <c r="K237" s="4">
        <v>-225</v>
      </c>
      <c r="L237" s="4">
        <v>4</v>
      </c>
      <c r="M237" s="4">
        <v>3</v>
      </c>
      <c r="N237" s="4" t="s">
        <v>3</v>
      </c>
      <c r="O237" s="4">
        <v>2</v>
      </c>
      <c r="P237" s="4"/>
      <c r="Q237" s="4"/>
      <c r="R237" s="4"/>
      <c r="S237" s="4"/>
      <c r="T237" s="4"/>
      <c r="U237" s="4"/>
      <c r="V237" s="4"/>
      <c r="W237" s="4"/>
    </row>
    <row r="238" spans="1:245" x14ac:dyDescent="0.2">
      <c r="A238" s="4">
        <v>50</v>
      </c>
      <c r="B238" s="4">
        <v>0</v>
      </c>
      <c r="C238" s="4">
        <v>0</v>
      </c>
      <c r="D238" s="4">
        <v>1</v>
      </c>
      <c r="E238" s="4">
        <v>226</v>
      </c>
      <c r="F238" s="4">
        <f>ROUND(Source!AW232,O238)</f>
        <v>34096.36</v>
      </c>
      <c r="G238" s="4" t="s">
        <v>114</v>
      </c>
      <c r="H238" s="4" t="s">
        <v>115</v>
      </c>
      <c r="I238" s="4"/>
      <c r="J238" s="4"/>
      <c r="K238" s="4">
        <v>-226</v>
      </c>
      <c r="L238" s="4">
        <v>5</v>
      </c>
      <c r="M238" s="4">
        <v>3</v>
      </c>
      <c r="N238" s="4" t="s">
        <v>3</v>
      </c>
      <c r="O238" s="4">
        <v>2</v>
      </c>
      <c r="P238" s="4"/>
      <c r="Q238" s="4"/>
      <c r="R238" s="4"/>
      <c r="S238" s="4"/>
      <c r="T238" s="4"/>
      <c r="U238" s="4"/>
      <c r="V238" s="4"/>
      <c r="W238" s="4"/>
    </row>
    <row r="239" spans="1:245" x14ac:dyDescent="0.2">
      <c r="A239" s="4">
        <v>50</v>
      </c>
      <c r="B239" s="4">
        <v>0</v>
      </c>
      <c r="C239" s="4">
        <v>0</v>
      </c>
      <c r="D239" s="4">
        <v>1</v>
      </c>
      <c r="E239" s="4">
        <v>227</v>
      </c>
      <c r="F239" s="4">
        <f>ROUND(Source!AX232,O239)</f>
        <v>0</v>
      </c>
      <c r="G239" s="4" t="s">
        <v>116</v>
      </c>
      <c r="H239" s="4" t="s">
        <v>117</v>
      </c>
      <c r="I239" s="4"/>
      <c r="J239" s="4"/>
      <c r="K239" s="4">
        <v>-227</v>
      </c>
      <c r="L239" s="4">
        <v>6</v>
      </c>
      <c r="M239" s="4">
        <v>3</v>
      </c>
      <c r="N239" s="4" t="s">
        <v>3</v>
      </c>
      <c r="O239" s="4">
        <v>2</v>
      </c>
      <c r="P239" s="4"/>
      <c r="Q239" s="4"/>
      <c r="R239" s="4"/>
      <c r="S239" s="4"/>
      <c r="T239" s="4"/>
      <c r="U239" s="4"/>
      <c r="V239" s="4"/>
      <c r="W239" s="4"/>
    </row>
    <row r="240" spans="1:245" x14ac:dyDescent="0.2">
      <c r="A240" s="4">
        <v>50</v>
      </c>
      <c r="B240" s="4">
        <v>0</v>
      </c>
      <c r="C240" s="4">
        <v>0</v>
      </c>
      <c r="D240" s="4">
        <v>1</v>
      </c>
      <c r="E240" s="4">
        <v>228</v>
      </c>
      <c r="F240" s="4">
        <f>ROUND(Source!AY232,O240)</f>
        <v>34096.36</v>
      </c>
      <c r="G240" s="4" t="s">
        <v>118</v>
      </c>
      <c r="H240" s="4" t="s">
        <v>119</v>
      </c>
      <c r="I240" s="4"/>
      <c r="J240" s="4"/>
      <c r="K240" s="4">
        <v>-228</v>
      </c>
      <c r="L240" s="4">
        <v>7</v>
      </c>
      <c r="M240" s="4">
        <v>3</v>
      </c>
      <c r="N240" s="4" t="s">
        <v>3</v>
      </c>
      <c r="O240" s="4">
        <v>2</v>
      </c>
      <c r="P240" s="4"/>
      <c r="Q240" s="4"/>
      <c r="R240" s="4"/>
      <c r="S240" s="4"/>
      <c r="T240" s="4"/>
      <c r="U240" s="4"/>
      <c r="V240" s="4"/>
      <c r="W240" s="4"/>
    </row>
    <row r="241" spans="1:23" x14ac:dyDescent="0.2">
      <c r="A241" s="4">
        <v>50</v>
      </c>
      <c r="B241" s="4">
        <v>0</v>
      </c>
      <c r="C241" s="4">
        <v>0</v>
      </c>
      <c r="D241" s="4">
        <v>1</v>
      </c>
      <c r="E241" s="4">
        <v>216</v>
      </c>
      <c r="F241" s="4">
        <f>ROUND(Source!AP232,O241)</f>
        <v>0</v>
      </c>
      <c r="G241" s="4" t="s">
        <v>120</v>
      </c>
      <c r="H241" s="4" t="s">
        <v>121</v>
      </c>
      <c r="I241" s="4"/>
      <c r="J241" s="4"/>
      <c r="K241" s="4">
        <v>-216</v>
      </c>
      <c r="L241" s="4">
        <v>8</v>
      </c>
      <c r="M241" s="4">
        <v>3</v>
      </c>
      <c r="N241" s="4" t="s">
        <v>3</v>
      </c>
      <c r="O241" s="4">
        <v>2</v>
      </c>
      <c r="P241" s="4"/>
      <c r="Q241" s="4"/>
      <c r="R241" s="4"/>
      <c r="S241" s="4"/>
      <c r="T241" s="4"/>
      <c r="U241" s="4"/>
      <c r="V241" s="4"/>
      <c r="W241" s="4"/>
    </row>
    <row r="242" spans="1:23" x14ac:dyDescent="0.2">
      <c r="A242" s="4">
        <v>50</v>
      </c>
      <c r="B242" s="4">
        <v>0</v>
      </c>
      <c r="C242" s="4">
        <v>0</v>
      </c>
      <c r="D242" s="4">
        <v>1</v>
      </c>
      <c r="E242" s="4">
        <v>223</v>
      </c>
      <c r="F242" s="4">
        <f>ROUND(Source!AQ232,O242)</f>
        <v>0</v>
      </c>
      <c r="G242" s="4" t="s">
        <v>122</v>
      </c>
      <c r="H242" s="4" t="s">
        <v>123</v>
      </c>
      <c r="I242" s="4"/>
      <c r="J242" s="4"/>
      <c r="K242" s="4">
        <v>-223</v>
      </c>
      <c r="L242" s="4">
        <v>9</v>
      </c>
      <c r="M242" s="4">
        <v>3</v>
      </c>
      <c r="N242" s="4" t="s">
        <v>3</v>
      </c>
      <c r="O242" s="4">
        <v>2</v>
      </c>
      <c r="P242" s="4"/>
      <c r="Q242" s="4"/>
      <c r="R242" s="4"/>
      <c r="S242" s="4"/>
      <c r="T242" s="4"/>
      <c r="U242" s="4"/>
      <c r="V242" s="4"/>
      <c r="W242" s="4"/>
    </row>
    <row r="243" spans="1:23" x14ac:dyDescent="0.2">
      <c r="A243" s="4">
        <v>50</v>
      </c>
      <c r="B243" s="4">
        <v>0</v>
      </c>
      <c r="C243" s="4">
        <v>0</v>
      </c>
      <c r="D243" s="4">
        <v>1</v>
      </c>
      <c r="E243" s="4">
        <v>229</v>
      </c>
      <c r="F243" s="4">
        <f>ROUND(Source!AZ232,O243)</f>
        <v>0</v>
      </c>
      <c r="G243" s="4" t="s">
        <v>124</v>
      </c>
      <c r="H243" s="4" t="s">
        <v>125</v>
      </c>
      <c r="I243" s="4"/>
      <c r="J243" s="4"/>
      <c r="K243" s="4">
        <v>-229</v>
      </c>
      <c r="L243" s="4">
        <v>10</v>
      </c>
      <c r="M243" s="4">
        <v>3</v>
      </c>
      <c r="N243" s="4" t="s">
        <v>3</v>
      </c>
      <c r="O243" s="4">
        <v>2</v>
      </c>
      <c r="P243" s="4"/>
      <c r="Q243" s="4"/>
      <c r="R243" s="4"/>
      <c r="S243" s="4"/>
      <c r="T243" s="4"/>
      <c r="U243" s="4"/>
      <c r="V243" s="4"/>
      <c r="W243" s="4"/>
    </row>
    <row r="244" spans="1:23" x14ac:dyDescent="0.2">
      <c r="A244" s="4">
        <v>50</v>
      </c>
      <c r="B244" s="4">
        <v>0</v>
      </c>
      <c r="C244" s="4">
        <v>0</v>
      </c>
      <c r="D244" s="4">
        <v>1</v>
      </c>
      <c r="E244" s="4">
        <v>203</v>
      </c>
      <c r="F244" s="4">
        <f>ROUND(Source!Q232,O244)</f>
        <v>105.64</v>
      </c>
      <c r="G244" s="4" t="s">
        <v>126</v>
      </c>
      <c r="H244" s="4" t="s">
        <v>127</v>
      </c>
      <c r="I244" s="4"/>
      <c r="J244" s="4"/>
      <c r="K244" s="4">
        <v>-203</v>
      </c>
      <c r="L244" s="4">
        <v>11</v>
      </c>
      <c r="M244" s="4">
        <v>3</v>
      </c>
      <c r="N244" s="4" t="s">
        <v>3</v>
      </c>
      <c r="O244" s="4">
        <v>2</v>
      </c>
      <c r="P244" s="4"/>
      <c r="Q244" s="4"/>
      <c r="R244" s="4"/>
      <c r="S244" s="4"/>
      <c r="T244" s="4"/>
      <c r="U244" s="4"/>
      <c r="V244" s="4"/>
      <c r="W244" s="4"/>
    </row>
    <row r="245" spans="1:23" x14ac:dyDescent="0.2">
      <c r="A245" s="4">
        <v>50</v>
      </c>
      <c r="B245" s="4">
        <v>0</v>
      </c>
      <c r="C245" s="4">
        <v>0</v>
      </c>
      <c r="D245" s="4">
        <v>1</v>
      </c>
      <c r="E245" s="4">
        <v>231</v>
      </c>
      <c r="F245" s="4">
        <f>ROUND(Source!BB232,O245)</f>
        <v>0</v>
      </c>
      <c r="G245" s="4" t="s">
        <v>128</v>
      </c>
      <c r="H245" s="4" t="s">
        <v>129</v>
      </c>
      <c r="I245" s="4"/>
      <c r="J245" s="4"/>
      <c r="K245" s="4">
        <v>-231</v>
      </c>
      <c r="L245" s="4">
        <v>12</v>
      </c>
      <c r="M245" s="4">
        <v>3</v>
      </c>
      <c r="N245" s="4" t="s">
        <v>3</v>
      </c>
      <c r="O245" s="4">
        <v>2</v>
      </c>
      <c r="P245" s="4"/>
      <c r="Q245" s="4"/>
      <c r="R245" s="4"/>
      <c r="S245" s="4"/>
      <c r="T245" s="4"/>
      <c r="U245" s="4"/>
      <c r="V245" s="4"/>
      <c r="W245" s="4"/>
    </row>
    <row r="246" spans="1:23" x14ac:dyDescent="0.2">
      <c r="A246" s="4">
        <v>50</v>
      </c>
      <c r="B246" s="4">
        <v>0</v>
      </c>
      <c r="C246" s="4">
        <v>0</v>
      </c>
      <c r="D246" s="4">
        <v>1</v>
      </c>
      <c r="E246" s="4">
        <v>204</v>
      </c>
      <c r="F246" s="4">
        <f>ROUND(Source!R232,O246)</f>
        <v>0.1</v>
      </c>
      <c r="G246" s="4" t="s">
        <v>130</v>
      </c>
      <c r="H246" s="4" t="s">
        <v>131</v>
      </c>
      <c r="I246" s="4"/>
      <c r="J246" s="4"/>
      <c r="K246" s="4">
        <v>-204</v>
      </c>
      <c r="L246" s="4">
        <v>13</v>
      </c>
      <c r="M246" s="4">
        <v>3</v>
      </c>
      <c r="N246" s="4" t="s">
        <v>3</v>
      </c>
      <c r="O246" s="4">
        <v>2</v>
      </c>
      <c r="P246" s="4"/>
      <c r="Q246" s="4"/>
      <c r="R246" s="4"/>
      <c r="S246" s="4"/>
      <c r="T246" s="4"/>
      <c r="U246" s="4"/>
      <c r="V246" s="4"/>
      <c r="W246" s="4"/>
    </row>
    <row r="247" spans="1:23" x14ac:dyDescent="0.2">
      <c r="A247" s="4">
        <v>50</v>
      </c>
      <c r="B247" s="4">
        <v>0</v>
      </c>
      <c r="C247" s="4">
        <v>0</v>
      </c>
      <c r="D247" s="4">
        <v>1</v>
      </c>
      <c r="E247" s="4">
        <v>205</v>
      </c>
      <c r="F247" s="4">
        <f>ROUND(Source!S232,O247)</f>
        <v>1339.17</v>
      </c>
      <c r="G247" s="4" t="s">
        <v>132</v>
      </c>
      <c r="H247" s="4" t="s">
        <v>133</v>
      </c>
      <c r="I247" s="4"/>
      <c r="J247" s="4"/>
      <c r="K247" s="4">
        <v>-205</v>
      </c>
      <c r="L247" s="4">
        <v>14</v>
      </c>
      <c r="M247" s="4">
        <v>3</v>
      </c>
      <c r="N247" s="4" t="s">
        <v>3</v>
      </c>
      <c r="O247" s="4">
        <v>2</v>
      </c>
      <c r="P247" s="4"/>
      <c r="Q247" s="4"/>
      <c r="R247" s="4"/>
      <c r="S247" s="4"/>
      <c r="T247" s="4"/>
      <c r="U247" s="4"/>
      <c r="V247" s="4"/>
      <c r="W247" s="4"/>
    </row>
    <row r="248" spans="1:23" x14ac:dyDescent="0.2">
      <c r="A248" s="4">
        <v>50</v>
      </c>
      <c r="B248" s="4">
        <v>0</v>
      </c>
      <c r="C248" s="4">
        <v>0</v>
      </c>
      <c r="D248" s="4">
        <v>1</v>
      </c>
      <c r="E248" s="4">
        <v>232</v>
      </c>
      <c r="F248" s="4">
        <f>ROUND(Source!BC232,O248)</f>
        <v>0</v>
      </c>
      <c r="G248" s="4" t="s">
        <v>134</v>
      </c>
      <c r="H248" s="4" t="s">
        <v>135</v>
      </c>
      <c r="I248" s="4"/>
      <c r="J248" s="4"/>
      <c r="K248" s="4">
        <v>-232</v>
      </c>
      <c r="L248" s="4">
        <v>15</v>
      </c>
      <c r="M248" s="4">
        <v>3</v>
      </c>
      <c r="N248" s="4" t="s">
        <v>3</v>
      </c>
      <c r="O248" s="4">
        <v>2</v>
      </c>
      <c r="P248" s="4"/>
      <c r="Q248" s="4"/>
      <c r="R248" s="4"/>
      <c r="S248" s="4"/>
      <c r="T248" s="4"/>
      <c r="U248" s="4"/>
      <c r="V248" s="4"/>
      <c r="W248" s="4"/>
    </row>
    <row r="249" spans="1:23" x14ac:dyDescent="0.2">
      <c r="A249" s="4">
        <v>50</v>
      </c>
      <c r="B249" s="4">
        <v>0</v>
      </c>
      <c r="C249" s="4">
        <v>0</v>
      </c>
      <c r="D249" s="4">
        <v>1</v>
      </c>
      <c r="E249" s="4">
        <v>214</v>
      </c>
      <c r="F249" s="4">
        <f>ROUND(Source!AS232,O249)</f>
        <v>25670</v>
      </c>
      <c r="G249" s="4" t="s">
        <v>136</v>
      </c>
      <c r="H249" s="4" t="s">
        <v>137</v>
      </c>
      <c r="I249" s="4"/>
      <c r="J249" s="4"/>
      <c r="K249" s="4">
        <v>-214</v>
      </c>
      <c r="L249" s="4">
        <v>16</v>
      </c>
      <c r="M249" s="4">
        <v>3</v>
      </c>
      <c r="N249" s="4" t="s">
        <v>3</v>
      </c>
      <c r="O249" s="4">
        <v>2</v>
      </c>
      <c r="P249" s="4"/>
      <c r="Q249" s="4"/>
      <c r="R249" s="4"/>
      <c r="S249" s="4"/>
      <c r="T249" s="4"/>
      <c r="U249" s="4"/>
      <c r="V249" s="4"/>
      <c r="W249" s="4"/>
    </row>
    <row r="250" spans="1:23" x14ac:dyDescent="0.2">
      <c r="A250" s="4">
        <v>50</v>
      </c>
      <c r="B250" s="4">
        <v>0</v>
      </c>
      <c r="C250" s="4">
        <v>0</v>
      </c>
      <c r="D250" s="4">
        <v>1</v>
      </c>
      <c r="E250" s="4">
        <v>215</v>
      </c>
      <c r="F250" s="4">
        <f>ROUND(Source!AT232,O250)</f>
        <v>0</v>
      </c>
      <c r="G250" s="4" t="s">
        <v>138</v>
      </c>
      <c r="H250" s="4" t="s">
        <v>139</v>
      </c>
      <c r="I250" s="4"/>
      <c r="J250" s="4"/>
      <c r="K250" s="4">
        <v>-215</v>
      </c>
      <c r="L250" s="4">
        <v>17</v>
      </c>
      <c r="M250" s="4">
        <v>3</v>
      </c>
      <c r="N250" s="4" t="s">
        <v>3</v>
      </c>
      <c r="O250" s="4">
        <v>2</v>
      </c>
      <c r="P250" s="4"/>
      <c r="Q250" s="4"/>
      <c r="R250" s="4"/>
      <c r="S250" s="4"/>
      <c r="T250" s="4"/>
      <c r="U250" s="4"/>
      <c r="V250" s="4"/>
      <c r="W250" s="4"/>
    </row>
    <row r="251" spans="1:23" x14ac:dyDescent="0.2">
      <c r="A251" s="4">
        <v>50</v>
      </c>
      <c r="B251" s="4">
        <v>0</v>
      </c>
      <c r="C251" s="4">
        <v>0</v>
      </c>
      <c r="D251" s="4">
        <v>1</v>
      </c>
      <c r="E251" s="4">
        <v>217</v>
      </c>
      <c r="F251" s="4">
        <f>ROUND(Source!AU232,O251)</f>
        <v>10942.62</v>
      </c>
      <c r="G251" s="4" t="s">
        <v>140</v>
      </c>
      <c r="H251" s="4" t="s">
        <v>141</v>
      </c>
      <c r="I251" s="4"/>
      <c r="J251" s="4"/>
      <c r="K251" s="4">
        <v>-217</v>
      </c>
      <c r="L251" s="4">
        <v>18</v>
      </c>
      <c r="M251" s="4">
        <v>3</v>
      </c>
      <c r="N251" s="4" t="s">
        <v>3</v>
      </c>
      <c r="O251" s="4">
        <v>2</v>
      </c>
      <c r="P251" s="4"/>
      <c r="Q251" s="4"/>
      <c r="R251" s="4"/>
      <c r="S251" s="4"/>
      <c r="T251" s="4"/>
      <c r="U251" s="4"/>
      <c r="V251" s="4"/>
      <c r="W251" s="4"/>
    </row>
    <row r="252" spans="1:23" x14ac:dyDescent="0.2">
      <c r="A252" s="4">
        <v>50</v>
      </c>
      <c r="B252" s="4">
        <v>0</v>
      </c>
      <c r="C252" s="4">
        <v>0</v>
      </c>
      <c r="D252" s="4">
        <v>1</v>
      </c>
      <c r="E252" s="4">
        <v>230</v>
      </c>
      <c r="F252" s="4">
        <f>ROUND(Source!BA232,O252)</f>
        <v>0</v>
      </c>
      <c r="G252" s="4" t="s">
        <v>142</v>
      </c>
      <c r="H252" s="4" t="s">
        <v>143</v>
      </c>
      <c r="I252" s="4"/>
      <c r="J252" s="4"/>
      <c r="K252" s="4">
        <v>-230</v>
      </c>
      <c r="L252" s="4">
        <v>19</v>
      </c>
      <c r="M252" s="4">
        <v>3</v>
      </c>
      <c r="N252" s="4" t="s">
        <v>3</v>
      </c>
      <c r="O252" s="4">
        <v>2</v>
      </c>
      <c r="P252" s="4"/>
      <c r="Q252" s="4"/>
      <c r="R252" s="4"/>
      <c r="S252" s="4"/>
      <c r="T252" s="4"/>
      <c r="U252" s="4"/>
      <c r="V252" s="4"/>
      <c r="W252" s="4"/>
    </row>
    <row r="253" spans="1:23" x14ac:dyDescent="0.2">
      <c r="A253" s="4">
        <v>50</v>
      </c>
      <c r="B253" s="4">
        <v>0</v>
      </c>
      <c r="C253" s="4">
        <v>0</v>
      </c>
      <c r="D253" s="4">
        <v>1</v>
      </c>
      <c r="E253" s="4">
        <v>206</v>
      </c>
      <c r="F253" s="4">
        <f>ROUND(Source!T232,O253)</f>
        <v>0</v>
      </c>
      <c r="G253" s="4" t="s">
        <v>144</v>
      </c>
      <c r="H253" s="4" t="s">
        <v>145</v>
      </c>
      <c r="I253" s="4"/>
      <c r="J253" s="4"/>
      <c r="K253" s="4">
        <v>-206</v>
      </c>
      <c r="L253" s="4">
        <v>20</v>
      </c>
      <c r="M253" s="4">
        <v>3</v>
      </c>
      <c r="N253" s="4" t="s">
        <v>3</v>
      </c>
      <c r="O253" s="4">
        <v>2</v>
      </c>
      <c r="P253" s="4"/>
      <c r="Q253" s="4"/>
      <c r="R253" s="4"/>
      <c r="S253" s="4"/>
      <c r="T253" s="4"/>
      <c r="U253" s="4"/>
      <c r="V253" s="4"/>
      <c r="W253" s="4"/>
    </row>
    <row r="254" spans="1:23" x14ac:dyDescent="0.2">
      <c r="A254" s="4">
        <v>50</v>
      </c>
      <c r="B254" s="4">
        <v>0</v>
      </c>
      <c r="C254" s="4">
        <v>0</v>
      </c>
      <c r="D254" s="4">
        <v>1</v>
      </c>
      <c r="E254" s="4">
        <v>207</v>
      </c>
      <c r="F254" s="4">
        <f>Source!U232</f>
        <v>5.2254819999999995</v>
      </c>
      <c r="G254" s="4" t="s">
        <v>146</v>
      </c>
      <c r="H254" s="4" t="s">
        <v>147</v>
      </c>
      <c r="I254" s="4"/>
      <c r="J254" s="4"/>
      <c r="K254" s="4">
        <v>-207</v>
      </c>
      <c r="L254" s="4">
        <v>21</v>
      </c>
      <c r="M254" s="4">
        <v>3</v>
      </c>
      <c r="N254" s="4" t="s">
        <v>3</v>
      </c>
      <c r="O254" s="4">
        <v>-1</v>
      </c>
      <c r="P254" s="4"/>
      <c r="Q254" s="4"/>
      <c r="R254" s="4"/>
      <c r="S254" s="4"/>
      <c r="T254" s="4"/>
      <c r="U254" s="4"/>
      <c r="V254" s="4"/>
      <c r="W254" s="4"/>
    </row>
    <row r="255" spans="1:23" x14ac:dyDescent="0.2">
      <c r="A255" s="4">
        <v>50</v>
      </c>
      <c r="B255" s="4">
        <v>0</v>
      </c>
      <c r="C255" s="4">
        <v>0</v>
      </c>
      <c r="D255" s="4">
        <v>1</v>
      </c>
      <c r="E255" s="4">
        <v>208</v>
      </c>
      <c r="F255" s="4">
        <f>Source!V232</f>
        <v>0</v>
      </c>
      <c r="G255" s="4" t="s">
        <v>148</v>
      </c>
      <c r="H255" s="4" t="s">
        <v>149</v>
      </c>
      <c r="I255" s="4"/>
      <c r="J255" s="4"/>
      <c r="K255" s="4">
        <v>-208</v>
      </c>
      <c r="L255" s="4">
        <v>22</v>
      </c>
      <c r="M255" s="4">
        <v>3</v>
      </c>
      <c r="N255" s="4" t="s">
        <v>3</v>
      </c>
      <c r="O255" s="4">
        <v>-1</v>
      </c>
      <c r="P255" s="4"/>
      <c r="Q255" s="4"/>
      <c r="R255" s="4"/>
      <c r="S255" s="4"/>
      <c r="T255" s="4"/>
      <c r="U255" s="4"/>
      <c r="V255" s="4"/>
      <c r="W255" s="4"/>
    </row>
    <row r="256" spans="1:23" x14ac:dyDescent="0.2">
      <c r="A256" s="4">
        <v>50</v>
      </c>
      <c r="B256" s="4">
        <v>0</v>
      </c>
      <c r="C256" s="4">
        <v>0</v>
      </c>
      <c r="D256" s="4">
        <v>1</v>
      </c>
      <c r="E256" s="4">
        <v>209</v>
      </c>
      <c r="F256" s="4">
        <f>ROUND(Source!W232,O256)</f>
        <v>0</v>
      </c>
      <c r="G256" s="4" t="s">
        <v>150</v>
      </c>
      <c r="H256" s="4" t="s">
        <v>151</v>
      </c>
      <c r="I256" s="4"/>
      <c r="J256" s="4"/>
      <c r="K256" s="4">
        <v>-209</v>
      </c>
      <c r="L256" s="4">
        <v>23</v>
      </c>
      <c r="M256" s="4">
        <v>3</v>
      </c>
      <c r="N256" s="4" t="s">
        <v>3</v>
      </c>
      <c r="O256" s="4">
        <v>2</v>
      </c>
      <c r="P256" s="4"/>
      <c r="Q256" s="4"/>
      <c r="R256" s="4"/>
      <c r="S256" s="4"/>
      <c r="T256" s="4"/>
      <c r="U256" s="4"/>
      <c r="V256" s="4"/>
      <c r="W256" s="4"/>
    </row>
    <row r="257" spans="1:245" x14ac:dyDescent="0.2">
      <c r="A257" s="4">
        <v>50</v>
      </c>
      <c r="B257" s="4">
        <v>0</v>
      </c>
      <c r="C257" s="4">
        <v>0</v>
      </c>
      <c r="D257" s="4">
        <v>1</v>
      </c>
      <c r="E257" s="4">
        <v>233</v>
      </c>
      <c r="F257" s="4">
        <f>ROUND(Source!BD232,O257)</f>
        <v>0</v>
      </c>
      <c r="G257" s="4" t="s">
        <v>152</v>
      </c>
      <c r="H257" s="4" t="s">
        <v>153</v>
      </c>
      <c r="I257" s="4"/>
      <c r="J257" s="4"/>
      <c r="K257" s="4">
        <v>-233</v>
      </c>
      <c r="L257" s="4">
        <v>24</v>
      </c>
      <c r="M257" s="4">
        <v>3</v>
      </c>
      <c r="N257" s="4" t="s">
        <v>3</v>
      </c>
      <c r="O257" s="4">
        <v>2</v>
      </c>
      <c r="P257" s="4"/>
      <c r="Q257" s="4"/>
      <c r="R257" s="4"/>
      <c r="S257" s="4"/>
      <c r="T257" s="4"/>
      <c r="U257" s="4"/>
      <c r="V257" s="4"/>
      <c r="W257" s="4"/>
    </row>
    <row r="258" spans="1:245" x14ac:dyDescent="0.2">
      <c r="A258" s="4">
        <v>50</v>
      </c>
      <c r="B258" s="4">
        <v>0</v>
      </c>
      <c r="C258" s="4">
        <v>0</v>
      </c>
      <c r="D258" s="4">
        <v>1</v>
      </c>
      <c r="E258" s="4">
        <v>210</v>
      </c>
      <c r="F258" s="4">
        <f>ROUND(Source!X232,O258)</f>
        <v>937.42</v>
      </c>
      <c r="G258" s="4" t="s">
        <v>154</v>
      </c>
      <c r="H258" s="4" t="s">
        <v>155</v>
      </c>
      <c r="I258" s="4"/>
      <c r="J258" s="4"/>
      <c r="K258" s="4">
        <v>-210</v>
      </c>
      <c r="L258" s="4">
        <v>25</v>
      </c>
      <c r="M258" s="4">
        <v>3</v>
      </c>
      <c r="N258" s="4" t="s">
        <v>3</v>
      </c>
      <c r="O258" s="4">
        <v>2</v>
      </c>
      <c r="P258" s="4"/>
      <c r="Q258" s="4"/>
      <c r="R258" s="4"/>
      <c r="S258" s="4"/>
      <c r="T258" s="4"/>
      <c r="U258" s="4"/>
      <c r="V258" s="4"/>
      <c r="W258" s="4"/>
    </row>
    <row r="259" spans="1:245" x14ac:dyDescent="0.2">
      <c r="A259" s="4">
        <v>50</v>
      </c>
      <c r="B259" s="4">
        <v>0</v>
      </c>
      <c r="C259" s="4">
        <v>0</v>
      </c>
      <c r="D259" s="4">
        <v>1</v>
      </c>
      <c r="E259" s="4">
        <v>211</v>
      </c>
      <c r="F259" s="4">
        <f>ROUND(Source!Y232,O259)</f>
        <v>133.91999999999999</v>
      </c>
      <c r="G259" s="4" t="s">
        <v>156</v>
      </c>
      <c r="H259" s="4" t="s">
        <v>157</v>
      </c>
      <c r="I259" s="4"/>
      <c r="J259" s="4"/>
      <c r="K259" s="4">
        <v>-211</v>
      </c>
      <c r="L259" s="4">
        <v>26</v>
      </c>
      <c r="M259" s="4">
        <v>3</v>
      </c>
      <c r="N259" s="4" t="s">
        <v>3</v>
      </c>
      <c r="O259" s="4">
        <v>2</v>
      </c>
      <c r="P259" s="4"/>
      <c r="Q259" s="4"/>
      <c r="R259" s="4"/>
      <c r="S259" s="4"/>
      <c r="T259" s="4"/>
      <c r="U259" s="4"/>
      <c r="V259" s="4"/>
      <c r="W259" s="4"/>
    </row>
    <row r="260" spans="1:245" x14ac:dyDescent="0.2">
      <c r="A260" s="4">
        <v>50</v>
      </c>
      <c r="B260" s="4">
        <v>0</v>
      </c>
      <c r="C260" s="4">
        <v>0</v>
      </c>
      <c r="D260" s="4">
        <v>1</v>
      </c>
      <c r="E260" s="4">
        <v>224</v>
      </c>
      <c r="F260" s="4">
        <f>ROUND(Source!AR232,O260)</f>
        <v>36612.620000000003</v>
      </c>
      <c r="G260" s="4" t="s">
        <v>158</v>
      </c>
      <c r="H260" s="4" t="s">
        <v>159</v>
      </c>
      <c r="I260" s="4"/>
      <c r="J260" s="4"/>
      <c r="K260" s="4">
        <v>-224</v>
      </c>
      <c r="L260" s="4">
        <v>27</v>
      </c>
      <c r="M260" s="4">
        <v>3</v>
      </c>
      <c r="N260" s="4" t="s">
        <v>3</v>
      </c>
      <c r="O260" s="4">
        <v>2</v>
      </c>
      <c r="P260" s="4"/>
      <c r="Q260" s="4"/>
      <c r="R260" s="4"/>
      <c r="S260" s="4"/>
      <c r="T260" s="4"/>
      <c r="U260" s="4"/>
      <c r="V260" s="4"/>
      <c r="W260" s="4"/>
    </row>
    <row r="261" spans="1:245" x14ac:dyDescent="0.2">
      <c r="A261" s="4">
        <v>50</v>
      </c>
      <c r="B261" s="4">
        <v>1</v>
      </c>
      <c r="C261" s="4">
        <v>0</v>
      </c>
      <c r="D261" s="4">
        <v>2</v>
      </c>
      <c r="E261" s="4">
        <v>0</v>
      </c>
      <c r="F261" s="4">
        <f>ROUND(F260,O261)</f>
        <v>36612.620000000003</v>
      </c>
      <c r="G261" s="4" t="s">
        <v>27</v>
      </c>
      <c r="H261" s="4" t="s">
        <v>160</v>
      </c>
      <c r="I261" s="4"/>
      <c r="J261" s="4"/>
      <c r="K261" s="4">
        <v>212</v>
      </c>
      <c r="L261" s="4">
        <v>28</v>
      </c>
      <c r="M261" s="4">
        <v>0</v>
      </c>
      <c r="N261" s="4" t="s">
        <v>3</v>
      </c>
      <c r="O261" s="4">
        <v>2</v>
      </c>
      <c r="P261" s="4"/>
      <c r="Q261" s="4"/>
      <c r="R261" s="4"/>
      <c r="S261" s="4"/>
      <c r="T261" s="4"/>
      <c r="U261" s="4"/>
      <c r="V261" s="4"/>
      <c r="W261" s="4"/>
    </row>
    <row r="262" spans="1:245" x14ac:dyDescent="0.2">
      <c r="A262" s="4">
        <v>50</v>
      </c>
      <c r="B262" s="4">
        <v>1</v>
      </c>
      <c r="C262" s="4">
        <v>0</v>
      </c>
      <c r="D262" s="4">
        <v>2</v>
      </c>
      <c r="E262" s="4">
        <v>0</v>
      </c>
      <c r="F262" s="4">
        <f>ROUND(F261*0.2,O262)</f>
        <v>7322.52</v>
      </c>
      <c r="G262" s="4" t="s">
        <v>35</v>
      </c>
      <c r="H262" s="4" t="s">
        <v>161</v>
      </c>
      <c r="I262" s="4"/>
      <c r="J262" s="4"/>
      <c r="K262" s="4">
        <v>212</v>
      </c>
      <c r="L262" s="4">
        <v>29</v>
      </c>
      <c r="M262" s="4">
        <v>0</v>
      </c>
      <c r="N262" s="4" t="s">
        <v>3</v>
      </c>
      <c r="O262" s="4">
        <v>2</v>
      </c>
      <c r="P262" s="4"/>
      <c r="Q262" s="4"/>
      <c r="R262" s="4"/>
      <c r="S262" s="4"/>
      <c r="T262" s="4"/>
      <c r="U262" s="4"/>
      <c r="V262" s="4"/>
      <c r="W262" s="4"/>
    </row>
    <row r="263" spans="1:245" x14ac:dyDescent="0.2">
      <c r="A263" s="4">
        <v>50</v>
      </c>
      <c r="B263" s="4">
        <v>1</v>
      </c>
      <c r="C263" s="4">
        <v>0</v>
      </c>
      <c r="D263" s="4">
        <v>2</v>
      </c>
      <c r="E263" s="4">
        <v>213</v>
      </c>
      <c r="F263" s="4">
        <f>ROUND(F261+F262,O263)</f>
        <v>43935.14</v>
      </c>
      <c r="G263" s="4" t="s">
        <v>39</v>
      </c>
      <c r="H263" s="4" t="s">
        <v>162</v>
      </c>
      <c r="I263" s="4"/>
      <c r="J263" s="4"/>
      <c r="K263" s="4">
        <v>212</v>
      </c>
      <c r="L263" s="4">
        <v>30</v>
      </c>
      <c r="M263" s="4">
        <v>0</v>
      </c>
      <c r="N263" s="4" t="s">
        <v>3</v>
      </c>
      <c r="O263" s="4">
        <v>2</v>
      </c>
      <c r="P263" s="4"/>
      <c r="Q263" s="4"/>
      <c r="R263" s="4"/>
      <c r="S263" s="4"/>
      <c r="T263" s="4"/>
      <c r="U263" s="4"/>
      <c r="V263" s="4"/>
      <c r="W263" s="4"/>
    </row>
    <row r="265" spans="1:245" x14ac:dyDescent="0.2">
      <c r="A265" s="1">
        <v>4</v>
      </c>
      <c r="B265" s="1">
        <v>1</v>
      </c>
      <c r="C265" s="1"/>
      <c r="D265" s="1">
        <f>ROW(A274)</f>
        <v>274</v>
      </c>
      <c r="E265" s="1"/>
      <c r="F265" s="1" t="s">
        <v>265</v>
      </c>
      <c r="G265" s="1" t="s">
        <v>266</v>
      </c>
      <c r="H265" s="1" t="s">
        <v>3</v>
      </c>
      <c r="I265" s="1">
        <v>0</v>
      </c>
      <c r="J265" s="1"/>
      <c r="K265" s="1">
        <v>-1</v>
      </c>
      <c r="L265" s="1"/>
      <c r="M265" s="1" t="s">
        <v>3</v>
      </c>
      <c r="N265" s="1"/>
      <c r="O265" s="1"/>
      <c r="P265" s="1"/>
      <c r="Q265" s="1"/>
      <c r="R265" s="1"/>
      <c r="S265" s="1">
        <v>0</v>
      </c>
      <c r="T265" s="1"/>
      <c r="U265" s="1" t="s">
        <v>3</v>
      </c>
      <c r="V265" s="1">
        <v>0</v>
      </c>
      <c r="W265" s="1"/>
      <c r="X265" s="1"/>
      <c r="Y265" s="1"/>
      <c r="Z265" s="1"/>
      <c r="AA265" s="1"/>
      <c r="AB265" s="1" t="s">
        <v>3</v>
      </c>
      <c r="AC265" s="1" t="s">
        <v>3</v>
      </c>
      <c r="AD265" s="1" t="s">
        <v>3</v>
      </c>
      <c r="AE265" s="1" t="s">
        <v>3</v>
      </c>
      <c r="AF265" s="1" t="s">
        <v>3</v>
      </c>
      <c r="AG265" s="1" t="s">
        <v>3</v>
      </c>
      <c r="AH265" s="1"/>
      <c r="AI265" s="1"/>
      <c r="AJ265" s="1"/>
      <c r="AK265" s="1"/>
      <c r="AL265" s="1"/>
      <c r="AM265" s="1"/>
      <c r="AN265" s="1"/>
      <c r="AO265" s="1"/>
      <c r="AP265" s="1" t="s">
        <v>3</v>
      </c>
      <c r="AQ265" s="1" t="s">
        <v>3</v>
      </c>
      <c r="AR265" s="1" t="s">
        <v>3</v>
      </c>
      <c r="AS265" s="1"/>
      <c r="AT265" s="1"/>
      <c r="AU265" s="1"/>
      <c r="AV265" s="1"/>
      <c r="AW265" s="1"/>
      <c r="AX265" s="1"/>
      <c r="AY265" s="1"/>
      <c r="AZ265" s="1" t="s">
        <v>3</v>
      </c>
      <c r="BA265" s="1"/>
      <c r="BB265" s="1" t="s">
        <v>3</v>
      </c>
      <c r="BC265" s="1" t="s">
        <v>3</v>
      </c>
      <c r="BD265" s="1" t="s">
        <v>3</v>
      </c>
      <c r="BE265" s="1" t="s">
        <v>3</v>
      </c>
      <c r="BF265" s="1" t="s">
        <v>3</v>
      </c>
      <c r="BG265" s="1" t="s">
        <v>3</v>
      </c>
      <c r="BH265" s="1" t="s">
        <v>3</v>
      </c>
      <c r="BI265" s="1" t="s">
        <v>3</v>
      </c>
      <c r="BJ265" s="1" t="s">
        <v>3</v>
      </c>
      <c r="BK265" s="1" t="s">
        <v>3</v>
      </c>
      <c r="BL265" s="1" t="s">
        <v>3</v>
      </c>
      <c r="BM265" s="1" t="s">
        <v>3</v>
      </c>
      <c r="BN265" s="1" t="s">
        <v>3</v>
      </c>
      <c r="BO265" s="1" t="s">
        <v>3</v>
      </c>
      <c r="BP265" s="1" t="s">
        <v>3</v>
      </c>
      <c r="BQ265" s="1"/>
      <c r="BR265" s="1"/>
      <c r="BS265" s="1"/>
      <c r="BT265" s="1"/>
      <c r="BU265" s="1"/>
      <c r="BV265" s="1"/>
      <c r="BW265" s="1"/>
      <c r="BX265" s="1">
        <v>0</v>
      </c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>
        <v>0</v>
      </c>
    </row>
    <row r="267" spans="1:245" x14ac:dyDescent="0.2">
      <c r="A267" s="2">
        <v>52</v>
      </c>
      <c r="B267" s="2">
        <f t="shared" ref="B267:G267" si="216">B274</f>
        <v>1</v>
      </c>
      <c r="C267" s="2">
        <f t="shared" si="216"/>
        <v>4</v>
      </c>
      <c r="D267" s="2">
        <f t="shared" si="216"/>
        <v>265</v>
      </c>
      <c r="E267" s="2">
        <f t="shared" si="216"/>
        <v>0</v>
      </c>
      <c r="F267" s="2" t="str">
        <f t="shared" si="216"/>
        <v>урны 2</v>
      </c>
      <c r="G267" s="2" t="str">
        <f t="shared" si="216"/>
        <v>Установка урн 2 шт.</v>
      </c>
      <c r="H267" s="2"/>
      <c r="I267" s="2"/>
      <c r="J267" s="2"/>
      <c r="K267" s="2"/>
      <c r="L267" s="2"/>
      <c r="M267" s="2"/>
      <c r="N267" s="2"/>
      <c r="O267" s="2">
        <f t="shared" ref="O267:AT267" si="217">O274</f>
        <v>10671.53</v>
      </c>
      <c r="P267" s="2">
        <f t="shared" si="217"/>
        <v>10171.129999999999</v>
      </c>
      <c r="Q267" s="2">
        <f t="shared" si="217"/>
        <v>27.79</v>
      </c>
      <c r="R267" s="2">
        <f t="shared" si="217"/>
        <v>0.02</v>
      </c>
      <c r="S267" s="2">
        <f t="shared" si="217"/>
        <v>472.61</v>
      </c>
      <c r="T267" s="2">
        <f t="shared" si="217"/>
        <v>0</v>
      </c>
      <c r="U267" s="2">
        <f t="shared" si="217"/>
        <v>1.8580420000000002</v>
      </c>
      <c r="V267" s="2">
        <f t="shared" si="217"/>
        <v>0</v>
      </c>
      <c r="W267" s="2">
        <f t="shared" si="217"/>
        <v>0</v>
      </c>
      <c r="X267" s="2">
        <f t="shared" si="217"/>
        <v>330.83</v>
      </c>
      <c r="Y267" s="2">
        <f t="shared" si="217"/>
        <v>47.26</v>
      </c>
      <c r="Z267" s="2">
        <f t="shared" si="217"/>
        <v>0</v>
      </c>
      <c r="AA267" s="2">
        <f t="shared" si="217"/>
        <v>0</v>
      </c>
      <c r="AB267" s="2">
        <f t="shared" si="217"/>
        <v>10671.53</v>
      </c>
      <c r="AC267" s="2">
        <f t="shared" si="217"/>
        <v>10171.129999999999</v>
      </c>
      <c r="AD267" s="2">
        <f t="shared" si="217"/>
        <v>27.79</v>
      </c>
      <c r="AE267" s="2">
        <f t="shared" si="217"/>
        <v>0.02</v>
      </c>
      <c r="AF267" s="2">
        <f t="shared" si="217"/>
        <v>472.61</v>
      </c>
      <c r="AG267" s="2">
        <f t="shared" si="217"/>
        <v>0</v>
      </c>
      <c r="AH267" s="2">
        <f t="shared" si="217"/>
        <v>1.8580420000000002</v>
      </c>
      <c r="AI267" s="2">
        <f t="shared" si="217"/>
        <v>0</v>
      </c>
      <c r="AJ267" s="2">
        <f t="shared" si="217"/>
        <v>0</v>
      </c>
      <c r="AK267" s="2">
        <f t="shared" si="217"/>
        <v>330.83</v>
      </c>
      <c r="AL267" s="2">
        <f t="shared" si="217"/>
        <v>47.26</v>
      </c>
      <c r="AM267" s="2">
        <f t="shared" si="217"/>
        <v>0</v>
      </c>
      <c r="AN267" s="2">
        <f t="shared" si="217"/>
        <v>0</v>
      </c>
      <c r="AO267" s="2">
        <f t="shared" si="217"/>
        <v>0</v>
      </c>
      <c r="AP267" s="2">
        <f t="shared" si="217"/>
        <v>0</v>
      </c>
      <c r="AQ267" s="2">
        <f t="shared" si="217"/>
        <v>0</v>
      </c>
      <c r="AR267" s="2">
        <f t="shared" si="217"/>
        <v>11049.64</v>
      </c>
      <c r="AS267" s="2">
        <f t="shared" si="217"/>
        <v>7140</v>
      </c>
      <c r="AT267" s="2">
        <f t="shared" si="217"/>
        <v>0</v>
      </c>
      <c r="AU267" s="2">
        <f t="shared" ref="AU267:BZ267" si="218">AU274</f>
        <v>3909.64</v>
      </c>
      <c r="AV267" s="2">
        <f t="shared" si="218"/>
        <v>10171.129999999999</v>
      </c>
      <c r="AW267" s="2">
        <f t="shared" si="218"/>
        <v>10171.129999999999</v>
      </c>
      <c r="AX267" s="2">
        <f t="shared" si="218"/>
        <v>0</v>
      </c>
      <c r="AY267" s="2">
        <f t="shared" si="218"/>
        <v>10171.129999999999</v>
      </c>
      <c r="AZ267" s="2">
        <f t="shared" si="218"/>
        <v>0</v>
      </c>
      <c r="BA267" s="2">
        <f t="shared" si="218"/>
        <v>0</v>
      </c>
      <c r="BB267" s="2">
        <f t="shared" si="218"/>
        <v>0</v>
      </c>
      <c r="BC267" s="2">
        <f t="shared" si="218"/>
        <v>0</v>
      </c>
      <c r="BD267" s="2">
        <f t="shared" si="218"/>
        <v>0</v>
      </c>
      <c r="BE267" s="2">
        <f t="shared" si="218"/>
        <v>0</v>
      </c>
      <c r="BF267" s="2">
        <f t="shared" si="218"/>
        <v>0</v>
      </c>
      <c r="BG267" s="2">
        <f t="shared" si="218"/>
        <v>0</v>
      </c>
      <c r="BH267" s="2">
        <f t="shared" si="218"/>
        <v>0</v>
      </c>
      <c r="BI267" s="2">
        <f t="shared" si="218"/>
        <v>0</v>
      </c>
      <c r="BJ267" s="2">
        <f t="shared" si="218"/>
        <v>0</v>
      </c>
      <c r="BK267" s="2">
        <f t="shared" si="218"/>
        <v>0</v>
      </c>
      <c r="BL267" s="2">
        <f t="shared" si="218"/>
        <v>0</v>
      </c>
      <c r="BM267" s="2">
        <f t="shared" si="218"/>
        <v>0</v>
      </c>
      <c r="BN267" s="2">
        <f t="shared" si="218"/>
        <v>0</v>
      </c>
      <c r="BO267" s="2">
        <f t="shared" si="218"/>
        <v>0</v>
      </c>
      <c r="BP267" s="2">
        <f t="shared" si="218"/>
        <v>0</v>
      </c>
      <c r="BQ267" s="2">
        <f t="shared" si="218"/>
        <v>0</v>
      </c>
      <c r="BR267" s="2">
        <f t="shared" si="218"/>
        <v>0</v>
      </c>
      <c r="BS267" s="2">
        <f t="shared" si="218"/>
        <v>0</v>
      </c>
      <c r="BT267" s="2">
        <f t="shared" si="218"/>
        <v>0</v>
      </c>
      <c r="BU267" s="2">
        <f t="shared" si="218"/>
        <v>0</v>
      </c>
      <c r="BV267" s="2">
        <f t="shared" si="218"/>
        <v>0</v>
      </c>
      <c r="BW267" s="2">
        <f t="shared" si="218"/>
        <v>0</v>
      </c>
      <c r="BX267" s="2">
        <f t="shared" si="218"/>
        <v>0</v>
      </c>
      <c r="BY267" s="2">
        <f t="shared" si="218"/>
        <v>0</v>
      </c>
      <c r="BZ267" s="2">
        <f t="shared" si="218"/>
        <v>0</v>
      </c>
      <c r="CA267" s="2">
        <f t="shared" ref="CA267:DF267" si="219">CA274</f>
        <v>11049.64</v>
      </c>
      <c r="CB267" s="2">
        <f t="shared" si="219"/>
        <v>7140</v>
      </c>
      <c r="CC267" s="2">
        <f t="shared" si="219"/>
        <v>0</v>
      </c>
      <c r="CD267" s="2">
        <f t="shared" si="219"/>
        <v>3909.64</v>
      </c>
      <c r="CE267" s="2">
        <f t="shared" si="219"/>
        <v>10171.129999999999</v>
      </c>
      <c r="CF267" s="2">
        <f t="shared" si="219"/>
        <v>10171.129999999999</v>
      </c>
      <c r="CG267" s="2">
        <f t="shared" si="219"/>
        <v>0</v>
      </c>
      <c r="CH267" s="2">
        <f t="shared" si="219"/>
        <v>10171.129999999999</v>
      </c>
      <c r="CI267" s="2">
        <f t="shared" si="219"/>
        <v>0</v>
      </c>
      <c r="CJ267" s="2">
        <f t="shared" si="219"/>
        <v>0</v>
      </c>
      <c r="CK267" s="2">
        <f t="shared" si="219"/>
        <v>0</v>
      </c>
      <c r="CL267" s="2">
        <f t="shared" si="219"/>
        <v>0</v>
      </c>
      <c r="CM267" s="2">
        <f t="shared" si="219"/>
        <v>0</v>
      </c>
      <c r="CN267" s="2">
        <f t="shared" si="219"/>
        <v>0</v>
      </c>
      <c r="CO267" s="2">
        <f t="shared" si="219"/>
        <v>0</v>
      </c>
      <c r="CP267" s="2">
        <f t="shared" si="219"/>
        <v>0</v>
      </c>
      <c r="CQ267" s="2">
        <f t="shared" si="219"/>
        <v>0</v>
      </c>
      <c r="CR267" s="2">
        <f t="shared" si="219"/>
        <v>0</v>
      </c>
      <c r="CS267" s="2">
        <f t="shared" si="219"/>
        <v>0</v>
      </c>
      <c r="CT267" s="2">
        <f t="shared" si="219"/>
        <v>0</v>
      </c>
      <c r="CU267" s="2">
        <f t="shared" si="219"/>
        <v>0</v>
      </c>
      <c r="CV267" s="2">
        <f t="shared" si="219"/>
        <v>0</v>
      </c>
      <c r="CW267" s="2">
        <f t="shared" si="219"/>
        <v>0</v>
      </c>
      <c r="CX267" s="2">
        <f t="shared" si="219"/>
        <v>0</v>
      </c>
      <c r="CY267" s="2">
        <f t="shared" si="219"/>
        <v>0</v>
      </c>
      <c r="CZ267" s="2">
        <f t="shared" si="219"/>
        <v>0</v>
      </c>
      <c r="DA267" s="2">
        <f t="shared" si="219"/>
        <v>0</v>
      </c>
      <c r="DB267" s="2">
        <f t="shared" si="219"/>
        <v>0</v>
      </c>
      <c r="DC267" s="2">
        <f t="shared" si="219"/>
        <v>0</v>
      </c>
      <c r="DD267" s="2">
        <f t="shared" si="219"/>
        <v>0</v>
      </c>
      <c r="DE267" s="2">
        <f t="shared" si="219"/>
        <v>0</v>
      </c>
      <c r="DF267" s="2">
        <f t="shared" si="219"/>
        <v>0</v>
      </c>
      <c r="DG267" s="3">
        <f t="shared" ref="DG267:EL267" si="220">DG274</f>
        <v>0</v>
      </c>
      <c r="DH267" s="3">
        <f t="shared" si="220"/>
        <v>0</v>
      </c>
      <c r="DI267" s="3">
        <f t="shared" si="220"/>
        <v>0</v>
      </c>
      <c r="DJ267" s="3">
        <f t="shared" si="220"/>
        <v>0</v>
      </c>
      <c r="DK267" s="3">
        <f t="shared" si="220"/>
        <v>0</v>
      </c>
      <c r="DL267" s="3">
        <f t="shared" si="220"/>
        <v>0</v>
      </c>
      <c r="DM267" s="3">
        <f t="shared" si="220"/>
        <v>0</v>
      </c>
      <c r="DN267" s="3">
        <f t="shared" si="220"/>
        <v>0</v>
      </c>
      <c r="DO267" s="3">
        <f t="shared" si="220"/>
        <v>0</v>
      </c>
      <c r="DP267" s="3">
        <f t="shared" si="220"/>
        <v>0</v>
      </c>
      <c r="DQ267" s="3">
        <f t="shared" si="220"/>
        <v>0</v>
      </c>
      <c r="DR267" s="3">
        <f t="shared" si="220"/>
        <v>0</v>
      </c>
      <c r="DS267" s="3">
        <f t="shared" si="220"/>
        <v>0</v>
      </c>
      <c r="DT267" s="3">
        <f t="shared" si="220"/>
        <v>0</v>
      </c>
      <c r="DU267" s="3">
        <f t="shared" si="220"/>
        <v>0</v>
      </c>
      <c r="DV267" s="3">
        <f t="shared" si="220"/>
        <v>0</v>
      </c>
      <c r="DW267" s="3">
        <f t="shared" si="220"/>
        <v>0</v>
      </c>
      <c r="DX267" s="3">
        <f t="shared" si="220"/>
        <v>0</v>
      </c>
      <c r="DY267" s="3">
        <f t="shared" si="220"/>
        <v>0</v>
      </c>
      <c r="DZ267" s="3">
        <f t="shared" si="220"/>
        <v>0</v>
      </c>
      <c r="EA267" s="3">
        <f t="shared" si="220"/>
        <v>0</v>
      </c>
      <c r="EB267" s="3">
        <f t="shared" si="220"/>
        <v>0</v>
      </c>
      <c r="EC267" s="3">
        <f t="shared" si="220"/>
        <v>0</v>
      </c>
      <c r="ED267" s="3">
        <f t="shared" si="220"/>
        <v>0</v>
      </c>
      <c r="EE267" s="3">
        <f t="shared" si="220"/>
        <v>0</v>
      </c>
      <c r="EF267" s="3">
        <f t="shared" si="220"/>
        <v>0</v>
      </c>
      <c r="EG267" s="3">
        <f t="shared" si="220"/>
        <v>0</v>
      </c>
      <c r="EH267" s="3">
        <f t="shared" si="220"/>
        <v>0</v>
      </c>
      <c r="EI267" s="3">
        <f t="shared" si="220"/>
        <v>0</v>
      </c>
      <c r="EJ267" s="3">
        <f t="shared" si="220"/>
        <v>0</v>
      </c>
      <c r="EK267" s="3">
        <f t="shared" si="220"/>
        <v>0</v>
      </c>
      <c r="EL267" s="3">
        <f t="shared" si="220"/>
        <v>0</v>
      </c>
      <c r="EM267" s="3">
        <f t="shared" ref="EM267:FR267" si="221">EM274</f>
        <v>0</v>
      </c>
      <c r="EN267" s="3">
        <f t="shared" si="221"/>
        <v>0</v>
      </c>
      <c r="EO267" s="3">
        <f t="shared" si="221"/>
        <v>0</v>
      </c>
      <c r="EP267" s="3">
        <f t="shared" si="221"/>
        <v>0</v>
      </c>
      <c r="EQ267" s="3">
        <f t="shared" si="221"/>
        <v>0</v>
      </c>
      <c r="ER267" s="3">
        <f t="shared" si="221"/>
        <v>0</v>
      </c>
      <c r="ES267" s="3">
        <f t="shared" si="221"/>
        <v>0</v>
      </c>
      <c r="ET267" s="3">
        <f t="shared" si="221"/>
        <v>0</v>
      </c>
      <c r="EU267" s="3">
        <f t="shared" si="221"/>
        <v>0</v>
      </c>
      <c r="EV267" s="3">
        <f t="shared" si="221"/>
        <v>0</v>
      </c>
      <c r="EW267" s="3">
        <f t="shared" si="221"/>
        <v>0</v>
      </c>
      <c r="EX267" s="3">
        <f t="shared" si="221"/>
        <v>0</v>
      </c>
      <c r="EY267" s="3">
        <f t="shared" si="221"/>
        <v>0</v>
      </c>
      <c r="EZ267" s="3">
        <f t="shared" si="221"/>
        <v>0</v>
      </c>
      <c r="FA267" s="3">
        <f t="shared" si="221"/>
        <v>0</v>
      </c>
      <c r="FB267" s="3">
        <f t="shared" si="221"/>
        <v>0</v>
      </c>
      <c r="FC267" s="3">
        <f t="shared" si="221"/>
        <v>0</v>
      </c>
      <c r="FD267" s="3">
        <f t="shared" si="221"/>
        <v>0</v>
      </c>
      <c r="FE267" s="3">
        <f t="shared" si="221"/>
        <v>0</v>
      </c>
      <c r="FF267" s="3">
        <f t="shared" si="221"/>
        <v>0</v>
      </c>
      <c r="FG267" s="3">
        <f t="shared" si="221"/>
        <v>0</v>
      </c>
      <c r="FH267" s="3">
        <f t="shared" si="221"/>
        <v>0</v>
      </c>
      <c r="FI267" s="3">
        <f t="shared" si="221"/>
        <v>0</v>
      </c>
      <c r="FJ267" s="3">
        <f t="shared" si="221"/>
        <v>0</v>
      </c>
      <c r="FK267" s="3">
        <f t="shared" si="221"/>
        <v>0</v>
      </c>
      <c r="FL267" s="3">
        <f t="shared" si="221"/>
        <v>0</v>
      </c>
      <c r="FM267" s="3">
        <f t="shared" si="221"/>
        <v>0</v>
      </c>
      <c r="FN267" s="3">
        <f t="shared" si="221"/>
        <v>0</v>
      </c>
      <c r="FO267" s="3">
        <f t="shared" si="221"/>
        <v>0</v>
      </c>
      <c r="FP267" s="3">
        <f t="shared" si="221"/>
        <v>0</v>
      </c>
      <c r="FQ267" s="3">
        <f t="shared" si="221"/>
        <v>0</v>
      </c>
      <c r="FR267" s="3">
        <f t="shared" si="221"/>
        <v>0</v>
      </c>
      <c r="FS267" s="3">
        <f t="shared" ref="FS267:GX267" si="222">FS274</f>
        <v>0</v>
      </c>
      <c r="FT267" s="3">
        <f t="shared" si="222"/>
        <v>0</v>
      </c>
      <c r="FU267" s="3">
        <f t="shared" si="222"/>
        <v>0</v>
      </c>
      <c r="FV267" s="3">
        <f t="shared" si="222"/>
        <v>0</v>
      </c>
      <c r="FW267" s="3">
        <f t="shared" si="222"/>
        <v>0</v>
      </c>
      <c r="FX267" s="3">
        <f t="shared" si="222"/>
        <v>0</v>
      </c>
      <c r="FY267" s="3">
        <f t="shared" si="222"/>
        <v>0</v>
      </c>
      <c r="FZ267" s="3">
        <f t="shared" si="222"/>
        <v>0</v>
      </c>
      <c r="GA267" s="3">
        <f t="shared" si="222"/>
        <v>0</v>
      </c>
      <c r="GB267" s="3">
        <f t="shared" si="222"/>
        <v>0</v>
      </c>
      <c r="GC267" s="3">
        <f t="shared" si="222"/>
        <v>0</v>
      </c>
      <c r="GD267" s="3">
        <f t="shared" si="222"/>
        <v>0</v>
      </c>
      <c r="GE267" s="3">
        <f t="shared" si="222"/>
        <v>0</v>
      </c>
      <c r="GF267" s="3">
        <f t="shared" si="222"/>
        <v>0</v>
      </c>
      <c r="GG267" s="3">
        <f t="shared" si="222"/>
        <v>0</v>
      </c>
      <c r="GH267" s="3">
        <f t="shared" si="222"/>
        <v>0</v>
      </c>
      <c r="GI267" s="3">
        <f t="shared" si="222"/>
        <v>0</v>
      </c>
      <c r="GJ267" s="3">
        <f t="shared" si="222"/>
        <v>0</v>
      </c>
      <c r="GK267" s="3">
        <f t="shared" si="222"/>
        <v>0</v>
      </c>
      <c r="GL267" s="3">
        <f t="shared" si="222"/>
        <v>0</v>
      </c>
      <c r="GM267" s="3">
        <f t="shared" si="222"/>
        <v>0</v>
      </c>
      <c r="GN267" s="3">
        <f t="shared" si="222"/>
        <v>0</v>
      </c>
      <c r="GO267" s="3">
        <f t="shared" si="222"/>
        <v>0</v>
      </c>
      <c r="GP267" s="3">
        <f t="shared" si="222"/>
        <v>0</v>
      </c>
      <c r="GQ267" s="3">
        <f t="shared" si="222"/>
        <v>0</v>
      </c>
      <c r="GR267" s="3">
        <f t="shared" si="222"/>
        <v>0</v>
      </c>
      <c r="GS267" s="3">
        <f t="shared" si="222"/>
        <v>0</v>
      </c>
      <c r="GT267" s="3">
        <f t="shared" si="222"/>
        <v>0</v>
      </c>
      <c r="GU267" s="3">
        <f t="shared" si="222"/>
        <v>0</v>
      </c>
      <c r="GV267" s="3">
        <f t="shared" si="222"/>
        <v>0</v>
      </c>
      <c r="GW267" s="3">
        <f t="shared" si="222"/>
        <v>0</v>
      </c>
      <c r="GX267" s="3">
        <f t="shared" si="222"/>
        <v>0</v>
      </c>
    </row>
    <row r="269" spans="1:245" x14ac:dyDescent="0.2">
      <c r="A269">
        <v>17</v>
      </c>
      <c r="B269">
        <v>1</v>
      </c>
      <c r="C269">
        <f>ROW(SmtRes!A143)</f>
        <v>143</v>
      </c>
      <c r="D269">
        <f>ROW(EtalonRes!A136)</f>
        <v>136</v>
      </c>
      <c r="E269" t="s">
        <v>267</v>
      </c>
      <c r="F269" t="s">
        <v>252</v>
      </c>
      <c r="G269" t="s">
        <v>253</v>
      </c>
      <c r="H269" t="s">
        <v>254</v>
      </c>
      <c r="I269">
        <f>ROUND(4/100,4)</f>
        <v>0.04</v>
      </c>
      <c r="J269">
        <v>0</v>
      </c>
      <c r="O269">
        <f>ROUND(CP269,2)</f>
        <v>904.32</v>
      </c>
      <c r="P269">
        <f>ROUND(CQ269*I269,2)</f>
        <v>814.16</v>
      </c>
      <c r="Q269">
        <f>ROUND(CR269*I269,2)</f>
        <v>1.21</v>
      </c>
      <c r="R269">
        <f>ROUND(CS269*I269,2)</f>
        <v>0</v>
      </c>
      <c r="S269">
        <f>ROUND(CT269*I269,2)</f>
        <v>88.95</v>
      </c>
      <c r="T269">
        <f>ROUND(CU269*I269,2)</f>
        <v>0</v>
      </c>
      <c r="U269">
        <f>CV269*I269</f>
        <v>0.44</v>
      </c>
      <c r="V269">
        <f>CW269*I269</f>
        <v>0</v>
      </c>
      <c r="W269">
        <f>ROUND(CX269*I269,2)</f>
        <v>0</v>
      </c>
      <c r="X269">
        <f t="shared" ref="X269:Y272" si="223">ROUND(CY269,2)</f>
        <v>62.27</v>
      </c>
      <c r="Y269">
        <f t="shared" si="223"/>
        <v>8.9</v>
      </c>
      <c r="AA269">
        <v>49707740</v>
      </c>
      <c r="AB269">
        <f>ROUND((AC269+AD269+AF269),6)</f>
        <v>22608.22</v>
      </c>
      <c r="AC269">
        <f>ROUND((ES269),6)</f>
        <v>20354.099999999999</v>
      </c>
      <c r="AD269">
        <f>ROUND((((ET269)-(EU269))+AE269),6)</f>
        <v>30.36</v>
      </c>
      <c r="AE269">
        <f t="shared" ref="AE269:AF272" si="224">ROUND((EU269),6)</f>
        <v>0.11</v>
      </c>
      <c r="AF269">
        <f t="shared" si="224"/>
        <v>2223.7600000000002</v>
      </c>
      <c r="AG269">
        <f>ROUND((AP269),6)</f>
        <v>0</v>
      </c>
      <c r="AH269">
        <f t="shared" ref="AH269:AI272" si="225">(EW269)</f>
        <v>11</v>
      </c>
      <c r="AI269">
        <f t="shared" si="225"/>
        <v>0</v>
      </c>
      <c r="AJ269">
        <f>(AS269)</f>
        <v>0</v>
      </c>
      <c r="AK269">
        <v>22608.22</v>
      </c>
      <c r="AL269">
        <v>20354.099999999999</v>
      </c>
      <c r="AM269">
        <v>30.36</v>
      </c>
      <c r="AN269">
        <v>0.11</v>
      </c>
      <c r="AO269">
        <v>2223.7600000000002</v>
      </c>
      <c r="AP269">
        <v>0</v>
      </c>
      <c r="AQ269">
        <v>11</v>
      </c>
      <c r="AR269">
        <v>0</v>
      </c>
      <c r="AS269">
        <v>0</v>
      </c>
      <c r="AT269">
        <v>70</v>
      </c>
      <c r="AU269">
        <v>10</v>
      </c>
      <c r="AV269">
        <v>1</v>
      </c>
      <c r="AW269">
        <v>1</v>
      </c>
      <c r="AZ269">
        <v>1</v>
      </c>
      <c r="BA269">
        <v>1</v>
      </c>
      <c r="BB269">
        <v>1</v>
      </c>
      <c r="BC269">
        <v>1</v>
      </c>
      <c r="BD269" t="s">
        <v>3</v>
      </c>
      <c r="BE269" t="s">
        <v>3</v>
      </c>
      <c r="BF269" t="s">
        <v>3</v>
      </c>
      <c r="BG269" t="s">
        <v>3</v>
      </c>
      <c r="BH269">
        <v>0</v>
      </c>
      <c r="BI269">
        <v>4</v>
      </c>
      <c r="BJ269" t="s">
        <v>255</v>
      </c>
      <c r="BM269">
        <v>0</v>
      </c>
      <c r="BN269">
        <v>0</v>
      </c>
      <c r="BO269" t="s">
        <v>3</v>
      </c>
      <c r="BP269">
        <v>0</v>
      </c>
      <c r="BQ269">
        <v>1</v>
      </c>
      <c r="BR269">
        <v>0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 t="s">
        <v>3</v>
      </c>
      <c r="BZ269">
        <v>70</v>
      </c>
      <c r="CA269">
        <v>10</v>
      </c>
      <c r="CE269">
        <v>0</v>
      </c>
      <c r="CF269">
        <v>0</v>
      </c>
      <c r="CG269">
        <v>0</v>
      </c>
      <c r="CM269">
        <v>0</v>
      </c>
      <c r="CN269" t="s">
        <v>3</v>
      </c>
      <c r="CO269">
        <v>0</v>
      </c>
      <c r="CP269">
        <f>(P269+Q269+S269)</f>
        <v>904.32</v>
      </c>
      <c r="CQ269">
        <f>(AC269*BC269*AW269)</f>
        <v>20354.099999999999</v>
      </c>
      <c r="CR269">
        <f>((((ET269)*BB269-(EU269)*BS269)+AE269*BS269)*AV269)</f>
        <v>30.36</v>
      </c>
      <c r="CS269">
        <f>(AE269*BS269*AV269)</f>
        <v>0.11</v>
      </c>
      <c r="CT269">
        <f>(AF269*BA269*AV269)</f>
        <v>2223.7600000000002</v>
      </c>
      <c r="CU269">
        <f>AG269</f>
        <v>0</v>
      </c>
      <c r="CV269">
        <f>(AH269*AV269)</f>
        <v>11</v>
      </c>
      <c r="CW269">
        <f t="shared" ref="CW269:CX272" si="226">AI269</f>
        <v>0</v>
      </c>
      <c r="CX269">
        <f t="shared" si="226"/>
        <v>0</v>
      </c>
      <c r="CY269">
        <f>((S269*BZ269)/100)</f>
        <v>62.265000000000001</v>
      </c>
      <c r="CZ269">
        <f>((S269*CA269)/100)</f>
        <v>8.8949999999999996</v>
      </c>
      <c r="DC269" t="s">
        <v>3</v>
      </c>
      <c r="DD269" t="s">
        <v>3</v>
      </c>
      <c r="DE269" t="s">
        <v>3</v>
      </c>
      <c r="DF269" t="s">
        <v>3</v>
      </c>
      <c r="DG269" t="s">
        <v>3</v>
      </c>
      <c r="DH269" t="s">
        <v>3</v>
      </c>
      <c r="DI269" t="s">
        <v>3</v>
      </c>
      <c r="DJ269" t="s">
        <v>3</v>
      </c>
      <c r="DK269" t="s">
        <v>3</v>
      </c>
      <c r="DL269" t="s">
        <v>3</v>
      </c>
      <c r="DM269" t="s">
        <v>3</v>
      </c>
      <c r="DN269">
        <v>0</v>
      </c>
      <c r="DO269">
        <v>0</v>
      </c>
      <c r="DP269">
        <v>1</v>
      </c>
      <c r="DQ269">
        <v>1</v>
      </c>
      <c r="DU269">
        <v>1013</v>
      </c>
      <c r="DV269" t="s">
        <v>254</v>
      </c>
      <c r="DW269" t="s">
        <v>254</v>
      </c>
      <c r="DX269">
        <v>1</v>
      </c>
      <c r="DZ269" t="s">
        <v>3</v>
      </c>
      <c r="EA269" t="s">
        <v>3</v>
      </c>
      <c r="EB269" t="s">
        <v>3</v>
      </c>
      <c r="EC269" t="s">
        <v>3</v>
      </c>
      <c r="EE269">
        <v>49145957</v>
      </c>
      <c r="EF269">
        <v>1</v>
      </c>
      <c r="EG269" t="s">
        <v>32</v>
      </c>
      <c r="EH269">
        <v>0</v>
      </c>
      <c r="EI269" t="s">
        <v>3</v>
      </c>
      <c r="EJ269">
        <v>4</v>
      </c>
      <c r="EK269">
        <v>0</v>
      </c>
      <c r="EL269" t="s">
        <v>33</v>
      </c>
      <c r="EM269" t="s">
        <v>34</v>
      </c>
      <c r="EO269" t="s">
        <v>3</v>
      </c>
      <c r="EQ269">
        <v>0</v>
      </c>
      <c r="ER269">
        <v>22608.22</v>
      </c>
      <c r="ES269">
        <v>20354.099999999999</v>
      </c>
      <c r="ET269">
        <v>30.36</v>
      </c>
      <c r="EU269">
        <v>0.11</v>
      </c>
      <c r="EV269">
        <v>2223.7600000000002</v>
      </c>
      <c r="EW269">
        <v>11</v>
      </c>
      <c r="EX269">
        <v>0</v>
      </c>
      <c r="EY269">
        <v>0</v>
      </c>
      <c r="FQ269">
        <v>0</v>
      </c>
      <c r="FR269">
        <f>ROUND(IF(AND(BH269=3,BI269=3),P269,0),2)</f>
        <v>0</v>
      </c>
      <c r="FS269">
        <v>0</v>
      </c>
      <c r="FX269">
        <v>70</v>
      </c>
      <c r="FY269">
        <v>10</v>
      </c>
      <c r="GA269" t="s">
        <v>3</v>
      </c>
      <c r="GD269">
        <v>0</v>
      </c>
      <c r="GF269">
        <v>1383780067</v>
      </c>
      <c r="GG269">
        <v>2</v>
      </c>
      <c r="GH269">
        <v>1</v>
      </c>
      <c r="GI269">
        <v>-2</v>
      </c>
      <c r="GJ269">
        <v>0</v>
      </c>
      <c r="GK269">
        <f>ROUND(R269*(R12)/100,2)</f>
        <v>0</v>
      </c>
      <c r="GL269">
        <f>ROUND(IF(AND(BH269=3,BI269=3,FS269&lt;&gt;0),P269,0),2)</f>
        <v>0</v>
      </c>
      <c r="GM269">
        <f>ROUND(O269+X269+Y269+GK269,2)+GX269</f>
        <v>975.49</v>
      </c>
      <c r="GN269">
        <f>IF(OR(BI269=0,BI269=1),ROUND(O269+X269+Y269+GK269,2),0)</f>
        <v>0</v>
      </c>
      <c r="GO269">
        <f>IF(BI269=2,ROUND(O269+X269+Y269+GK269,2),0)</f>
        <v>0</v>
      </c>
      <c r="GP269">
        <f>IF(BI269=4,ROUND(O269+X269+Y269+GK269,2)+GX269,0)</f>
        <v>975.49</v>
      </c>
      <c r="GR269">
        <v>0</v>
      </c>
      <c r="GS269">
        <v>3</v>
      </c>
      <c r="GT269">
        <v>0</v>
      </c>
      <c r="GU269" t="s">
        <v>3</v>
      </c>
      <c r="GV269">
        <f>ROUND((GT269),6)</f>
        <v>0</v>
      </c>
      <c r="GW269">
        <v>1</v>
      </c>
      <c r="GX269">
        <f>ROUND(HC269*I269,2)</f>
        <v>0</v>
      </c>
      <c r="HA269">
        <v>0</v>
      </c>
      <c r="HB269">
        <v>0</v>
      </c>
      <c r="HC269">
        <f>GV269*GW269</f>
        <v>0</v>
      </c>
      <c r="HE269" t="s">
        <v>3</v>
      </c>
      <c r="HF269" t="s">
        <v>3</v>
      </c>
      <c r="IK269">
        <v>0</v>
      </c>
    </row>
    <row r="270" spans="1:245" x14ac:dyDescent="0.2">
      <c r="A270">
        <v>17</v>
      </c>
      <c r="B270">
        <v>1</v>
      </c>
      <c r="C270">
        <f>ROW(SmtRes!A147)</f>
        <v>147</v>
      </c>
      <c r="D270">
        <f>ROW(EtalonRes!A140)</f>
        <v>140</v>
      </c>
      <c r="E270" t="s">
        <v>268</v>
      </c>
      <c r="F270" t="s">
        <v>257</v>
      </c>
      <c r="G270" t="s">
        <v>258</v>
      </c>
      <c r="H270" t="s">
        <v>259</v>
      </c>
      <c r="I270">
        <f>ROUND(4/100,4)</f>
        <v>0.04</v>
      </c>
      <c r="J270">
        <v>0</v>
      </c>
      <c r="O270">
        <f>ROUND(CP270,2)</f>
        <v>1135.8399999999999</v>
      </c>
      <c r="P270">
        <f>ROUND(CQ270*I270,2)</f>
        <v>961.41</v>
      </c>
      <c r="Q270">
        <f>ROUND(CR270*I270,2)</f>
        <v>0</v>
      </c>
      <c r="R270">
        <f>ROUND(CS270*I270,2)</f>
        <v>0</v>
      </c>
      <c r="S270">
        <f>ROUND(CT270*I270,2)</f>
        <v>174.43</v>
      </c>
      <c r="T270">
        <f>ROUND(CU270*I270,2)</f>
        <v>0</v>
      </c>
      <c r="U270">
        <f>CV270*I270</f>
        <v>0.61640000000000006</v>
      </c>
      <c r="V270">
        <f>CW270*I270</f>
        <v>0</v>
      </c>
      <c r="W270">
        <f>ROUND(CX270*I270,2)</f>
        <v>0</v>
      </c>
      <c r="X270">
        <f t="shared" si="223"/>
        <v>122.1</v>
      </c>
      <c r="Y270">
        <f t="shared" si="223"/>
        <v>17.440000000000001</v>
      </c>
      <c r="AA270">
        <v>49707740</v>
      </c>
      <c r="AB270">
        <f>ROUND((AC270+AD270+AF270),6)</f>
        <v>28396.01</v>
      </c>
      <c r="AC270">
        <f>ROUND((ES270),6)</f>
        <v>24035.23</v>
      </c>
      <c r="AD270">
        <f>ROUND((((ET270)-(EU270))+AE270),6)</f>
        <v>0</v>
      </c>
      <c r="AE270">
        <f t="shared" si="224"/>
        <v>0</v>
      </c>
      <c r="AF270">
        <f t="shared" si="224"/>
        <v>4360.78</v>
      </c>
      <c r="AG270">
        <f>ROUND((AP270),6)</f>
        <v>0</v>
      </c>
      <c r="AH270">
        <f t="shared" si="225"/>
        <v>15.41</v>
      </c>
      <c r="AI270">
        <f t="shared" si="225"/>
        <v>0</v>
      </c>
      <c r="AJ270">
        <f>(AS270)</f>
        <v>0</v>
      </c>
      <c r="AK270">
        <v>28396.01</v>
      </c>
      <c r="AL270">
        <v>24035.23</v>
      </c>
      <c r="AM270">
        <v>0</v>
      </c>
      <c r="AN270">
        <v>0</v>
      </c>
      <c r="AO270">
        <v>4360.78</v>
      </c>
      <c r="AP270">
        <v>0</v>
      </c>
      <c r="AQ270">
        <v>15.41</v>
      </c>
      <c r="AR270">
        <v>0</v>
      </c>
      <c r="AS270">
        <v>0</v>
      </c>
      <c r="AT270">
        <v>70</v>
      </c>
      <c r="AU270">
        <v>10</v>
      </c>
      <c r="AV270">
        <v>1</v>
      </c>
      <c r="AW270">
        <v>1</v>
      </c>
      <c r="AZ270">
        <v>1</v>
      </c>
      <c r="BA270">
        <v>1</v>
      </c>
      <c r="BB270">
        <v>1</v>
      </c>
      <c r="BC270">
        <v>1</v>
      </c>
      <c r="BD270" t="s">
        <v>3</v>
      </c>
      <c r="BE270" t="s">
        <v>3</v>
      </c>
      <c r="BF270" t="s">
        <v>3</v>
      </c>
      <c r="BG270" t="s">
        <v>3</v>
      </c>
      <c r="BH270">
        <v>0</v>
      </c>
      <c r="BI270">
        <v>4</v>
      </c>
      <c r="BJ270" t="s">
        <v>260</v>
      </c>
      <c r="BM270">
        <v>0</v>
      </c>
      <c r="BN270">
        <v>0</v>
      </c>
      <c r="BO270" t="s">
        <v>3</v>
      </c>
      <c r="BP270">
        <v>0</v>
      </c>
      <c r="BQ270">
        <v>1</v>
      </c>
      <c r="BR270">
        <v>0</v>
      </c>
      <c r="BS270">
        <v>1</v>
      </c>
      <c r="BT270">
        <v>1</v>
      </c>
      <c r="BU270">
        <v>1</v>
      </c>
      <c r="BV270">
        <v>1</v>
      </c>
      <c r="BW270">
        <v>1</v>
      </c>
      <c r="BX270">
        <v>1</v>
      </c>
      <c r="BY270" t="s">
        <v>3</v>
      </c>
      <c r="BZ270">
        <v>70</v>
      </c>
      <c r="CA270">
        <v>10</v>
      </c>
      <c r="CE270">
        <v>0</v>
      </c>
      <c r="CF270">
        <v>0</v>
      </c>
      <c r="CG270">
        <v>0</v>
      </c>
      <c r="CM270">
        <v>0</v>
      </c>
      <c r="CN270" t="s">
        <v>3</v>
      </c>
      <c r="CO270">
        <v>0</v>
      </c>
      <c r="CP270">
        <f>(P270+Q270+S270)</f>
        <v>1135.8399999999999</v>
      </c>
      <c r="CQ270">
        <f>(AC270*BC270*AW270)</f>
        <v>24035.23</v>
      </c>
      <c r="CR270">
        <f>((((ET270)*BB270-(EU270)*BS270)+AE270*BS270)*AV270)</f>
        <v>0</v>
      </c>
      <c r="CS270">
        <f>(AE270*BS270*AV270)</f>
        <v>0</v>
      </c>
      <c r="CT270">
        <f>(AF270*BA270*AV270)</f>
        <v>4360.78</v>
      </c>
      <c r="CU270">
        <f>AG270</f>
        <v>0</v>
      </c>
      <c r="CV270">
        <f>(AH270*AV270)</f>
        <v>15.41</v>
      </c>
      <c r="CW270">
        <f t="shared" si="226"/>
        <v>0</v>
      </c>
      <c r="CX270">
        <f t="shared" si="226"/>
        <v>0</v>
      </c>
      <c r="CY270">
        <f>((S270*BZ270)/100)</f>
        <v>122.101</v>
      </c>
      <c r="CZ270">
        <f>((S270*CA270)/100)</f>
        <v>17.443000000000001</v>
      </c>
      <c r="DC270" t="s">
        <v>3</v>
      </c>
      <c r="DD270" t="s">
        <v>3</v>
      </c>
      <c r="DE270" t="s">
        <v>3</v>
      </c>
      <c r="DF270" t="s">
        <v>3</v>
      </c>
      <c r="DG270" t="s">
        <v>3</v>
      </c>
      <c r="DH270" t="s">
        <v>3</v>
      </c>
      <c r="DI270" t="s">
        <v>3</v>
      </c>
      <c r="DJ270" t="s">
        <v>3</v>
      </c>
      <c r="DK270" t="s">
        <v>3</v>
      </c>
      <c r="DL270" t="s">
        <v>3</v>
      </c>
      <c r="DM270" t="s">
        <v>3</v>
      </c>
      <c r="DN270">
        <v>0</v>
      </c>
      <c r="DO270">
        <v>0</v>
      </c>
      <c r="DP270">
        <v>1</v>
      </c>
      <c r="DQ270">
        <v>1</v>
      </c>
      <c r="DU270">
        <v>1010</v>
      </c>
      <c r="DV270" t="s">
        <v>259</v>
      </c>
      <c r="DW270" t="s">
        <v>259</v>
      </c>
      <c r="DX270">
        <v>100</v>
      </c>
      <c r="DZ270" t="s">
        <v>3</v>
      </c>
      <c r="EA270" t="s">
        <v>3</v>
      </c>
      <c r="EB270" t="s">
        <v>3</v>
      </c>
      <c r="EC270" t="s">
        <v>3</v>
      </c>
      <c r="EE270">
        <v>49145957</v>
      </c>
      <c r="EF270">
        <v>1</v>
      </c>
      <c r="EG270" t="s">
        <v>32</v>
      </c>
      <c r="EH270">
        <v>0</v>
      </c>
      <c r="EI270" t="s">
        <v>3</v>
      </c>
      <c r="EJ270">
        <v>4</v>
      </c>
      <c r="EK270">
        <v>0</v>
      </c>
      <c r="EL270" t="s">
        <v>33</v>
      </c>
      <c r="EM270" t="s">
        <v>34</v>
      </c>
      <c r="EO270" t="s">
        <v>3</v>
      </c>
      <c r="EQ270">
        <v>0</v>
      </c>
      <c r="ER270">
        <v>28396.01</v>
      </c>
      <c r="ES270">
        <v>24035.23</v>
      </c>
      <c r="ET270">
        <v>0</v>
      </c>
      <c r="EU270">
        <v>0</v>
      </c>
      <c r="EV270">
        <v>4360.78</v>
      </c>
      <c r="EW270">
        <v>15.41</v>
      </c>
      <c r="EX270">
        <v>0</v>
      </c>
      <c r="EY270">
        <v>0</v>
      </c>
      <c r="FQ270">
        <v>0</v>
      </c>
      <c r="FR270">
        <f>ROUND(IF(AND(BH270=3,BI270=3),P270,0),2)</f>
        <v>0</v>
      </c>
      <c r="FS270">
        <v>0</v>
      </c>
      <c r="FX270">
        <v>70</v>
      </c>
      <c r="FY270">
        <v>10</v>
      </c>
      <c r="GA270" t="s">
        <v>3</v>
      </c>
      <c r="GD270">
        <v>0</v>
      </c>
      <c r="GF270">
        <v>-205426214</v>
      </c>
      <c r="GG270">
        <v>2</v>
      </c>
      <c r="GH270">
        <v>1</v>
      </c>
      <c r="GI270">
        <v>-2</v>
      </c>
      <c r="GJ270">
        <v>0</v>
      </c>
      <c r="GK270">
        <f>ROUND(R270*(R12)/100,2)</f>
        <v>0</v>
      </c>
      <c r="GL270">
        <f>ROUND(IF(AND(BH270=3,BI270=3,FS270&lt;&gt;0),P270,0),2)</f>
        <v>0</v>
      </c>
      <c r="GM270">
        <f>ROUND(O270+X270+Y270+GK270,2)+GX270</f>
        <v>1275.3800000000001</v>
      </c>
      <c r="GN270">
        <f>IF(OR(BI270=0,BI270=1),ROUND(O270+X270+Y270+GK270,2),0)</f>
        <v>0</v>
      </c>
      <c r="GO270">
        <f>IF(BI270=2,ROUND(O270+X270+Y270+GK270,2),0)</f>
        <v>0</v>
      </c>
      <c r="GP270">
        <f>IF(BI270=4,ROUND(O270+X270+Y270+GK270,2)+GX270,0)</f>
        <v>1275.3800000000001</v>
      </c>
      <c r="GR270">
        <v>0</v>
      </c>
      <c r="GS270">
        <v>3</v>
      </c>
      <c r="GT270">
        <v>0</v>
      </c>
      <c r="GU270" t="s">
        <v>3</v>
      </c>
      <c r="GV270">
        <f>ROUND((GT270),6)</f>
        <v>0</v>
      </c>
      <c r="GW270">
        <v>1</v>
      </c>
      <c r="GX270">
        <f>ROUND(HC270*I270,2)</f>
        <v>0</v>
      </c>
      <c r="HA270">
        <v>0</v>
      </c>
      <c r="HB270">
        <v>0</v>
      </c>
      <c r="HC270">
        <f>GV270*GW270</f>
        <v>0</v>
      </c>
      <c r="HE270" t="s">
        <v>3</v>
      </c>
      <c r="HF270" t="s">
        <v>3</v>
      </c>
      <c r="IK270">
        <v>0</v>
      </c>
    </row>
    <row r="271" spans="1:245" x14ac:dyDescent="0.2">
      <c r="A271">
        <v>17</v>
      </c>
      <c r="B271">
        <v>1</v>
      </c>
      <c r="C271">
        <f>ROW(SmtRes!A152)</f>
        <v>152</v>
      </c>
      <c r="D271">
        <f>ROW(EtalonRes!A144)</f>
        <v>144</v>
      </c>
      <c r="E271" t="s">
        <v>269</v>
      </c>
      <c r="F271" t="s">
        <v>226</v>
      </c>
      <c r="G271" t="s">
        <v>227</v>
      </c>
      <c r="H271" t="s">
        <v>57</v>
      </c>
      <c r="I271">
        <f>ROUND(0.0222,4)</f>
        <v>2.2200000000000001E-2</v>
      </c>
      <c r="J271">
        <v>0</v>
      </c>
      <c r="O271">
        <f>ROUND(CP271,2)</f>
        <v>1491.37</v>
      </c>
      <c r="P271">
        <f>ROUND(CQ271*I271,2)</f>
        <v>1255.56</v>
      </c>
      <c r="Q271">
        <f>ROUND(CR271*I271,2)</f>
        <v>26.58</v>
      </c>
      <c r="R271">
        <f>ROUND(CS271*I271,2)</f>
        <v>0.02</v>
      </c>
      <c r="S271">
        <f>ROUND(CT271*I271,2)</f>
        <v>209.23</v>
      </c>
      <c r="T271">
        <f>ROUND(CU271*I271,2)</f>
        <v>0</v>
      </c>
      <c r="U271">
        <f>CV271*I271</f>
        <v>0.80164200000000008</v>
      </c>
      <c r="V271">
        <f>CW271*I271</f>
        <v>0</v>
      </c>
      <c r="W271">
        <f>ROUND(CX271*I271,2)</f>
        <v>0</v>
      </c>
      <c r="X271">
        <f t="shared" si="223"/>
        <v>146.46</v>
      </c>
      <c r="Y271">
        <f t="shared" si="223"/>
        <v>20.92</v>
      </c>
      <c r="AA271">
        <v>49707740</v>
      </c>
      <c r="AB271">
        <f>ROUND((AC271+AD271+AF271),6)</f>
        <v>67179.039999999994</v>
      </c>
      <c r="AC271">
        <f>ROUND((ES271),6)</f>
        <v>56556.95</v>
      </c>
      <c r="AD271">
        <f>ROUND((((ET271)-(EU271))+AE271),6)</f>
        <v>1197.3800000000001</v>
      </c>
      <c r="AE271">
        <f t="shared" si="224"/>
        <v>1.1000000000000001</v>
      </c>
      <c r="AF271">
        <f t="shared" si="224"/>
        <v>9424.7099999999991</v>
      </c>
      <c r="AG271">
        <f>ROUND((AP271),6)</f>
        <v>0</v>
      </c>
      <c r="AH271">
        <f t="shared" si="225"/>
        <v>36.11</v>
      </c>
      <c r="AI271">
        <f t="shared" si="225"/>
        <v>0</v>
      </c>
      <c r="AJ271">
        <f>(AS271)</f>
        <v>0</v>
      </c>
      <c r="AK271">
        <v>67179.039999999994</v>
      </c>
      <c r="AL271">
        <v>56556.95</v>
      </c>
      <c r="AM271">
        <v>1197.3800000000001</v>
      </c>
      <c r="AN271">
        <v>1.1000000000000001</v>
      </c>
      <c r="AO271">
        <v>9424.7099999999991</v>
      </c>
      <c r="AP271">
        <v>0</v>
      </c>
      <c r="AQ271">
        <v>36.11</v>
      </c>
      <c r="AR271">
        <v>0</v>
      </c>
      <c r="AS271">
        <v>0</v>
      </c>
      <c r="AT271">
        <v>70</v>
      </c>
      <c r="AU271">
        <v>10</v>
      </c>
      <c r="AV271">
        <v>1</v>
      </c>
      <c r="AW271">
        <v>1</v>
      </c>
      <c r="AZ271">
        <v>1</v>
      </c>
      <c r="BA271">
        <v>1</v>
      </c>
      <c r="BB271">
        <v>1</v>
      </c>
      <c r="BC271">
        <v>1</v>
      </c>
      <c r="BD271" t="s">
        <v>3</v>
      </c>
      <c r="BE271" t="s">
        <v>3</v>
      </c>
      <c r="BF271" t="s">
        <v>3</v>
      </c>
      <c r="BG271" t="s">
        <v>3</v>
      </c>
      <c r="BH271">
        <v>0</v>
      </c>
      <c r="BI271">
        <v>4</v>
      </c>
      <c r="BJ271" t="s">
        <v>228</v>
      </c>
      <c r="BM271">
        <v>0</v>
      </c>
      <c r="BN271">
        <v>0</v>
      </c>
      <c r="BO271" t="s">
        <v>3</v>
      </c>
      <c r="BP271">
        <v>0</v>
      </c>
      <c r="BQ271">
        <v>1</v>
      </c>
      <c r="BR271">
        <v>0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 t="s">
        <v>3</v>
      </c>
      <c r="BZ271">
        <v>70</v>
      </c>
      <c r="CA271">
        <v>10</v>
      </c>
      <c r="CE271">
        <v>0</v>
      </c>
      <c r="CF271">
        <v>0</v>
      </c>
      <c r="CG271">
        <v>0</v>
      </c>
      <c r="CM271">
        <v>0</v>
      </c>
      <c r="CN271" t="s">
        <v>3</v>
      </c>
      <c r="CO271">
        <v>0</v>
      </c>
      <c r="CP271">
        <f>(P271+Q271+S271)</f>
        <v>1491.37</v>
      </c>
      <c r="CQ271">
        <f>(AC271*BC271*AW271)</f>
        <v>56556.95</v>
      </c>
      <c r="CR271">
        <f>((((ET271)*BB271-(EU271)*BS271)+AE271*BS271)*AV271)</f>
        <v>1197.3800000000001</v>
      </c>
      <c r="CS271">
        <f>(AE271*BS271*AV271)</f>
        <v>1.1000000000000001</v>
      </c>
      <c r="CT271">
        <f>(AF271*BA271*AV271)</f>
        <v>9424.7099999999991</v>
      </c>
      <c r="CU271">
        <f>AG271</f>
        <v>0</v>
      </c>
      <c r="CV271">
        <f>(AH271*AV271)</f>
        <v>36.11</v>
      </c>
      <c r="CW271">
        <f t="shared" si="226"/>
        <v>0</v>
      </c>
      <c r="CX271">
        <f t="shared" si="226"/>
        <v>0</v>
      </c>
      <c r="CY271">
        <f>((S271*BZ271)/100)</f>
        <v>146.46099999999998</v>
      </c>
      <c r="CZ271">
        <f>((S271*CA271)/100)</f>
        <v>20.922999999999998</v>
      </c>
      <c r="DC271" t="s">
        <v>3</v>
      </c>
      <c r="DD271" t="s">
        <v>3</v>
      </c>
      <c r="DE271" t="s">
        <v>3</v>
      </c>
      <c r="DF271" t="s">
        <v>3</v>
      </c>
      <c r="DG271" t="s">
        <v>3</v>
      </c>
      <c r="DH271" t="s">
        <v>3</v>
      </c>
      <c r="DI271" t="s">
        <v>3</v>
      </c>
      <c r="DJ271" t="s">
        <v>3</v>
      </c>
      <c r="DK271" t="s">
        <v>3</v>
      </c>
      <c r="DL271" t="s">
        <v>3</v>
      </c>
      <c r="DM271" t="s">
        <v>3</v>
      </c>
      <c r="DN271">
        <v>0</v>
      </c>
      <c r="DO271">
        <v>0</v>
      </c>
      <c r="DP271">
        <v>1</v>
      </c>
      <c r="DQ271">
        <v>1</v>
      </c>
      <c r="DU271">
        <v>1009</v>
      </c>
      <c r="DV271" t="s">
        <v>57</v>
      </c>
      <c r="DW271" t="s">
        <v>57</v>
      </c>
      <c r="DX271">
        <v>1000</v>
      </c>
      <c r="DZ271" t="s">
        <v>3</v>
      </c>
      <c r="EA271" t="s">
        <v>3</v>
      </c>
      <c r="EB271" t="s">
        <v>3</v>
      </c>
      <c r="EC271" t="s">
        <v>3</v>
      </c>
      <c r="EE271">
        <v>49145957</v>
      </c>
      <c r="EF271">
        <v>1</v>
      </c>
      <c r="EG271" t="s">
        <v>32</v>
      </c>
      <c r="EH271">
        <v>0</v>
      </c>
      <c r="EI271" t="s">
        <v>3</v>
      </c>
      <c r="EJ271">
        <v>4</v>
      </c>
      <c r="EK271">
        <v>0</v>
      </c>
      <c r="EL271" t="s">
        <v>33</v>
      </c>
      <c r="EM271" t="s">
        <v>34</v>
      </c>
      <c r="EO271" t="s">
        <v>3</v>
      </c>
      <c r="EQ271">
        <v>0</v>
      </c>
      <c r="ER271">
        <v>67179.039999999994</v>
      </c>
      <c r="ES271">
        <v>56556.95</v>
      </c>
      <c r="ET271">
        <v>1197.3800000000001</v>
      </c>
      <c r="EU271">
        <v>1.1000000000000001</v>
      </c>
      <c r="EV271">
        <v>9424.7099999999991</v>
      </c>
      <c r="EW271">
        <v>36.11</v>
      </c>
      <c r="EX271">
        <v>0</v>
      </c>
      <c r="EY271">
        <v>0</v>
      </c>
      <c r="FQ271">
        <v>0</v>
      </c>
      <c r="FR271">
        <f>ROUND(IF(AND(BH271=3,BI271=3),P271,0),2)</f>
        <v>0</v>
      </c>
      <c r="FS271">
        <v>0</v>
      </c>
      <c r="FX271">
        <v>70</v>
      </c>
      <c r="FY271">
        <v>10</v>
      </c>
      <c r="GA271" t="s">
        <v>3</v>
      </c>
      <c r="GD271">
        <v>0</v>
      </c>
      <c r="GF271">
        <v>861890752</v>
      </c>
      <c r="GG271">
        <v>2</v>
      </c>
      <c r="GH271">
        <v>1</v>
      </c>
      <c r="GI271">
        <v>-2</v>
      </c>
      <c r="GJ271">
        <v>0</v>
      </c>
      <c r="GK271">
        <f>ROUND(R271*(R12)/100,2)</f>
        <v>0.02</v>
      </c>
      <c r="GL271">
        <f>ROUND(IF(AND(BH271=3,BI271=3,FS271&lt;&gt;0),P271,0),2)</f>
        <v>0</v>
      </c>
      <c r="GM271">
        <f>ROUND(O271+X271+Y271+GK271,2)+GX271</f>
        <v>1658.77</v>
      </c>
      <c r="GN271">
        <f>IF(OR(BI271=0,BI271=1),ROUND(O271+X271+Y271+GK271,2),0)</f>
        <v>0</v>
      </c>
      <c r="GO271">
        <f>IF(BI271=2,ROUND(O271+X271+Y271+GK271,2),0)</f>
        <v>0</v>
      </c>
      <c r="GP271">
        <f>IF(BI271=4,ROUND(O271+X271+Y271+GK271,2)+GX271,0)</f>
        <v>1658.77</v>
      </c>
      <c r="GR271">
        <v>0</v>
      </c>
      <c r="GS271">
        <v>3</v>
      </c>
      <c r="GT271">
        <v>0</v>
      </c>
      <c r="GU271" t="s">
        <v>3</v>
      </c>
      <c r="GV271">
        <f>ROUND((GT271),6)</f>
        <v>0</v>
      </c>
      <c r="GW271">
        <v>1</v>
      </c>
      <c r="GX271">
        <f>ROUND(HC271*I271,2)</f>
        <v>0</v>
      </c>
      <c r="HA271">
        <v>0</v>
      </c>
      <c r="HB271">
        <v>0</v>
      </c>
      <c r="HC271">
        <f>GV271*GW271</f>
        <v>0</v>
      </c>
      <c r="HE271" t="s">
        <v>3</v>
      </c>
      <c r="HF271" t="s">
        <v>3</v>
      </c>
      <c r="IK271">
        <v>0</v>
      </c>
    </row>
    <row r="272" spans="1:245" x14ac:dyDescent="0.2">
      <c r="A272">
        <v>18</v>
      </c>
      <c r="B272">
        <v>1</v>
      </c>
      <c r="C272">
        <v>152</v>
      </c>
      <c r="E272" t="s">
        <v>270</v>
      </c>
      <c r="F272" t="s">
        <v>55</v>
      </c>
      <c r="G272" t="s">
        <v>271</v>
      </c>
      <c r="H272" t="s">
        <v>100</v>
      </c>
      <c r="I272">
        <f>I271*J272</f>
        <v>2</v>
      </c>
      <c r="J272">
        <v>90.090090090090087</v>
      </c>
      <c r="O272">
        <f>ROUND(CP272,2)</f>
        <v>7140</v>
      </c>
      <c r="P272">
        <f>ROUND(CQ272*I272,2)</f>
        <v>7140</v>
      </c>
      <c r="Q272">
        <f>ROUND(CR272*I272,2)</f>
        <v>0</v>
      </c>
      <c r="R272">
        <f>ROUND(CS272*I272,2)</f>
        <v>0</v>
      </c>
      <c r="S272">
        <f>ROUND(CT272*I272,2)</f>
        <v>0</v>
      </c>
      <c r="T272">
        <f>ROUND(CU272*I272,2)</f>
        <v>0</v>
      </c>
      <c r="U272">
        <f>CV272*I272</f>
        <v>0</v>
      </c>
      <c r="V272">
        <f>CW272*I272</f>
        <v>0</v>
      </c>
      <c r="W272">
        <f>ROUND(CX272*I272,2)</f>
        <v>0</v>
      </c>
      <c r="X272">
        <f t="shared" si="223"/>
        <v>0</v>
      </c>
      <c r="Y272">
        <f t="shared" si="223"/>
        <v>0</v>
      </c>
      <c r="AA272">
        <v>49707740</v>
      </c>
      <c r="AB272">
        <f>ROUND((AC272+AD272+AF272),6)</f>
        <v>3570</v>
      </c>
      <c r="AC272">
        <f>ROUND((ES272),6)</f>
        <v>3570</v>
      </c>
      <c r="AD272">
        <f>ROUND((((ET272)-(EU272))+AE272),6)</f>
        <v>0</v>
      </c>
      <c r="AE272">
        <f t="shared" si="224"/>
        <v>0</v>
      </c>
      <c r="AF272">
        <f t="shared" si="224"/>
        <v>0</v>
      </c>
      <c r="AG272">
        <f>ROUND((AP272),6)</f>
        <v>0</v>
      </c>
      <c r="AH272">
        <f t="shared" si="225"/>
        <v>0</v>
      </c>
      <c r="AI272">
        <f t="shared" si="225"/>
        <v>0</v>
      </c>
      <c r="AJ272">
        <f>(AS272)</f>
        <v>0</v>
      </c>
      <c r="AK272">
        <v>3570</v>
      </c>
      <c r="AL272">
        <v>3570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1</v>
      </c>
      <c r="AW272">
        <v>1</v>
      </c>
      <c r="AZ272">
        <v>1</v>
      </c>
      <c r="BA272">
        <v>1</v>
      </c>
      <c r="BB272">
        <v>1</v>
      </c>
      <c r="BC272">
        <v>1</v>
      </c>
      <c r="BD272" t="s">
        <v>3</v>
      </c>
      <c r="BE272" t="s">
        <v>3</v>
      </c>
      <c r="BF272" t="s">
        <v>3</v>
      </c>
      <c r="BG272" t="s">
        <v>3</v>
      </c>
      <c r="BH272">
        <v>3</v>
      </c>
      <c r="BI272">
        <v>1</v>
      </c>
      <c r="BJ272" t="s">
        <v>3</v>
      </c>
      <c r="BM272">
        <v>6001</v>
      </c>
      <c r="BN272">
        <v>0</v>
      </c>
      <c r="BO272" t="s">
        <v>3</v>
      </c>
      <c r="BP272">
        <v>0</v>
      </c>
      <c r="BQ272">
        <v>1</v>
      </c>
      <c r="BR272">
        <v>0</v>
      </c>
      <c r="BS272">
        <v>1</v>
      </c>
      <c r="BT272">
        <v>1</v>
      </c>
      <c r="BU272">
        <v>1</v>
      </c>
      <c r="BV272">
        <v>1</v>
      </c>
      <c r="BW272">
        <v>1</v>
      </c>
      <c r="BX272">
        <v>1</v>
      </c>
      <c r="BY272" t="s">
        <v>3</v>
      </c>
      <c r="BZ272">
        <v>0</v>
      </c>
      <c r="CA272">
        <v>0</v>
      </c>
      <c r="CE272">
        <v>0</v>
      </c>
      <c r="CF272">
        <v>0</v>
      </c>
      <c r="CG272">
        <v>0</v>
      </c>
      <c r="CM272">
        <v>0</v>
      </c>
      <c r="CN272" t="s">
        <v>3</v>
      </c>
      <c r="CO272">
        <v>0</v>
      </c>
      <c r="CP272">
        <f>(P272+Q272+S272)</f>
        <v>7140</v>
      </c>
      <c r="CQ272">
        <f>(AC272*BC272*AW272)</f>
        <v>3570</v>
      </c>
      <c r="CR272">
        <f>((((ET272)*BB272-(EU272)*BS272)+AE272*BS272)*AV272)</f>
        <v>0</v>
      </c>
      <c r="CS272">
        <f>(AE272*BS272*AV272)</f>
        <v>0</v>
      </c>
      <c r="CT272">
        <f>(AF272*BA272*AV272)</f>
        <v>0</v>
      </c>
      <c r="CU272">
        <f>AG272</f>
        <v>0</v>
      </c>
      <c r="CV272">
        <f>(AH272*AV272)</f>
        <v>0</v>
      </c>
      <c r="CW272">
        <f t="shared" si="226"/>
        <v>0</v>
      </c>
      <c r="CX272">
        <f t="shared" si="226"/>
        <v>0</v>
      </c>
      <c r="CY272">
        <f>((S272*BZ272)/100)</f>
        <v>0</v>
      </c>
      <c r="CZ272">
        <f>((S272*CA272)/100)</f>
        <v>0</v>
      </c>
      <c r="DC272" t="s">
        <v>3</v>
      </c>
      <c r="DD272" t="s">
        <v>3</v>
      </c>
      <c r="DE272" t="s">
        <v>3</v>
      </c>
      <c r="DF272" t="s">
        <v>3</v>
      </c>
      <c r="DG272" t="s">
        <v>3</v>
      </c>
      <c r="DH272" t="s">
        <v>3</v>
      </c>
      <c r="DI272" t="s">
        <v>3</v>
      </c>
      <c r="DJ272" t="s">
        <v>3</v>
      </c>
      <c r="DK272" t="s">
        <v>3</v>
      </c>
      <c r="DL272" t="s">
        <v>3</v>
      </c>
      <c r="DM272" t="s">
        <v>3</v>
      </c>
      <c r="DN272">
        <v>0</v>
      </c>
      <c r="DO272">
        <v>0</v>
      </c>
      <c r="DP272">
        <v>1</v>
      </c>
      <c r="DQ272">
        <v>1</v>
      </c>
      <c r="DU272">
        <v>1010</v>
      </c>
      <c r="DV272" t="s">
        <v>100</v>
      </c>
      <c r="DW272" t="s">
        <v>100</v>
      </c>
      <c r="DX272">
        <v>1</v>
      </c>
      <c r="DZ272" t="s">
        <v>3</v>
      </c>
      <c r="EA272" t="s">
        <v>3</v>
      </c>
      <c r="EB272" t="s">
        <v>3</v>
      </c>
      <c r="EC272" t="s">
        <v>3</v>
      </c>
      <c r="EE272">
        <v>49387493</v>
      </c>
      <c r="EF272">
        <v>0</v>
      </c>
      <c r="EG272" t="s">
        <v>58</v>
      </c>
      <c r="EH272">
        <v>0</v>
      </c>
      <c r="EI272" t="s">
        <v>3</v>
      </c>
      <c r="EJ272">
        <v>1</v>
      </c>
      <c r="EK272">
        <v>6001</v>
      </c>
      <c r="EL272" t="s">
        <v>59</v>
      </c>
      <c r="EM272" t="s">
        <v>58</v>
      </c>
      <c r="EO272" t="s">
        <v>3</v>
      </c>
      <c r="EQ272">
        <v>0</v>
      </c>
      <c r="ER272">
        <v>3570</v>
      </c>
      <c r="ES272">
        <v>3570</v>
      </c>
      <c r="ET272">
        <v>0</v>
      </c>
      <c r="EU272">
        <v>0</v>
      </c>
      <c r="EV272">
        <v>0</v>
      </c>
      <c r="EW272">
        <v>0</v>
      </c>
      <c r="EX272">
        <v>0</v>
      </c>
      <c r="EZ272">
        <v>5</v>
      </c>
      <c r="FC272">
        <v>1</v>
      </c>
      <c r="FD272">
        <v>18</v>
      </c>
      <c r="FF272">
        <v>4200</v>
      </c>
      <c r="FQ272">
        <v>0</v>
      </c>
      <c r="FR272">
        <f>ROUND(IF(AND(BH272=3,BI272=3),P272,0),2)</f>
        <v>0</v>
      </c>
      <c r="FS272">
        <v>0</v>
      </c>
      <c r="FX272">
        <v>0</v>
      </c>
      <c r="FY272">
        <v>0</v>
      </c>
      <c r="GA272" t="s">
        <v>272</v>
      </c>
      <c r="GD272">
        <v>0</v>
      </c>
      <c r="GF272">
        <v>-2028074538</v>
      </c>
      <c r="GG272">
        <v>2</v>
      </c>
      <c r="GH272">
        <v>3</v>
      </c>
      <c r="GI272">
        <v>-2</v>
      </c>
      <c r="GJ272">
        <v>0</v>
      </c>
      <c r="GK272">
        <f>ROUND(R272*(R12)/100,2)</f>
        <v>0</v>
      </c>
      <c r="GL272">
        <f>ROUND(IF(AND(BH272=3,BI272=3,FS272&lt;&gt;0),P272,0),2)</f>
        <v>0</v>
      </c>
      <c r="GM272">
        <f>ROUND(O272+X272+Y272+GK272,2)+GX272</f>
        <v>7140</v>
      </c>
      <c r="GN272">
        <f>IF(OR(BI272=0,BI272=1),ROUND(O272+X272+Y272+GK272,2),0)</f>
        <v>7140</v>
      </c>
      <c r="GO272">
        <f>IF(BI272=2,ROUND(O272+X272+Y272+GK272,2),0)</f>
        <v>0</v>
      </c>
      <c r="GP272">
        <f>IF(BI272=4,ROUND(O272+X272+Y272+GK272,2)+GX272,0)</f>
        <v>0</v>
      </c>
      <c r="GR272">
        <v>1</v>
      </c>
      <c r="GS272">
        <v>1</v>
      </c>
      <c r="GT272">
        <v>0</v>
      </c>
      <c r="GU272" t="s">
        <v>3</v>
      </c>
      <c r="GV272">
        <f>ROUND((GT272),6)</f>
        <v>0</v>
      </c>
      <c r="GW272">
        <v>1</v>
      </c>
      <c r="GX272">
        <f>ROUND(HC272*I272,2)</f>
        <v>0</v>
      </c>
      <c r="HA272">
        <v>0</v>
      </c>
      <c r="HB272">
        <v>0</v>
      </c>
      <c r="HC272">
        <f>GV272*GW272</f>
        <v>0</v>
      </c>
      <c r="HE272" t="s">
        <v>61</v>
      </c>
      <c r="HF272" t="s">
        <v>35</v>
      </c>
      <c r="IK272">
        <v>0</v>
      </c>
    </row>
    <row r="274" spans="1:206" x14ac:dyDescent="0.2">
      <c r="A274" s="2">
        <v>51</v>
      </c>
      <c r="B274" s="2">
        <f>B265</f>
        <v>1</v>
      </c>
      <c r="C274" s="2">
        <f>A265</f>
        <v>4</v>
      </c>
      <c r="D274" s="2">
        <f>ROW(A265)</f>
        <v>265</v>
      </c>
      <c r="E274" s="2"/>
      <c r="F274" s="2" t="str">
        <f>IF(F265&lt;&gt;"",F265,"")</f>
        <v>урны 2</v>
      </c>
      <c r="G274" s="2" t="str">
        <f>IF(G265&lt;&gt;"",G265,"")</f>
        <v>Установка урн 2 шт.</v>
      </c>
      <c r="H274" s="2">
        <v>0</v>
      </c>
      <c r="I274" s="2"/>
      <c r="J274" s="2"/>
      <c r="K274" s="2"/>
      <c r="L274" s="2"/>
      <c r="M274" s="2"/>
      <c r="N274" s="2"/>
      <c r="O274" s="2">
        <f t="shared" ref="O274:T274" si="227">ROUND(AB274,2)</f>
        <v>10671.53</v>
      </c>
      <c r="P274" s="2">
        <f t="shared" si="227"/>
        <v>10171.129999999999</v>
      </c>
      <c r="Q274" s="2">
        <f t="shared" si="227"/>
        <v>27.79</v>
      </c>
      <c r="R274" s="2">
        <f t="shared" si="227"/>
        <v>0.02</v>
      </c>
      <c r="S274" s="2">
        <f t="shared" si="227"/>
        <v>472.61</v>
      </c>
      <c r="T274" s="2">
        <f t="shared" si="227"/>
        <v>0</v>
      </c>
      <c r="U274" s="2">
        <f>AH274</f>
        <v>1.8580420000000002</v>
      </c>
      <c r="V274" s="2">
        <f>AI274</f>
        <v>0</v>
      </c>
      <c r="W274" s="2">
        <f>ROUND(AJ274,2)</f>
        <v>0</v>
      </c>
      <c r="X274" s="2">
        <f>ROUND(AK274,2)</f>
        <v>330.83</v>
      </c>
      <c r="Y274" s="2">
        <f>ROUND(AL274,2)</f>
        <v>47.26</v>
      </c>
      <c r="Z274" s="2"/>
      <c r="AA274" s="2"/>
      <c r="AB274" s="2">
        <f>ROUND(SUMIF(AA269:AA272,"=49707740",O269:O272),2)</f>
        <v>10671.53</v>
      </c>
      <c r="AC274" s="2">
        <f>ROUND(SUMIF(AA269:AA272,"=49707740",P269:P272),2)</f>
        <v>10171.129999999999</v>
      </c>
      <c r="AD274" s="2">
        <f>ROUND(SUMIF(AA269:AA272,"=49707740",Q269:Q272),2)</f>
        <v>27.79</v>
      </c>
      <c r="AE274" s="2">
        <f>ROUND(SUMIF(AA269:AA272,"=49707740",R269:R272),2)</f>
        <v>0.02</v>
      </c>
      <c r="AF274" s="2">
        <f>ROUND(SUMIF(AA269:AA272,"=49707740",S269:S272),2)</f>
        <v>472.61</v>
      </c>
      <c r="AG274" s="2">
        <f>ROUND(SUMIF(AA269:AA272,"=49707740",T269:T272),2)</f>
        <v>0</v>
      </c>
      <c r="AH274" s="2">
        <f>SUMIF(AA269:AA272,"=49707740",U269:U272)</f>
        <v>1.8580420000000002</v>
      </c>
      <c r="AI274" s="2">
        <f>SUMIF(AA269:AA272,"=49707740",V269:V272)</f>
        <v>0</v>
      </c>
      <c r="AJ274" s="2">
        <f>ROUND(SUMIF(AA269:AA272,"=49707740",W269:W272),2)</f>
        <v>0</v>
      </c>
      <c r="AK274" s="2">
        <f>ROUND(SUMIF(AA269:AA272,"=49707740",X269:X272),2)</f>
        <v>330.83</v>
      </c>
      <c r="AL274" s="2">
        <f>ROUND(SUMIF(AA269:AA272,"=49707740",Y269:Y272),2)</f>
        <v>47.26</v>
      </c>
      <c r="AM274" s="2"/>
      <c r="AN274" s="2"/>
      <c r="AO274" s="2">
        <f t="shared" ref="AO274:BD274" si="228">ROUND(BX274,2)</f>
        <v>0</v>
      </c>
      <c r="AP274" s="2">
        <f t="shared" si="228"/>
        <v>0</v>
      </c>
      <c r="AQ274" s="2">
        <f t="shared" si="228"/>
        <v>0</v>
      </c>
      <c r="AR274" s="2">
        <f t="shared" si="228"/>
        <v>11049.64</v>
      </c>
      <c r="AS274" s="2">
        <f t="shared" si="228"/>
        <v>7140</v>
      </c>
      <c r="AT274" s="2">
        <f t="shared" si="228"/>
        <v>0</v>
      </c>
      <c r="AU274" s="2">
        <f t="shared" si="228"/>
        <v>3909.64</v>
      </c>
      <c r="AV274" s="2">
        <f t="shared" si="228"/>
        <v>10171.129999999999</v>
      </c>
      <c r="AW274" s="2">
        <f t="shared" si="228"/>
        <v>10171.129999999999</v>
      </c>
      <c r="AX274" s="2">
        <f t="shared" si="228"/>
        <v>0</v>
      </c>
      <c r="AY274" s="2">
        <f t="shared" si="228"/>
        <v>10171.129999999999</v>
      </c>
      <c r="AZ274" s="2">
        <f t="shared" si="228"/>
        <v>0</v>
      </c>
      <c r="BA274" s="2">
        <f t="shared" si="228"/>
        <v>0</v>
      </c>
      <c r="BB274" s="2">
        <f t="shared" si="228"/>
        <v>0</v>
      </c>
      <c r="BC274" s="2">
        <f t="shared" si="228"/>
        <v>0</v>
      </c>
      <c r="BD274" s="2">
        <f t="shared" si="228"/>
        <v>0</v>
      </c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>
        <f>ROUND(SUMIF(AA269:AA272,"=49707740",FQ269:FQ272),2)</f>
        <v>0</v>
      </c>
      <c r="BY274" s="2">
        <f>ROUND(SUMIF(AA269:AA272,"=49707740",FR269:FR272),2)</f>
        <v>0</v>
      </c>
      <c r="BZ274" s="2">
        <f>ROUND(SUMIF(AA269:AA272,"=49707740",GL269:GL272),2)</f>
        <v>0</v>
      </c>
      <c r="CA274" s="2">
        <f>ROUND(SUMIF(AA269:AA272,"=49707740",GM269:GM272),2)</f>
        <v>11049.64</v>
      </c>
      <c r="CB274" s="2">
        <f>ROUND(SUMIF(AA269:AA272,"=49707740",GN269:GN272),2)</f>
        <v>7140</v>
      </c>
      <c r="CC274" s="2">
        <f>ROUND(SUMIF(AA269:AA272,"=49707740",GO269:GO272),2)</f>
        <v>0</v>
      </c>
      <c r="CD274" s="2">
        <f>ROUND(SUMIF(AA269:AA272,"=49707740",GP269:GP272),2)</f>
        <v>3909.64</v>
      </c>
      <c r="CE274" s="2">
        <f>AC274-BX274</f>
        <v>10171.129999999999</v>
      </c>
      <c r="CF274" s="2">
        <f>AC274-BY274</f>
        <v>10171.129999999999</v>
      </c>
      <c r="CG274" s="2">
        <f>BX274-BZ274</f>
        <v>0</v>
      </c>
      <c r="CH274" s="2">
        <f>AC274-BX274-BY274+BZ274</f>
        <v>10171.129999999999</v>
      </c>
      <c r="CI274" s="2">
        <f>BY274-BZ274</f>
        <v>0</v>
      </c>
      <c r="CJ274" s="2">
        <f>ROUND(SUMIF(AA269:AA272,"=49707740",GX269:GX272),2)</f>
        <v>0</v>
      </c>
      <c r="CK274" s="2">
        <f>ROUND(SUMIF(AA269:AA272,"=49707740",GY269:GY272),2)</f>
        <v>0</v>
      </c>
      <c r="CL274" s="2">
        <f>ROUND(SUMIF(AA269:AA272,"=49707740",GZ269:GZ272),2)</f>
        <v>0</v>
      </c>
      <c r="CM274" s="2">
        <f>ROUND(SUMIF(AA269:AA272,"=49707740",HD269:HD272),2)</f>
        <v>0</v>
      </c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3"/>
      <c r="DH274" s="3"/>
      <c r="DI274" s="3"/>
      <c r="DJ274" s="3"/>
      <c r="DK274" s="3"/>
      <c r="DL274" s="3"/>
      <c r="DM274" s="3"/>
      <c r="DN274" s="3"/>
      <c r="DO274" s="3"/>
      <c r="DP274" s="3"/>
      <c r="DQ274" s="3"/>
      <c r="DR274" s="3"/>
      <c r="DS274" s="3"/>
      <c r="DT274" s="3"/>
      <c r="DU274" s="3"/>
      <c r="DV274" s="3"/>
      <c r="DW274" s="3"/>
      <c r="DX274" s="3"/>
      <c r="DY274" s="3"/>
      <c r="DZ274" s="3"/>
      <c r="EA274" s="3"/>
      <c r="EB274" s="3"/>
      <c r="EC274" s="3"/>
      <c r="ED274" s="3"/>
      <c r="EE274" s="3"/>
      <c r="EF274" s="3"/>
      <c r="EG274" s="3"/>
      <c r="EH274" s="3"/>
      <c r="EI274" s="3"/>
      <c r="EJ274" s="3"/>
      <c r="EK274" s="3"/>
      <c r="EL274" s="3"/>
      <c r="EM274" s="3"/>
      <c r="EN274" s="3"/>
      <c r="EO274" s="3"/>
      <c r="EP274" s="3"/>
      <c r="EQ274" s="3"/>
      <c r="ER274" s="3"/>
      <c r="ES274" s="3"/>
      <c r="ET274" s="3"/>
      <c r="EU274" s="3"/>
      <c r="EV274" s="3"/>
      <c r="EW274" s="3"/>
      <c r="EX274" s="3"/>
      <c r="EY274" s="3"/>
      <c r="EZ274" s="3"/>
      <c r="FA274" s="3"/>
      <c r="FB274" s="3"/>
      <c r="FC274" s="3"/>
      <c r="FD274" s="3"/>
      <c r="FE274" s="3"/>
      <c r="FF274" s="3"/>
      <c r="FG274" s="3"/>
      <c r="FH274" s="3"/>
      <c r="FI274" s="3"/>
      <c r="FJ274" s="3"/>
      <c r="FK274" s="3"/>
      <c r="FL274" s="3"/>
      <c r="FM274" s="3"/>
      <c r="FN274" s="3"/>
      <c r="FO274" s="3"/>
      <c r="FP274" s="3"/>
      <c r="FQ274" s="3"/>
      <c r="FR274" s="3"/>
      <c r="FS274" s="3"/>
      <c r="FT274" s="3"/>
      <c r="FU274" s="3"/>
      <c r="FV274" s="3"/>
      <c r="FW274" s="3"/>
      <c r="FX274" s="3"/>
      <c r="FY274" s="3"/>
      <c r="FZ274" s="3"/>
      <c r="GA274" s="3"/>
      <c r="GB274" s="3"/>
      <c r="GC274" s="3"/>
      <c r="GD274" s="3"/>
      <c r="GE274" s="3"/>
      <c r="GF274" s="3"/>
      <c r="GG274" s="3"/>
      <c r="GH274" s="3"/>
      <c r="GI274" s="3"/>
      <c r="GJ274" s="3"/>
      <c r="GK274" s="3"/>
      <c r="GL274" s="3"/>
      <c r="GM274" s="3"/>
      <c r="GN274" s="3"/>
      <c r="GO274" s="3"/>
      <c r="GP274" s="3"/>
      <c r="GQ274" s="3"/>
      <c r="GR274" s="3"/>
      <c r="GS274" s="3"/>
      <c r="GT274" s="3"/>
      <c r="GU274" s="3"/>
      <c r="GV274" s="3"/>
      <c r="GW274" s="3"/>
      <c r="GX274" s="3">
        <v>0</v>
      </c>
    </row>
    <row r="276" spans="1:206" x14ac:dyDescent="0.2">
      <c r="A276" s="4">
        <v>50</v>
      </c>
      <c r="B276" s="4">
        <v>0</v>
      </c>
      <c r="C276" s="4">
        <v>0</v>
      </c>
      <c r="D276" s="4">
        <v>1</v>
      </c>
      <c r="E276" s="4">
        <v>201</v>
      </c>
      <c r="F276" s="4">
        <f>ROUND(Source!O274,O276)</f>
        <v>10671.53</v>
      </c>
      <c r="G276" s="4" t="s">
        <v>106</v>
      </c>
      <c r="H276" s="4" t="s">
        <v>107</v>
      </c>
      <c r="I276" s="4"/>
      <c r="J276" s="4"/>
      <c r="K276" s="4">
        <v>-201</v>
      </c>
      <c r="L276" s="4">
        <v>1</v>
      </c>
      <c r="M276" s="4">
        <v>3</v>
      </c>
      <c r="N276" s="4" t="s">
        <v>3</v>
      </c>
      <c r="O276" s="4">
        <v>2</v>
      </c>
      <c r="P276" s="4"/>
      <c r="Q276" s="4"/>
      <c r="R276" s="4"/>
      <c r="S276" s="4"/>
      <c r="T276" s="4"/>
      <c r="U276" s="4"/>
      <c r="V276" s="4"/>
      <c r="W276" s="4"/>
    </row>
    <row r="277" spans="1:206" x14ac:dyDescent="0.2">
      <c r="A277" s="4">
        <v>50</v>
      </c>
      <c r="B277" s="4">
        <v>0</v>
      </c>
      <c r="C277" s="4">
        <v>0</v>
      </c>
      <c r="D277" s="4">
        <v>1</v>
      </c>
      <c r="E277" s="4">
        <v>202</v>
      </c>
      <c r="F277" s="4">
        <f>ROUND(Source!P274,O277)</f>
        <v>10171.129999999999</v>
      </c>
      <c r="G277" s="4" t="s">
        <v>108</v>
      </c>
      <c r="H277" s="4" t="s">
        <v>109</v>
      </c>
      <c r="I277" s="4"/>
      <c r="J277" s="4"/>
      <c r="K277" s="4">
        <v>-202</v>
      </c>
      <c r="L277" s="4">
        <v>2</v>
      </c>
      <c r="M277" s="4">
        <v>3</v>
      </c>
      <c r="N277" s="4" t="s">
        <v>3</v>
      </c>
      <c r="O277" s="4">
        <v>2</v>
      </c>
      <c r="P277" s="4"/>
      <c r="Q277" s="4"/>
      <c r="R277" s="4"/>
      <c r="S277" s="4"/>
      <c r="T277" s="4"/>
      <c r="U277" s="4"/>
      <c r="V277" s="4"/>
      <c r="W277" s="4"/>
    </row>
    <row r="278" spans="1:206" x14ac:dyDescent="0.2">
      <c r="A278" s="4">
        <v>50</v>
      </c>
      <c r="B278" s="4">
        <v>0</v>
      </c>
      <c r="C278" s="4">
        <v>0</v>
      </c>
      <c r="D278" s="4">
        <v>1</v>
      </c>
      <c r="E278" s="4">
        <v>222</v>
      </c>
      <c r="F278" s="4">
        <f>ROUND(Source!AO274,O278)</f>
        <v>0</v>
      </c>
      <c r="G278" s="4" t="s">
        <v>110</v>
      </c>
      <c r="H278" s="4" t="s">
        <v>111</v>
      </c>
      <c r="I278" s="4"/>
      <c r="J278" s="4"/>
      <c r="K278" s="4">
        <v>-222</v>
      </c>
      <c r="L278" s="4">
        <v>3</v>
      </c>
      <c r="M278" s="4">
        <v>3</v>
      </c>
      <c r="N278" s="4" t="s">
        <v>3</v>
      </c>
      <c r="O278" s="4">
        <v>2</v>
      </c>
      <c r="P278" s="4"/>
      <c r="Q278" s="4"/>
      <c r="R278" s="4"/>
      <c r="S278" s="4"/>
      <c r="T278" s="4"/>
      <c r="U278" s="4"/>
      <c r="V278" s="4"/>
      <c r="W278" s="4"/>
    </row>
    <row r="279" spans="1:206" x14ac:dyDescent="0.2">
      <c r="A279" s="4">
        <v>50</v>
      </c>
      <c r="B279" s="4">
        <v>0</v>
      </c>
      <c r="C279" s="4">
        <v>0</v>
      </c>
      <c r="D279" s="4">
        <v>1</v>
      </c>
      <c r="E279" s="4">
        <v>225</v>
      </c>
      <c r="F279" s="4">
        <f>ROUND(Source!AV274,O279)</f>
        <v>10171.129999999999</v>
      </c>
      <c r="G279" s="4" t="s">
        <v>112</v>
      </c>
      <c r="H279" s="4" t="s">
        <v>113</v>
      </c>
      <c r="I279" s="4"/>
      <c r="J279" s="4"/>
      <c r="K279" s="4">
        <v>-225</v>
      </c>
      <c r="L279" s="4">
        <v>4</v>
      </c>
      <c r="M279" s="4">
        <v>3</v>
      </c>
      <c r="N279" s="4" t="s">
        <v>3</v>
      </c>
      <c r="O279" s="4">
        <v>2</v>
      </c>
      <c r="P279" s="4"/>
      <c r="Q279" s="4"/>
      <c r="R279" s="4"/>
      <c r="S279" s="4"/>
      <c r="T279" s="4"/>
      <c r="U279" s="4"/>
      <c r="V279" s="4"/>
      <c r="W279" s="4"/>
    </row>
    <row r="280" spans="1:206" x14ac:dyDescent="0.2">
      <c r="A280" s="4">
        <v>50</v>
      </c>
      <c r="B280" s="4">
        <v>0</v>
      </c>
      <c r="C280" s="4">
        <v>0</v>
      </c>
      <c r="D280" s="4">
        <v>1</v>
      </c>
      <c r="E280" s="4">
        <v>226</v>
      </c>
      <c r="F280" s="4">
        <f>ROUND(Source!AW274,O280)</f>
        <v>10171.129999999999</v>
      </c>
      <c r="G280" s="4" t="s">
        <v>114</v>
      </c>
      <c r="H280" s="4" t="s">
        <v>115</v>
      </c>
      <c r="I280" s="4"/>
      <c r="J280" s="4"/>
      <c r="K280" s="4">
        <v>-226</v>
      </c>
      <c r="L280" s="4">
        <v>5</v>
      </c>
      <c r="M280" s="4">
        <v>3</v>
      </c>
      <c r="N280" s="4" t="s">
        <v>3</v>
      </c>
      <c r="O280" s="4">
        <v>2</v>
      </c>
      <c r="P280" s="4"/>
      <c r="Q280" s="4"/>
      <c r="R280" s="4"/>
      <c r="S280" s="4"/>
      <c r="T280" s="4"/>
      <c r="U280" s="4"/>
      <c r="V280" s="4"/>
      <c r="W280" s="4"/>
    </row>
    <row r="281" spans="1:206" x14ac:dyDescent="0.2">
      <c r="A281" s="4">
        <v>50</v>
      </c>
      <c r="B281" s="4">
        <v>0</v>
      </c>
      <c r="C281" s="4">
        <v>0</v>
      </c>
      <c r="D281" s="4">
        <v>1</v>
      </c>
      <c r="E281" s="4">
        <v>227</v>
      </c>
      <c r="F281" s="4">
        <f>ROUND(Source!AX274,O281)</f>
        <v>0</v>
      </c>
      <c r="G281" s="4" t="s">
        <v>116</v>
      </c>
      <c r="H281" s="4" t="s">
        <v>117</v>
      </c>
      <c r="I281" s="4"/>
      <c r="J281" s="4"/>
      <c r="K281" s="4">
        <v>-227</v>
      </c>
      <c r="L281" s="4">
        <v>6</v>
      </c>
      <c r="M281" s="4">
        <v>3</v>
      </c>
      <c r="N281" s="4" t="s">
        <v>3</v>
      </c>
      <c r="O281" s="4">
        <v>2</v>
      </c>
      <c r="P281" s="4"/>
      <c r="Q281" s="4"/>
      <c r="R281" s="4"/>
      <c r="S281" s="4"/>
      <c r="T281" s="4"/>
      <c r="U281" s="4"/>
      <c r="V281" s="4"/>
      <c r="W281" s="4"/>
    </row>
    <row r="282" spans="1:206" x14ac:dyDescent="0.2">
      <c r="A282" s="4">
        <v>50</v>
      </c>
      <c r="B282" s="4">
        <v>0</v>
      </c>
      <c r="C282" s="4">
        <v>0</v>
      </c>
      <c r="D282" s="4">
        <v>1</v>
      </c>
      <c r="E282" s="4">
        <v>228</v>
      </c>
      <c r="F282" s="4">
        <f>ROUND(Source!AY274,O282)</f>
        <v>10171.129999999999</v>
      </c>
      <c r="G282" s="4" t="s">
        <v>118</v>
      </c>
      <c r="H282" s="4" t="s">
        <v>119</v>
      </c>
      <c r="I282" s="4"/>
      <c r="J282" s="4"/>
      <c r="K282" s="4">
        <v>-228</v>
      </c>
      <c r="L282" s="4">
        <v>7</v>
      </c>
      <c r="M282" s="4">
        <v>3</v>
      </c>
      <c r="N282" s="4" t="s">
        <v>3</v>
      </c>
      <c r="O282" s="4">
        <v>2</v>
      </c>
      <c r="P282" s="4"/>
      <c r="Q282" s="4"/>
      <c r="R282" s="4"/>
      <c r="S282" s="4"/>
      <c r="T282" s="4"/>
      <c r="U282" s="4"/>
      <c r="V282" s="4"/>
      <c r="W282" s="4"/>
    </row>
    <row r="283" spans="1:206" x14ac:dyDescent="0.2">
      <c r="A283" s="4">
        <v>50</v>
      </c>
      <c r="B283" s="4">
        <v>0</v>
      </c>
      <c r="C283" s="4">
        <v>0</v>
      </c>
      <c r="D283" s="4">
        <v>1</v>
      </c>
      <c r="E283" s="4">
        <v>216</v>
      </c>
      <c r="F283" s="4">
        <f>ROUND(Source!AP274,O283)</f>
        <v>0</v>
      </c>
      <c r="G283" s="4" t="s">
        <v>120</v>
      </c>
      <c r="H283" s="4" t="s">
        <v>121</v>
      </c>
      <c r="I283" s="4"/>
      <c r="J283" s="4"/>
      <c r="K283" s="4">
        <v>-216</v>
      </c>
      <c r="L283" s="4">
        <v>8</v>
      </c>
      <c r="M283" s="4">
        <v>3</v>
      </c>
      <c r="N283" s="4" t="s">
        <v>3</v>
      </c>
      <c r="O283" s="4">
        <v>2</v>
      </c>
      <c r="P283" s="4"/>
      <c r="Q283" s="4"/>
      <c r="R283" s="4"/>
      <c r="S283" s="4"/>
      <c r="T283" s="4"/>
      <c r="U283" s="4"/>
      <c r="V283" s="4"/>
      <c r="W283" s="4"/>
    </row>
    <row r="284" spans="1:206" x14ac:dyDescent="0.2">
      <c r="A284" s="4">
        <v>50</v>
      </c>
      <c r="B284" s="4">
        <v>0</v>
      </c>
      <c r="C284" s="4">
        <v>0</v>
      </c>
      <c r="D284" s="4">
        <v>1</v>
      </c>
      <c r="E284" s="4">
        <v>223</v>
      </c>
      <c r="F284" s="4">
        <f>ROUND(Source!AQ274,O284)</f>
        <v>0</v>
      </c>
      <c r="G284" s="4" t="s">
        <v>122</v>
      </c>
      <c r="H284" s="4" t="s">
        <v>123</v>
      </c>
      <c r="I284" s="4"/>
      <c r="J284" s="4"/>
      <c r="K284" s="4">
        <v>-223</v>
      </c>
      <c r="L284" s="4">
        <v>9</v>
      </c>
      <c r="M284" s="4">
        <v>3</v>
      </c>
      <c r="N284" s="4" t="s">
        <v>3</v>
      </c>
      <c r="O284" s="4">
        <v>2</v>
      </c>
      <c r="P284" s="4"/>
      <c r="Q284" s="4"/>
      <c r="R284" s="4"/>
      <c r="S284" s="4"/>
      <c r="T284" s="4"/>
      <c r="U284" s="4"/>
      <c r="V284" s="4"/>
      <c r="W284" s="4"/>
    </row>
    <row r="285" spans="1:206" x14ac:dyDescent="0.2">
      <c r="A285" s="4">
        <v>50</v>
      </c>
      <c r="B285" s="4">
        <v>0</v>
      </c>
      <c r="C285" s="4">
        <v>0</v>
      </c>
      <c r="D285" s="4">
        <v>1</v>
      </c>
      <c r="E285" s="4">
        <v>229</v>
      </c>
      <c r="F285" s="4">
        <f>ROUND(Source!AZ274,O285)</f>
        <v>0</v>
      </c>
      <c r="G285" s="4" t="s">
        <v>124</v>
      </c>
      <c r="H285" s="4" t="s">
        <v>125</v>
      </c>
      <c r="I285" s="4"/>
      <c r="J285" s="4"/>
      <c r="K285" s="4">
        <v>-229</v>
      </c>
      <c r="L285" s="4">
        <v>10</v>
      </c>
      <c r="M285" s="4">
        <v>3</v>
      </c>
      <c r="N285" s="4" t="s">
        <v>3</v>
      </c>
      <c r="O285" s="4">
        <v>2</v>
      </c>
      <c r="P285" s="4"/>
      <c r="Q285" s="4"/>
      <c r="R285" s="4"/>
      <c r="S285" s="4"/>
      <c r="T285" s="4"/>
      <c r="U285" s="4"/>
      <c r="V285" s="4"/>
      <c r="W285" s="4"/>
    </row>
    <row r="286" spans="1:206" x14ac:dyDescent="0.2">
      <c r="A286" s="4">
        <v>50</v>
      </c>
      <c r="B286" s="4">
        <v>0</v>
      </c>
      <c r="C286" s="4">
        <v>0</v>
      </c>
      <c r="D286" s="4">
        <v>1</v>
      </c>
      <c r="E286" s="4">
        <v>203</v>
      </c>
      <c r="F286" s="4">
        <f>ROUND(Source!Q274,O286)</f>
        <v>27.79</v>
      </c>
      <c r="G286" s="4" t="s">
        <v>126</v>
      </c>
      <c r="H286" s="4" t="s">
        <v>127</v>
      </c>
      <c r="I286" s="4"/>
      <c r="J286" s="4"/>
      <c r="K286" s="4">
        <v>-203</v>
      </c>
      <c r="L286" s="4">
        <v>11</v>
      </c>
      <c r="M286" s="4">
        <v>3</v>
      </c>
      <c r="N286" s="4" t="s">
        <v>3</v>
      </c>
      <c r="O286" s="4">
        <v>2</v>
      </c>
      <c r="P286" s="4"/>
      <c r="Q286" s="4"/>
      <c r="R286" s="4"/>
      <c r="S286" s="4"/>
      <c r="T286" s="4"/>
      <c r="U286" s="4"/>
      <c r="V286" s="4"/>
      <c r="W286" s="4"/>
    </row>
    <row r="287" spans="1:206" x14ac:dyDescent="0.2">
      <c r="A287" s="4">
        <v>50</v>
      </c>
      <c r="B287" s="4">
        <v>0</v>
      </c>
      <c r="C287" s="4">
        <v>0</v>
      </c>
      <c r="D287" s="4">
        <v>1</v>
      </c>
      <c r="E287" s="4">
        <v>231</v>
      </c>
      <c r="F287" s="4">
        <f>ROUND(Source!BB274,O287)</f>
        <v>0</v>
      </c>
      <c r="G287" s="4" t="s">
        <v>128</v>
      </c>
      <c r="H287" s="4" t="s">
        <v>129</v>
      </c>
      <c r="I287" s="4"/>
      <c r="J287" s="4"/>
      <c r="K287" s="4">
        <v>-231</v>
      </c>
      <c r="L287" s="4">
        <v>12</v>
      </c>
      <c r="M287" s="4">
        <v>3</v>
      </c>
      <c r="N287" s="4" t="s">
        <v>3</v>
      </c>
      <c r="O287" s="4">
        <v>2</v>
      </c>
      <c r="P287" s="4"/>
      <c r="Q287" s="4"/>
      <c r="R287" s="4"/>
      <c r="S287" s="4"/>
      <c r="T287" s="4"/>
      <c r="U287" s="4"/>
      <c r="V287" s="4"/>
      <c r="W287" s="4"/>
    </row>
    <row r="288" spans="1:206" x14ac:dyDescent="0.2">
      <c r="A288" s="4">
        <v>50</v>
      </c>
      <c r="B288" s="4">
        <v>0</v>
      </c>
      <c r="C288" s="4">
        <v>0</v>
      </c>
      <c r="D288" s="4">
        <v>1</v>
      </c>
      <c r="E288" s="4">
        <v>204</v>
      </c>
      <c r="F288" s="4">
        <f>ROUND(Source!R274,O288)</f>
        <v>0.02</v>
      </c>
      <c r="G288" s="4" t="s">
        <v>130</v>
      </c>
      <c r="H288" s="4" t="s">
        <v>131</v>
      </c>
      <c r="I288" s="4"/>
      <c r="J288" s="4"/>
      <c r="K288" s="4">
        <v>-204</v>
      </c>
      <c r="L288" s="4">
        <v>13</v>
      </c>
      <c r="M288" s="4">
        <v>3</v>
      </c>
      <c r="N288" s="4" t="s">
        <v>3</v>
      </c>
      <c r="O288" s="4">
        <v>2</v>
      </c>
      <c r="P288" s="4"/>
      <c r="Q288" s="4"/>
      <c r="R288" s="4"/>
      <c r="S288" s="4"/>
      <c r="T288" s="4"/>
      <c r="U288" s="4"/>
      <c r="V288" s="4"/>
      <c r="W288" s="4"/>
    </row>
    <row r="289" spans="1:23" x14ac:dyDescent="0.2">
      <c r="A289" s="4">
        <v>50</v>
      </c>
      <c r="B289" s="4">
        <v>0</v>
      </c>
      <c r="C289" s="4">
        <v>0</v>
      </c>
      <c r="D289" s="4">
        <v>1</v>
      </c>
      <c r="E289" s="4">
        <v>205</v>
      </c>
      <c r="F289" s="4">
        <f>ROUND(Source!S274,O289)</f>
        <v>472.61</v>
      </c>
      <c r="G289" s="4" t="s">
        <v>132</v>
      </c>
      <c r="H289" s="4" t="s">
        <v>133</v>
      </c>
      <c r="I289" s="4"/>
      <c r="J289" s="4"/>
      <c r="K289" s="4">
        <v>-205</v>
      </c>
      <c r="L289" s="4">
        <v>14</v>
      </c>
      <c r="M289" s="4">
        <v>3</v>
      </c>
      <c r="N289" s="4" t="s">
        <v>3</v>
      </c>
      <c r="O289" s="4">
        <v>2</v>
      </c>
      <c r="P289" s="4"/>
      <c r="Q289" s="4"/>
      <c r="R289" s="4"/>
      <c r="S289" s="4"/>
      <c r="T289" s="4"/>
      <c r="U289" s="4"/>
      <c r="V289" s="4"/>
      <c r="W289" s="4"/>
    </row>
    <row r="290" spans="1:23" x14ac:dyDescent="0.2">
      <c r="A290" s="4">
        <v>50</v>
      </c>
      <c r="B290" s="4">
        <v>0</v>
      </c>
      <c r="C290" s="4">
        <v>0</v>
      </c>
      <c r="D290" s="4">
        <v>1</v>
      </c>
      <c r="E290" s="4">
        <v>232</v>
      </c>
      <c r="F290" s="4">
        <f>ROUND(Source!BC274,O290)</f>
        <v>0</v>
      </c>
      <c r="G290" s="4" t="s">
        <v>134</v>
      </c>
      <c r="H290" s="4" t="s">
        <v>135</v>
      </c>
      <c r="I290" s="4"/>
      <c r="J290" s="4"/>
      <c r="K290" s="4">
        <v>-232</v>
      </c>
      <c r="L290" s="4">
        <v>15</v>
      </c>
      <c r="M290" s="4">
        <v>3</v>
      </c>
      <c r="N290" s="4" t="s">
        <v>3</v>
      </c>
      <c r="O290" s="4">
        <v>2</v>
      </c>
      <c r="P290" s="4"/>
      <c r="Q290" s="4"/>
      <c r="R290" s="4"/>
      <c r="S290" s="4"/>
      <c r="T290" s="4"/>
      <c r="U290" s="4"/>
      <c r="V290" s="4"/>
      <c r="W290" s="4"/>
    </row>
    <row r="291" spans="1:23" x14ac:dyDescent="0.2">
      <c r="A291" s="4">
        <v>50</v>
      </c>
      <c r="B291" s="4">
        <v>0</v>
      </c>
      <c r="C291" s="4">
        <v>0</v>
      </c>
      <c r="D291" s="4">
        <v>1</v>
      </c>
      <c r="E291" s="4">
        <v>214</v>
      </c>
      <c r="F291" s="4">
        <f>ROUND(Source!AS274,O291)</f>
        <v>7140</v>
      </c>
      <c r="G291" s="4" t="s">
        <v>136</v>
      </c>
      <c r="H291" s="4" t="s">
        <v>137</v>
      </c>
      <c r="I291" s="4"/>
      <c r="J291" s="4"/>
      <c r="K291" s="4">
        <v>-214</v>
      </c>
      <c r="L291" s="4">
        <v>16</v>
      </c>
      <c r="M291" s="4">
        <v>3</v>
      </c>
      <c r="N291" s="4" t="s">
        <v>3</v>
      </c>
      <c r="O291" s="4">
        <v>2</v>
      </c>
      <c r="P291" s="4"/>
      <c r="Q291" s="4"/>
      <c r="R291" s="4"/>
      <c r="S291" s="4"/>
      <c r="T291" s="4"/>
      <c r="U291" s="4"/>
      <c r="V291" s="4"/>
      <c r="W291" s="4"/>
    </row>
    <row r="292" spans="1:23" x14ac:dyDescent="0.2">
      <c r="A292" s="4">
        <v>50</v>
      </c>
      <c r="B292" s="4">
        <v>0</v>
      </c>
      <c r="C292" s="4">
        <v>0</v>
      </c>
      <c r="D292" s="4">
        <v>1</v>
      </c>
      <c r="E292" s="4">
        <v>215</v>
      </c>
      <c r="F292" s="4">
        <f>ROUND(Source!AT274,O292)</f>
        <v>0</v>
      </c>
      <c r="G292" s="4" t="s">
        <v>138</v>
      </c>
      <c r="H292" s="4" t="s">
        <v>139</v>
      </c>
      <c r="I292" s="4"/>
      <c r="J292" s="4"/>
      <c r="K292" s="4">
        <v>-215</v>
      </c>
      <c r="L292" s="4">
        <v>17</v>
      </c>
      <c r="M292" s="4">
        <v>3</v>
      </c>
      <c r="N292" s="4" t="s">
        <v>3</v>
      </c>
      <c r="O292" s="4">
        <v>2</v>
      </c>
      <c r="P292" s="4"/>
      <c r="Q292" s="4"/>
      <c r="R292" s="4"/>
      <c r="S292" s="4"/>
      <c r="T292" s="4"/>
      <c r="U292" s="4"/>
      <c r="V292" s="4"/>
      <c r="W292" s="4"/>
    </row>
    <row r="293" spans="1:23" x14ac:dyDescent="0.2">
      <c r="A293" s="4">
        <v>50</v>
      </c>
      <c r="B293" s="4">
        <v>0</v>
      </c>
      <c r="C293" s="4">
        <v>0</v>
      </c>
      <c r="D293" s="4">
        <v>1</v>
      </c>
      <c r="E293" s="4">
        <v>217</v>
      </c>
      <c r="F293" s="4">
        <f>ROUND(Source!AU274,O293)</f>
        <v>3909.64</v>
      </c>
      <c r="G293" s="4" t="s">
        <v>140</v>
      </c>
      <c r="H293" s="4" t="s">
        <v>141</v>
      </c>
      <c r="I293" s="4"/>
      <c r="J293" s="4"/>
      <c r="K293" s="4">
        <v>-217</v>
      </c>
      <c r="L293" s="4">
        <v>18</v>
      </c>
      <c r="M293" s="4">
        <v>3</v>
      </c>
      <c r="N293" s="4" t="s">
        <v>3</v>
      </c>
      <c r="O293" s="4">
        <v>2</v>
      </c>
      <c r="P293" s="4"/>
      <c r="Q293" s="4"/>
      <c r="R293" s="4"/>
      <c r="S293" s="4"/>
      <c r="T293" s="4"/>
      <c r="U293" s="4"/>
      <c r="V293" s="4"/>
      <c r="W293" s="4"/>
    </row>
    <row r="294" spans="1:23" x14ac:dyDescent="0.2">
      <c r="A294" s="4">
        <v>50</v>
      </c>
      <c r="B294" s="4">
        <v>0</v>
      </c>
      <c r="C294" s="4">
        <v>0</v>
      </c>
      <c r="D294" s="4">
        <v>1</v>
      </c>
      <c r="E294" s="4">
        <v>230</v>
      </c>
      <c r="F294" s="4">
        <f>ROUND(Source!BA274,O294)</f>
        <v>0</v>
      </c>
      <c r="G294" s="4" t="s">
        <v>142</v>
      </c>
      <c r="H294" s="4" t="s">
        <v>143</v>
      </c>
      <c r="I294" s="4"/>
      <c r="J294" s="4"/>
      <c r="K294" s="4">
        <v>-230</v>
      </c>
      <c r="L294" s="4">
        <v>19</v>
      </c>
      <c r="M294" s="4">
        <v>3</v>
      </c>
      <c r="N294" s="4" t="s">
        <v>3</v>
      </c>
      <c r="O294" s="4">
        <v>2</v>
      </c>
      <c r="P294" s="4"/>
      <c r="Q294" s="4"/>
      <c r="R294" s="4"/>
      <c r="S294" s="4"/>
      <c r="T294" s="4"/>
      <c r="U294" s="4"/>
      <c r="V294" s="4"/>
      <c r="W294" s="4"/>
    </row>
    <row r="295" spans="1:23" x14ac:dyDescent="0.2">
      <c r="A295" s="4">
        <v>50</v>
      </c>
      <c r="B295" s="4">
        <v>0</v>
      </c>
      <c r="C295" s="4">
        <v>0</v>
      </c>
      <c r="D295" s="4">
        <v>1</v>
      </c>
      <c r="E295" s="4">
        <v>206</v>
      </c>
      <c r="F295" s="4">
        <f>ROUND(Source!T274,O295)</f>
        <v>0</v>
      </c>
      <c r="G295" s="4" t="s">
        <v>144</v>
      </c>
      <c r="H295" s="4" t="s">
        <v>145</v>
      </c>
      <c r="I295" s="4"/>
      <c r="J295" s="4"/>
      <c r="K295" s="4">
        <v>-206</v>
      </c>
      <c r="L295" s="4">
        <v>20</v>
      </c>
      <c r="M295" s="4">
        <v>3</v>
      </c>
      <c r="N295" s="4" t="s">
        <v>3</v>
      </c>
      <c r="O295" s="4">
        <v>2</v>
      </c>
      <c r="P295" s="4"/>
      <c r="Q295" s="4"/>
      <c r="R295" s="4"/>
      <c r="S295" s="4"/>
      <c r="T295" s="4"/>
      <c r="U295" s="4"/>
      <c r="V295" s="4"/>
      <c r="W295" s="4"/>
    </row>
    <row r="296" spans="1:23" x14ac:dyDescent="0.2">
      <c r="A296" s="4">
        <v>50</v>
      </c>
      <c r="B296" s="4">
        <v>0</v>
      </c>
      <c r="C296" s="4">
        <v>0</v>
      </c>
      <c r="D296" s="4">
        <v>1</v>
      </c>
      <c r="E296" s="4">
        <v>207</v>
      </c>
      <c r="F296" s="4">
        <f>Source!U274</f>
        <v>1.8580420000000002</v>
      </c>
      <c r="G296" s="4" t="s">
        <v>146</v>
      </c>
      <c r="H296" s="4" t="s">
        <v>147</v>
      </c>
      <c r="I296" s="4"/>
      <c r="J296" s="4"/>
      <c r="K296" s="4">
        <v>-207</v>
      </c>
      <c r="L296" s="4">
        <v>21</v>
      </c>
      <c r="M296" s="4">
        <v>3</v>
      </c>
      <c r="N296" s="4" t="s">
        <v>3</v>
      </c>
      <c r="O296" s="4">
        <v>-1</v>
      </c>
      <c r="P296" s="4"/>
      <c r="Q296" s="4"/>
      <c r="R296" s="4"/>
      <c r="S296" s="4"/>
      <c r="T296" s="4"/>
      <c r="U296" s="4"/>
      <c r="V296" s="4"/>
      <c r="W296" s="4"/>
    </row>
    <row r="297" spans="1:23" x14ac:dyDescent="0.2">
      <c r="A297" s="4">
        <v>50</v>
      </c>
      <c r="B297" s="4">
        <v>0</v>
      </c>
      <c r="C297" s="4">
        <v>0</v>
      </c>
      <c r="D297" s="4">
        <v>1</v>
      </c>
      <c r="E297" s="4">
        <v>208</v>
      </c>
      <c r="F297" s="4">
        <f>Source!V274</f>
        <v>0</v>
      </c>
      <c r="G297" s="4" t="s">
        <v>148</v>
      </c>
      <c r="H297" s="4" t="s">
        <v>149</v>
      </c>
      <c r="I297" s="4"/>
      <c r="J297" s="4"/>
      <c r="K297" s="4">
        <v>-208</v>
      </c>
      <c r="L297" s="4">
        <v>22</v>
      </c>
      <c r="M297" s="4">
        <v>3</v>
      </c>
      <c r="N297" s="4" t="s">
        <v>3</v>
      </c>
      <c r="O297" s="4">
        <v>-1</v>
      </c>
      <c r="P297" s="4"/>
      <c r="Q297" s="4"/>
      <c r="R297" s="4"/>
      <c r="S297" s="4"/>
      <c r="T297" s="4"/>
      <c r="U297" s="4"/>
      <c r="V297" s="4"/>
      <c r="W297" s="4"/>
    </row>
    <row r="298" spans="1:23" x14ac:dyDescent="0.2">
      <c r="A298" s="4">
        <v>50</v>
      </c>
      <c r="B298" s="4">
        <v>0</v>
      </c>
      <c r="C298" s="4">
        <v>0</v>
      </c>
      <c r="D298" s="4">
        <v>1</v>
      </c>
      <c r="E298" s="4">
        <v>209</v>
      </c>
      <c r="F298" s="4">
        <f>ROUND(Source!W274,O298)</f>
        <v>0</v>
      </c>
      <c r="G298" s="4" t="s">
        <v>150</v>
      </c>
      <c r="H298" s="4" t="s">
        <v>151</v>
      </c>
      <c r="I298" s="4"/>
      <c r="J298" s="4"/>
      <c r="K298" s="4">
        <v>-209</v>
      </c>
      <c r="L298" s="4">
        <v>23</v>
      </c>
      <c r="M298" s="4">
        <v>3</v>
      </c>
      <c r="N298" s="4" t="s">
        <v>3</v>
      </c>
      <c r="O298" s="4">
        <v>2</v>
      </c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A299" s="4">
        <v>50</v>
      </c>
      <c r="B299" s="4">
        <v>0</v>
      </c>
      <c r="C299" s="4">
        <v>0</v>
      </c>
      <c r="D299" s="4">
        <v>1</v>
      </c>
      <c r="E299" s="4">
        <v>233</v>
      </c>
      <c r="F299" s="4">
        <f>ROUND(Source!BD274,O299)</f>
        <v>0</v>
      </c>
      <c r="G299" s="4" t="s">
        <v>152</v>
      </c>
      <c r="H299" s="4" t="s">
        <v>153</v>
      </c>
      <c r="I299" s="4"/>
      <c r="J299" s="4"/>
      <c r="K299" s="4">
        <v>-233</v>
      </c>
      <c r="L299" s="4">
        <v>24</v>
      </c>
      <c r="M299" s="4">
        <v>3</v>
      </c>
      <c r="N299" s="4" t="s">
        <v>3</v>
      </c>
      <c r="O299" s="4">
        <v>2</v>
      </c>
      <c r="P299" s="4"/>
      <c r="Q299" s="4"/>
      <c r="R299" s="4"/>
      <c r="S299" s="4"/>
      <c r="T299" s="4"/>
      <c r="U299" s="4"/>
      <c r="V299" s="4"/>
      <c r="W299" s="4"/>
    </row>
    <row r="300" spans="1:23" x14ac:dyDescent="0.2">
      <c r="A300" s="4">
        <v>50</v>
      </c>
      <c r="B300" s="4">
        <v>0</v>
      </c>
      <c r="C300" s="4">
        <v>0</v>
      </c>
      <c r="D300" s="4">
        <v>1</v>
      </c>
      <c r="E300" s="4">
        <v>210</v>
      </c>
      <c r="F300" s="4">
        <f>ROUND(Source!X274,O300)</f>
        <v>330.83</v>
      </c>
      <c r="G300" s="4" t="s">
        <v>154</v>
      </c>
      <c r="H300" s="4" t="s">
        <v>155</v>
      </c>
      <c r="I300" s="4"/>
      <c r="J300" s="4"/>
      <c r="K300" s="4">
        <v>-210</v>
      </c>
      <c r="L300" s="4">
        <v>25</v>
      </c>
      <c r="M300" s="4">
        <v>3</v>
      </c>
      <c r="N300" s="4" t="s">
        <v>3</v>
      </c>
      <c r="O300" s="4">
        <v>2</v>
      </c>
      <c r="P300" s="4"/>
      <c r="Q300" s="4"/>
      <c r="R300" s="4"/>
      <c r="S300" s="4"/>
      <c r="T300" s="4"/>
      <c r="U300" s="4"/>
      <c r="V300" s="4"/>
      <c r="W300" s="4"/>
    </row>
    <row r="301" spans="1:23" x14ac:dyDescent="0.2">
      <c r="A301" s="4">
        <v>50</v>
      </c>
      <c r="B301" s="4">
        <v>0</v>
      </c>
      <c r="C301" s="4">
        <v>0</v>
      </c>
      <c r="D301" s="4">
        <v>1</v>
      </c>
      <c r="E301" s="4">
        <v>211</v>
      </c>
      <c r="F301" s="4">
        <f>ROUND(Source!Y274,O301)</f>
        <v>47.26</v>
      </c>
      <c r="G301" s="4" t="s">
        <v>156</v>
      </c>
      <c r="H301" s="4" t="s">
        <v>157</v>
      </c>
      <c r="I301" s="4"/>
      <c r="J301" s="4"/>
      <c r="K301" s="4">
        <v>-211</v>
      </c>
      <c r="L301" s="4">
        <v>26</v>
      </c>
      <c r="M301" s="4">
        <v>3</v>
      </c>
      <c r="N301" s="4" t="s">
        <v>3</v>
      </c>
      <c r="O301" s="4">
        <v>2</v>
      </c>
      <c r="P301" s="4"/>
      <c r="Q301" s="4"/>
      <c r="R301" s="4"/>
      <c r="S301" s="4"/>
      <c r="T301" s="4"/>
      <c r="U301" s="4"/>
      <c r="V301" s="4"/>
      <c r="W301" s="4"/>
    </row>
    <row r="302" spans="1:23" x14ac:dyDescent="0.2">
      <c r="A302" s="4">
        <v>50</v>
      </c>
      <c r="B302" s="4">
        <v>0</v>
      </c>
      <c r="C302" s="4">
        <v>0</v>
      </c>
      <c r="D302" s="4">
        <v>1</v>
      </c>
      <c r="E302" s="4">
        <v>224</v>
      </c>
      <c r="F302" s="4">
        <f>ROUND(Source!AR274,O302)</f>
        <v>11049.64</v>
      </c>
      <c r="G302" s="4" t="s">
        <v>158</v>
      </c>
      <c r="H302" s="4" t="s">
        <v>159</v>
      </c>
      <c r="I302" s="4"/>
      <c r="J302" s="4"/>
      <c r="K302" s="4">
        <v>-224</v>
      </c>
      <c r="L302" s="4">
        <v>27</v>
      </c>
      <c r="M302" s="4">
        <v>3</v>
      </c>
      <c r="N302" s="4" t="s">
        <v>3</v>
      </c>
      <c r="O302" s="4">
        <v>2</v>
      </c>
      <c r="P302" s="4"/>
      <c r="Q302" s="4"/>
      <c r="R302" s="4"/>
      <c r="S302" s="4"/>
      <c r="T302" s="4"/>
      <c r="U302" s="4"/>
      <c r="V302" s="4"/>
      <c r="W302" s="4"/>
    </row>
    <row r="303" spans="1:23" x14ac:dyDescent="0.2">
      <c r="A303" s="4">
        <v>50</v>
      </c>
      <c r="B303" s="4">
        <v>1</v>
      </c>
      <c r="C303" s="4">
        <v>0</v>
      </c>
      <c r="D303" s="4">
        <v>2</v>
      </c>
      <c r="E303" s="4">
        <v>0</v>
      </c>
      <c r="F303" s="4">
        <f>ROUND(F302,O303)</f>
        <v>11049.64</v>
      </c>
      <c r="G303" s="4" t="s">
        <v>27</v>
      </c>
      <c r="H303" s="4" t="s">
        <v>160</v>
      </c>
      <c r="I303" s="4"/>
      <c r="J303" s="4"/>
      <c r="K303" s="4">
        <v>212</v>
      </c>
      <c r="L303" s="4">
        <v>28</v>
      </c>
      <c r="M303" s="4">
        <v>0</v>
      </c>
      <c r="N303" s="4" t="s">
        <v>3</v>
      </c>
      <c r="O303" s="4">
        <v>2</v>
      </c>
      <c r="P303" s="4"/>
      <c r="Q303" s="4"/>
      <c r="R303" s="4"/>
      <c r="S303" s="4"/>
      <c r="T303" s="4"/>
      <c r="U303" s="4"/>
      <c r="V303" s="4"/>
      <c r="W303" s="4"/>
    </row>
    <row r="304" spans="1:23" x14ac:dyDescent="0.2">
      <c r="A304" s="4">
        <v>50</v>
      </c>
      <c r="B304" s="4">
        <v>1</v>
      </c>
      <c r="C304" s="4">
        <v>0</v>
      </c>
      <c r="D304" s="4">
        <v>2</v>
      </c>
      <c r="E304" s="4">
        <v>0</v>
      </c>
      <c r="F304" s="4">
        <f>ROUND(F303*0.2,O304)</f>
        <v>2209.9299999999998</v>
      </c>
      <c r="G304" s="4" t="s">
        <v>35</v>
      </c>
      <c r="H304" s="4" t="s">
        <v>161</v>
      </c>
      <c r="I304" s="4"/>
      <c r="J304" s="4"/>
      <c r="K304" s="4">
        <v>212</v>
      </c>
      <c r="L304" s="4">
        <v>29</v>
      </c>
      <c r="M304" s="4">
        <v>0</v>
      </c>
      <c r="N304" s="4" t="s">
        <v>3</v>
      </c>
      <c r="O304" s="4">
        <v>2</v>
      </c>
      <c r="P304" s="4"/>
      <c r="Q304" s="4"/>
      <c r="R304" s="4"/>
      <c r="S304" s="4"/>
      <c r="T304" s="4"/>
      <c r="U304" s="4"/>
      <c r="V304" s="4"/>
      <c r="W304" s="4"/>
    </row>
    <row r="305" spans="1:245" x14ac:dyDescent="0.2">
      <c r="A305" s="4">
        <v>50</v>
      </c>
      <c r="B305" s="4">
        <v>1</v>
      </c>
      <c r="C305" s="4">
        <v>0</v>
      </c>
      <c r="D305" s="4">
        <v>2</v>
      </c>
      <c r="E305" s="4">
        <v>213</v>
      </c>
      <c r="F305" s="4">
        <f>ROUND(F303+F304,O305)</f>
        <v>13259.57</v>
      </c>
      <c r="G305" s="4" t="s">
        <v>39</v>
      </c>
      <c r="H305" s="4" t="s">
        <v>162</v>
      </c>
      <c r="I305" s="4"/>
      <c r="J305" s="4"/>
      <c r="K305" s="4">
        <v>212</v>
      </c>
      <c r="L305" s="4">
        <v>30</v>
      </c>
      <c r="M305" s="4">
        <v>0</v>
      </c>
      <c r="N305" s="4" t="s">
        <v>3</v>
      </c>
      <c r="O305" s="4">
        <v>2</v>
      </c>
      <c r="P305" s="4"/>
      <c r="Q305" s="4"/>
      <c r="R305" s="4"/>
      <c r="S305" s="4"/>
      <c r="T305" s="4"/>
      <c r="U305" s="4"/>
      <c r="V305" s="4"/>
      <c r="W305" s="4"/>
    </row>
    <row r="307" spans="1:245" x14ac:dyDescent="0.2">
      <c r="A307" s="1">
        <v>4</v>
      </c>
      <c r="B307" s="1">
        <v>1</v>
      </c>
      <c r="C307" s="1"/>
      <c r="D307" s="1">
        <f>ROW(A316)</f>
        <v>316</v>
      </c>
      <c r="E307" s="1"/>
      <c r="F307" s="1" t="s">
        <v>273</v>
      </c>
      <c r="G307" s="1" t="s">
        <v>274</v>
      </c>
      <c r="H307" s="1" t="s">
        <v>3</v>
      </c>
      <c r="I307" s="1">
        <v>0</v>
      </c>
      <c r="J307" s="1"/>
      <c r="K307" s="1">
        <v>-1</v>
      </c>
      <c r="L307" s="1"/>
      <c r="M307" s="1" t="s">
        <v>3</v>
      </c>
      <c r="N307" s="1"/>
      <c r="O307" s="1"/>
      <c r="P307" s="1"/>
      <c r="Q307" s="1"/>
      <c r="R307" s="1"/>
      <c r="S307" s="1">
        <v>0</v>
      </c>
      <c r="T307" s="1"/>
      <c r="U307" s="1" t="s">
        <v>3</v>
      </c>
      <c r="V307" s="1">
        <v>0</v>
      </c>
      <c r="W307" s="1"/>
      <c r="X307" s="1"/>
      <c r="Y307" s="1"/>
      <c r="Z307" s="1"/>
      <c r="AA307" s="1"/>
      <c r="AB307" s="1" t="s">
        <v>3</v>
      </c>
      <c r="AC307" s="1" t="s">
        <v>3</v>
      </c>
      <c r="AD307" s="1" t="s">
        <v>3</v>
      </c>
      <c r="AE307" s="1" t="s">
        <v>3</v>
      </c>
      <c r="AF307" s="1" t="s">
        <v>3</v>
      </c>
      <c r="AG307" s="1" t="s">
        <v>3</v>
      </c>
      <c r="AH307" s="1"/>
      <c r="AI307" s="1"/>
      <c r="AJ307" s="1"/>
      <c r="AK307" s="1"/>
      <c r="AL307" s="1"/>
      <c r="AM307" s="1"/>
      <c r="AN307" s="1"/>
      <c r="AO307" s="1"/>
      <c r="AP307" s="1" t="s">
        <v>3</v>
      </c>
      <c r="AQ307" s="1" t="s">
        <v>3</v>
      </c>
      <c r="AR307" s="1" t="s">
        <v>3</v>
      </c>
      <c r="AS307" s="1"/>
      <c r="AT307" s="1"/>
      <c r="AU307" s="1"/>
      <c r="AV307" s="1"/>
      <c r="AW307" s="1"/>
      <c r="AX307" s="1"/>
      <c r="AY307" s="1"/>
      <c r="AZ307" s="1" t="s">
        <v>3</v>
      </c>
      <c r="BA307" s="1"/>
      <c r="BB307" s="1" t="s">
        <v>3</v>
      </c>
      <c r="BC307" s="1" t="s">
        <v>3</v>
      </c>
      <c r="BD307" s="1" t="s">
        <v>3</v>
      </c>
      <c r="BE307" s="1" t="s">
        <v>3</v>
      </c>
      <c r="BF307" s="1" t="s">
        <v>3</v>
      </c>
      <c r="BG307" s="1" t="s">
        <v>3</v>
      </c>
      <c r="BH307" s="1" t="s">
        <v>3</v>
      </c>
      <c r="BI307" s="1" t="s">
        <v>3</v>
      </c>
      <c r="BJ307" s="1" t="s">
        <v>3</v>
      </c>
      <c r="BK307" s="1" t="s">
        <v>3</v>
      </c>
      <c r="BL307" s="1" t="s">
        <v>3</v>
      </c>
      <c r="BM307" s="1" t="s">
        <v>3</v>
      </c>
      <c r="BN307" s="1" t="s">
        <v>3</v>
      </c>
      <c r="BO307" s="1" t="s">
        <v>3</v>
      </c>
      <c r="BP307" s="1" t="s">
        <v>3</v>
      </c>
      <c r="BQ307" s="1"/>
      <c r="BR307" s="1"/>
      <c r="BS307" s="1"/>
      <c r="BT307" s="1"/>
      <c r="BU307" s="1"/>
      <c r="BV307" s="1"/>
      <c r="BW307" s="1"/>
      <c r="BX307" s="1">
        <v>0</v>
      </c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>
        <v>0</v>
      </c>
    </row>
    <row r="309" spans="1:245" x14ac:dyDescent="0.2">
      <c r="A309" s="2">
        <v>52</v>
      </c>
      <c r="B309" s="2">
        <f t="shared" ref="B309:G309" si="229">B316</f>
        <v>1</v>
      </c>
      <c r="C309" s="2">
        <f t="shared" si="229"/>
        <v>4</v>
      </c>
      <c r="D309" s="2">
        <f t="shared" si="229"/>
        <v>307</v>
      </c>
      <c r="E309" s="2">
        <f t="shared" si="229"/>
        <v>0</v>
      </c>
      <c r="F309" s="2" t="str">
        <f t="shared" si="229"/>
        <v>ИДН 6шт.</v>
      </c>
      <c r="G309" s="2" t="str">
        <f t="shared" si="229"/>
        <v>Установка ИДН - 6 шт.</v>
      </c>
      <c r="H309" s="2"/>
      <c r="I309" s="2"/>
      <c r="J309" s="2"/>
      <c r="K309" s="2"/>
      <c r="L309" s="2"/>
      <c r="M309" s="2"/>
      <c r="N309" s="2"/>
      <c r="O309" s="2">
        <f t="shared" ref="O309:AT309" si="230">O316</f>
        <v>188281.78</v>
      </c>
      <c r="P309" s="2">
        <f t="shared" si="230"/>
        <v>149234.66</v>
      </c>
      <c r="Q309" s="2">
        <f t="shared" si="230"/>
        <v>2433.09</v>
      </c>
      <c r="R309" s="2">
        <f t="shared" si="230"/>
        <v>1084.21</v>
      </c>
      <c r="S309" s="2">
        <f t="shared" si="230"/>
        <v>36614.03</v>
      </c>
      <c r="T309" s="2">
        <f t="shared" si="230"/>
        <v>0</v>
      </c>
      <c r="U309" s="2">
        <f t="shared" si="230"/>
        <v>154.01880000000003</v>
      </c>
      <c r="V309" s="2">
        <f t="shared" si="230"/>
        <v>0</v>
      </c>
      <c r="W309" s="2">
        <f t="shared" si="230"/>
        <v>0</v>
      </c>
      <c r="X309" s="2">
        <f t="shared" si="230"/>
        <v>25629.82</v>
      </c>
      <c r="Y309" s="2">
        <f t="shared" si="230"/>
        <v>3661.41</v>
      </c>
      <c r="Z309" s="2">
        <f t="shared" si="230"/>
        <v>0</v>
      </c>
      <c r="AA309" s="2">
        <f t="shared" si="230"/>
        <v>0</v>
      </c>
      <c r="AB309" s="2">
        <f t="shared" si="230"/>
        <v>188281.78</v>
      </c>
      <c r="AC309" s="2">
        <f t="shared" si="230"/>
        <v>149234.66</v>
      </c>
      <c r="AD309" s="2">
        <f t="shared" si="230"/>
        <v>2433.09</v>
      </c>
      <c r="AE309" s="2">
        <f t="shared" si="230"/>
        <v>1084.21</v>
      </c>
      <c r="AF309" s="2">
        <f t="shared" si="230"/>
        <v>36614.03</v>
      </c>
      <c r="AG309" s="2">
        <f t="shared" si="230"/>
        <v>0</v>
      </c>
      <c r="AH309" s="2">
        <f t="shared" si="230"/>
        <v>154.01880000000003</v>
      </c>
      <c r="AI309" s="2">
        <f t="shared" si="230"/>
        <v>0</v>
      </c>
      <c r="AJ309" s="2">
        <f t="shared" si="230"/>
        <v>0</v>
      </c>
      <c r="AK309" s="2">
        <f t="shared" si="230"/>
        <v>25629.82</v>
      </c>
      <c r="AL309" s="2">
        <f t="shared" si="230"/>
        <v>3661.41</v>
      </c>
      <c r="AM309" s="2">
        <f t="shared" si="230"/>
        <v>0</v>
      </c>
      <c r="AN309" s="2">
        <f t="shared" si="230"/>
        <v>0</v>
      </c>
      <c r="AO309" s="2">
        <f t="shared" si="230"/>
        <v>0</v>
      </c>
      <c r="AP309" s="2">
        <f t="shared" si="230"/>
        <v>0</v>
      </c>
      <c r="AQ309" s="2">
        <f t="shared" si="230"/>
        <v>0</v>
      </c>
      <c r="AR309" s="2">
        <f t="shared" si="230"/>
        <v>218743.96</v>
      </c>
      <c r="AS309" s="2">
        <f t="shared" si="230"/>
        <v>0</v>
      </c>
      <c r="AT309" s="2">
        <f t="shared" si="230"/>
        <v>0</v>
      </c>
      <c r="AU309" s="2">
        <f t="shared" ref="AU309:BZ309" si="231">AU316</f>
        <v>218743.96</v>
      </c>
      <c r="AV309" s="2">
        <f t="shared" si="231"/>
        <v>149234.66</v>
      </c>
      <c r="AW309" s="2">
        <f t="shared" si="231"/>
        <v>149234.66</v>
      </c>
      <c r="AX309" s="2">
        <f t="shared" si="231"/>
        <v>0</v>
      </c>
      <c r="AY309" s="2">
        <f t="shared" si="231"/>
        <v>149234.66</v>
      </c>
      <c r="AZ309" s="2">
        <f t="shared" si="231"/>
        <v>0</v>
      </c>
      <c r="BA309" s="2">
        <f t="shared" si="231"/>
        <v>0</v>
      </c>
      <c r="BB309" s="2">
        <f t="shared" si="231"/>
        <v>0</v>
      </c>
      <c r="BC309" s="2">
        <f t="shared" si="231"/>
        <v>0</v>
      </c>
      <c r="BD309" s="2">
        <f t="shared" si="231"/>
        <v>0</v>
      </c>
      <c r="BE309" s="2">
        <f t="shared" si="231"/>
        <v>0</v>
      </c>
      <c r="BF309" s="2">
        <f t="shared" si="231"/>
        <v>0</v>
      </c>
      <c r="BG309" s="2">
        <f t="shared" si="231"/>
        <v>0</v>
      </c>
      <c r="BH309" s="2">
        <f t="shared" si="231"/>
        <v>0</v>
      </c>
      <c r="BI309" s="2">
        <f t="shared" si="231"/>
        <v>0</v>
      </c>
      <c r="BJ309" s="2">
        <f t="shared" si="231"/>
        <v>0</v>
      </c>
      <c r="BK309" s="2">
        <f t="shared" si="231"/>
        <v>0</v>
      </c>
      <c r="BL309" s="2">
        <f t="shared" si="231"/>
        <v>0</v>
      </c>
      <c r="BM309" s="2">
        <f t="shared" si="231"/>
        <v>0</v>
      </c>
      <c r="BN309" s="2">
        <f t="shared" si="231"/>
        <v>0</v>
      </c>
      <c r="BO309" s="2">
        <f t="shared" si="231"/>
        <v>0</v>
      </c>
      <c r="BP309" s="2">
        <f t="shared" si="231"/>
        <v>0</v>
      </c>
      <c r="BQ309" s="2">
        <f t="shared" si="231"/>
        <v>0</v>
      </c>
      <c r="BR309" s="2">
        <f t="shared" si="231"/>
        <v>0</v>
      </c>
      <c r="BS309" s="2">
        <f t="shared" si="231"/>
        <v>0</v>
      </c>
      <c r="BT309" s="2">
        <f t="shared" si="231"/>
        <v>0</v>
      </c>
      <c r="BU309" s="2">
        <f t="shared" si="231"/>
        <v>0</v>
      </c>
      <c r="BV309" s="2">
        <f t="shared" si="231"/>
        <v>0</v>
      </c>
      <c r="BW309" s="2">
        <f t="shared" si="231"/>
        <v>0</v>
      </c>
      <c r="BX309" s="2">
        <f t="shared" si="231"/>
        <v>0</v>
      </c>
      <c r="BY309" s="2">
        <f t="shared" si="231"/>
        <v>0</v>
      </c>
      <c r="BZ309" s="2">
        <f t="shared" si="231"/>
        <v>0</v>
      </c>
      <c r="CA309" s="2">
        <f t="shared" ref="CA309:DF309" si="232">CA316</f>
        <v>218743.96</v>
      </c>
      <c r="CB309" s="2">
        <f t="shared" si="232"/>
        <v>0</v>
      </c>
      <c r="CC309" s="2">
        <f t="shared" si="232"/>
        <v>0</v>
      </c>
      <c r="CD309" s="2">
        <f t="shared" si="232"/>
        <v>218743.96</v>
      </c>
      <c r="CE309" s="2">
        <f t="shared" si="232"/>
        <v>149234.66</v>
      </c>
      <c r="CF309" s="2">
        <f t="shared" si="232"/>
        <v>149234.66</v>
      </c>
      <c r="CG309" s="2">
        <f t="shared" si="232"/>
        <v>0</v>
      </c>
      <c r="CH309" s="2">
        <f t="shared" si="232"/>
        <v>149234.66</v>
      </c>
      <c r="CI309" s="2">
        <f t="shared" si="232"/>
        <v>0</v>
      </c>
      <c r="CJ309" s="2">
        <f t="shared" si="232"/>
        <v>0</v>
      </c>
      <c r="CK309" s="2">
        <f t="shared" si="232"/>
        <v>0</v>
      </c>
      <c r="CL309" s="2">
        <f t="shared" si="232"/>
        <v>0</v>
      </c>
      <c r="CM309" s="2">
        <f t="shared" si="232"/>
        <v>0</v>
      </c>
      <c r="CN309" s="2">
        <f t="shared" si="232"/>
        <v>0</v>
      </c>
      <c r="CO309" s="2">
        <f t="shared" si="232"/>
        <v>0</v>
      </c>
      <c r="CP309" s="2">
        <f t="shared" si="232"/>
        <v>0</v>
      </c>
      <c r="CQ309" s="2">
        <f t="shared" si="232"/>
        <v>0</v>
      </c>
      <c r="CR309" s="2">
        <f t="shared" si="232"/>
        <v>0</v>
      </c>
      <c r="CS309" s="2">
        <f t="shared" si="232"/>
        <v>0</v>
      </c>
      <c r="CT309" s="2">
        <f t="shared" si="232"/>
        <v>0</v>
      </c>
      <c r="CU309" s="2">
        <f t="shared" si="232"/>
        <v>0</v>
      </c>
      <c r="CV309" s="2">
        <f t="shared" si="232"/>
        <v>0</v>
      </c>
      <c r="CW309" s="2">
        <f t="shared" si="232"/>
        <v>0</v>
      </c>
      <c r="CX309" s="2">
        <f t="shared" si="232"/>
        <v>0</v>
      </c>
      <c r="CY309" s="2">
        <f t="shared" si="232"/>
        <v>0</v>
      </c>
      <c r="CZ309" s="2">
        <f t="shared" si="232"/>
        <v>0</v>
      </c>
      <c r="DA309" s="2">
        <f t="shared" si="232"/>
        <v>0</v>
      </c>
      <c r="DB309" s="2">
        <f t="shared" si="232"/>
        <v>0</v>
      </c>
      <c r="DC309" s="2">
        <f t="shared" si="232"/>
        <v>0</v>
      </c>
      <c r="DD309" s="2">
        <f t="shared" si="232"/>
        <v>0</v>
      </c>
      <c r="DE309" s="2">
        <f t="shared" si="232"/>
        <v>0</v>
      </c>
      <c r="DF309" s="2">
        <f t="shared" si="232"/>
        <v>0</v>
      </c>
      <c r="DG309" s="3">
        <f t="shared" ref="DG309:EL309" si="233">DG316</f>
        <v>0</v>
      </c>
      <c r="DH309" s="3">
        <f t="shared" si="233"/>
        <v>0</v>
      </c>
      <c r="DI309" s="3">
        <f t="shared" si="233"/>
        <v>0</v>
      </c>
      <c r="DJ309" s="3">
        <f t="shared" si="233"/>
        <v>0</v>
      </c>
      <c r="DK309" s="3">
        <f t="shared" si="233"/>
        <v>0</v>
      </c>
      <c r="DL309" s="3">
        <f t="shared" si="233"/>
        <v>0</v>
      </c>
      <c r="DM309" s="3">
        <f t="shared" si="233"/>
        <v>0</v>
      </c>
      <c r="DN309" s="3">
        <f t="shared" si="233"/>
        <v>0</v>
      </c>
      <c r="DO309" s="3">
        <f t="shared" si="233"/>
        <v>0</v>
      </c>
      <c r="DP309" s="3">
        <f t="shared" si="233"/>
        <v>0</v>
      </c>
      <c r="DQ309" s="3">
        <f t="shared" si="233"/>
        <v>0</v>
      </c>
      <c r="DR309" s="3">
        <f t="shared" si="233"/>
        <v>0</v>
      </c>
      <c r="DS309" s="3">
        <f t="shared" si="233"/>
        <v>0</v>
      </c>
      <c r="DT309" s="3">
        <f t="shared" si="233"/>
        <v>0</v>
      </c>
      <c r="DU309" s="3">
        <f t="shared" si="233"/>
        <v>0</v>
      </c>
      <c r="DV309" s="3">
        <f t="shared" si="233"/>
        <v>0</v>
      </c>
      <c r="DW309" s="3">
        <f t="shared" si="233"/>
        <v>0</v>
      </c>
      <c r="DX309" s="3">
        <f t="shared" si="233"/>
        <v>0</v>
      </c>
      <c r="DY309" s="3">
        <f t="shared" si="233"/>
        <v>0</v>
      </c>
      <c r="DZ309" s="3">
        <f t="shared" si="233"/>
        <v>0</v>
      </c>
      <c r="EA309" s="3">
        <f t="shared" si="233"/>
        <v>0</v>
      </c>
      <c r="EB309" s="3">
        <f t="shared" si="233"/>
        <v>0</v>
      </c>
      <c r="EC309" s="3">
        <f t="shared" si="233"/>
        <v>0</v>
      </c>
      <c r="ED309" s="3">
        <f t="shared" si="233"/>
        <v>0</v>
      </c>
      <c r="EE309" s="3">
        <f t="shared" si="233"/>
        <v>0</v>
      </c>
      <c r="EF309" s="3">
        <f t="shared" si="233"/>
        <v>0</v>
      </c>
      <c r="EG309" s="3">
        <f t="shared" si="233"/>
        <v>0</v>
      </c>
      <c r="EH309" s="3">
        <f t="shared" si="233"/>
        <v>0</v>
      </c>
      <c r="EI309" s="3">
        <f t="shared" si="233"/>
        <v>0</v>
      </c>
      <c r="EJ309" s="3">
        <f t="shared" si="233"/>
        <v>0</v>
      </c>
      <c r="EK309" s="3">
        <f t="shared" si="233"/>
        <v>0</v>
      </c>
      <c r="EL309" s="3">
        <f t="shared" si="233"/>
        <v>0</v>
      </c>
      <c r="EM309" s="3">
        <f t="shared" ref="EM309:FR309" si="234">EM316</f>
        <v>0</v>
      </c>
      <c r="EN309" s="3">
        <f t="shared" si="234"/>
        <v>0</v>
      </c>
      <c r="EO309" s="3">
        <f t="shared" si="234"/>
        <v>0</v>
      </c>
      <c r="EP309" s="3">
        <f t="shared" si="234"/>
        <v>0</v>
      </c>
      <c r="EQ309" s="3">
        <f t="shared" si="234"/>
        <v>0</v>
      </c>
      <c r="ER309" s="3">
        <f t="shared" si="234"/>
        <v>0</v>
      </c>
      <c r="ES309" s="3">
        <f t="shared" si="234"/>
        <v>0</v>
      </c>
      <c r="ET309" s="3">
        <f t="shared" si="234"/>
        <v>0</v>
      </c>
      <c r="EU309" s="3">
        <f t="shared" si="234"/>
        <v>0</v>
      </c>
      <c r="EV309" s="3">
        <f t="shared" si="234"/>
        <v>0</v>
      </c>
      <c r="EW309" s="3">
        <f t="shared" si="234"/>
        <v>0</v>
      </c>
      <c r="EX309" s="3">
        <f t="shared" si="234"/>
        <v>0</v>
      </c>
      <c r="EY309" s="3">
        <f t="shared" si="234"/>
        <v>0</v>
      </c>
      <c r="EZ309" s="3">
        <f t="shared" si="234"/>
        <v>0</v>
      </c>
      <c r="FA309" s="3">
        <f t="shared" si="234"/>
        <v>0</v>
      </c>
      <c r="FB309" s="3">
        <f t="shared" si="234"/>
        <v>0</v>
      </c>
      <c r="FC309" s="3">
        <f t="shared" si="234"/>
        <v>0</v>
      </c>
      <c r="FD309" s="3">
        <f t="shared" si="234"/>
        <v>0</v>
      </c>
      <c r="FE309" s="3">
        <f t="shared" si="234"/>
        <v>0</v>
      </c>
      <c r="FF309" s="3">
        <f t="shared" si="234"/>
        <v>0</v>
      </c>
      <c r="FG309" s="3">
        <f t="shared" si="234"/>
        <v>0</v>
      </c>
      <c r="FH309" s="3">
        <f t="shared" si="234"/>
        <v>0</v>
      </c>
      <c r="FI309" s="3">
        <f t="shared" si="234"/>
        <v>0</v>
      </c>
      <c r="FJ309" s="3">
        <f t="shared" si="234"/>
        <v>0</v>
      </c>
      <c r="FK309" s="3">
        <f t="shared" si="234"/>
        <v>0</v>
      </c>
      <c r="FL309" s="3">
        <f t="shared" si="234"/>
        <v>0</v>
      </c>
      <c r="FM309" s="3">
        <f t="shared" si="234"/>
        <v>0</v>
      </c>
      <c r="FN309" s="3">
        <f t="shared" si="234"/>
        <v>0</v>
      </c>
      <c r="FO309" s="3">
        <f t="shared" si="234"/>
        <v>0</v>
      </c>
      <c r="FP309" s="3">
        <f t="shared" si="234"/>
        <v>0</v>
      </c>
      <c r="FQ309" s="3">
        <f t="shared" si="234"/>
        <v>0</v>
      </c>
      <c r="FR309" s="3">
        <f t="shared" si="234"/>
        <v>0</v>
      </c>
      <c r="FS309" s="3">
        <f t="shared" ref="FS309:GX309" si="235">FS316</f>
        <v>0</v>
      </c>
      <c r="FT309" s="3">
        <f t="shared" si="235"/>
        <v>0</v>
      </c>
      <c r="FU309" s="3">
        <f t="shared" si="235"/>
        <v>0</v>
      </c>
      <c r="FV309" s="3">
        <f t="shared" si="235"/>
        <v>0</v>
      </c>
      <c r="FW309" s="3">
        <f t="shared" si="235"/>
        <v>0</v>
      </c>
      <c r="FX309" s="3">
        <f t="shared" si="235"/>
        <v>0</v>
      </c>
      <c r="FY309" s="3">
        <f t="shared" si="235"/>
        <v>0</v>
      </c>
      <c r="FZ309" s="3">
        <f t="shared" si="235"/>
        <v>0</v>
      </c>
      <c r="GA309" s="3">
        <f t="shared" si="235"/>
        <v>0</v>
      </c>
      <c r="GB309" s="3">
        <f t="shared" si="235"/>
        <v>0</v>
      </c>
      <c r="GC309" s="3">
        <f t="shared" si="235"/>
        <v>0</v>
      </c>
      <c r="GD309" s="3">
        <f t="shared" si="235"/>
        <v>0</v>
      </c>
      <c r="GE309" s="3">
        <f t="shared" si="235"/>
        <v>0</v>
      </c>
      <c r="GF309" s="3">
        <f t="shared" si="235"/>
        <v>0</v>
      </c>
      <c r="GG309" s="3">
        <f t="shared" si="235"/>
        <v>0</v>
      </c>
      <c r="GH309" s="3">
        <f t="shared" si="235"/>
        <v>0</v>
      </c>
      <c r="GI309" s="3">
        <f t="shared" si="235"/>
        <v>0</v>
      </c>
      <c r="GJ309" s="3">
        <f t="shared" si="235"/>
        <v>0</v>
      </c>
      <c r="GK309" s="3">
        <f t="shared" si="235"/>
        <v>0</v>
      </c>
      <c r="GL309" s="3">
        <f t="shared" si="235"/>
        <v>0</v>
      </c>
      <c r="GM309" s="3">
        <f t="shared" si="235"/>
        <v>0</v>
      </c>
      <c r="GN309" s="3">
        <f t="shared" si="235"/>
        <v>0</v>
      </c>
      <c r="GO309" s="3">
        <f t="shared" si="235"/>
        <v>0</v>
      </c>
      <c r="GP309" s="3">
        <f t="shared" si="235"/>
        <v>0</v>
      </c>
      <c r="GQ309" s="3">
        <f t="shared" si="235"/>
        <v>0</v>
      </c>
      <c r="GR309" s="3">
        <f t="shared" si="235"/>
        <v>0</v>
      </c>
      <c r="GS309" s="3">
        <f t="shared" si="235"/>
        <v>0</v>
      </c>
      <c r="GT309" s="3">
        <f t="shared" si="235"/>
        <v>0</v>
      </c>
      <c r="GU309" s="3">
        <f t="shared" si="235"/>
        <v>0</v>
      </c>
      <c r="GV309" s="3">
        <f t="shared" si="235"/>
        <v>0</v>
      </c>
      <c r="GW309" s="3">
        <f t="shared" si="235"/>
        <v>0</v>
      </c>
      <c r="GX309" s="3">
        <f t="shared" si="235"/>
        <v>0</v>
      </c>
    </row>
    <row r="311" spans="1:245" x14ac:dyDescent="0.2">
      <c r="A311">
        <v>17</v>
      </c>
      <c r="B311">
        <v>1</v>
      </c>
      <c r="C311">
        <f>ROW(SmtRes!A159)</f>
        <v>159</v>
      </c>
      <c r="D311">
        <f>ROW(EtalonRes!A151)</f>
        <v>151</v>
      </c>
      <c r="E311" t="s">
        <v>275</v>
      </c>
      <c r="F311" t="s">
        <v>276</v>
      </c>
      <c r="G311" t="s">
        <v>277</v>
      </c>
      <c r="H311" t="s">
        <v>278</v>
      </c>
      <c r="I311">
        <f>ROUND((9*6)/10,4)</f>
        <v>5.4</v>
      </c>
      <c r="J311">
        <v>0</v>
      </c>
      <c r="O311">
        <f>ROUND(CP311,2)</f>
        <v>131407.21</v>
      </c>
      <c r="P311">
        <f>ROUND(CQ311*I311,2)</f>
        <v>106491.67</v>
      </c>
      <c r="Q311">
        <f>ROUND(CR311*I311,2)</f>
        <v>266.38</v>
      </c>
      <c r="R311">
        <f>ROUND(CS311*I311,2)</f>
        <v>28.62</v>
      </c>
      <c r="S311">
        <f>ROUND(CT311*I311,2)</f>
        <v>24649.16</v>
      </c>
      <c r="T311">
        <f>ROUND(CU311*I311,2)</f>
        <v>0</v>
      </c>
      <c r="U311">
        <f>CV311*I311</f>
        <v>98.334000000000017</v>
      </c>
      <c r="V311">
        <f>CW311*I311</f>
        <v>0</v>
      </c>
      <c r="W311">
        <f>ROUND(CX311*I311,2)</f>
        <v>0</v>
      </c>
      <c r="X311">
        <f t="shared" ref="X311:Y314" si="236">ROUND(CY311,2)</f>
        <v>17254.41</v>
      </c>
      <c r="Y311">
        <f t="shared" si="236"/>
        <v>2464.92</v>
      </c>
      <c r="AA311">
        <v>49707740</v>
      </c>
      <c r="AB311">
        <f>ROUND((AC311+AD311+AF311),6)</f>
        <v>24334.67</v>
      </c>
      <c r="AC311">
        <f>ROUND((ES311),6)</f>
        <v>19720.68</v>
      </c>
      <c r="AD311">
        <f>ROUND((((ET311)-(EU311))+AE311),6)</f>
        <v>49.33</v>
      </c>
      <c r="AE311">
        <f t="shared" ref="AE311:AF314" si="237">ROUND((EU311),6)</f>
        <v>5.3</v>
      </c>
      <c r="AF311">
        <f t="shared" si="237"/>
        <v>4564.66</v>
      </c>
      <c r="AG311">
        <f>ROUND((AP311),6)</f>
        <v>0</v>
      </c>
      <c r="AH311">
        <f t="shared" ref="AH311:AI314" si="238">(EW311)</f>
        <v>18.21</v>
      </c>
      <c r="AI311">
        <f t="shared" si="238"/>
        <v>0</v>
      </c>
      <c r="AJ311">
        <f>(AS311)</f>
        <v>0</v>
      </c>
      <c r="AK311">
        <v>24334.67</v>
      </c>
      <c r="AL311">
        <v>19720.68</v>
      </c>
      <c r="AM311">
        <v>49.33</v>
      </c>
      <c r="AN311">
        <v>5.3</v>
      </c>
      <c r="AO311">
        <v>4564.66</v>
      </c>
      <c r="AP311">
        <v>0</v>
      </c>
      <c r="AQ311">
        <v>18.21</v>
      </c>
      <c r="AR311">
        <v>0</v>
      </c>
      <c r="AS311">
        <v>0</v>
      </c>
      <c r="AT311">
        <v>70</v>
      </c>
      <c r="AU311">
        <v>10</v>
      </c>
      <c r="AV311">
        <v>1</v>
      </c>
      <c r="AW311">
        <v>1</v>
      </c>
      <c r="AZ311">
        <v>1</v>
      </c>
      <c r="BA311">
        <v>1</v>
      </c>
      <c r="BB311">
        <v>1</v>
      </c>
      <c r="BC311">
        <v>1</v>
      </c>
      <c r="BD311" t="s">
        <v>3</v>
      </c>
      <c r="BE311" t="s">
        <v>3</v>
      </c>
      <c r="BF311" t="s">
        <v>3</v>
      </c>
      <c r="BG311" t="s">
        <v>3</v>
      </c>
      <c r="BH311">
        <v>0</v>
      </c>
      <c r="BI311">
        <v>4</v>
      </c>
      <c r="BJ311" t="s">
        <v>279</v>
      </c>
      <c r="BM311">
        <v>0</v>
      </c>
      <c r="BN311">
        <v>0</v>
      </c>
      <c r="BO311" t="s">
        <v>3</v>
      </c>
      <c r="BP311">
        <v>0</v>
      </c>
      <c r="BQ311">
        <v>1</v>
      </c>
      <c r="BR311">
        <v>0</v>
      </c>
      <c r="BS311">
        <v>1</v>
      </c>
      <c r="BT311">
        <v>1</v>
      </c>
      <c r="BU311">
        <v>1</v>
      </c>
      <c r="BV311">
        <v>1</v>
      </c>
      <c r="BW311">
        <v>1</v>
      </c>
      <c r="BX311">
        <v>1</v>
      </c>
      <c r="BY311" t="s">
        <v>3</v>
      </c>
      <c r="BZ311">
        <v>70</v>
      </c>
      <c r="CA311">
        <v>10</v>
      </c>
      <c r="CE311">
        <v>0</v>
      </c>
      <c r="CF311">
        <v>0</v>
      </c>
      <c r="CG311">
        <v>0</v>
      </c>
      <c r="CM311">
        <v>0</v>
      </c>
      <c r="CN311" t="s">
        <v>3</v>
      </c>
      <c r="CO311">
        <v>0</v>
      </c>
      <c r="CP311">
        <f>(P311+Q311+S311)</f>
        <v>131407.21</v>
      </c>
      <c r="CQ311">
        <f>(AC311*BC311*AW311)</f>
        <v>19720.68</v>
      </c>
      <c r="CR311">
        <f>((((ET311)*BB311-(EU311)*BS311)+AE311*BS311)*AV311)</f>
        <v>49.33</v>
      </c>
      <c r="CS311">
        <f>(AE311*BS311*AV311)</f>
        <v>5.3</v>
      </c>
      <c r="CT311">
        <f>(AF311*BA311*AV311)</f>
        <v>4564.66</v>
      </c>
      <c r="CU311">
        <f>AG311</f>
        <v>0</v>
      </c>
      <c r="CV311">
        <f>(AH311*AV311)</f>
        <v>18.21</v>
      </c>
      <c r="CW311">
        <f t="shared" ref="CW311:CX314" si="239">AI311</f>
        <v>0</v>
      </c>
      <c r="CX311">
        <f t="shared" si="239"/>
        <v>0</v>
      </c>
      <c r="CY311">
        <f>((S311*BZ311)/100)</f>
        <v>17254.412</v>
      </c>
      <c r="CZ311">
        <f>((S311*CA311)/100)</f>
        <v>2464.9160000000002</v>
      </c>
      <c r="DC311" t="s">
        <v>3</v>
      </c>
      <c r="DD311" t="s">
        <v>3</v>
      </c>
      <c r="DE311" t="s">
        <v>3</v>
      </c>
      <c r="DF311" t="s">
        <v>3</v>
      </c>
      <c r="DG311" t="s">
        <v>3</v>
      </c>
      <c r="DH311" t="s">
        <v>3</v>
      </c>
      <c r="DI311" t="s">
        <v>3</v>
      </c>
      <c r="DJ311" t="s">
        <v>3</v>
      </c>
      <c r="DK311" t="s">
        <v>3</v>
      </c>
      <c r="DL311" t="s">
        <v>3</v>
      </c>
      <c r="DM311" t="s">
        <v>3</v>
      </c>
      <c r="DN311">
        <v>0</v>
      </c>
      <c r="DO311">
        <v>0</v>
      </c>
      <c r="DP311">
        <v>1</v>
      </c>
      <c r="DQ311">
        <v>1</v>
      </c>
      <c r="DU311">
        <v>1010</v>
      </c>
      <c r="DV311" t="s">
        <v>278</v>
      </c>
      <c r="DW311" t="s">
        <v>278</v>
      </c>
      <c r="DX311">
        <v>10</v>
      </c>
      <c r="DZ311" t="s">
        <v>3</v>
      </c>
      <c r="EA311" t="s">
        <v>3</v>
      </c>
      <c r="EB311" t="s">
        <v>3</v>
      </c>
      <c r="EC311" t="s">
        <v>3</v>
      </c>
      <c r="EE311">
        <v>49145957</v>
      </c>
      <c r="EF311">
        <v>1</v>
      </c>
      <c r="EG311" t="s">
        <v>32</v>
      </c>
      <c r="EH311">
        <v>0</v>
      </c>
      <c r="EI311" t="s">
        <v>3</v>
      </c>
      <c r="EJ311">
        <v>4</v>
      </c>
      <c r="EK311">
        <v>0</v>
      </c>
      <c r="EL311" t="s">
        <v>33</v>
      </c>
      <c r="EM311" t="s">
        <v>34</v>
      </c>
      <c r="EO311" t="s">
        <v>3</v>
      </c>
      <c r="EQ311">
        <v>0</v>
      </c>
      <c r="ER311">
        <v>24334.67</v>
      </c>
      <c r="ES311">
        <v>19720.68</v>
      </c>
      <c r="ET311">
        <v>49.33</v>
      </c>
      <c r="EU311">
        <v>5.3</v>
      </c>
      <c r="EV311">
        <v>4564.66</v>
      </c>
      <c r="EW311">
        <v>18.21</v>
      </c>
      <c r="EX311">
        <v>0</v>
      </c>
      <c r="EY311">
        <v>0</v>
      </c>
      <c r="FQ311">
        <v>0</v>
      </c>
      <c r="FR311">
        <f>ROUND(IF(AND(BH311=3,BI311=3),P311,0),2)</f>
        <v>0</v>
      </c>
      <c r="FS311">
        <v>0</v>
      </c>
      <c r="FX311">
        <v>70</v>
      </c>
      <c r="FY311">
        <v>10</v>
      </c>
      <c r="GA311" t="s">
        <v>3</v>
      </c>
      <c r="GD311">
        <v>0</v>
      </c>
      <c r="GF311">
        <v>1099227114</v>
      </c>
      <c r="GG311">
        <v>2</v>
      </c>
      <c r="GH311">
        <v>1</v>
      </c>
      <c r="GI311">
        <v>-2</v>
      </c>
      <c r="GJ311">
        <v>0</v>
      </c>
      <c r="GK311">
        <f>ROUND(R311*(R12)/100,2)</f>
        <v>30.91</v>
      </c>
      <c r="GL311">
        <f>ROUND(IF(AND(BH311=3,BI311=3,FS311&lt;&gt;0),P311,0),2)</f>
        <v>0</v>
      </c>
      <c r="GM311">
        <f>ROUND(O311+X311+Y311+GK311,2)+GX311</f>
        <v>151157.45000000001</v>
      </c>
      <c r="GN311">
        <f>IF(OR(BI311=0,BI311=1),ROUND(O311+X311+Y311+GK311,2),0)</f>
        <v>0</v>
      </c>
      <c r="GO311">
        <f>IF(BI311=2,ROUND(O311+X311+Y311+GK311,2),0)</f>
        <v>0</v>
      </c>
      <c r="GP311">
        <f>IF(BI311=4,ROUND(O311+X311+Y311+GK311,2)+GX311,0)</f>
        <v>151157.45000000001</v>
      </c>
      <c r="GR311">
        <v>0</v>
      </c>
      <c r="GS311">
        <v>3</v>
      </c>
      <c r="GT311">
        <v>0</v>
      </c>
      <c r="GU311" t="s">
        <v>3</v>
      </c>
      <c r="GV311">
        <f>ROUND((GT311),6)</f>
        <v>0</v>
      </c>
      <c r="GW311">
        <v>1</v>
      </c>
      <c r="GX311">
        <f>ROUND(HC311*I311,2)</f>
        <v>0</v>
      </c>
      <c r="HA311">
        <v>0</v>
      </c>
      <c r="HB311">
        <v>0</v>
      </c>
      <c r="HC311">
        <f>GV311*GW311</f>
        <v>0</v>
      </c>
      <c r="HE311" t="s">
        <v>3</v>
      </c>
      <c r="HF311" t="s">
        <v>3</v>
      </c>
      <c r="IK311">
        <v>0</v>
      </c>
    </row>
    <row r="312" spans="1:245" x14ac:dyDescent="0.2">
      <c r="A312">
        <v>17</v>
      </c>
      <c r="B312">
        <v>1</v>
      </c>
      <c r="C312">
        <f>ROW(SmtRes!A166)</f>
        <v>166</v>
      </c>
      <c r="D312">
        <f>ROW(EtalonRes!A158)</f>
        <v>158</v>
      </c>
      <c r="E312" t="s">
        <v>280</v>
      </c>
      <c r="F312" t="s">
        <v>281</v>
      </c>
      <c r="G312" t="s">
        <v>282</v>
      </c>
      <c r="H312" t="s">
        <v>278</v>
      </c>
      <c r="I312">
        <f>ROUND((2*6)/10,4)</f>
        <v>1.2</v>
      </c>
      <c r="J312">
        <v>0</v>
      </c>
      <c r="O312">
        <f>ROUND(CP312,2)</f>
        <v>17937.53</v>
      </c>
      <c r="P312">
        <f>ROUND(CQ312*I312,2)</f>
        <v>14242.98</v>
      </c>
      <c r="Q312">
        <f>ROUND(CR312*I312,2)</f>
        <v>39.43</v>
      </c>
      <c r="R312">
        <f>ROUND(CS312*I312,2)</f>
        <v>4.24</v>
      </c>
      <c r="S312">
        <f>ROUND(CT312*I312,2)</f>
        <v>3655.12</v>
      </c>
      <c r="T312">
        <f>ROUND(CU312*I312,2)</f>
        <v>0</v>
      </c>
      <c r="U312">
        <f>CV312*I312</f>
        <v>14.58</v>
      </c>
      <c r="V312">
        <f>CW312*I312</f>
        <v>0</v>
      </c>
      <c r="W312">
        <f>ROUND(CX312*I312,2)</f>
        <v>0</v>
      </c>
      <c r="X312">
        <f t="shared" si="236"/>
        <v>2558.58</v>
      </c>
      <c r="Y312">
        <f t="shared" si="236"/>
        <v>365.51</v>
      </c>
      <c r="AA312">
        <v>49707740</v>
      </c>
      <c r="AB312">
        <f>ROUND((AC312+AD312+AF312),6)</f>
        <v>14947.94</v>
      </c>
      <c r="AC312">
        <f>ROUND((ES312),6)</f>
        <v>11869.15</v>
      </c>
      <c r="AD312">
        <f>ROUND((((ET312)-(EU312))+AE312),6)</f>
        <v>32.86</v>
      </c>
      <c r="AE312">
        <f t="shared" si="237"/>
        <v>3.53</v>
      </c>
      <c r="AF312">
        <f t="shared" si="237"/>
        <v>3045.93</v>
      </c>
      <c r="AG312">
        <f>ROUND((AP312),6)</f>
        <v>0</v>
      </c>
      <c r="AH312">
        <f t="shared" si="238"/>
        <v>12.15</v>
      </c>
      <c r="AI312">
        <f t="shared" si="238"/>
        <v>0</v>
      </c>
      <c r="AJ312">
        <f>(AS312)</f>
        <v>0</v>
      </c>
      <c r="AK312">
        <v>14947.94</v>
      </c>
      <c r="AL312">
        <v>11869.15</v>
      </c>
      <c r="AM312">
        <v>32.86</v>
      </c>
      <c r="AN312">
        <v>3.53</v>
      </c>
      <c r="AO312">
        <v>3045.93</v>
      </c>
      <c r="AP312">
        <v>0</v>
      </c>
      <c r="AQ312">
        <v>12.15</v>
      </c>
      <c r="AR312">
        <v>0</v>
      </c>
      <c r="AS312">
        <v>0</v>
      </c>
      <c r="AT312">
        <v>70</v>
      </c>
      <c r="AU312">
        <v>10</v>
      </c>
      <c r="AV312">
        <v>1</v>
      </c>
      <c r="AW312">
        <v>1</v>
      </c>
      <c r="AZ312">
        <v>1</v>
      </c>
      <c r="BA312">
        <v>1</v>
      </c>
      <c r="BB312">
        <v>1</v>
      </c>
      <c r="BC312">
        <v>1</v>
      </c>
      <c r="BD312" t="s">
        <v>3</v>
      </c>
      <c r="BE312" t="s">
        <v>3</v>
      </c>
      <c r="BF312" t="s">
        <v>3</v>
      </c>
      <c r="BG312" t="s">
        <v>3</v>
      </c>
      <c r="BH312">
        <v>0</v>
      </c>
      <c r="BI312">
        <v>4</v>
      </c>
      <c r="BJ312" t="s">
        <v>283</v>
      </c>
      <c r="BM312">
        <v>0</v>
      </c>
      <c r="BN312">
        <v>0</v>
      </c>
      <c r="BO312" t="s">
        <v>3</v>
      </c>
      <c r="BP312">
        <v>0</v>
      </c>
      <c r="BQ312">
        <v>1</v>
      </c>
      <c r="BR312">
        <v>0</v>
      </c>
      <c r="BS312">
        <v>1</v>
      </c>
      <c r="BT312">
        <v>1</v>
      </c>
      <c r="BU312">
        <v>1</v>
      </c>
      <c r="BV312">
        <v>1</v>
      </c>
      <c r="BW312">
        <v>1</v>
      </c>
      <c r="BX312">
        <v>1</v>
      </c>
      <c r="BY312" t="s">
        <v>3</v>
      </c>
      <c r="BZ312">
        <v>70</v>
      </c>
      <c r="CA312">
        <v>10</v>
      </c>
      <c r="CE312">
        <v>0</v>
      </c>
      <c r="CF312">
        <v>0</v>
      </c>
      <c r="CG312">
        <v>0</v>
      </c>
      <c r="CM312">
        <v>0</v>
      </c>
      <c r="CN312" t="s">
        <v>3</v>
      </c>
      <c r="CO312">
        <v>0</v>
      </c>
      <c r="CP312">
        <f>(P312+Q312+S312)</f>
        <v>17937.53</v>
      </c>
      <c r="CQ312">
        <f>(AC312*BC312*AW312)</f>
        <v>11869.15</v>
      </c>
      <c r="CR312">
        <f>((((ET312)*BB312-(EU312)*BS312)+AE312*BS312)*AV312)</f>
        <v>32.86</v>
      </c>
      <c r="CS312">
        <f>(AE312*BS312*AV312)</f>
        <v>3.53</v>
      </c>
      <c r="CT312">
        <f>(AF312*BA312*AV312)</f>
        <v>3045.93</v>
      </c>
      <c r="CU312">
        <f>AG312</f>
        <v>0</v>
      </c>
      <c r="CV312">
        <f>(AH312*AV312)</f>
        <v>12.15</v>
      </c>
      <c r="CW312">
        <f t="shared" si="239"/>
        <v>0</v>
      </c>
      <c r="CX312">
        <f t="shared" si="239"/>
        <v>0</v>
      </c>
      <c r="CY312">
        <f>((S312*BZ312)/100)</f>
        <v>2558.5839999999998</v>
      </c>
      <c r="CZ312">
        <f>((S312*CA312)/100)</f>
        <v>365.51199999999994</v>
      </c>
      <c r="DC312" t="s">
        <v>3</v>
      </c>
      <c r="DD312" t="s">
        <v>3</v>
      </c>
      <c r="DE312" t="s">
        <v>3</v>
      </c>
      <c r="DF312" t="s">
        <v>3</v>
      </c>
      <c r="DG312" t="s">
        <v>3</v>
      </c>
      <c r="DH312" t="s">
        <v>3</v>
      </c>
      <c r="DI312" t="s">
        <v>3</v>
      </c>
      <c r="DJ312" t="s">
        <v>3</v>
      </c>
      <c r="DK312" t="s">
        <v>3</v>
      </c>
      <c r="DL312" t="s">
        <v>3</v>
      </c>
      <c r="DM312" t="s">
        <v>3</v>
      </c>
      <c r="DN312">
        <v>0</v>
      </c>
      <c r="DO312">
        <v>0</v>
      </c>
      <c r="DP312">
        <v>1</v>
      </c>
      <c r="DQ312">
        <v>1</v>
      </c>
      <c r="DU312">
        <v>1010</v>
      </c>
      <c r="DV312" t="s">
        <v>278</v>
      </c>
      <c r="DW312" t="s">
        <v>278</v>
      </c>
      <c r="DX312">
        <v>10</v>
      </c>
      <c r="DZ312" t="s">
        <v>3</v>
      </c>
      <c r="EA312" t="s">
        <v>3</v>
      </c>
      <c r="EB312" t="s">
        <v>3</v>
      </c>
      <c r="EC312" t="s">
        <v>3</v>
      </c>
      <c r="EE312">
        <v>49145957</v>
      </c>
      <c r="EF312">
        <v>1</v>
      </c>
      <c r="EG312" t="s">
        <v>32</v>
      </c>
      <c r="EH312">
        <v>0</v>
      </c>
      <c r="EI312" t="s">
        <v>3</v>
      </c>
      <c r="EJ312">
        <v>4</v>
      </c>
      <c r="EK312">
        <v>0</v>
      </c>
      <c r="EL312" t="s">
        <v>33</v>
      </c>
      <c r="EM312" t="s">
        <v>34</v>
      </c>
      <c r="EO312" t="s">
        <v>3</v>
      </c>
      <c r="EQ312">
        <v>0</v>
      </c>
      <c r="ER312">
        <v>14947.94</v>
      </c>
      <c r="ES312">
        <v>11869.15</v>
      </c>
      <c r="ET312">
        <v>32.86</v>
      </c>
      <c r="EU312">
        <v>3.53</v>
      </c>
      <c r="EV312">
        <v>3045.93</v>
      </c>
      <c r="EW312">
        <v>12.15</v>
      </c>
      <c r="EX312">
        <v>0</v>
      </c>
      <c r="EY312">
        <v>0</v>
      </c>
      <c r="FQ312">
        <v>0</v>
      </c>
      <c r="FR312">
        <f>ROUND(IF(AND(BH312=3,BI312=3),P312,0),2)</f>
        <v>0</v>
      </c>
      <c r="FS312">
        <v>0</v>
      </c>
      <c r="FX312">
        <v>70</v>
      </c>
      <c r="FY312">
        <v>10</v>
      </c>
      <c r="GA312" t="s">
        <v>3</v>
      </c>
      <c r="GD312">
        <v>0</v>
      </c>
      <c r="GF312">
        <v>-1208962469</v>
      </c>
      <c r="GG312">
        <v>2</v>
      </c>
      <c r="GH312">
        <v>1</v>
      </c>
      <c r="GI312">
        <v>-2</v>
      </c>
      <c r="GJ312">
        <v>0</v>
      </c>
      <c r="GK312">
        <f>ROUND(R312*(R12)/100,2)</f>
        <v>4.58</v>
      </c>
      <c r="GL312">
        <f>ROUND(IF(AND(BH312=3,BI312=3,FS312&lt;&gt;0),P312,0),2)</f>
        <v>0</v>
      </c>
      <c r="GM312">
        <f>ROUND(O312+X312+Y312+GK312,2)+GX312</f>
        <v>20866.2</v>
      </c>
      <c r="GN312">
        <f>IF(OR(BI312=0,BI312=1),ROUND(O312+X312+Y312+GK312,2),0)</f>
        <v>0</v>
      </c>
      <c r="GO312">
        <f>IF(BI312=2,ROUND(O312+X312+Y312+GK312,2),0)</f>
        <v>0</v>
      </c>
      <c r="GP312">
        <f>IF(BI312=4,ROUND(O312+X312+Y312+GK312,2)+GX312,0)</f>
        <v>20866.2</v>
      </c>
      <c r="GR312">
        <v>0</v>
      </c>
      <c r="GS312">
        <v>3</v>
      </c>
      <c r="GT312">
        <v>0</v>
      </c>
      <c r="GU312" t="s">
        <v>3</v>
      </c>
      <c r="GV312">
        <f>ROUND((GT312),6)</f>
        <v>0</v>
      </c>
      <c r="GW312">
        <v>1</v>
      </c>
      <c r="GX312">
        <f>ROUND(HC312*I312,2)</f>
        <v>0</v>
      </c>
      <c r="HA312">
        <v>0</v>
      </c>
      <c r="HB312">
        <v>0</v>
      </c>
      <c r="HC312">
        <f>GV312*GW312</f>
        <v>0</v>
      </c>
      <c r="HE312" t="s">
        <v>3</v>
      </c>
      <c r="HF312" t="s">
        <v>3</v>
      </c>
      <c r="IK312">
        <v>0</v>
      </c>
    </row>
    <row r="313" spans="1:245" x14ac:dyDescent="0.2">
      <c r="A313">
        <v>17</v>
      </c>
      <c r="B313">
        <v>1</v>
      </c>
      <c r="C313">
        <f>ROW(SmtRes!A171)</f>
        <v>171</v>
      </c>
      <c r="D313">
        <f>ROW(EtalonRes!A163)</f>
        <v>163</v>
      </c>
      <c r="E313" t="s">
        <v>284</v>
      </c>
      <c r="F313" t="s">
        <v>285</v>
      </c>
      <c r="G313" t="s">
        <v>286</v>
      </c>
      <c r="H313" t="s">
        <v>259</v>
      </c>
      <c r="I313">
        <f>ROUND(2*6/100,4)</f>
        <v>0.12</v>
      </c>
      <c r="J313">
        <v>0</v>
      </c>
      <c r="O313">
        <f>ROUND(CP313,2)</f>
        <v>32715.040000000001</v>
      </c>
      <c r="P313">
        <f>ROUND(CQ313*I313,2)</f>
        <v>22278.01</v>
      </c>
      <c r="Q313">
        <f>ROUND(CR313*I313,2)</f>
        <v>2127.2800000000002</v>
      </c>
      <c r="R313">
        <f>ROUND(CS313*I313,2)</f>
        <v>1051.3499999999999</v>
      </c>
      <c r="S313">
        <f>ROUND(CT313*I313,2)</f>
        <v>8309.75</v>
      </c>
      <c r="T313">
        <f>ROUND(CU313*I313,2)</f>
        <v>0</v>
      </c>
      <c r="U313">
        <f>CV313*I313</f>
        <v>41.104800000000004</v>
      </c>
      <c r="V313">
        <f>CW313*I313</f>
        <v>0</v>
      </c>
      <c r="W313">
        <f>ROUND(CX313*I313,2)</f>
        <v>0</v>
      </c>
      <c r="X313">
        <f t="shared" si="236"/>
        <v>5816.83</v>
      </c>
      <c r="Y313">
        <f t="shared" si="236"/>
        <v>830.98</v>
      </c>
      <c r="AA313">
        <v>49707740</v>
      </c>
      <c r="AB313">
        <f>ROUND((AC313+AD313+AF313),6)</f>
        <v>272625.28000000003</v>
      </c>
      <c r="AC313">
        <f>ROUND((ES313),6)</f>
        <v>185650.06</v>
      </c>
      <c r="AD313">
        <f>ROUND((((ET313)-(EU313))+AE313),6)</f>
        <v>17727.330000000002</v>
      </c>
      <c r="AE313">
        <f t="shared" si="237"/>
        <v>8761.2199999999993</v>
      </c>
      <c r="AF313">
        <f t="shared" si="237"/>
        <v>69247.89</v>
      </c>
      <c r="AG313">
        <f>ROUND((AP313),6)</f>
        <v>0</v>
      </c>
      <c r="AH313">
        <f t="shared" si="238"/>
        <v>342.54</v>
      </c>
      <c r="AI313">
        <f t="shared" si="238"/>
        <v>0</v>
      </c>
      <c r="AJ313">
        <f>(AS313)</f>
        <v>0</v>
      </c>
      <c r="AK313">
        <v>272625.28000000003</v>
      </c>
      <c r="AL313">
        <v>185650.06</v>
      </c>
      <c r="AM313">
        <v>17727.330000000002</v>
      </c>
      <c r="AN313">
        <v>8761.2199999999993</v>
      </c>
      <c r="AO313">
        <v>69247.89</v>
      </c>
      <c r="AP313">
        <v>0</v>
      </c>
      <c r="AQ313">
        <v>342.54</v>
      </c>
      <c r="AR313">
        <v>0</v>
      </c>
      <c r="AS313">
        <v>0</v>
      </c>
      <c r="AT313">
        <v>70</v>
      </c>
      <c r="AU313">
        <v>10</v>
      </c>
      <c r="AV313">
        <v>1</v>
      </c>
      <c r="AW313">
        <v>1</v>
      </c>
      <c r="AZ313">
        <v>1</v>
      </c>
      <c r="BA313">
        <v>1</v>
      </c>
      <c r="BB313">
        <v>1</v>
      </c>
      <c r="BC313">
        <v>1</v>
      </c>
      <c r="BD313" t="s">
        <v>3</v>
      </c>
      <c r="BE313" t="s">
        <v>3</v>
      </c>
      <c r="BF313" t="s">
        <v>3</v>
      </c>
      <c r="BG313" t="s">
        <v>3</v>
      </c>
      <c r="BH313">
        <v>0</v>
      </c>
      <c r="BI313">
        <v>4</v>
      </c>
      <c r="BJ313" t="s">
        <v>287</v>
      </c>
      <c r="BM313">
        <v>0</v>
      </c>
      <c r="BN313">
        <v>0</v>
      </c>
      <c r="BO313" t="s">
        <v>3</v>
      </c>
      <c r="BP313">
        <v>0</v>
      </c>
      <c r="BQ313">
        <v>1</v>
      </c>
      <c r="BR313">
        <v>0</v>
      </c>
      <c r="BS313">
        <v>1</v>
      </c>
      <c r="BT313">
        <v>1</v>
      </c>
      <c r="BU313">
        <v>1</v>
      </c>
      <c r="BV313">
        <v>1</v>
      </c>
      <c r="BW313">
        <v>1</v>
      </c>
      <c r="BX313">
        <v>1</v>
      </c>
      <c r="BY313" t="s">
        <v>3</v>
      </c>
      <c r="BZ313">
        <v>70</v>
      </c>
      <c r="CA313">
        <v>10</v>
      </c>
      <c r="CE313">
        <v>0</v>
      </c>
      <c r="CF313">
        <v>0</v>
      </c>
      <c r="CG313">
        <v>0</v>
      </c>
      <c r="CM313">
        <v>0</v>
      </c>
      <c r="CN313" t="s">
        <v>3</v>
      </c>
      <c r="CO313">
        <v>0</v>
      </c>
      <c r="CP313">
        <f>(P313+Q313+S313)</f>
        <v>32715.039999999997</v>
      </c>
      <c r="CQ313">
        <f>(AC313*BC313*AW313)</f>
        <v>185650.06</v>
      </c>
      <c r="CR313">
        <f>((((ET313)*BB313-(EU313)*BS313)+AE313*BS313)*AV313)</f>
        <v>17727.330000000002</v>
      </c>
      <c r="CS313">
        <f>(AE313*BS313*AV313)</f>
        <v>8761.2199999999993</v>
      </c>
      <c r="CT313">
        <f>(AF313*BA313*AV313)</f>
        <v>69247.89</v>
      </c>
      <c r="CU313">
        <f>AG313</f>
        <v>0</v>
      </c>
      <c r="CV313">
        <f>(AH313*AV313)</f>
        <v>342.54</v>
      </c>
      <c r="CW313">
        <f t="shared" si="239"/>
        <v>0</v>
      </c>
      <c r="CX313">
        <f t="shared" si="239"/>
        <v>0</v>
      </c>
      <c r="CY313">
        <f>((S313*BZ313)/100)</f>
        <v>5816.8249999999998</v>
      </c>
      <c r="CZ313">
        <f>((S313*CA313)/100)</f>
        <v>830.97500000000002</v>
      </c>
      <c r="DC313" t="s">
        <v>3</v>
      </c>
      <c r="DD313" t="s">
        <v>3</v>
      </c>
      <c r="DE313" t="s">
        <v>3</v>
      </c>
      <c r="DF313" t="s">
        <v>3</v>
      </c>
      <c r="DG313" t="s">
        <v>3</v>
      </c>
      <c r="DH313" t="s">
        <v>3</v>
      </c>
      <c r="DI313" t="s">
        <v>3</v>
      </c>
      <c r="DJ313" t="s">
        <v>3</v>
      </c>
      <c r="DK313" t="s">
        <v>3</v>
      </c>
      <c r="DL313" t="s">
        <v>3</v>
      </c>
      <c r="DM313" t="s">
        <v>3</v>
      </c>
      <c r="DN313">
        <v>0</v>
      </c>
      <c r="DO313">
        <v>0</v>
      </c>
      <c r="DP313">
        <v>1</v>
      </c>
      <c r="DQ313">
        <v>1</v>
      </c>
      <c r="DU313">
        <v>1010</v>
      </c>
      <c r="DV313" t="s">
        <v>259</v>
      </c>
      <c r="DW313" t="s">
        <v>259</v>
      </c>
      <c r="DX313">
        <v>100</v>
      </c>
      <c r="DZ313" t="s">
        <v>3</v>
      </c>
      <c r="EA313" t="s">
        <v>3</v>
      </c>
      <c r="EB313" t="s">
        <v>3</v>
      </c>
      <c r="EC313" t="s">
        <v>3</v>
      </c>
      <c r="EE313">
        <v>49145957</v>
      </c>
      <c r="EF313">
        <v>1</v>
      </c>
      <c r="EG313" t="s">
        <v>32</v>
      </c>
      <c r="EH313">
        <v>0</v>
      </c>
      <c r="EI313" t="s">
        <v>3</v>
      </c>
      <c r="EJ313">
        <v>4</v>
      </c>
      <c r="EK313">
        <v>0</v>
      </c>
      <c r="EL313" t="s">
        <v>33</v>
      </c>
      <c r="EM313" t="s">
        <v>34</v>
      </c>
      <c r="EO313" t="s">
        <v>3</v>
      </c>
      <c r="EQ313">
        <v>0</v>
      </c>
      <c r="ER313">
        <v>272625.28000000003</v>
      </c>
      <c r="ES313">
        <v>185650.06</v>
      </c>
      <c r="ET313">
        <v>17727.330000000002</v>
      </c>
      <c r="EU313">
        <v>8761.2199999999993</v>
      </c>
      <c r="EV313">
        <v>69247.89</v>
      </c>
      <c r="EW313">
        <v>342.54</v>
      </c>
      <c r="EX313">
        <v>0</v>
      </c>
      <c r="EY313">
        <v>0</v>
      </c>
      <c r="FQ313">
        <v>0</v>
      </c>
      <c r="FR313">
        <f>ROUND(IF(AND(BH313=3,BI313=3),P313,0),2)</f>
        <v>0</v>
      </c>
      <c r="FS313">
        <v>0</v>
      </c>
      <c r="FX313">
        <v>70</v>
      </c>
      <c r="FY313">
        <v>10</v>
      </c>
      <c r="GA313" t="s">
        <v>3</v>
      </c>
      <c r="GD313">
        <v>0</v>
      </c>
      <c r="GF313">
        <v>801305787</v>
      </c>
      <c r="GG313">
        <v>2</v>
      </c>
      <c r="GH313">
        <v>1</v>
      </c>
      <c r="GI313">
        <v>-2</v>
      </c>
      <c r="GJ313">
        <v>0</v>
      </c>
      <c r="GK313">
        <f>ROUND(R313*(R12)/100,2)</f>
        <v>1135.46</v>
      </c>
      <c r="GL313">
        <f>ROUND(IF(AND(BH313=3,BI313=3,FS313&lt;&gt;0),P313,0),2)</f>
        <v>0</v>
      </c>
      <c r="GM313">
        <f>ROUND(O313+X313+Y313+GK313,2)+GX313</f>
        <v>40498.31</v>
      </c>
      <c r="GN313">
        <f>IF(OR(BI313=0,BI313=1),ROUND(O313+X313+Y313+GK313,2),0)</f>
        <v>0</v>
      </c>
      <c r="GO313">
        <f>IF(BI313=2,ROUND(O313+X313+Y313+GK313,2),0)</f>
        <v>0</v>
      </c>
      <c r="GP313">
        <f>IF(BI313=4,ROUND(O313+X313+Y313+GK313,2)+GX313,0)</f>
        <v>40498.31</v>
      </c>
      <c r="GR313">
        <v>0</v>
      </c>
      <c r="GS313">
        <v>3</v>
      </c>
      <c r="GT313">
        <v>0</v>
      </c>
      <c r="GU313" t="s">
        <v>3</v>
      </c>
      <c r="GV313">
        <f>ROUND((GT313),6)</f>
        <v>0</v>
      </c>
      <c r="GW313">
        <v>1</v>
      </c>
      <c r="GX313">
        <f>ROUND(HC313*I313,2)</f>
        <v>0</v>
      </c>
      <c r="HA313">
        <v>0</v>
      </c>
      <c r="HB313">
        <v>0</v>
      </c>
      <c r="HC313">
        <f>GV313*GW313</f>
        <v>0</v>
      </c>
      <c r="HE313" t="s">
        <v>3</v>
      </c>
      <c r="HF313" t="s">
        <v>3</v>
      </c>
      <c r="IK313">
        <v>0</v>
      </c>
    </row>
    <row r="314" spans="1:245" x14ac:dyDescent="0.2">
      <c r="A314">
        <v>18</v>
      </c>
      <c r="B314">
        <v>1</v>
      </c>
      <c r="C314">
        <v>171</v>
      </c>
      <c r="E314" t="s">
        <v>288</v>
      </c>
      <c r="F314" t="s">
        <v>55</v>
      </c>
      <c r="G314" t="s">
        <v>289</v>
      </c>
      <c r="H314" t="s">
        <v>100</v>
      </c>
      <c r="I314">
        <f>I313*J314</f>
        <v>12</v>
      </c>
      <c r="J314">
        <v>100</v>
      </c>
      <c r="O314">
        <f>ROUND(CP314,2)</f>
        <v>6222</v>
      </c>
      <c r="P314">
        <f>ROUND(CQ314*I314,2)</f>
        <v>6222</v>
      </c>
      <c r="Q314">
        <f>ROUND(CR314*I314,2)</f>
        <v>0</v>
      </c>
      <c r="R314">
        <f>ROUND(CS314*I314,2)</f>
        <v>0</v>
      </c>
      <c r="S314">
        <f>ROUND(CT314*I314,2)</f>
        <v>0</v>
      </c>
      <c r="T314">
        <f>ROUND(CU314*I314,2)</f>
        <v>0</v>
      </c>
      <c r="U314">
        <f>CV314*I314</f>
        <v>0</v>
      </c>
      <c r="V314">
        <f>CW314*I314</f>
        <v>0</v>
      </c>
      <c r="W314">
        <f>ROUND(CX314*I314,2)</f>
        <v>0</v>
      </c>
      <c r="X314">
        <f t="shared" si="236"/>
        <v>0</v>
      </c>
      <c r="Y314">
        <f t="shared" si="236"/>
        <v>0</v>
      </c>
      <c r="AA314">
        <v>49707740</v>
      </c>
      <c r="AB314">
        <f>ROUND((AC314+AD314+AF314),6)</f>
        <v>518.5</v>
      </c>
      <c r="AC314">
        <f>ROUND((ES314),6)</f>
        <v>518.5</v>
      </c>
      <c r="AD314">
        <f>ROUND((((ET314)-(EU314))+AE314),6)</f>
        <v>0</v>
      </c>
      <c r="AE314">
        <f t="shared" si="237"/>
        <v>0</v>
      </c>
      <c r="AF314">
        <f t="shared" si="237"/>
        <v>0</v>
      </c>
      <c r="AG314">
        <f>ROUND((AP314),6)</f>
        <v>0</v>
      </c>
      <c r="AH314">
        <f t="shared" si="238"/>
        <v>0</v>
      </c>
      <c r="AI314">
        <f t="shared" si="238"/>
        <v>0</v>
      </c>
      <c r="AJ314">
        <f>(AS314)</f>
        <v>0</v>
      </c>
      <c r="AK314">
        <v>518.5</v>
      </c>
      <c r="AL314">
        <v>518.5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70</v>
      </c>
      <c r="AU314">
        <v>10</v>
      </c>
      <c r="AV314">
        <v>1</v>
      </c>
      <c r="AW314">
        <v>1</v>
      </c>
      <c r="AZ314">
        <v>1</v>
      </c>
      <c r="BA314">
        <v>1</v>
      </c>
      <c r="BB314">
        <v>1</v>
      </c>
      <c r="BC314">
        <v>1</v>
      </c>
      <c r="BD314" t="s">
        <v>3</v>
      </c>
      <c r="BE314" t="s">
        <v>3</v>
      </c>
      <c r="BF314" t="s">
        <v>3</v>
      </c>
      <c r="BG314" t="s">
        <v>3</v>
      </c>
      <c r="BH314">
        <v>3</v>
      </c>
      <c r="BI314">
        <v>4</v>
      </c>
      <c r="BJ314" t="s">
        <v>3</v>
      </c>
      <c r="BM314">
        <v>0</v>
      </c>
      <c r="BN314">
        <v>0</v>
      </c>
      <c r="BO314" t="s">
        <v>3</v>
      </c>
      <c r="BP314">
        <v>0</v>
      </c>
      <c r="BQ314">
        <v>1</v>
      </c>
      <c r="BR314">
        <v>0</v>
      </c>
      <c r="BS314">
        <v>1</v>
      </c>
      <c r="BT314">
        <v>1</v>
      </c>
      <c r="BU314">
        <v>1</v>
      </c>
      <c r="BV314">
        <v>1</v>
      </c>
      <c r="BW314">
        <v>1</v>
      </c>
      <c r="BX314">
        <v>1</v>
      </c>
      <c r="BY314" t="s">
        <v>3</v>
      </c>
      <c r="BZ314">
        <v>70</v>
      </c>
      <c r="CA314">
        <v>10</v>
      </c>
      <c r="CE314">
        <v>0</v>
      </c>
      <c r="CF314">
        <v>0</v>
      </c>
      <c r="CG314">
        <v>0</v>
      </c>
      <c r="CM314">
        <v>0</v>
      </c>
      <c r="CN314" t="s">
        <v>3</v>
      </c>
      <c r="CO314">
        <v>0</v>
      </c>
      <c r="CP314">
        <f>(P314+Q314+S314)</f>
        <v>6222</v>
      </c>
      <c r="CQ314">
        <f>(AC314*BC314*AW314)</f>
        <v>518.5</v>
      </c>
      <c r="CR314">
        <f>((((ET314)*BB314-(EU314)*BS314)+AE314*BS314)*AV314)</f>
        <v>0</v>
      </c>
      <c r="CS314">
        <f>(AE314*BS314*AV314)</f>
        <v>0</v>
      </c>
      <c r="CT314">
        <f>(AF314*BA314*AV314)</f>
        <v>0</v>
      </c>
      <c r="CU314">
        <f>AG314</f>
        <v>0</v>
      </c>
      <c r="CV314">
        <f>(AH314*AV314)</f>
        <v>0</v>
      </c>
      <c r="CW314">
        <f t="shared" si="239"/>
        <v>0</v>
      </c>
      <c r="CX314">
        <f t="shared" si="239"/>
        <v>0</v>
      </c>
      <c r="CY314">
        <f>((S314*BZ314)/100)</f>
        <v>0</v>
      </c>
      <c r="CZ314">
        <f>((S314*CA314)/100)</f>
        <v>0</v>
      </c>
      <c r="DC314" t="s">
        <v>3</v>
      </c>
      <c r="DD314" t="s">
        <v>3</v>
      </c>
      <c r="DE314" t="s">
        <v>3</v>
      </c>
      <c r="DF314" t="s">
        <v>3</v>
      </c>
      <c r="DG314" t="s">
        <v>3</v>
      </c>
      <c r="DH314" t="s">
        <v>3</v>
      </c>
      <c r="DI314" t="s">
        <v>3</v>
      </c>
      <c r="DJ314" t="s">
        <v>3</v>
      </c>
      <c r="DK314" t="s">
        <v>3</v>
      </c>
      <c r="DL314" t="s">
        <v>3</v>
      </c>
      <c r="DM314" t="s">
        <v>3</v>
      </c>
      <c r="DN314">
        <v>0</v>
      </c>
      <c r="DO314">
        <v>0</v>
      </c>
      <c r="DP314">
        <v>1</v>
      </c>
      <c r="DQ314">
        <v>1</v>
      </c>
      <c r="DU314">
        <v>1010</v>
      </c>
      <c r="DV314" t="s">
        <v>100</v>
      </c>
      <c r="DW314" t="s">
        <v>100</v>
      </c>
      <c r="DX314">
        <v>1</v>
      </c>
      <c r="DZ314" t="s">
        <v>3</v>
      </c>
      <c r="EA314" t="s">
        <v>3</v>
      </c>
      <c r="EB314" t="s">
        <v>3</v>
      </c>
      <c r="EC314" t="s">
        <v>3</v>
      </c>
      <c r="EE314">
        <v>49145957</v>
      </c>
      <c r="EF314">
        <v>1</v>
      </c>
      <c r="EG314" t="s">
        <v>32</v>
      </c>
      <c r="EH314">
        <v>0</v>
      </c>
      <c r="EI314" t="s">
        <v>3</v>
      </c>
      <c r="EJ314">
        <v>4</v>
      </c>
      <c r="EK314">
        <v>0</v>
      </c>
      <c r="EL314" t="s">
        <v>33</v>
      </c>
      <c r="EM314" t="s">
        <v>34</v>
      </c>
      <c r="EO314" t="s">
        <v>3</v>
      </c>
      <c r="EQ314">
        <v>0</v>
      </c>
      <c r="ER314">
        <v>518.5</v>
      </c>
      <c r="ES314">
        <v>518.5</v>
      </c>
      <c r="ET314">
        <v>0</v>
      </c>
      <c r="EU314">
        <v>0</v>
      </c>
      <c r="EV314">
        <v>0</v>
      </c>
      <c r="EW314">
        <v>0</v>
      </c>
      <c r="EX314">
        <v>0</v>
      </c>
      <c r="EZ314">
        <v>5</v>
      </c>
      <c r="FC314">
        <v>1</v>
      </c>
      <c r="FD314">
        <v>18</v>
      </c>
      <c r="FF314">
        <v>610</v>
      </c>
      <c r="FQ314">
        <v>0</v>
      </c>
      <c r="FR314">
        <f>ROUND(IF(AND(BH314=3,BI314=3),P314,0),2)</f>
        <v>0</v>
      </c>
      <c r="FS314">
        <v>0</v>
      </c>
      <c r="FX314">
        <v>70</v>
      </c>
      <c r="FY314">
        <v>10</v>
      </c>
      <c r="GA314" t="s">
        <v>290</v>
      </c>
      <c r="GD314">
        <v>0</v>
      </c>
      <c r="GF314">
        <v>2083447218</v>
      </c>
      <c r="GG314">
        <v>2</v>
      </c>
      <c r="GH314">
        <v>3</v>
      </c>
      <c r="GI314">
        <v>-2</v>
      </c>
      <c r="GJ314">
        <v>0</v>
      </c>
      <c r="GK314">
        <f>ROUND(R314*(R12)/100,2)</f>
        <v>0</v>
      </c>
      <c r="GL314">
        <f>ROUND(IF(AND(BH314=3,BI314=3,FS314&lt;&gt;0),P314,0),2)</f>
        <v>0</v>
      </c>
      <c r="GM314">
        <f>ROUND(O314+X314+Y314+GK314,2)+GX314</f>
        <v>6222</v>
      </c>
      <c r="GN314">
        <f>IF(OR(BI314=0,BI314=1),ROUND(O314+X314+Y314+GK314,2),0)</f>
        <v>0</v>
      </c>
      <c r="GO314">
        <f>IF(BI314=2,ROUND(O314+X314+Y314+GK314,2),0)</f>
        <v>0</v>
      </c>
      <c r="GP314">
        <f>IF(BI314=4,ROUND(O314+X314+Y314+GK314,2)+GX314,0)</f>
        <v>6222</v>
      </c>
      <c r="GR314">
        <v>1</v>
      </c>
      <c r="GS314">
        <v>1</v>
      </c>
      <c r="GT314">
        <v>0</v>
      </c>
      <c r="GU314" t="s">
        <v>3</v>
      </c>
      <c r="GV314">
        <f>ROUND((GT314),6)</f>
        <v>0</v>
      </c>
      <c r="GW314">
        <v>1</v>
      </c>
      <c r="GX314">
        <f>ROUND(HC314*I314,2)</f>
        <v>0</v>
      </c>
      <c r="HA314">
        <v>0</v>
      </c>
      <c r="HB314">
        <v>0</v>
      </c>
      <c r="HC314">
        <f>GV314*GW314</f>
        <v>0</v>
      </c>
      <c r="HE314" t="s">
        <v>61</v>
      </c>
      <c r="HF314" t="s">
        <v>35</v>
      </c>
      <c r="IK314">
        <v>0</v>
      </c>
    </row>
    <row r="316" spans="1:245" x14ac:dyDescent="0.2">
      <c r="A316" s="2">
        <v>51</v>
      </c>
      <c r="B316" s="2">
        <f>B307</f>
        <v>1</v>
      </c>
      <c r="C316" s="2">
        <f>A307</f>
        <v>4</v>
      </c>
      <c r="D316" s="2">
        <f>ROW(A307)</f>
        <v>307</v>
      </c>
      <c r="E316" s="2"/>
      <c r="F316" s="2" t="str">
        <f>IF(F307&lt;&gt;"",F307,"")</f>
        <v>ИДН 6шт.</v>
      </c>
      <c r="G316" s="2" t="str">
        <f>IF(G307&lt;&gt;"",G307,"")</f>
        <v>Установка ИДН - 6 шт.</v>
      </c>
      <c r="H316" s="2">
        <v>0</v>
      </c>
      <c r="I316" s="2"/>
      <c r="J316" s="2"/>
      <c r="K316" s="2"/>
      <c r="L316" s="2"/>
      <c r="M316" s="2"/>
      <c r="N316" s="2"/>
      <c r="O316" s="2">
        <f t="shared" ref="O316:T316" si="240">ROUND(AB316,2)</f>
        <v>188281.78</v>
      </c>
      <c r="P316" s="2">
        <f t="shared" si="240"/>
        <v>149234.66</v>
      </c>
      <c r="Q316" s="2">
        <f t="shared" si="240"/>
        <v>2433.09</v>
      </c>
      <c r="R316" s="2">
        <f t="shared" si="240"/>
        <v>1084.21</v>
      </c>
      <c r="S316" s="2">
        <f t="shared" si="240"/>
        <v>36614.03</v>
      </c>
      <c r="T316" s="2">
        <f t="shared" si="240"/>
        <v>0</v>
      </c>
      <c r="U316" s="2">
        <f>AH316</f>
        <v>154.01880000000003</v>
      </c>
      <c r="V316" s="2">
        <f>AI316</f>
        <v>0</v>
      </c>
      <c r="W316" s="2">
        <f>ROUND(AJ316,2)</f>
        <v>0</v>
      </c>
      <c r="X316" s="2">
        <f>ROUND(AK316,2)</f>
        <v>25629.82</v>
      </c>
      <c r="Y316" s="2">
        <f>ROUND(AL316,2)</f>
        <v>3661.41</v>
      </c>
      <c r="Z316" s="2"/>
      <c r="AA316" s="2"/>
      <c r="AB316" s="2">
        <f>ROUND(SUMIF(AA311:AA314,"=49707740",O311:O314),2)</f>
        <v>188281.78</v>
      </c>
      <c r="AC316" s="2">
        <f>ROUND(SUMIF(AA311:AA314,"=49707740",P311:P314),2)</f>
        <v>149234.66</v>
      </c>
      <c r="AD316" s="2">
        <f>ROUND(SUMIF(AA311:AA314,"=49707740",Q311:Q314),2)</f>
        <v>2433.09</v>
      </c>
      <c r="AE316" s="2">
        <f>ROUND(SUMIF(AA311:AA314,"=49707740",R311:R314),2)</f>
        <v>1084.21</v>
      </c>
      <c r="AF316" s="2">
        <f>ROUND(SUMIF(AA311:AA314,"=49707740",S311:S314),2)</f>
        <v>36614.03</v>
      </c>
      <c r="AG316" s="2">
        <f>ROUND(SUMIF(AA311:AA314,"=49707740",T311:T314),2)</f>
        <v>0</v>
      </c>
      <c r="AH316" s="2">
        <f>SUMIF(AA311:AA314,"=49707740",U311:U314)</f>
        <v>154.01880000000003</v>
      </c>
      <c r="AI316" s="2">
        <f>SUMIF(AA311:AA314,"=49707740",V311:V314)</f>
        <v>0</v>
      </c>
      <c r="AJ316" s="2">
        <f>ROUND(SUMIF(AA311:AA314,"=49707740",W311:W314),2)</f>
        <v>0</v>
      </c>
      <c r="AK316" s="2">
        <f>ROUND(SUMIF(AA311:AA314,"=49707740",X311:X314),2)</f>
        <v>25629.82</v>
      </c>
      <c r="AL316" s="2">
        <f>ROUND(SUMIF(AA311:AA314,"=49707740",Y311:Y314),2)</f>
        <v>3661.41</v>
      </c>
      <c r="AM316" s="2"/>
      <c r="AN316" s="2"/>
      <c r="AO316" s="2">
        <f t="shared" ref="AO316:BD316" si="241">ROUND(BX316,2)</f>
        <v>0</v>
      </c>
      <c r="AP316" s="2">
        <f t="shared" si="241"/>
        <v>0</v>
      </c>
      <c r="AQ316" s="2">
        <f t="shared" si="241"/>
        <v>0</v>
      </c>
      <c r="AR316" s="2">
        <f t="shared" si="241"/>
        <v>218743.96</v>
      </c>
      <c r="AS316" s="2">
        <f t="shared" si="241"/>
        <v>0</v>
      </c>
      <c r="AT316" s="2">
        <f t="shared" si="241"/>
        <v>0</v>
      </c>
      <c r="AU316" s="2">
        <f t="shared" si="241"/>
        <v>218743.96</v>
      </c>
      <c r="AV316" s="2">
        <f t="shared" si="241"/>
        <v>149234.66</v>
      </c>
      <c r="AW316" s="2">
        <f t="shared" si="241"/>
        <v>149234.66</v>
      </c>
      <c r="AX316" s="2">
        <f t="shared" si="241"/>
        <v>0</v>
      </c>
      <c r="AY316" s="2">
        <f t="shared" si="241"/>
        <v>149234.66</v>
      </c>
      <c r="AZ316" s="2">
        <f t="shared" si="241"/>
        <v>0</v>
      </c>
      <c r="BA316" s="2">
        <f t="shared" si="241"/>
        <v>0</v>
      </c>
      <c r="BB316" s="2">
        <f t="shared" si="241"/>
        <v>0</v>
      </c>
      <c r="BC316" s="2">
        <f t="shared" si="241"/>
        <v>0</v>
      </c>
      <c r="BD316" s="2">
        <f t="shared" si="241"/>
        <v>0</v>
      </c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>
        <f>ROUND(SUMIF(AA311:AA314,"=49707740",FQ311:FQ314),2)</f>
        <v>0</v>
      </c>
      <c r="BY316" s="2">
        <f>ROUND(SUMIF(AA311:AA314,"=49707740",FR311:FR314),2)</f>
        <v>0</v>
      </c>
      <c r="BZ316" s="2">
        <f>ROUND(SUMIF(AA311:AA314,"=49707740",GL311:GL314),2)</f>
        <v>0</v>
      </c>
      <c r="CA316" s="2">
        <f>ROUND(SUMIF(AA311:AA314,"=49707740",GM311:GM314),2)</f>
        <v>218743.96</v>
      </c>
      <c r="CB316" s="2">
        <f>ROUND(SUMIF(AA311:AA314,"=49707740",GN311:GN314),2)</f>
        <v>0</v>
      </c>
      <c r="CC316" s="2">
        <f>ROUND(SUMIF(AA311:AA314,"=49707740",GO311:GO314),2)</f>
        <v>0</v>
      </c>
      <c r="CD316" s="2">
        <f>ROUND(SUMIF(AA311:AA314,"=49707740",GP311:GP314),2)</f>
        <v>218743.96</v>
      </c>
      <c r="CE316" s="2">
        <f>AC316-BX316</f>
        <v>149234.66</v>
      </c>
      <c r="CF316" s="2">
        <f>AC316-BY316</f>
        <v>149234.66</v>
      </c>
      <c r="CG316" s="2">
        <f>BX316-BZ316</f>
        <v>0</v>
      </c>
      <c r="CH316" s="2">
        <f>AC316-BX316-BY316+BZ316</f>
        <v>149234.66</v>
      </c>
      <c r="CI316" s="2">
        <f>BY316-BZ316</f>
        <v>0</v>
      </c>
      <c r="CJ316" s="2">
        <f>ROUND(SUMIF(AA311:AA314,"=49707740",GX311:GX314),2)</f>
        <v>0</v>
      </c>
      <c r="CK316" s="2">
        <f>ROUND(SUMIF(AA311:AA314,"=49707740",GY311:GY314),2)</f>
        <v>0</v>
      </c>
      <c r="CL316" s="2">
        <f>ROUND(SUMIF(AA311:AA314,"=49707740",GZ311:GZ314),2)</f>
        <v>0</v>
      </c>
      <c r="CM316" s="2">
        <f>ROUND(SUMIF(AA311:AA314,"=49707740",HD311:HD314),2)</f>
        <v>0</v>
      </c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3"/>
      <c r="DH316" s="3"/>
      <c r="DI316" s="3"/>
      <c r="DJ316" s="3"/>
      <c r="DK316" s="3"/>
      <c r="DL316" s="3"/>
      <c r="DM316" s="3"/>
      <c r="DN316" s="3"/>
      <c r="DO316" s="3"/>
      <c r="DP316" s="3"/>
      <c r="DQ316" s="3"/>
      <c r="DR316" s="3"/>
      <c r="DS316" s="3"/>
      <c r="DT316" s="3"/>
      <c r="DU316" s="3"/>
      <c r="DV316" s="3"/>
      <c r="DW316" s="3"/>
      <c r="DX316" s="3"/>
      <c r="DY316" s="3"/>
      <c r="DZ316" s="3"/>
      <c r="EA316" s="3"/>
      <c r="EB316" s="3"/>
      <c r="EC316" s="3"/>
      <c r="ED316" s="3"/>
      <c r="EE316" s="3"/>
      <c r="EF316" s="3"/>
      <c r="EG316" s="3"/>
      <c r="EH316" s="3"/>
      <c r="EI316" s="3"/>
      <c r="EJ316" s="3"/>
      <c r="EK316" s="3"/>
      <c r="EL316" s="3"/>
      <c r="EM316" s="3"/>
      <c r="EN316" s="3"/>
      <c r="EO316" s="3"/>
      <c r="EP316" s="3"/>
      <c r="EQ316" s="3"/>
      <c r="ER316" s="3"/>
      <c r="ES316" s="3"/>
      <c r="ET316" s="3"/>
      <c r="EU316" s="3"/>
      <c r="EV316" s="3"/>
      <c r="EW316" s="3"/>
      <c r="EX316" s="3"/>
      <c r="EY316" s="3"/>
      <c r="EZ316" s="3"/>
      <c r="FA316" s="3"/>
      <c r="FB316" s="3"/>
      <c r="FC316" s="3"/>
      <c r="FD316" s="3"/>
      <c r="FE316" s="3"/>
      <c r="FF316" s="3"/>
      <c r="FG316" s="3"/>
      <c r="FH316" s="3"/>
      <c r="FI316" s="3"/>
      <c r="FJ316" s="3"/>
      <c r="FK316" s="3"/>
      <c r="FL316" s="3"/>
      <c r="FM316" s="3"/>
      <c r="FN316" s="3"/>
      <c r="FO316" s="3"/>
      <c r="FP316" s="3"/>
      <c r="FQ316" s="3"/>
      <c r="FR316" s="3"/>
      <c r="FS316" s="3"/>
      <c r="FT316" s="3"/>
      <c r="FU316" s="3"/>
      <c r="FV316" s="3"/>
      <c r="FW316" s="3"/>
      <c r="FX316" s="3"/>
      <c r="FY316" s="3"/>
      <c r="FZ316" s="3"/>
      <c r="GA316" s="3"/>
      <c r="GB316" s="3"/>
      <c r="GC316" s="3"/>
      <c r="GD316" s="3"/>
      <c r="GE316" s="3"/>
      <c r="GF316" s="3"/>
      <c r="GG316" s="3"/>
      <c r="GH316" s="3"/>
      <c r="GI316" s="3"/>
      <c r="GJ316" s="3"/>
      <c r="GK316" s="3"/>
      <c r="GL316" s="3"/>
      <c r="GM316" s="3"/>
      <c r="GN316" s="3"/>
      <c r="GO316" s="3"/>
      <c r="GP316" s="3"/>
      <c r="GQ316" s="3"/>
      <c r="GR316" s="3"/>
      <c r="GS316" s="3"/>
      <c r="GT316" s="3"/>
      <c r="GU316" s="3"/>
      <c r="GV316" s="3"/>
      <c r="GW316" s="3"/>
      <c r="GX316" s="3">
        <v>0</v>
      </c>
    </row>
    <row r="318" spans="1:245" x14ac:dyDescent="0.2">
      <c r="A318" s="4">
        <v>50</v>
      </c>
      <c r="B318" s="4">
        <v>0</v>
      </c>
      <c r="C318" s="4">
        <v>0</v>
      </c>
      <c r="D318" s="4">
        <v>1</v>
      </c>
      <c r="E318" s="4">
        <v>201</v>
      </c>
      <c r="F318" s="4">
        <f>ROUND(Source!O316,O318)</f>
        <v>188281.78</v>
      </c>
      <c r="G318" s="4" t="s">
        <v>106</v>
      </c>
      <c r="H318" s="4" t="s">
        <v>107</v>
      </c>
      <c r="I318" s="4"/>
      <c r="J318" s="4"/>
      <c r="K318" s="4">
        <v>-201</v>
      </c>
      <c r="L318" s="4">
        <v>1</v>
      </c>
      <c r="M318" s="4">
        <v>3</v>
      </c>
      <c r="N318" s="4" t="s">
        <v>3</v>
      </c>
      <c r="O318" s="4">
        <v>2</v>
      </c>
      <c r="P318" s="4"/>
      <c r="Q318" s="4"/>
      <c r="R318" s="4"/>
      <c r="S318" s="4"/>
      <c r="T318" s="4"/>
      <c r="U318" s="4"/>
      <c r="V318" s="4"/>
      <c r="W318" s="4"/>
    </row>
    <row r="319" spans="1:245" x14ac:dyDescent="0.2">
      <c r="A319" s="4">
        <v>50</v>
      </c>
      <c r="B319" s="4">
        <v>0</v>
      </c>
      <c r="C319" s="4">
        <v>0</v>
      </c>
      <c r="D319" s="4">
        <v>1</v>
      </c>
      <c r="E319" s="4">
        <v>202</v>
      </c>
      <c r="F319" s="4">
        <f>ROUND(Source!P316,O319)</f>
        <v>149234.66</v>
      </c>
      <c r="G319" s="4" t="s">
        <v>108</v>
      </c>
      <c r="H319" s="4" t="s">
        <v>109</v>
      </c>
      <c r="I319" s="4"/>
      <c r="J319" s="4"/>
      <c r="K319" s="4">
        <v>-202</v>
      </c>
      <c r="L319" s="4">
        <v>2</v>
      </c>
      <c r="M319" s="4">
        <v>3</v>
      </c>
      <c r="N319" s="4" t="s">
        <v>3</v>
      </c>
      <c r="O319" s="4">
        <v>2</v>
      </c>
      <c r="P319" s="4"/>
      <c r="Q319" s="4"/>
      <c r="R319" s="4"/>
      <c r="S319" s="4"/>
      <c r="T319" s="4"/>
      <c r="U319" s="4"/>
      <c r="V319" s="4"/>
      <c r="W319" s="4"/>
    </row>
    <row r="320" spans="1:245" x14ac:dyDescent="0.2">
      <c r="A320" s="4">
        <v>50</v>
      </c>
      <c r="B320" s="4">
        <v>0</v>
      </c>
      <c r="C320" s="4">
        <v>0</v>
      </c>
      <c r="D320" s="4">
        <v>1</v>
      </c>
      <c r="E320" s="4">
        <v>222</v>
      </c>
      <c r="F320" s="4">
        <f>ROUND(Source!AO316,O320)</f>
        <v>0</v>
      </c>
      <c r="G320" s="4" t="s">
        <v>110</v>
      </c>
      <c r="H320" s="4" t="s">
        <v>111</v>
      </c>
      <c r="I320" s="4"/>
      <c r="J320" s="4"/>
      <c r="K320" s="4">
        <v>-222</v>
      </c>
      <c r="L320" s="4">
        <v>3</v>
      </c>
      <c r="M320" s="4">
        <v>3</v>
      </c>
      <c r="N320" s="4" t="s">
        <v>3</v>
      </c>
      <c r="O320" s="4">
        <v>2</v>
      </c>
      <c r="P320" s="4"/>
      <c r="Q320" s="4"/>
      <c r="R320" s="4"/>
      <c r="S320" s="4"/>
      <c r="T320" s="4"/>
      <c r="U320" s="4"/>
      <c r="V320" s="4"/>
      <c r="W320" s="4"/>
    </row>
    <row r="321" spans="1:23" x14ac:dyDescent="0.2">
      <c r="A321" s="4">
        <v>50</v>
      </c>
      <c r="B321" s="4">
        <v>0</v>
      </c>
      <c r="C321" s="4">
        <v>0</v>
      </c>
      <c r="D321" s="4">
        <v>1</v>
      </c>
      <c r="E321" s="4">
        <v>225</v>
      </c>
      <c r="F321" s="4">
        <f>ROUND(Source!AV316,O321)</f>
        <v>149234.66</v>
      </c>
      <c r="G321" s="4" t="s">
        <v>112</v>
      </c>
      <c r="H321" s="4" t="s">
        <v>113</v>
      </c>
      <c r="I321" s="4"/>
      <c r="J321" s="4"/>
      <c r="K321" s="4">
        <v>-225</v>
      </c>
      <c r="L321" s="4">
        <v>4</v>
      </c>
      <c r="M321" s="4">
        <v>3</v>
      </c>
      <c r="N321" s="4" t="s">
        <v>3</v>
      </c>
      <c r="O321" s="4">
        <v>2</v>
      </c>
      <c r="P321" s="4"/>
      <c r="Q321" s="4"/>
      <c r="R321" s="4"/>
      <c r="S321" s="4"/>
      <c r="T321" s="4"/>
      <c r="U321" s="4"/>
      <c r="V321" s="4"/>
      <c r="W321" s="4"/>
    </row>
    <row r="322" spans="1:23" x14ac:dyDescent="0.2">
      <c r="A322" s="4">
        <v>50</v>
      </c>
      <c r="B322" s="4">
        <v>0</v>
      </c>
      <c r="C322" s="4">
        <v>0</v>
      </c>
      <c r="D322" s="4">
        <v>1</v>
      </c>
      <c r="E322" s="4">
        <v>226</v>
      </c>
      <c r="F322" s="4">
        <f>ROUND(Source!AW316,O322)</f>
        <v>149234.66</v>
      </c>
      <c r="G322" s="4" t="s">
        <v>114</v>
      </c>
      <c r="H322" s="4" t="s">
        <v>115</v>
      </c>
      <c r="I322" s="4"/>
      <c r="J322" s="4"/>
      <c r="K322" s="4">
        <v>-226</v>
      </c>
      <c r="L322" s="4">
        <v>5</v>
      </c>
      <c r="M322" s="4">
        <v>3</v>
      </c>
      <c r="N322" s="4" t="s">
        <v>3</v>
      </c>
      <c r="O322" s="4">
        <v>2</v>
      </c>
      <c r="P322" s="4"/>
      <c r="Q322" s="4"/>
      <c r="R322" s="4"/>
      <c r="S322" s="4"/>
      <c r="T322" s="4"/>
      <c r="U322" s="4"/>
      <c r="V322" s="4"/>
      <c r="W322" s="4"/>
    </row>
    <row r="323" spans="1:23" x14ac:dyDescent="0.2">
      <c r="A323" s="4">
        <v>50</v>
      </c>
      <c r="B323" s="4">
        <v>0</v>
      </c>
      <c r="C323" s="4">
        <v>0</v>
      </c>
      <c r="D323" s="4">
        <v>1</v>
      </c>
      <c r="E323" s="4">
        <v>227</v>
      </c>
      <c r="F323" s="4">
        <f>ROUND(Source!AX316,O323)</f>
        <v>0</v>
      </c>
      <c r="G323" s="4" t="s">
        <v>116</v>
      </c>
      <c r="H323" s="4" t="s">
        <v>117</v>
      </c>
      <c r="I323" s="4"/>
      <c r="J323" s="4"/>
      <c r="K323" s="4">
        <v>-227</v>
      </c>
      <c r="L323" s="4">
        <v>6</v>
      </c>
      <c r="M323" s="4">
        <v>3</v>
      </c>
      <c r="N323" s="4" t="s">
        <v>3</v>
      </c>
      <c r="O323" s="4">
        <v>2</v>
      </c>
      <c r="P323" s="4"/>
      <c r="Q323" s="4"/>
      <c r="R323" s="4"/>
      <c r="S323" s="4"/>
      <c r="T323" s="4"/>
      <c r="U323" s="4"/>
      <c r="V323" s="4"/>
      <c r="W323" s="4"/>
    </row>
    <row r="324" spans="1:23" x14ac:dyDescent="0.2">
      <c r="A324" s="4">
        <v>50</v>
      </c>
      <c r="B324" s="4">
        <v>0</v>
      </c>
      <c r="C324" s="4">
        <v>0</v>
      </c>
      <c r="D324" s="4">
        <v>1</v>
      </c>
      <c r="E324" s="4">
        <v>228</v>
      </c>
      <c r="F324" s="4">
        <f>ROUND(Source!AY316,O324)</f>
        <v>149234.66</v>
      </c>
      <c r="G324" s="4" t="s">
        <v>118</v>
      </c>
      <c r="H324" s="4" t="s">
        <v>119</v>
      </c>
      <c r="I324" s="4"/>
      <c r="J324" s="4"/>
      <c r="K324" s="4">
        <v>-228</v>
      </c>
      <c r="L324" s="4">
        <v>7</v>
      </c>
      <c r="M324" s="4">
        <v>3</v>
      </c>
      <c r="N324" s="4" t="s">
        <v>3</v>
      </c>
      <c r="O324" s="4">
        <v>2</v>
      </c>
      <c r="P324" s="4"/>
      <c r="Q324" s="4"/>
      <c r="R324" s="4"/>
      <c r="S324" s="4"/>
      <c r="T324" s="4"/>
      <c r="U324" s="4"/>
      <c r="V324" s="4"/>
      <c r="W324" s="4"/>
    </row>
    <row r="325" spans="1:23" x14ac:dyDescent="0.2">
      <c r="A325" s="4">
        <v>50</v>
      </c>
      <c r="B325" s="4">
        <v>0</v>
      </c>
      <c r="C325" s="4">
        <v>0</v>
      </c>
      <c r="D325" s="4">
        <v>1</v>
      </c>
      <c r="E325" s="4">
        <v>216</v>
      </c>
      <c r="F325" s="4">
        <f>ROUND(Source!AP316,O325)</f>
        <v>0</v>
      </c>
      <c r="G325" s="4" t="s">
        <v>120</v>
      </c>
      <c r="H325" s="4" t="s">
        <v>121</v>
      </c>
      <c r="I325" s="4"/>
      <c r="J325" s="4"/>
      <c r="K325" s="4">
        <v>-216</v>
      </c>
      <c r="L325" s="4">
        <v>8</v>
      </c>
      <c r="M325" s="4">
        <v>3</v>
      </c>
      <c r="N325" s="4" t="s">
        <v>3</v>
      </c>
      <c r="O325" s="4">
        <v>2</v>
      </c>
      <c r="P325" s="4"/>
      <c r="Q325" s="4"/>
      <c r="R325" s="4"/>
      <c r="S325" s="4"/>
      <c r="T325" s="4"/>
      <c r="U325" s="4"/>
      <c r="V325" s="4"/>
      <c r="W325" s="4"/>
    </row>
    <row r="326" spans="1:23" x14ac:dyDescent="0.2">
      <c r="A326" s="4">
        <v>50</v>
      </c>
      <c r="B326" s="4">
        <v>0</v>
      </c>
      <c r="C326" s="4">
        <v>0</v>
      </c>
      <c r="D326" s="4">
        <v>1</v>
      </c>
      <c r="E326" s="4">
        <v>223</v>
      </c>
      <c r="F326" s="4">
        <f>ROUND(Source!AQ316,O326)</f>
        <v>0</v>
      </c>
      <c r="G326" s="4" t="s">
        <v>122</v>
      </c>
      <c r="H326" s="4" t="s">
        <v>123</v>
      </c>
      <c r="I326" s="4"/>
      <c r="J326" s="4"/>
      <c r="K326" s="4">
        <v>-223</v>
      </c>
      <c r="L326" s="4">
        <v>9</v>
      </c>
      <c r="M326" s="4">
        <v>3</v>
      </c>
      <c r="N326" s="4" t="s">
        <v>3</v>
      </c>
      <c r="O326" s="4">
        <v>2</v>
      </c>
      <c r="P326" s="4"/>
      <c r="Q326" s="4"/>
      <c r="R326" s="4"/>
      <c r="S326" s="4"/>
      <c r="T326" s="4"/>
      <c r="U326" s="4"/>
      <c r="V326" s="4"/>
      <c r="W326" s="4"/>
    </row>
    <row r="327" spans="1:23" x14ac:dyDescent="0.2">
      <c r="A327" s="4">
        <v>50</v>
      </c>
      <c r="B327" s="4">
        <v>0</v>
      </c>
      <c r="C327" s="4">
        <v>0</v>
      </c>
      <c r="D327" s="4">
        <v>1</v>
      </c>
      <c r="E327" s="4">
        <v>229</v>
      </c>
      <c r="F327" s="4">
        <f>ROUND(Source!AZ316,O327)</f>
        <v>0</v>
      </c>
      <c r="G327" s="4" t="s">
        <v>124</v>
      </c>
      <c r="H327" s="4" t="s">
        <v>125</v>
      </c>
      <c r="I327" s="4"/>
      <c r="J327" s="4"/>
      <c r="K327" s="4">
        <v>-229</v>
      </c>
      <c r="L327" s="4">
        <v>10</v>
      </c>
      <c r="M327" s="4">
        <v>3</v>
      </c>
      <c r="N327" s="4" t="s">
        <v>3</v>
      </c>
      <c r="O327" s="4">
        <v>2</v>
      </c>
      <c r="P327" s="4"/>
      <c r="Q327" s="4"/>
      <c r="R327" s="4"/>
      <c r="S327" s="4"/>
      <c r="T327" s="4"/>
      <c r="U327" s="4"/>
      <c r="V327" s="4"/>
      <c r="W327" s="4"/>
    </row>
    <row r="328" spans="1:23" x14ac:dyDescent="0.2">
      <c r="A328" s="4">
        <v>50</v>
      </c>
      <c r="B328" s="4">
        <v>0</v>
      </c>
      <c r="C328" s="4">
        <v>0</v>
      </c>
      <c r="D328" s="4">
        <v>1</v>
      </c>
      <c r="E328" s="4">
        <v>203</v>
      </c>
      <c r="F328" s="4">
        <f>ROUND(Source!Q316,O328)</f>
        <v>2433.09</v>
      </c>
      <c r="G328" s="4" t="s">
        <v>126</v>
      </c>
      <c r="H328" s="4" t="s">
        <v>127</v>
      </c>
      <c r="I328" s="4"/>
      <c r="J328" s="4"/>
      <c r="K328" s="4">
        <v>-203</v>
      </c>
      <c r="L328" s="4">
        <v>11</v>
      </c>
      <c r="M328" s="4">
        <v>3</v>
      </c>
      <c r="N328" s="4" t="s">
        <v>3</v>
      </c>
      <c r="O328" s="4">
        <v>2</v>
      </c>
      <c r="P328" s="4"/>
      <c r="Q328" s="4"/>
      <c r="R328" s="4"/>
      <c r="S328" s="4"/>
      <c r="T328" s="4"/>
      <c r="U328" s="4"/>
      <c r="V328" s="4"/>
      <c r="W328" s="4"/>
    </row>
    <row r="329" spans="1:23" x14ac:dyDescent="0.2">
      <c r="A329" s="4">
        <v>50</v>
      </c>
      <c r="B329" s="4">
        <v>0</v>
      </c>
      <c r="C329" s="4">
        <v>0</v>
      </c>
      <c r="D329" s="4">
        <v>1</v>
      </c>
      <c r="E329" s="4">
        <v>231</v>
      </c>
      <c r="F329" s="4">
        <f>ROUND(Source!BB316,O329)</f>
        <v>0</v>
      </c>
      <c r="G329" s="4" t="s">
        <v>128</v>
      </c>
      <c r="H329" s="4" t="s">
        <v>129</v>
      </c>
      <c r="I329" s="4"/>
      <c r="J329" s="4"/>
      <c r="K329" s="4">
        <v>-231</v>
      </c>
      <c r="L329" s="4">
        <v>12</v>
      </c>
      <c r="M329" s="4">
        <v>3</v>
      </c>
      <c r="N329" s="4" t="s">
        <v>3</v>
      </c>
      <c r="O329" s="4">
        <v>2</v>
      </c>
      <c r="P329" s="4"/>
      <c r="Q329" s="4"/>
      <c r="R329" s="4"/>
      <c r="S329" s="4"/>
      <c r="T329" s="4"/>
      <c r="U329" s="4"/>
      <c r="V329" s="4"/>
      <c r="W329" s="4"/>
    </row>
    <row r="330" spans="1:23" x14ac:dyDescent="0.2">
      <c r="A330" s="4">
        <v>50</v>
      </c>
      <c r="B330" s="4">
        <v>0</v>
      </c>
      <c r="C330" s="4">
        <v>0</v>
      </c>
      <c r="D330" s="4">
        <v>1</v>
      </c>
      <c r="E330" s="4">
        <v>204</v>
      </c>
      <c r="F330" s="4">
        <f>ROUND(Source!R316,O330)</f>
        <v>1084.21</v>
      </c>
      <c r="G330" s="4" t="s">
        <v>130</v>
      </c>
      <c r="H330" s="4" t="s">
        <v>131</v>
      </c>
      <c r="I330" s="4"/>
      <c r="J330" s="4"/>
      <c r="K330" s="4">
        <v>-204</v>
      </c>
      <c r="L330" s="4">
        <v>13</v>
      </c>
      <c r="M330" s="4">
        <v>3</v>
      </c>
      <c r="N330" s="4" t="s">
        <v>3</v>
      </c>
      <c r="O330" s="4">
        <v>2</v>
      </c>
      <c r="P330" s="4"/>
      <c r="Q330" s="4"/>
      <c r="R330" s="4"/>
      <c r="S330" s="4"/>
      <c r="T330" s="4"/>
      <c r="U330" s="4"/>
      <c r="V330" s="4"/>
      <c r="W330" s="4"/>
    </row>
    <row r="331" spans="1:23" x14ac:dyDescent="0.2">
      <c r="A331" s="4">
        <v>50</v>
      </c>
      <c r="B331" s="4">
        <v>0</v>
      </c>
      <c r="C331" s="4">
        <v>0</v>
      </c>
      <c r="D331" s="4">
        <v>1</v>
      </c>
      <c r="E331" s="4">
        <v>205</v>
      </c>
      <c r="F331" s="4">
        <f>ROUND(Source!S316,O331)</f>
        <v>36614.03</v>
      </c>
      <c r="G331" s="4" t="s">
        <v>132</v>
      </c>
      <c r="H331" s="4" t="s">
        <v>133</v>
      </c>
      <c r="I331" s="4"/>
      <c r="J331" s="4"/>
      <c r="K331" s="4">
        <v>-205</v>
      </c>
      <c r="L331" s="4">
        <v>14</v>
      </c>
      <c r="M331" s="4">
        <v>3</v>
      </c>
      <c r="N331" s="4" t="s">
        <v>3</v>
      </c>
      <c r="O331" s="4">
        <v>2</v>
      </c>
      <c r="P331" s="4"/>
      <c r="Q331" s="4"/>
      <c r="R331" s="4"/>
      <c r="S331" s="4"/>
      <c r="T331" s="4"/>
      <c r="U331" s="4"/>
      <c r="V331" s="4"/>
      <c r="W331" s="4"/>
    </row>
    <row r="332" spans="1:23" x14ac:dyDescent="0.2">
      <c r="A332" s="4">
        <v>50</v>
      </c>
      <c r="B332" s="4">
        <v>0</v>
      </c>
      <c r="C332" s="4">
        <v>0</v>
      </c>
      <c r="D332" s="4">
        <v>1</v>
      </c>
      <c r="E332" s="4">
        <v>232</v>
      </c>
      <c r="F332" s="4">
        <f>ROUND(Source!BC316,O332)</f>
        <v>0</v>
      </c>
      <c r="G332" s="4" t="s">
        <v>134</v>
      </c>
      <c r="H332" s="4" t="s">
        <v>135</v>
      </c>
      <c r="I332" s="4"/>
      <c r="J332" s="4"/>
      <c r="K332" s="4">
        <v>-232</v>
      </c>
      <c r="L332" s="4">
        <v>15</v>
      </c>
      <c r="M332" s="4">
        <v>3</v>
      </c>
      <c r="N332" s="4" t="s">
        <v>3</v>
      </c>
      <c r="O332" s="4">
        <v>2</v>
      </c>
      <c r="P332" s="4"/>
      <c r="Q332" s="4"/>
      <c r="R332" s="4"/>
      <c r="S332" s="4"/>
      <c r="T332" s="4"/>
      <c r="U332" s="4"/>
      <c r="V332" s="4"/>
      <c r="W332" s="4"/>
    </row>
    <row r="333" spans="1:23" x14ac:dyDescent="0.2">
      <c r="A333" s="4">
        <v>50</v>
      </c>
      <c r="B333" s="4">
        <v>0</v>
      </c>
      <c r="C333" s="4">
        <v>0</v>
      </c>
      <c r="D333" s="4">
        <v>1</v>
      </c>
      <c r="E333" s="4">
        <v>214</v>
      </c>
      <c r="F333" s="4">
        <f>ROUND(Source!AS316,O333)</f>
        <v>0</v>
      </c>
      <c r="G333" s="4" t="s">
        <v>136</v>
      </c>
      <c r="H333" s="4" t="s">
        <v>137</v>
      </c>
      <c r="I333" s="4"/>
      <c r="J333" s="4"/>
      <c r="K333" s="4">
        <v>-214</v>
      </c>
      <c r="L333" s="4">
        <v>16</v>
      </c>
      <c r="M333" s="4">
        <v>3</v>
      </c>
      <c r="N333" s="4" t="s">
        <v>3</v>
      </c>
      <c r="O333" s="4">
        <v>2</v>
      </c>
      <c r="P333" s="4"/>
      <c r="Q333" s="4"/>
      <c r="R333" s="4"/>
      <c r="S333" s="4"/>
      <c r="T333" s="4"/>
      <c r="U333" s="4"/>
      <c r="V333" s="4"/>
      <c r="W333" s="4"/>
    </row>
    <row r="334" spans="1:23" x14ac:dyDescent="0.2">
      <c r="A334" s="4">
        <v>50</v>
      </c>
      <c r="B334" s="4">
        <v>0</v>
      </c>
      <c r="C334" s="4">
        <v>0</v>
      </c>
      <c r="D334" s="4">
        <v>1</v>
      </c>
      <c r="E334" s="4">
        <v>215</v>
      </c>
      <c r="F334" s="4">
        <f>ROUND(Source!AT316,O334)</f>
        <v>0</v>
      </c>
      <c r="G334" s="4" t="s">
        <v>138</v>
      </c>
      <c r="H334" s="4" t="s">
        <v>139</v>
      </c>
      <c r="I334" s="4"/>
      <c r="J334" s="4"/>
      <c r="K334" s="4">
        <v>-215</v>
      </c>
      <c r="L334" s="4">
        <v>17</v>
      </c>
      <c r="M334" s="4">
        <v>3</v>
      </c>
      <c r="N334" s="4" t="s">
        <v>3</v>
      </c>
      <c r="O334" s="4">
        <v>2</v>
      </c>
      <c r="P334" s="4"/>
      <c r="Q334" s="4"/>
      <c r="R334" s="4"/>
      <c r="S334" s="4"/>
      <c r="T334" s="4"/>
      <c r="U334" s="4"/>
      <c r="V334" s="4"/>
      <c r="W334" s="4"/>
    </row>
    <row r="335" spans="1:23" x14ac:dyDescent="0.2">
      <c r="A335" s="4">
        <v>50</v>
      </c>
      <c r="B335" s="4">
        <v>0</v>
      </c>
      <c r="C335" s="4">
        <v>0</v>
      </c>
      <c r="D335" s="4">
        <v>1</v>
      </c>
      <c r="E335" s="4">
        <v>217</v>
      </c>
      <c r="F335" s="4">
        <f>ROUND(Source!AU316,O335)</f>
        <v>218743.96</v>
      </c>
      <c r="G335" s="4" t="s">
        <v>140</v>
      </c>
      <c r="H335" s="4" t="s">
        <v>141</v>
      </c>
      <c r="I335" s="4"/>
      <c r="J335" s="4"/>
      <c r="K335" s="4">
        <v>-217</v>
      </c>
      <c r="L335" s="4">
        <v>18</v>
      </c>
      <c r="M335" s="4">
        <v>3</v>
      </c>
      <c r="N335" s="4" t="s">
        <v>3</v>
      </c>
      <c r="O335" s="4">
        <v>2</v>
      </c>
      <c r="P335" s="4"/>
      <c r="Q335" s="4"/>
      <c r="R335" s="4"/>
      <c r="S335" s="4"/>
      <c r="T335" s="4"/>
      <c r="U335" s="4"/>
      <c r="V335" s="4"/>
      <c r="W335" s="4"/>
    </row>
    <row r="336" spans="1:23" x14ac:dyDescent="0.2">
      <c r="A336" s="4">
        <v>50</v>
      </c>
      <c r="B336" s="4">
        <v>0</v>
      </c>
      <c r="C336" s="4">
        <v>0</v>
      </c>
      <c r="D336" s="4">
        <v>1</v>
      </c>
      <c r="E336" s="4">
        <v>230</v>
      </c>
      <c r="F336" s="4">
        <f>ROUND(Source!BA316,O336)</f>
        <v>0</v>
      </c>
      <c r="G336" s="4" t="s">
        <v>142</v>
      </c>
      <c r="H336" s="4" t="s">
        <v>143</v>
      </c>
      <c r="I336" s="4"/>
      <c r="J336" s="4"/>
      <c r="K336" s="4">
        <v>-230</v>
      </c>
      <c r="L336" s="4">
        <v>19</v>
      </c>
      <c r="M336" s="4">
        <v>3</v>
      </c>
      <c r="N336" s="4" t="s">
        <v>3</v>
      </c>
      <c r="O336" s="4">
        <v>2</v>
      </c>
      <c r="P336" s="4"/>
      <c r="Q336" s="4"/>
      <c r="R336" s="4"/>
      <c r="S336" s="4"/>
      <c r="T336" s="4"/>
      <c r="U336" s="4"/>
      <c r="V336" s="4"/>
      <c r="W336" s="4"/>
    </row>
    <row r="337" spans="1:206" x14ac:dyDescent="0.2">
      <c r="A337" s="4">
        <v>50</v>
      </c>
      <c r="B337" s="4">
        <v>0</v>
      </c>
      <c r="C337" s="4">
        <v>0</v>
      </c>
      <c r="D337" s="4">
        <v>1</v>
      </c>
      <c r="E337" s="4">
        <v>206</v>
      </c>
      <c r="F337" s="4">
        <f>ROUND(Source!T316,O337)</f>
        <v>0</v>
      </c>
      <c r="G337" s="4" t="s">
        <v>144</v>
      </c>
      <c r="H337" s="4" t="s">
        <v>145</v>
      </c>
      <c r="I337" s="4"/>
      <c r="J337" s="4"/>
      <c r="K337" s="4">
        <v>-206</v>
      </c>
      <c r="L337" s="4">
        <v>20</v>
      </c>
      <c r="M337" s="4">
        <v>3</v>
      </c>
      <c r="N337" s="4" t="s">
        <v>3</v>
      </c>
      <c r="O337" s="4">
        <v>2</v>
      </c>
      <c r="P337" s="4"/>
      <c r="Q337" s="4"/>
      <c r="R337" s="4"/>
      <c r="S337" s="4"/>
      <c r="T337" s="4"/>
      <c r="U337" s="4"/>
      <c r="V337" s="4"/>
      <c r="W337" s="4"/>
    </row>
    <row r="338" spans="1:206" x14ac:dyDescent="0.2">
      <c r="A338" s="4">
        <v>50</v>
      </c>
      <c r="B338" s="4">
        <v>0</v>
      </c>
      <c r="C338" s="4">
        <v>0</v>
      </c>
      <c r="D338" s="4">
        <v>1</v>
      </c>
      <c r="E338" s="4">
        <v>207</v>
      </c>
      <c r="F338" s="4">
        <f>Source!U316</f>
        <v>154.01880000000003</v>
      </c>
      <c r="G338" s="4" t="s">
        <v>146</v>
      </c>
      <c r="H338" s="4" t="s">
        <v>147</v>
      </c>
      <c r="I338" s="4"/>
      <c r="J338" s="4"/>
      <c r="K338" s="4">
        <v>-207</v>
      </c>
      <c r="L338" s="4">
        <v>21</v>
      </c>
      <c r="M338" s="4">
        <v>3</v>
      </c>
      <c r="N338" s="4" t="s">
        <v>3</v>
      </c>
      <c r="O338" s="4">
        <v>-1</v>
      </c>
      <c r="P338" s="4"/>
      <c r="Q338" s="4"/>
      <c r="R338" s="4"/>
      <c r="S338" s="4"/>
      <c r="T338" s="4"/>
      <c r="U338" s="4"/>
      <c r="V338" s="4"/>
      <c r="W338" s="4"/>
    </row>
    <row r="339" spans="1:206" x14ac:dyDescent="0.2">
      <c r="A339" s="4">
        <v>50</v>
      </c>
      <c r="B339" s="4">
        <v>0</v>
      </c>
      <c r="C339" s="4">
        <v>0</v>
      </c>
      <c r="D339" s="4">
        <v>1</v>
      </c>
      <c r="E339" s="4">
        <v>208</v>
      </c>
      <c r="F339" s="4">
        <f>Source!V316</f>
        <v>0</v>
      </c>
      <c r="G339" s="4" t="s">
        <v>148</v>
      </c>
      <c r="H339" s="4" t="s">
        <v>149</v>
      </c>
      <c r="I339" s="4"/>
      <c r="J339" s="4"/>
      <c r="K339" s="4">
        <v>-208</v>
      </c>
      <c r="L339" s="4">
        <v>22</v>
      </c>
      <c r="M339" s="4">
        <v>3</v>
      </c>
      <c r="N339" s="4" t="s">
        <v>3</v>
      </c>
      <c r="O339" s="4">
        <v>-1</v>
      </c>
      <c r="P339" s="4"/>
      <c r="Q339" s="4"/>
      <c r="R339" s="4"/>
      <c r="S339" s="4"/>
      <c r="T339" s="4"/>
      <c r="U339" s="4"/>
      <c r="V339" s="4"/>
      <c r="W339" s="4"/>
    </row>
    <row r="340" spans="1:206" x14ac:dyDescent="0.2">
      <c r="A340" s="4">
        <v>50</v>
      </c>
      <c r="B340" s="4">
        <v>0</v>
      </c>
      <c r="C340" s="4">
        <v>0</v>
      </c>
      <c r="D340" s="4">
        <v>1</v>
      </c>
      <c r="E340" s="4">
        <v>209</v>
      </c>
      <c r="F340" s="4">
        <f>ROUND(Source!W316,O340)</f>
        <v>0</v>
      </c>
      <c r="G340" s="4" t="s">
        <v>150</v>
      </c>
      <c r="H340" s="4" t="s">
        <v>151</v>
      </c>
      <c r="I340" s="4"/>
      <c r="J340" s="4"/>
      <c r="K340" s="4">
        <v>-209</v>
      </c>
      <c r="L340" s="4">
        <v>23</v>
      </c>
      <c r="M340" s="4">
        <v>3</v>
      </c>
      <c r="N340" s="4" t="s">
        <v>3</v>
      </c>
      <c r="O340" s="4">
        <v>2</v>
      </c>
      <c r="P340" s="4"/>
      <c r="Q340" s="4"/>
      <c r="R340" s="4"/>
      <c r="S340" s="4"/>
      <c r="T340" s="4"/>
      <c r="U340" s="4"/>
      <c r="V340" s="4"/>
      <c r="W340" s="4"/>
    </row>
    <row r="341" spans="1:206" x14ac:dyDescent="0.2">
      <c r="A341" s="4">
        <v>50</v>
      </c>
      <c r="B341" s="4">
        <v>0</v>
      </c>
      <c r="C341" s="4">
        <v>0</v>
      </c>
      <c r="D341" s="4">
        <v>1</v>
      </c>
      <c r="E341" s="4">
        <v>233</v>
      </c>
      <c r="F341" s="4">
        <f>ROUND(Source!BD316,O341)</f>
        <v>0</v>
      </c>
      <c r="G341" s="4" t="s">
        <v>152</v>
      </c>
      <c r="H341" s="4" t="s">
        <v>153</v>
      </c>
      <c r="I341" s="4"/>
      <c r="J341" s="4"/>
      <c r="K341" s="4">
        <v>-233</v>
      </c>
      <c r="L341" s="4">
        <v>24</v>
      </c>
      <c r="M341" s="4">
        <v>3</v>
      </c>
      <c r="N341" s="4" t="s">
        <v>3</v>
      </c>
      <c r="O341" s="4">
        <v>2</v>
      </c>
      <c r="P341" s="4"/>
      <c r="Q341" s="4"/>
      <c r="R341" s="4"/>
      <c r="S341" s="4"/>
      <c r="T341" s="4"/>
      <c r="U341" s="4"/>
      <c r="V341" s="4"/>
      <c r="W341" s="4"/>
    </row>
    <row r="342" spans="1:206" x14ac:dyDescent="0.2">
      <c r="A342" s="4">
        <v>50</v>
      </c>
      <c r="B342" s="4">
        <v>0</v>
      </c>
      <c r="C342" s="4">
        <v>0</v>
      </c>
      <c r="D342" s="4">
        <v>1</v>
      </c>
      <c r="E342" s="4">
        <v>210</v>
      </c>
      <c r="F342" s="4">
        <f>ROUND(Source!X316,O342)</f>
        <v>25629.82</v>
      </c>
      <c r="G342" s="4" t="s">
        <v>154</v>
      </c>
      <c r="H342" s="4" t="s">
        <v>155</v>
      </c>
      <c r="I342" s="4"/>
      <c r="J342" s="4"/>
      <c r="K342" s="4">
        <v>-210</v>
      </c>
      <c r="L342" s="4">
        <v>25</v>
      </c>
      <c r="M342" s="4">
        <v>3</v>
      </c>
      <c r="N342" s="4" t="s">
        <v>3</v>
      </c>
      <c r="O342" s="4">
        <v>2</v>
      </c>
      <c r="P342" s="4"/>
      <c r="Q342" s="4"/>
      <c r="R342" s="4"/>
      <c r="S342" s="4"/>
      <c r="T342" s="4"/>
      <c r="U342" s="4"/>
      <c r="V342" s="4"/>
      <c r="W342" s="4"/>
    </row>
    <row r="343" spans="1:206" x14ac:dyDescent="0.2">
      <c r="A343" s="4">
        <v>50</v>
      </c>
      <c r="B343" s="4">
        <v>0</v>
      </c>
      <c r="C343" s="4">
        <v>0</v>
      </c>
      <c r="D343" s="4">
        <v>1</v>
      </c>
      <c r="E343" s="4">
        <v>211</v>
      </c>
      <c r="F343" s="4">
        <f>ROUND(Source!Y316,O343)</f>
        <v>3661.41</v>
      </c>
      <c r="G343" s="4" t="s">
        <v>156</v>
      </c>
      <c r="H343" s="4" t="s">
        <v>157</v>
      </c>
      <c r="I343" s="4"/>
      <c r="J343" s="4"/>
      <c r="K343" s="4">
        <v>-211</v>
      </c>
      <c r="L343" s="4">
        <v>26</v>
      </c>
      <c r="M343" s="4">
        <v>3</v>
      </c>
      <c r="N343" s="4" t="s">
        <v>3</v>
      </c>
      <c r="O343" s="4">
        <v>2</v>
      </c>
      <c r="P343" s="4"/>
      <c r="Q343" s="4"/>
      <c r="R343" s="4"/>
      <c r="S343" s="4"/>
      <c r="T343" s="4"/>
      <c r="U343" s="4"/>
      <c r="V343" s="4"/>
      <c r="W343" s="4"/>
    </row>
    <row r="344" spans="1:206" x14ac:dyDescent="0.2">
      <c r="A344" s="4">
        <v>50</v>
      </c>
      <c r="B344" s="4">
        <v>0</v>
      </c>
      <c r="C344" s="4">
        <v>0</v>
      </c>
      <c r="D344" s="4">
        <v>1</v>
      </c>
      <c r="E344" s="4">
        <v>224</v>
      </c>
      <c r="F344" s="4">
        <f>ROUND(Source!AR316,O344)</f>
        <v>218743.96</v>
      </c>
      <c r="G344" s="4" t="s">
        <v>158</v>
      </c>
      <c r="H344" s="4" t="s">
        <v>159</v>
      </c>
      <c r="I344" s="4"/>
      <c r="J344" s="4"/>
      <c r="K344" s="4">
        <v>-224</v>
      </c>
      <c r="L344" s="4">
        <v>27</v>
      </c>
      <c r="M344" s="4">
        <v>3</v>
      </c>
      <c r="N344" s="4" t="s">
        <v>3</v>
      </c>
      <c r="O344" s="4">
        <v>2</v>
      </c>
      <c r="P344" s="4"/>
      <c r="Q344" s="4"/>
      <c r="R344" s="4"/>
      <c r="S344" s="4"/>
      <c r="T344" s="4"/>
      <c r="U344" s="4"/>
      <c r="V344" s="4"/>
      <c r="W344" s="4"/>
    </row>
    <row r="345" spans="1:206" x14ac:dyDescent="0.2">
      <c r="A345" s="4">
        <v>50</v>
      </c>
      <c r="B345" s="4">
        <v>1</v>
      </c>
      <c r="C345" s="4">
        <v>0</v>
      </c>
      <c r="D345" s="4">
        <v>2</v>
      </c>
      <c r="E345" s="4">
        <v>0</v>
      </c>
      <c r="F345" s="4">
        <f>ROUND(F344,O345)</f>
        <v>218743.96</v>
      </c>
      <c r="G345" s="4" t="s">
        <v>27</v>
      </c>
      <c r="H345" s="4" t="s">
        <v>160</v>
      </c>
      <c r="I345" s="4"/>
      <c r="J345" s="4"/>
      <c r="K345" s="4">
        <v>212</v>
      </c>
      <c r="L345" s="4">
        <v>28</v>
      </c>
      <c r="M345" s="4">
        <v>0</v>
      </c>
      <c r="N345" s="4" t="s">
        <v>3</v>
      </c>
      <c r="O345" s="4">
        <v>2</v>
      </c>
      <c r="P345" s="4"/>
      <c r="Q345" s="4"/>
      <c r="R345" s="4"/>
      <c r="S345" s="4"/>
      <c r="T345" s="4"/>
      <c r="U345" s="4"/>
      <c r="V345" s="4"/>
      <c r="W345" s="4"/>
    </row>
    <row r="346" spans="1:206" x14ac:dyDescent="0.2">
      <c r="A346" s="4">
        <v>50</v>
      </c>
      <c r="B346" s="4">
        <v>1</v>
      </c>
      <c r="C346" s="4">
        <v>0</v>
      </c>
      <c r="D346" s="4">
        <v>2</v>
      </c>
      <c r="E346" s="4">
        <v>0</v>
      </c>
      <c r="F346" s="4">
        <f>ROUND(F345*0.2,O346)</f>
        <v>43748.79</v>
      </c>
      <c r="G346" s="4" t="s">
        <v>35</v>
      </c>
      <c r="H346" s="4" t="s">
        <v>161</v>
      </c>
      <c r="I346" s="4"/>
      <c r="J346" s="4"/>
      <c r="K346" s="4">
        <v>212</v>
      </c>
      <c r="L346" s="4">
        <v>29</v>
      </c>
      <c r="M346" s="4">
        <v>0</v>
      </c>
      <c r="N346" s="4" t="s">
        <v>3</v>
      </c>
      <c r="O346" s="4">
        <v>2</v>
      </c>
      <c r="P346" s="4"/>
      <c r="Q346" s="4"/>
      <c r="R346" s="4"/>
      <c r="S346" s="4"/>
      <c r="T346" s="4"/>
      <c r="U346" s="4"/>
      <c r="V346" s="4"/>
      <c r="W346" s="4"/>
    </row>
    <row r="347" spans="1:206" x14ac:dyDescent="0.2">
      <c r="A347" s="4">
        <v>50</v>
      </c>
      <c r="B347" s="4">
        <v>1</v>
      </c>
      <c r="C347" s="4">
        <v>0</v>
      </c>
      <c r="D347" s="4">
        <v>2</v>
      </c>
      <c r="E347" s="4">
        <v>213</v>
      </c>
      <c r="F347" s="4">
        <f>ROUND(F345+F346,O347)</f>
        <v>262492.75</v>
      </c>
      <c r="G347" s="4" t="s">
        <v>39</v>
      </c>
      <c r="H347" s="4" t="s">
        <v>162</v>
      </c>
      <c r="I347" s="4"/>
      <c r="J347" s="4"/>
      <c r="K347" s="4">
        <v>212</v>
      </c>
      <c r="L347" s="4">
        <v>30</v>
      </c>
      <c r="M347" s="4">
        <v>0</v>
      </c>
      <c r="N347" s="4" t="s">
        <v>3</v>
      </c>
      <c r="O347" s="4">
        <v>2</v>
      </c>
      <c r="P347" s="4"/>
      <c r="Q347" s="4"/>
      <c r="R347" s="4"/>
      <c r="S347" s="4"/>
      <c r="T347" s="4"/>
      <c r="U347" s="4"/>
      <c r="V347" s="4"/>
      <c r="W347" s="4"/>
    </row>
    <row r="349" spans="1:206" x14ac:dyDescent="0.2">
      <c r="A349" s="2">
        <v>51</v>
      </c>
      <c r="B349" s="2">
        <f>B20</f>
        <v>1</v>
      </c>
      <c r="C349" s="2">
        <f>A20</f>
        <v>3</v>
      </c>
      <c r="D349" s="2">
        <f>ROW(A20)</f>
        <v>20</v>
      </c>
      <c r="E349" s="2"/>
      <c r="F349" s="2" t="str">
        <f>IF(F20&lt;&gt;"",F20,"")</f>
        <v>Домод.22к1</v>
      </c>
      <c r="G349" s="2" t="str">
        <f>IF(G20&lt;&gt;"",G20,"")</f>
        <v>ул. Домодедовская д.22 корп.1</v>
      </c>
      <c r="H349" s="2">
        <v>0</v>
      </c>
      <c r="I349" s="2"/>
      <c r="J349" s="2"/>
      <c r="K349" s="2"/>
      <c r="L349" s="2"/>
      <c r="M349" s="2"/>
      <c r="N349" s="2"/>
      <c r="O349" s="2">
        <f t="shared" ref="O349:T349" si="242">ROUND(O46+O91+O140+O190+O232+O274+O316+AB349,2)</f>
        <v>1726561.43</v>
      </c>
      <c r="P349" s="2">
        <f t="shared" si="242"/>
        <v>1432121.4</v>
      </c>
      <c r="Q349" s="2">
        <f t="shared" si="242"/>
        <v>113603.69</v>
      </c>
      <c r="R349" s="2">
        <f t="shared" si="242"/>
        <v>59070.93</v>
      </c>
      <c r="S349" s="2">
        <f t="shared" si="242"/>
        <v>180836.34</v>
      </c>
      <c r="T349" s="2">
        <f t="shared" si="242"/>
        <v>0</v>
      </c>
      <c r="U349" s="2">
        <f>U46+U91+U140+U190+U232+U274+U316+AH349</f>
        <v>872.20689400000003</v>
      </c>
      <c r="V349" s="2">
        <f>V46+V91+V140+V190+V232+V274+V316+AI349</f>
        <v>0</v>
      </c>
      <c r="W349" s="2">
        <f>ROUND(W46+W91+W140+W190+W232+W274+W316+AJ349,2)</f>
        <v>0</v>
      </c>
      <c r="X349" s="2">
        <f>ROUND(X46+X91+X140+X190+X232+X274+X316+AK349,2)</f>
        <v>126585.44</v>
      </c>
      <c r="Y349" s="2">
        <f>ROUND(Y46+Y91+Y140+Y190+Y232+Y274+Y316+AL349,2)</f>
        <v>18083.650000000001</v>
      </c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>
        <f t="shared" ref="AO349:BD349" si="243">ROUND(AO46+AO91+AO140+AO190+AO232+AO274+AO316+BX349,2)</f>
        <v>0</v>
      </c>
      <c r="AP349" s="2">
        <f t="shared" si="243"/>
        <v>0</v>
      </c>
      <c r="AQ349" s="2">
        <f t="shared" si="243"/>
        <v>0</v>
      </c>
      <c r="AR349" s="2">
        <f t="shared" si="243"/>
        <v>1898866.34</v>
      </c>
      <c r="AS349" s="2">
        <f t="shared" si="243"/>
        <v>535372.31000000006</v>
      </c>
      <c r="AT349" s="2">
        <f t="shared" si="243"/>
        <v>0</v>
      </c>
      <c r="AU349" s="2">
        <f t="shared" si="243"/>
        <v>1363494.03</v>
      </c>
      <c r="AV349" s="2">
        <f t="shared" si="243"/>
        <v>1432121.4</v>
      </c>
      <c r="AW349" s="2">
        <f t="shared" si="243"/>
        <v>1432121.4</v>
      </c>
      <c r="AX349" s="2">
        <f t="shared" si="243"/>
        <v>0</v>
      </c>
      <c r="AY349" s="2">
        <f t="shared" si="243"/>
        <v>1432121.4</v>
      </c>
      <c r="AZ349" s="2">
        <f t="shared" si="243"/>
        <v>0</v>
      </c>
      <c r="BA349" s="2">
        <f t="shared" si="243"/>
        <v>0</v>
      </c>
      <c r="BB349" s="2">
        <f t="shared" si="243"/>
        <v>0</v>
      </c>
      <c r="BC349" s="2">
        <f t="shared" si="243"/>
        <v>0</v>
      </c>
      <c r="BD349" s="2">
        <f t="shared" si="243"/>
        <v>0</v>
      </c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3"/>
      <c r="DH349" s="3"/>
      <c r="DI349" s="3"/>
      <c r="DJ349" s="3"/>
      <c r="DK349" s="3"/>
      <c r="DL349" s="3"/>
      <c r="DM349" s="3"/>
      <c r="DN349" s="3"/>
      <c r="DO349" s="3"/>
      <c r="DP349" s="3"/>
      <c r="DQ349" s="3"/>
      <c r="DR349" s="3"/>
      <c r="DS349" s="3"/>
      <c r="DT349" s="3"/>
      <c r="DU349" s="3"/>
      <c r="DV349" s="3"/>
      <c r="DW349" s="3"/>
      <c r="DX349" s="3"/>
      <c r="DY349" s="3"/>
      <c r="DZ349" s="3"/>
      <c r="EA349" s="3"/>
      <c r="EB349" s="3"/>
      <c r="EC349" s="3"/>
      <c r="ED349" s="3"/>
      <c r="EE349" s="3"/>
      <c r="EF349" s="3"/>
      <c r="EG349" s="3"/>
      <c r="EH349" s="3"/>
      <c r="EI349" s="3"/>
      <c r="EJ349" s="3"/>
      <c r="EK349" s="3"/>
      <c r="EL349" s="3"/>
      <c r="EM349" s="3"/>
      <c r="EN349" s="3"/>
      <c r="EO349" s="3"/>
      <c r="EP349" s="3"/>
      <c r="EQ349" s="3"/>
      <c r="ER349" s="3"/>
      <c r="ES349" s="3"/>
      <c r="ET349" s="3"/>
      <c r="EU349" s="3"/>
      <c r="EV349" s="3"/>
      <c r="EW349" s="3"/>
      <c r="EX349" s="3"/>
      <c r="EY349" s="3"/>
      <c r="EZ349" s="3"/>
      <c r="FA349" s="3"/>
      <c r="FB349" s="3"/>
      <c r="FC349" s="3"/>
      <c r="FD349" s="3"/>
      <c r="FE349" s="3"/>
      <c r="FF349" s="3"/>
      <c r="FG349" s="3"/>
      <c r="FH349" s="3"/>
      <c r="FI349" s="3"/>
      <c r="FJ349" s="3"/>
      <c r="FK349" s="3"/>
      <c r="FL349" s="3"/>
      <c r="FM349" s="3"/>
      <c r="FN349" s="3"/>
      <c r="FO349" s="3"/>
      <c r="FP349" s="3"/>
      <c r="FQ349" s="3"/>
      <c r="FR349" s="3"/>
      <c r="FS349" s="3"/>
      <c r="FT349" s="3"/>
      <c r="FU349" s="3"/>
      <c r="FV349" s="3"/>
      <c r="FW349" s="3"/>
      <c r="FX349" s="3"/>
      <c r="FY349" s="3"/>
      <c r="FZ349" s="3"/>
      <c r="GA349" s="3"/>
      <c r="GB349" s="3"/>
      <c r="GC349" s="3"/>
      <c r="GD349" s="3"/>
      <c r="GE349" s="3"/>
      <c r="GF349" s="3"/>
      <c r="GG349" s="3"/>
      <c r="GH349" s="3"/>
      <c r="GI349" s="3"/>
      <c r="GJ349" s="3"/>
      <c r="GK349" s="3"/>
      <c r="GL349" s="3"/>
      <c r="GM349" s="3"/>
      <c r="GN349" s="3"/>
      <c r="GO349" s="3"/>
      <c r="GP349" s="3"/>
      <c r="GQ349" s="3"/>
      <c r="GR349" s="3"/>
      <c r="GS349" s="3"/>
      <c r="GT349" s="3"/>
      <c r="GU349" s="3"/>
      <c r="GV349" s="3"/>
      <c r="GW349" s="3"/>
      <c r="GX349" s="3">
        <v>0</v>
      </c>
    </row>
    <row r="351" spans="1:206" x14ac:dyDescent="0.2">
      <c r="A351" s="4">
        <v>50</v>
      </c>
      <c r="B351" s="4">
        <v>0</v>
      </c>
      <c r="C351" s="4">
        <v>0</v>
      </c>
      <c r="D351" s="4">
        <v>1</v>
      </c>
      <c r="E351" s="4">
        <v>201</v>
      </c>
      <c r="F351" s="4">
        <f>ROUND(Source!O349,O351)</f>
        <v>1726561.43</v>
      </c>
      <c r="G351" s="4" t="s">
        <v>106</v>
      </c>
      <c r="H351" s="4" t="s">
        <v>107</v>
      </c>
      <c r="I351" s="4"/>
      <c r="J351" s="4"/>
      <c r="K351" s="4">
        <v>-201</v>
      </c>
      <c r="L351" s="4">
        <v>1</v>
      </c>
      <c r="M351" s="4">
        <v>3</v>
      </c>
      <c r="N351" s="4" t="s">
        <v>3</v>
      </c>
      <c r="O351" s="4">
        <v>2</v>
      </c>
      <c r="P351" s="4"/>
      <c r="Q351" s="4"/>
      <c r="R351" s="4"/>
      <c r="S351" s="4"/>
      <c r="T351" s="4"/>
      <c r="U351" s="4"/>
      <c r="V351" s="4"/>
      <c r="W351" s="4"/>
    </row>
    <row r="352" spans="1:206" x14ac:dyDescent="0.2">
      <c r="A352" s="4">
        <v>50</v>
      </c>
      <c r="B352" s="4">
        <v>0</v>
      </c>
      <c r="C352" s="4">
        <v>0</v>
      </c>
      <c r="D352" s="4">
        <v>1</v>
      </c>
      <c r="E352" s="4">
        <v>202</v>
      </c>
      <c r="F352" s="4">
        <f>ROUND(Source!P349,O352)</f>
        <v>1432121.4</v>
      </c>
      <c r="G352" s="4" t="s">
        <v>108</v>
      </c>
      <c r="H352" s="4" t="s">
        <v>109</v>
      </c>
      <c r="I352" s="4"/>
      <c r="J352" s="4"/>
      <c r="K352" s="4">
        <v>-202</v>
      </c>
      <c r="L352" s="4">
        <v>2</v>
      </c>
      <c r="M352" s="4">
        <v>3</v>
      </c>
      <c r="N352" s="4" t="s">
        <v>3</v>
      </c>
      <c r="O352" s="4">
        <v>2</v>
      </c>
      <c r="P352" s="4"/>
      <c r="Q352" s="4"/>
      <c r="R352" s="4"/>
      <c r="S352" s="4"/>
      <c r="T352" s="4"/>
      <c r="U352" s="4"/>
      <c r="V352" s="4"/>
      <c r="W352" s="4"/>
    </row>
    <row r="353" spans="1:23" x14ac:dyDescent="0.2">
      <c r="A353" s="4">
        <v>50</v>
      </c>
      <c r="B353" s="4">
        <v>0</v>
      </c>
      <c r="C353" s="4">
        <v>0</v>
      </c>
      <c r="D353" s="4">
        <v>1</v>
      </c>
      <c r="E353" s="4">
        <v>222</v>
      </c>
      <c r="F353" s="4">
        <f>ROUND(Source!AO349,O353)</f>
        <v>0</v>
      </c>
      <c r="G353" s="4" t="s">
        <v>110</v>
      </c>
      <c r="H353" s="4" t="s">
        <v>111</v>
      </c>
      <c r="I353" s="4"/>
      <c r="J353" s="4"/>
      <c r="K353" s="4">
        <v>-222</v>
      </c>
      <c r="L353" s="4">
        <v>3</v>
      </c>
      <c r="M353" s="4">
        <v>3</v>
      </c>
      <c r="N353" s="4" t="s">
        <v>3</v>
      </c>
      <c r="O353" s="4">
        <v>2</v>
      </c>
      <c r="P353" s="4"/>
      <c r="Q353" s="4"/>
      <c r="R353" s="4"/>
      <c r="S353" s="4"/>
      <c r="T353" s="4"/>
      <c r="U353" s="4"/>
      <c r="V353" s="4"/>
      <c r="W353" s="4"/>
    </row>
    <row r="354" spans="1:23" x14ac:dyDescent="0.2">
      <c r="A354" s="4">
        <v>50</v>
      </c>
      <c r="B354" s="4">
        <v>0</v>
      </c>
      <c r="C354" s="4">
        <v>0</v>
      </c>
      <c r="D354" s="4">
        <v>1</v>
      </c>
      <c r="E354" s="4">
        <v>225</v>
      </c>
      <c r="F354" s="4">
        <f>ROUND(Source!AV349,O354)</f>
        <v>1432121.4</v>
      </c>
      <c r="G354" s="4" t="s">
        <v>112</v>
      </c>
      <c r="H354" s="4" t="s">
        <v>113</v>
      </c>
      <c r="I354" s="4"/>
      <c r="J354" s="4"/>
      <c r="K354" s="4">
        <v>-225</v>
      </c>
      <c r="L354" s="4">
        <v>4</v>
      </c>
      <c r="M354" s="4">
        <v>3</v>
      </c>
      <c r="N354" s="4" t="s">
        <v>3</v>
      </c>
      <c r="O354" s="4">
        <v>2</v>
      </c>
      <c r="P354" s="4"/>
      <c r="Q354" s="4"/>
      <c r="R354" s="4"/>
      <c r="S354" s="4"/>
      <c r="T354" s="4"/>
      <c r="U354" s="4"/>
      <c r="V354" s="4"/>
      <c r="W354" s="4"/>
    </row>
    <row r="355" spans="1:23" x14ac:dyDescent="0.2">
      <c r="A355" s="4">
        <v>50</v>
      </c>
      <c r="B355" s="4">
        <v>0</v>
      </c>
      <c r="C355" s="4">
        <v>0</v>
      </c>
      <c r="D355" s="4">
        <v>1</v>
      </c>
      <c r="E355" s="4">
        <v>226</v>
      </c>
      <c r="F355" s="4">
        <f>ROUND(Source!AW349,O355)</f>
        <v>1432121.4</v>
      </c>
      <c r="G355" s="4" t="s">
        <v>114</v>
      </c>
      <c r="H355" s="4" t="s">
        <v>115</v>
      </c>
      <c r="I355" s="4"/>
      <c r="J355" s="4"/>
      <c r="K355" s="4">
        <v>-226</v>
      </c>
      <c r="L355" s="4">
        <v>5</v>
      </c>
      <c r="M355" s="4">
        <v>3</v>
      </c>
      <c r="N355" s="4" t="s">
        <v>3</v>
      </c>
      <c r="O355" s="4">
        <v>2</v>
      </c>
      <c r="P355" s="4"/>
      <c r="Q355" s="4"/>
      <c r="R355" s="4"/>
      <c r="S355" s="4"/>
      <c r="T355" s="4"/>
      <c r="U355" s="4"/>
      <c r="V355" s="4"/>
      <c r="W355" s="4"/>
    </row>
    <row r="356" spans="1:23" x14ac:dyDescent="0.2">
      <c r="A356" s="4">
        <v>50</v>
      </c>
      <c r="B356" s="4">
        <v>0</v>
      </c>
      <c r="C356" s="4">
        <v>0</v>
      </c>
      <c r="D356" s="4">
        <v>1</v>
      </c>
      <c r="E356" s="4">
        <v>227</v>
      </c>
      <c r="F356" s="4">
        <f>ROUND(Source!AX349,O356)</f>
        <v>0</v>
      </c>
      <c r="G356" s="4" t="s">
        <v>116</v>
      </c>
      <c r="H356" s="4" t="s">
        <v>117</v>
      </c>
      <c r="I356" s="4"/>
      <c r="J356" s="4"/>
      <c r="K356" s="4">
        <v>-227</v>
      </c>
      <c r="L356" s="4">
        <v>6</v>
      </c>
      <c r="M356" s="4">
        <v>3</v>
      </c>
      <c r="N356" s="4" t="s">
        <v>3</v>
      </c>
      <c r="O356" s="4">
        <v>2</v>
      </c>
      <c r="P356" s="4"/>
      <c r="Q356" s="4"/>
      <c r="R356" s="4"/>
      <c r="S356" s="4"/>
      <c r="T356" s="4"/>
      <c r="U356" s="4"/>
      <c r="V356" s="4"/>
      <c r="W356" s="4"/>
    </row>
    <row r="357" spans="1:23" x14ac:dyDescent="0.2">
      <c r="A357" s="4">
        <v>50</v>
      </c>
      <c r="B357" s="4">
        <v>0</v>
      </c>
      <c r="C357" s="4">
        <v>0</v>
      </c>
      <c r="D357" s="4">
        <v>1</v>
      </c>
      <c r="E357" s="4">
        <v>228</v>
      </c>
      <c r="F357" s="4">
        <f>ROUND(Source!AY349,O357)</f>
        <v>1432121.4</v>
      </c>
      <c r="G357" s="4" t="s">
        <v>118</v>
      </c>
      <c r="H357" s="4" t="s">
        <v>119</v>
      </c>
      <c r="I357" s="4"/>
      <c r="J357" s="4"/>
      <c r="K357" s="4">
        <v>-228</v>
      </c>
      <c r="L357" s="4">
        <v>7</v>
      </c>
      <c r="M357" s="4">
        <v>3</v>
      </c>
      <c r="N357" s="4" t="s">
        <v>3</v>
      </c>
      <c r="O357" s="4">
        <v>2</v>
      </c>
      <c r="P357" s="4"/>
      <c r="Q357" s="4"/>
      <c r="R357" s="4"/>
      <c r="S357" s="4"/>
      <c r="T357" s="4"/>
      <c r="U357" s="4"/>
      <c r="V357" s="4"/>
      <c r="W357" s="4"/>
    </row>
    <row r="358" spans="1:23" x14ac:dyDescent="0.2">
      <c r="A358" s="4">
        <v>50</v>
      </c>
      <c r="B358" s="4">
        <v>0</v>
      </c>
      <c r="C358" s="4">
        <v>0</v>
      </c>
      <c r="D358" s="4">
        <v>1</v>
      </c>
      <c r="E358" s="4">
        <v>216</v>
      </c>
      <c r="F358" s="4">
        <f>ROUND(Source!AP349,O358)</f>
        <v>0</v>
      </c>
      <c r="G358" s="4" t="s">
        <v>120</v>
      </c>
      <c r="H358" s="4" t="s">
        <v>121</v>
      </c>
      <c r="I358" s="4"/>
      <c r="J358" s="4"/>
      <c r="K358" s="4">
        <v>-216</v>
      </c>
      <c r="L358" s="4">
        <v>8</v>
      </c>
      <c r="M358" s="4">
        <v>3</v>
      </c>
      <c r="N358" s="4" t="s">
        <v>3</v>
      </c>
      <c r="O358" s="4">
        <v>2</v>
      </c>
      <c r="P358" s="4"/>
      <c r="Q358" s="4"/>
      <c r="R358" s="4"/>
      <c r="S358" s="4"/>
      <c r="T358" s="4"/>
      <c r="U358" s="4"/>
      <c r="V358" s="4"/>
      <c r="W358" s="4"/>
    </row>
    <row r="359" spans="1:23" x14ac:dyDescent="0.2">
      <c r="A359" s="4">
        <v>50</v>
      </c>
      <c r="B359" s="4">
        <v>0</v>
      </c>
      <c r="C359" s="4">
        <v>0</v>
      </c>
      <c r="D359" s="4">
        <v>1</v>
      </c>
      <c r="E359" s="4">
        <v>223</v>
      </c>
      <c r="F359" s="4">
        <f>ROUND(Source!AQ349,O359)</f>
        <v>0</v>
      </c>
      <c r="G359" s="4" t="s">
        <v>122</v>
      </c>
      <c r="H359" s="4" t="s">
        <v>123</v>
      </c>
      <c r="I359" s="4"/>
      <c r="J359" s="4"/>
      <c r="K359" s="4">
        <v>-223</v>
      </c>
      <c r="L359" s="4">
        <v>9</v>
      </c>
      <c r="M359" s="4">
        <v>3</v>
      </c>
      <c r="N359" s="4" t="s">
        <v>3</v>
      </c>
      <c r="O359" s="4">
        <v>2</v>
      </c>
      <c r="P359" s="4"/>
      <c r="Q359" s="4"/>
      <c r="R359" s="4"/>
      <c r="S359" s="4"/>
      <c r="T359" s="4"/>
      <c r="U359" s="4"/>
      <c r="V359" s="4"/>
      <c r="W359" s="4"/>
    </row>
    <row r="360" spans="1:23" x14ac:dyDescent="0.2">
      <c r="A360" s="4">
        <v>50</v>
      </c>
      <c r="B360" s="4">
        <v>0</v>
      </c>
      <c r="C360" s="4">
        <v>0</v>
      </c>
      <c r="D360" s="4">
        <v>1</v>
      </c>
      <c r="E360" s="4">
        <v>229</v>
      </c>
      <c r="F360" s="4">
        <f>ROUND(Source!AZ349,O360)</f>
        <v>0</v>
      </c>
      <c r="G360" s="4" t="s">
        <v>124</v>
      </c>
      <c r="H360" s="4" t="s">
        <v>125</v>
      </c>
      <c r="I360" s="4"/>
      <c r="J360" s="4"/>
      <c r="K360" s="4">
        <v>-229</v>
      </c>
      <c r="L360" s="4">
        <v>10</v>
      </c>
      <c r="M360" s="4">
        <v>3</v>
      </c>
      <c r="N360" s="4" t="s">
        <v>3</v>
      </c>
      <c r="O360" s="4">
        <v>2</v>
      </c>
      <c r="P360" s="4"/>
      <c r="Q360" s="4"/>
      <c r="R360" s="4"/>
      <c r="S360" s="4"/>
      <c r="T360" s="4"/>
      <c r="U360" s="4"/>
      <c r="V360" s="4"/>
      <c r="W360" s="4"/>
    </row>
    <row r="361" spans="1:23" x14ac:dyDescent="0.2">
      <c r="A361" s="4">
        <v>50</v>
      </c>
      <c r="B361" s="4">
        <v>0</v>
      </c>
      <c r="C361" s="4">
        <v>0</v>
      </c>
      <c r="D361" s="4">
        <v>1</v>
      </c>
      <c r="E361" s="4">
        <v>203</v>
      </c>
      <c r="F361" s="4">
        <f>ROUND(Source!Q349,O361)</f>
        <v>113603.69</v>
      </c>
      <c r="G361" s="4" t="s">
        <v>126</v>
      </c>
      <c r="H361" s="4" t="s">
        <v>127</v>
      </c>
      <c r="I361" s="4"/>
      <c r="J361" s="4"/>
      <c r="K361" s="4">
        <v>-203</v>
      </c>
      <c r="L361" s="4">
        <v>11</v>
      </c>
      <c r="M361" s="4">
        <v>3</v>
      </c>
      <c r="N361" s="4" t="s">
        <v>3</v>
      </c>
      <c r="O361" s="4">
        <v>2</v>
      </c>
      <c r="P361" s="4"/>
      <c r="Q361" s="4"/>
      <c r="R361" s="4"/>
      <c r="S361" s="4"/>
      <c r="T361" s="4"/>
      <c r="U361" s="4"/>
      <c r="V361" s="4"/>
      <c r="W361" s="4"/>
    </row>
    <row r="362" spans="1:23" x14ac:dyDescent="0.2">
      <c r="A362" s="4">
        <v>50</v>
      </c>
      <c r="B362" s="4">
        <v>0</v>
      </c>
      <c r="C362" s="4">
        <v>0</v>
      </c>
      <c r="D362" s="4">
        <v>1</v>
      </c>
      <c r="E362" s="4">
        <v>231</v>
      </c>
      <c r="F362" s="4">
        <f>ROUND(Source!BB349,O362)</f>
        <v>0</v>
      </c>
      <c r="G362" s="4" t="s">
        <v>128</v>
      </c>
      <c r="H362" s="4" t="s">
        <v>129</v>
      </c>
      <c r="I362" s="4"/>
      <c r="J362" s="4"/>
      <c r="K362" s="4">
        <v>-231</v>
      </c>
      <c r="L362" s="4">
        <v>12</v>
      </c>
      <c r="M362" s="4">
        <v>3</v>
      </c>
      <c r="N362" s="4" t="s">
        <v>3</v>
      </c>
      <c r="O362" s="4">
        <v>2</v>
      </c>
      <c r="P362" s="4"/>
      <c r="Q362" s="4"/>
      <c r="R362" s="4"/>
      <c r="S362" s="4"/>
      <c r="T362" s="4"/>
      <c r="U362" s="4"/>
      <c r="V362" s="4"/>
      <c r="W362" s="4"/>
    </row>
    <row r="363" spans="1:23" x14ac:dyDescent="0.2">
      <c r="A363" s="4">
        <v>50</v>
      </c>
      <c r="B363" s="4">
        <v>0</v>
      </c>
      <c r="C363" s="4">
        <v>0</v>
      </c>
      <c r="D363" s="4">
        <v>1</v>
      </c>
      <c r="E363" s="4">
        <v>204</v>
      </c>
      <c r="F363" s="4">
        <f>ROUND(Source!R349,O363)</f>
        <v>59070.93</v>
      </c>
      <c r="G363" s="4" t="s">
        <v>130</v>
      </c>
      <c r="H363" s="4" t="s">
        <v>131</v>
      </c>
      <c r="I363" s="4"/>
      <c r="J363" s="4"/>
      <c r="K363" s="4">
        <v>-204</v>
      </c>
      <c r="L363" s="4">
        <v>13</v>
      </c>
      <c r="M363" s="4">
        <v>3</v>
      </c>
      <c r="N363" s="4" t="s">
        <v>3</v>
      </c>
      <c r="O363" s="4">
        <v>2</v>
      </c>
      <c r="P363" s="4"/>
      <c r="Q363" s="4"/>
      <c r="R363" s="4"/>
      <c r="S363" s="4"/>
      <c r="T363" s="4"/>
      <c r="U363" s="4"/>
      <c r="V363" s="4"/>
      <c r="W363" s="4"/>
    </row>
    <row r="364" spans="1:23" x14ac:dyDescent="0.2">
      <c r="A364" s="4">
        <v>50</v>
      </c>
      <c r="B364" s="4">
        <v>0</v>
      </c>
      <c r="C364" s="4">
        <v>0</v>
      </c>
      <c r="D364" s="4">
        <v>1</v>
      </c>
      <c r="E364" s="4">
        <v>205</v>
      </c>
      <c r="F364" s="4">
        <f>ROUND(Source!S349,O364)</f>
        <v>180836.34</v>
      </c>
      <c r="G364" s="4" t="s">
        <v>132</v>
      </c>
      <c r="H364" s="4" t="s">
        <v>133</v>
      </c>
      <c r="I364" s="4"/>
      <c r="J364" s="4"/>
      <c r="K364" s="4">
        <v>-205</v>
      </c>
      <c r="L364" s="4">
        <v>14</v>
      </c>
      <c r="M364" s="4">
        <v>3</v>
      </c>
      <c r="N364" s="4" t="s">
        <v>3</v>
      </c>
      <c r="O364" s="4">
        <v>2</v>
      </c>
      <c r="P364" s="4"/>
      <c r="Q364" s="4"/>
      <c r="R364" s="4"/>
      <c r="S364" s="4"/>
      <c r="T364" s="4"/>
      <c r="U364" s="4"/>
      <c r="V364" s="4"/>
      <c r="W364" s="4"/>
    </row>
    <row r="365" spans="1:23" x14ac:dyDescent="0.2">
      <c r="A365" s="4">
        <v>50</v>
      </c>
      <c r="B365" s="4">
        <v>0</v>
      </c>
      <c r="C365" s="4">
        <v>0</v>
      </c>
      <c r="D365" s="4">
        <v>1</v>
      </c>
      <c r="E365" s="4">
        <v>232</v>
      </c>
      <c r="F365" s="4">
        <f>ROUND(Source!BC349,O365)</f>
        <v>0</v>
      </c>
      <c r="G365" s="4" t="s">
        <v>134</v>
      </c>
      <c r="H365" s="4" t="s">
        <v>135</v>
      </c>
      <c r="I365" s="4"/>
      <c r="J365" s="4"/>
      <c r="K365" s="4">
        <v>-232</v>
      </c>
      <c r="L365" s="4">
        <v>15</v>
      </c>
      <c r="M365" s="4">
        <v>3</v>
      </c>
      <c r="N365" s="4" t="s">
        <v>3</v>
      </c>
      <c r="O365" s="4">
        <v>2</v>
      </c>
      <c r="P365" s="4"/>
      <c r="Q365" s="4"/>
      <c r="R365" s="4"/>
      <c r="S365" s="4"/>
      <c r="T365" s="4"/>
      <c r="U365" s="4"/>
      <c r="V365" s="4"/>
      <c r="W365" s="4"/>
    </row>
    <row r="366" spans="1:23" x14ac:dyDescent="0.2">
      <c r="A366" s="4">
        <v>50</v>
      </c>
      <c r="B366" s="4">
        <v>0</v>
      </c>
      <c r="C366" s="4">
        <v>0</v>
      </c>
      <c r="D366" s="4">
        <v>1</v>
      </c>
      <c r="E366" s="4">
        <v>214</v>
      </c>
      <c r="F366" s="4">
        <f>ROUND(Source!AS349,O366)</f>
        <v>535372.31000000006</v>
      </c>
      <c r="G366" s="4" t="s">
        <v>136</v>
      </c>
      <c r="H366" s="4" t="s">
        <v>137</v>
      </c>
      <c r="I366" s="4"/>
      <c r="J366" s="4"/>
      <c r="K366" s="4">
        <v>-214</v>
      </c>
      <c r="L366" s="4">
        <v>16</v>
      </c>
      <c r="M366" s="4">
        <v>3</v>
      </c>
      <c r="N366" s="4" t="s">
        <v>3</v>
      </c>
      <c r="O366" s="4">
        <v>2</v>
      </c>
      <c r="P366" s="4"/>
      <c r="Q366" s="4"/>
      <c r="R366" s="4"/>
      <c r="S366" s="4"/>
      <c r="T366" s="4"/>
      <c r="U366" s="4"/>
      <c r="V366" s="4"/>
      <c r="W366" s="4"/>
    </row>
    <row r="367" spans="1:23" x14ac:dyDescent="0.2">
      <c r="A367" s="4">
        <v>50</v>
      </c>
      <c r="B367" s="4">
        <v>0</v>
      </c>
      <c r="C367" s="4">
        <v>0</v>
      </c>
      <c r="D367" s="4">
        <v>1</v>
      </c>
      <c r="E367" s="4">
        <v>215</v>
      </c>
      <c r="F367" s="4">
        <f>ROUND(Source!AT349,O367)</f>
        <v>0</v>
      </c>
      <c r="G367" s="4" t="s">
        <v>138</v>
      </c>
      <c r="H367" s="4" t="s">
        <v>139</v>
      </c>
      <c r="I367" s="4"/>
      <c r="J367" s="4"/>
      <c r="K367" s="4">
        <v>-215</v>
      </c>
      <c r="L367" s="4">
        <v>17</v>
      </c>
      <c r="M367" s="4">
        <v>3</v>
      </c>
      <c r="N367" s="4" t="s">
        <v>3</v>
      </c>
      <c r="O367" s="4">
        <v>2</v>
      </c>
      <c r="P367" s="4"/>
      <c r="Q367" s="4"/>
      <c r="R367" s="4"/>
      <c r="S367" s="4"/>
      <c r="T367" s="4"/>
      <c r="U367" s="4"/>
      <c r="V367" s="4"/>
      <c r="W367" s="4"/>
    </row>
    <row r="368" spans="1:23" x14ac:dyDescent="0.2">
      <c r="A368" s="4">
        <v>50</v>
      </c>
      <c r="B368" s="4">
        <v>0</v>
      </c>
      <c r="C368" s="4">
        <v>0</v>
      </c>
      <c r="D368" s="4">
        <v>1</v>
      </c>
      <c r="E368" s="4">
        <v>217</v>
      </c>
      <c r="F368" s="4">
        <f>ROUND(Source!AU349,O368)</f>
        <v>1363494.03</v>
      </c>
      <c r="G368" s="4" t="s">
        <v>140</v>
      </c>
      <c r="H368" s="4" t="s">
        <v>141</v>
      </c>
      <c r="I368" s="4"/>
      <c r="J368" s="4"/>
      <c r="K368" s="4">
        <v>-217</v>
      </c>
      <c r="L368" s="4">
        <v>18</v>
      </c>
      <c r="M368" s="4">
        <v>3</v>
      </c>
      <c r="N368" s="4" t="s">
        <v>3</v>
      </c>
      <c r="O368" s="4">
        <v>2</v>
      </c>
      <c r="P368" s="4"/>
      <c r="Q368" s="4"/>
      <c r="R368" s="4"/>
      <c r="S368" s="4"/>
      <c r="T368" s="4"/>
      <c r="U368" s="4"/>
      <c r="V368" s="4"/>
      <c r="W368" s="4"/>
    </row>
    <row r="369" spans="1:206" x14ac:dyDescent="0.2">
      <c r="A369" s="4">
        <v>50</v>
      </c>
      <c r="B369" s="4">
        <v>0</v>
      </c>
      <c r="C369" s="4">
        <v>0</v>
      </c>
      <c r="D369" s="4">
        <v>1</v>
      </c>
      <c r="E369" s="4">
        <v>230</v>
      </c>
      <c r="F369" s="4">
        <f>ROUND(Source!BA349,O369)</f>
        <v>0</v>
      </c>
      <c r="G369" s="4" t="s">
        <v>142</v>
      </c>
      <c r="H369" s="4" t="s">
        <v>143</v>
      </c>
      <c r="I369" s="4"/>
      <c r="J369" s="4"/>
      <c r="K369" s="4">
        <v>-230</v>
      </c>
      <c r="L369" s="4">
        <v>19</v>
      </c>
      <c r="M369" s="4">
        <v>3</v>
      </c>
      <c r="N369" s="4" t="s">
        <v>3</v>
      </c>
      <c r="O369" s="4">
        <v>2</v>
      </c>
      <c r="P369" s="4"/>
      <c r="Q369" s="4"/>
      <c r="R369" s="4"/>
      <c r="S369" s="4"/>
      <c r="T369" s="4"/>
      <c r="U369" s="4"/>
      <c r="V369" s="4"/>
      <c r="W369" s="4"/>
    </row>
    <row r="370" spans="1:206" x14ac:dyDescent="0.2">
      <c r="A370" s="4">
        <v>50</v>
      </c>
      <c r="B370" s="4">
        <v>0</v>
      </c>
      <c r="C370" s="4">
        <v>0</v>
      </c>
      <c r="D370" s="4">
        <v>1</v>
      </c>
      <c r="E370" s="4">
        <v>206</v>
      </c>
      <c r="F370" s="4">
        <f>ROUND(Source!T349,O370)</f>
        <v>0</v>
      </c>
      <c r="G370" s="4" t="s">
        <v>144</v>
      </c>
      <c r="H370" s="4" t="s">
        <v>145</v>
      </c>
      <c r="I370" s="4"/>
      <c r="J370" s="4"/>
      <c r="K370" s="4">
        <v>-206</v>
      </c>
      <c r="L370" s="4">
        <v>20</v>
      </c>
      <c r="M370" s="4">
        <v>3</v>
      </c>
      <c r="N370" s="4" t="s">
        <v>3</v>
      </c>
      <c r="O370" s="4">
        <v>2</v>
      </c>
      <c r="P370" s="4"/>
      <c r="Q370" s="4"/>
      <c r="R370" s="4"/>
      <c r="S370" s="4"/>
      <c r="T370" s="4"/>
      <c r="U370" s="4"/>
      <c r="V370" s="4"/>
      <c r="W370" s="4"/>
    </row>
    <row r="371" spans="1:206" x14ac:dyDescent="0.2">
      <c r="A371" s="4">
        <v>50</v>
      </c>
      <c r="B371" s="4">
        <v>0</v>
      </c>
      <c r="C371" s="4">
        <v>0</v>
      </c>
      <c r="D371" s="4">
        <v>1</v>
      </c>
      <c r="E371" s="4">
        <v>207</v>
      </c>
      <c r="F371" s="4">
        <f>Source!U349</f>
        <v>872.20689400000003</v>
      </c>
      <c r="G371" s="4" t="s">
        <v>146</v>
      </c>
      <c r="H371" s="4" t="s">
        <v>147</v>
      </c>
      <c r="I371" s="4"/>
      <c r="J371" s="4"/>
      <c r="K371" s="4">
        <v>-207</v>
      </c>
      <c r="L371" s="4">
        <v>21</v>
      </c>
      <c r="M371" s="4">
        <v>3</v>
      </c>
      <c r="N371" s="4" t="s">
        <v>3</v>
      </c>
      <c r="O371" s="4">
        <v>-1</v>
      </c>
      <c r="P371" s="4"/>
      <c r="Q371" s="4"/>
      <c r="R371" s="4"/>
      <c r="S371" s="4"/>
      <c r="T371" s="4"/>
      <c r="U371" s="4"/>
      <c r="V371" s="4"/>
      <c r="W371" s="4"/>
    </row>
    <row r="372" spans="1:206" x14ac:dyDescent="0.2">
      <c r="A372" s="4">
        <v>50</v>
      </c>
      <c r="B372" s="4">
        <v>0</v>
      </c>
      <c r="C372" s="4">
        <v>0</v>
      </c>
      <c r="D372" s="4">
        <v>1</v>
      </c>
      <c r="E372" s="4">
        <v>208</v>
      </c>
      <c r="F372" s="4">
        <f>Source!V349</f>
        <v>0</v>
      </c>
      <c r="G372" s="4" t="s">
        <v>148</v>
      </c>
      <c r="H372" s="4" t="s">
        <v>149</v>
      </c>
      <c r="I372" s="4"/>
      <c r="J372" s="4"/>
      <c r="K372" s="4">
        <v>-208</v>
      </c>
      <c r="L372" s="4">
        <v>22</v>
      </c>
      <c r="M372" s="4">
        <v>3</v>
      </c>
      <c r="N372" s="4" t="s">
        <v>3</v>
      </c>
      <c r="O372" s="4">
        <v>-1</v>
      </c>
      <c r="P372" s="4"/>
      <c r="Q372" s="4"/>
      <c r="R372" s="4"/>
      <c r="S372" s="4"/>
      <c r="T372" s="4"/>
      <c r="U372" s="4"/>
      <c r="V372" s="4"/>
      <c r="W372" s="4"/>
    </row>
    <row r="373" spans="1:206" x14ac:dyDescent="0.2">
      <c r="A373" s="4">
        <v>50</v>
      </c>
      <c r="B373" s="4">
        <v>0</v>
      </c>
      <c r="C373" s="4">
        <v>0</v>
      </c>
      <c r="D373" s="4">
        <v>1</v>
      </c>
      <c r="E373" s="4">
        <v>209</v>
      </c>
      <c r="F373" s="4">
        <f>ROUND(Source!W349,O373)</f>
        <v>0</v>
      </c>
      <c r="G373" s="4" t="s">
        <v>150</v>
      </c>
      <c r="H373" s="4" t="s">
        <v>151</v>
      </c>
      <c r="I373" s="4"/>
      <c r="J373" s="4"/>
      <c r="K373" s="4">
        <v>-209</v>
      </c>
      <c r="L373" s="4">
        <v>23</v>
      </c>
      <c r="M373" s="4">
        <v>3</v>
      </c>
      <c r="N373" s="4" t="s">
        <v>3</v>
      </c>
      <c r="O373" s="4">
        <v>2</v>
      </c>
      <c r="P373" s="4"/>
      <c r="Q373" s="4"/>
      <c r="R373" s="4"/>
      <c r="S373" s="4"/>
      <c r="T373" s="4"/>
      <c r="U373" s="4"/>
      <c r="V373" s="4"/>
      <c r="W373" s="4"/>
    </row>
    <row r="374" spans="1:206" x14ac:dyDescent="0.2">
      <c r="A374" s="4">
        <v>50</v>
      </c>
      <c r="B374" s="4">
        <v>0</v>
      </c>
      <c r="C374" s="4">
        <v>0</v>
      </c>
      <c r="D374" s="4">
        <v>1</v>
      </c>
      <c r="E374" s="4">
        <v>233</v>
      </c>
      <c r="F374" s="4">
        <f>ROUND(Source!BD349,O374)</f>
        <v>0</v>
      </c>
      <c r="G374" s="4" t="s">
        <v>152</v>
      </c>
      <c r="H374" s="4" t="s">
        <v>153</v>
      </c>
      <c r="I374" s="4"/>
      <c r="J374" s="4"/>
      <c r="K374" s="4">
        <v>-233</v>
      </c>
      <c r="L374" s="4">
        <v>24</v>
      </c>
      <c r="M374" s="4">
        <v>3</v>
      </c>
      <c r="N374" s="4" t="s">
        <v>3</v>
      </c>
      <c r="O374" s="4">
        <v>2</v>
      </c>
      <c r="P374" s="4"/>
      <c r="Q374" s="4"/>
      <c r="R374" s="4"/>
      <c r="S374" s="4"/>
      <c r="T374" s="4"/>
      <c r="U374" s="4"/>
      <c r="V374" s="4"/>
      <c r="W374" s="4"/>
    </row>
    <row r="375" spans="1:206" x14ac:dyDescent="0.2">
      <c r="A375" s="4">
        <v>50</v>
      </c>
      <c r="B375" s="4">
        <v>0</v>
      </c>
      <c r="C375" s="4">
        <v>0</v>
      </c>
      <c r="D375" s="4">
        <v>1</v>
      </c>
      <c r="E375" s="4">
        <v>210</v>
      </c>
      <c r="F375" s="4">
        <f>ROUND(Source!X349,O375)</f>
        <v>126585.44</v>
      </c>
      <c r="G375" s="4" t="s">
        <v>154</v>
      </c>
      <c r="H375" s="4" t="s">
        <v>155</v>
      </c>
      <c r="I375" s="4"/>
      <c r="J375" s="4"/>
      <c r="K375" s="4">
        <v>-210</v>
      </c>
      <c r="L375" s="4">
        <v>25</v>
      </c>
      <c r="M375" s="4">
        <v>3</v>
      </c>
      <c r="N375" s="4" t="s">
        <v>3</v>
      </c>
      <c r="O375" s="4">
        <v>2</v>
      </c>
      <c r="P375" s="4"/>
      <c r="Q375" s="4"/>
      <c r="R375" s="4"/>
      <c r="S375" s="4"/>
      <c r="T375" s="4"/>
      <c r="U375" s="4"/>
      <c r="V375" s="4"/>
      <c r="W375" s="4"/>
    </row>
    <row r="376" spans="1:206" x14ac:dyDescent="0.2">
      <c r="A376" s="4">
        <v>50</v>
      </c>
      <c r="B376" s="4">
        <v>0</v>
      </c>
      <c r="C376" s="4">
        <v>0</v>
      </c>
      <c r="D376" s="4">
        <v>1</v>
      </c>
      <c r="E376" s="4">
        <v>211</v>
      </c>
      <c r="F376" s="4">
        <f>ROUND(Source!Y349,O376)</f>
        <v>18083.650000000001</v>
      </c>
      <c r="G376" s="4" t="s">
        <v>156</v>
      </c>
      <c r="H376" s="4" t="s">
        <v>157</v>
      </c>
      <c r="I376" s="4"/>
      <c r="J376" s="4"/>
      <c r="K376" s="4">
        <v>-211</v>
      </c>
      <c r="L376" s="4">
        <v>26</v>
      </c>
      <c r="M376" s="4">
        <v>3</v>
      </c>
      <c r="N376" s="4" t="s">
        <v>3</v>
      </c>
      <c r="O376" s="4">
        <v>2</v>
      </c>
      <c r="P376" s="4"/>
      <c r="Q376" s="4"/>
      <c r="R376" s="4"/>
      <c r="S376" s="4"/>
      <c r="T376" s="4"/>
      <c r="U376" s="4"/>
      <c r="V376" s="4"/>
      <c r="W376" s="4"/>
    </row>
    <row r="377" spans="1:206" x14ac:dyDescent="0.2">
      <c r="A377" s="4">
        <v>50</v>
      </c>
      <c r="B377" s="4">
        <v>0</v>
      </c>
      <c r="C377" s="4">
        <v>0</v>
      </c>
      <c r="D377" s="4">
        <v>1</v>
      </c>
      <c r="E377" s="4">
        <v>224</v>
      </c>
      <c r="F377" s="4">
        <f>ROUND(Source!AR349,O377)</f>
        <v>1898866.34</v>
      </c>
      <c r="G377" s="4" t="s">
        <v>158</v>
      </c>
      <c r="H377" s="4" t="s">
        <v>159</v>
      </c>
      <c r="I377" s="4"/>
      <c r="J377" s="4"/>
      <c r="K377" s="4">
        <v>-224</v>
      </c>
      <c r="L377" s="4">
        <v>27</v>
      </c>
      <c r="M377" s="4">
        <v>3</v>
      </c>
      <c r="N377" s="4" t="s">
        <v>3</v>
      </c>
      <c r="O377" s="4">
        <v>2</v>
      </c>
      <c r="P377" s="4"/>
      <c r="Q377" s="4"/>
      <c r="R377" s="4"/>
      <c r="S377" s="4"/>
      <c r="T377" s="4"/>
      <c r="U377" s="4"/>
      <c r="V377" s="4"/>
      <c r="W377" s="4"/>
    </row>
    <row r="378" spans="1:206" x14ac:dyDescent="0.2">
      <c r="A378" s="4">
        <v>50</v>
      </c>
      <c r="B378" s="4">
        <v>1</v>
      </c>
      <c r="C378" s="4">
        <v>0</v>
      </c>
      <c r="D378" s="4">
        <v>2</v>
      </c>
      <c r="E378" s="4">
        <v>0</v>
      </c>
      <c r="F378" s="4">
        <f>ROUND(F377,O378)</f>
        <v>1898866.34</v>
      </c>
      <c r="G378" s="4" t="s">
        <v>27</v>
      </c>
      <c r="H378" s="4" t="s">
        <v>160</v>
      </c>
      <c r="I378" s="4"/>
      <c r="J378" s="4"/>
      <c r="K378" s="4">
        <v>212</v>
      </c>
      <c r="L378" s="4">
        <v>28</v>
      </c>
      <c r="M378" s="4">
        <v>0</v>
      </c>
      <c r="N378" s="4" t="s">
        <v>3</v>
      </c>
      <c r="O378" s="4">
        <v>2</v>
      </c>
      <c r="P378" s="4"/>
      <c r="Q378" s="4"/>
      <c r="R378" s="4"/>
      <c r="S378" s="4"/>
      <c r="T378" s="4"/>
      <c r="U378" s="4"/>
      <c r="V378" s="4"/>
      <c r="W378" s="4"/>
    </row>
    <row r="379" spans="1:206" x14ac:dyDescent="0.2">
      <c r="A379" s="4">
        <v>50</v>
      </c>
      <c r="B379" s="4">
        <v>1</v>
      </c>
      <c r="C379" s="4">
        <v>0</v>
      </c>
      <c r="D379" s="4">
        <v>2</v>
      </c>
      <c r="E379" s="4">
        <v>0</v>
      </c>
      <c r="F379" s="4">
        <f>ROUND(F378*0.2,O379)</f>
        <v>379773.27</v>
      </c>
      <c r="G379" s="4" t="s">
        <v>35</v>
      </c>
      <c r="H379" s="4" t="s">
        <v>161</v>
      </c>
      <c r="I379" s="4"/>
      <c r="J379" s="4"/>
      <c r="K379" s="4">
        <v>212</v>
      </c>
      <c r="L379" s="4">
        <v>29</v>
      </c>
      <c r="M379" s="4">
        <v>0</v>
      </c>
      <c r="N379" s="4" t="s">
        <v>3</v>
      </c>
      <c r="O379" s="4">
        <v>2</v>
      </c>
      <c r="P379" s="4"/>
      <c r="Q379" s="4"/>
      <c r="R379" s="4"/>
      <c r="S379" s="4"/>
      <c r="T379" s="4"/>
      <c r="U379" s="4"/>
      <c r="V379" s="4"/>
      <c r="W379" s="4"/>
    </row>
    <row r="380" spans="1:206" x14ac:dyDescent="0.2">
      <c r="A380" s="4">
        <v>50</v>
      </c>
      <c r="B380" s="4">
        <v>1</v>
      </c>
      <c r="C380" s="4">
        <v>0</v>
      </c>
      <c r="D380" s="4">
        <v>2</v>
      </c>
      <c r="E380" s="4">
        <v>213</v>
      </c>
      <c r="F380" s="4">
        <f>ROUND(F378+F379,O380)</f>
        <v>2278639.61</v>
      </c>
      <c r="G380" s="4" t="s">
        <v>39</v>
      </c>
      <c r="H380" s="4" t="s">
        <v>162</v>
      </c>
      <c r="I380" s="4"/>
      <c r="J380" s="4"/>
      <c r="K380" s="4">
        <v>212</v>
      </c>
      <c r="L380" s="4">
        <v>30</v>
      </c>
      <c r="M380" s="4">
        <v>0</v>
      </c>
      <c r="N380" s="4" t="s">
        <v>3</v>
      </c>
      <c r="O380" s="4">
        <v>2</v>
      </c>
      <c r="P380" s="4"/>
      <c r="Q380" s="4"/>
      <c r="R380" s="4"/>
      <c r="S380" s="4"/>
      <c r="T380" s="4"/>
      <c r="U380" s="4"/>
      <c r="V380" s="4"/>
      <c r="W380" s="4"/>
    </row>
    <row r="382" spans="1:206" x14ac:dyDescent="0.2">
      <c r="A382" s="2">
        <v>51</v>
      </c>
      <c r="B382" s="2">
        <f>B12</f>
        <v>418</v>
      </c>
      <c r="C382" s="2">
        <f>A12</f>
        <v>1</v>
      </c>
      <c r="D382" s="2">
        <f>ROW(A12)</f>
        <v>12</v>
      </c>
      <c r="E382" s="2"/>
      <c r="F382" s="2" t="str">
        <f>IF(F12&lt;&gt;"",F12,"")</f>
        <v/>
      </c>
      <c r="G382" s="2" t="str">
        <f>IF(G12&lt;&gt;"",G12,"")</f>
        <v>Комплексное благоустройство территории жилой застройки района Орехово-Борисово Северное за счет средств стимулирования управ районов в 2021 году</v>
      </c>
      <c r="H382" s="2">
        <v>0</v>
      </c>
      <c r="I382" s="2"/>
      <c r="J382" s="2"/>
      <c r="K382" s="2"/>
      <c r="L382" s="2"/>
      <c r="M382" s="2"/>
      <c r="N382" s="2"/>
      <c r="O382" s="2">
        <f t="shared" ref="O382:T382" si="244">ROUND(O349,2)</f>
        <v>1726561.43</v>
      </c>
      <c r="P382" s="2">
        <f t="shared" si="244"/>
        <v>1432121.4</v>
      </c>
      <c r="Q382" s="2">
        <f t="shared" si="244"/>
        <v>113603.69</v>
      </c>
      <c r="R382" s="2">
        <f t="shared" si="244"/>
        <v>59070.93</v>
      </c>
      <c r="S382" s="2">
        <f t="shared" si="244"/>
        <v>180836.34</v>
      </c>
      <c r="T382" s="2">
        <f t="shared" si="244"/>
        <v>0</v>
      </c>
      <c r="U382" s="2">
        <f>U349</f>
        <v>872.20689400000003</v>
      </c>
      <c r="V382" s="2">
        <f>V349</f>
        <v>0</v>
      </c>
      <c r="W382" s="2">
        <f>ROUND(W349,2)</f>
        <v>0</v>
      </c>
      <c r="X382" s="2">
        <f>ROUND(X349,2)</f>
        <v>126585.44</v>
      </c>
      <c r="Y382" s="2">
        <f>ROUND(Y349,2)</f>
        <v>18083.650000000001</v>
      </c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>
        <f t="shared" ref="AO382:BD382" si="245">ROUND(AO349,2)</f>
        <v>0</v>
      </c>
      <c r="AP382" s="2">
        <f t="shared" si="245"/>
        <v>0</v>
      </c>
      <c r="AQ382" s="2">
        <f t="shared" si="245"/>
        <v>0</v>
      </c>
      <c r="AR382" s="2">
        <f t="shared" si="245"/>
        <v>1898866.34</v>
      </c>
      <c r="AS382" s="2">
        <f t="shared" si="245"/>
        <v>535372.31000000006</v>
      </c>
      <c r="AT382" s="2">
        <f t="shared" si="245"/>
        <v>0</v>
      </c>
      <c r="AU382" s="2">
        <f t="shared" si="245"/>
        <v>1363494.03</v>
      </c>
      <c r="AV382" s="2">
        <f t="shared" si="245"/>
        <v>1432121.4</v>
      </c>
      <c r="AW382" s="2">
        <f t="shared" si="245"/>
        <v>1432121.4</v>
      </c>
      <c r="AX382" s="2">
        <f t="shared" si="245"/>
        <v>0</v>
      </c>
      <c r="AY382" s="2">
        <f t="shared" si="245"/>
        <v>1432121.4</v>
      </c>
      <c r="AZ382" s="2">
        <f t="shared" si="245"/>
        <v>0</v>
      </c>
      <c r="BA382" s="2">
        <f t="shared" si="245"/>
        <v>0</v>
      </c>
      <c r="BB382" s="2">
        <f t="shared" si="245"/>
        <v>0</v>
      </c>
      <c r="BC382" s="2">
        <f t="shared" si="245"/>
        <v>0</v>
      </c>
      <c r="BD382" s="2">
        <f t="shared" si="245"/>
        <v>0</v>
      </c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3"/>
      <c r="DH382" s="3"/>
      <c r="DI382" s="3"/>
      <c r="DJ382" s="3"/>
      <c r="DK382" s="3"/>
      <c r="DL382" s="3"/>
      <c r="DM382" s="3"/>
      <c r="DN382" s="3"/>
      <c r="DO382" s="3"/>
      <c r="DP382" s="3"/>
      <c r="DQ382" s="3"/>
      <c r="DR382" s="3"/>
      <c r="DS382" s="3"/>
      <c r="DT382" s="3"/>
      <c r="DU382" s="3"/>
      <c r="DV382" s="3"/>
      <c r="DW382" s="3"/>
      <c r="DX382" s="3"/>
      <c r="DY382" s="3"/>
      <c r="DZ382" s="3"/>
      <c r="EA382" s="3"/>
      <c r="EB382" s="3"/>
      <c r="EC382" s="3"/>
      <c r="ED382" s="3"/>
      <c r="EE382" s="3"/>
      <c r="EF382" s="3"/>
      <c r="EG382" s="3"/>
      <c r="EH382" s="3"/>
      <c r="EI382" s="3"/>
      <c r="EJ382" s="3"/>
      <c r="EK382" s="3"/>
      <c r="EL382" s="3"/>
      <c r="EM382" s="3"/>
      <c r="EN382" s="3"/>
      <c r="EO382" s="3"/>
      <c r="EP382" s="3"/>
      <c r="EQ382" s="3"/>
      <c r="ER382" s="3"/>
      <c r="ES382" s="3"/>
      <c r="ET382" s="3"/>
      <c r="EU382" s="3"/>
      <c r="EV382" s="3"/>
      <c r="EW382" s="3"/>
      <c r="EX382" s="3"/>
      <c r="EY382" s="3"/>
      <c r="EZ382" s="3"/>
      <c r="FA382" s="3"/>
      <c r="FB382" s="3"/>
      <c r="FC382" s="3"/>
      <c r="FD382" s="3"/>
      <c r="FE382" s="3"/>
      <c r="FF382" s="3"/>
      <c r="FG382" s="3"/>
      <c r="FH382" s="3"/>
      <c r="FI382" s="3"/>
      <c r="FJ382" s="3"/>
      <c r="FK382" s="3"/>
      <c r="FL382" s="3"/>
      <c r="FM382" s="3"/>
      <c r="FN382" s="3"/>
      <c r="FO382" s="3"/>
      <c r="FP382" s="3"/>
      <c r="FQ382" s="3"/>
      <c r="FR382" s="3"/>
      <c r="FS382" s="3"/>
      <c r="FT382" s="3"/>
      <c r="FU382" s="3"/>
      <c r="FV382" s="3"/>
      <c r="FW382" s="3"/>
      <c r="FX382" s="3"/>
      <c r="FY382" s="3"/>
      <c r="FZ382" s="3"/>
      <c r="GA382" s="3"/>
      <c r="GB382" s="3"/>
      <c r="GC382" s="3"/>
      <c r="GD382" s="3"/>
      <c r="GE382" s="3"/>
      <c r="GF382" s="3"/>
      <c r="GG382" s="3"/>
      <c r="GH382" s="3"/>
      <c r="GI382" s="3"/>
      <c r="GJ382" s="3"/>
      <c r="GK382" s="3"/>
      <c r="GL382" s="3"/>
      <c r="GM382" s="3"/>
      <c r="GN382" s="3"/>
      <c r="GO382" s="3"/>
      <c r="GP382" s="3"/>
      <c r="GQ382" s="3"/>
      <c r="GR382" s="3"/>
      <c r="GS382" s="3"/>
      <c r="GT382" s="3"/>
      <c r="GU382" s="3"/>
      <c r="GV382" s="3"/>
      <c r="GW382" s="3"/>
      <c r="GX382" s="3">
        <v>0</v>
      </c>
    </row>
    <row r="384" spans="1:206" x14ac:dyDescent="0.2">
      <c r="A384" s="4">
        <v>50</v>
      </c>
      <c r="B384" s="4">
        <v>0</v>
      </c>
      <c r="C384" s="4">
        <v>0</v>
      </c>
      <c r="D384" s="4">
        <v>1</v>
      </c>
      <c r="E384" s="4">
        <v>201</v>
      </c>
      <c r="F384" s="4">
        <f>ROUND(Source!O382,O384)</f>
        <v>1726561.43</v>
      </c>
      <c r="G384" s="4" t="s">
        <v>106</v>
      </c>
      <c r="H384" s="4" t="s">
        <v>107</v>
      </c>
      <c r="I384" s="4"/>
      <c r="J384" s="4"/>
      <c r="K384" s="4">
        <v>201</v>
      </c>
      <c r="L384" s="4">
        <v>1</v>
      </c>
      <c r="M384" s="4">
        <v>3</v>
      </c>
      <c r="N384" s="4" t="s">
        <v>3</v>
      </c>
      <c r="O384" s="4">
        <v>2</v>
      </c>
      <c r="P384" s="4"/>
      <c r="Q384" s="4"/>
      <c r="R384" s="4"/>
      <c r="S384" s="4"/>
      <c r="T384" s="4"/>
      <c r="U384" s="4"/>
      <c r="V384" s="4"/>
      <c r="W384" s="4"/>
    </row>
    <row r="385" spans="1:23" x14ac:dyDescent="0.2">
      <c r="A385" s="4">
        <v>50</v>
      </c>
      <c r="B385" s="4">
        <v>0</v>
      </c>
      <c r="C385" s="4">
        <v>0</v>
      </c>
      <c r="D385" s="4">
        <v>1</v>
      </c>
      <c r="E385" s="4">
        <v>202</v>
      </c>
      <c r="F385" s="4">
        <f>ROUND(Source!P382,O385)</f>
        <v>1432121.4</v>
      </c>
      <c r="G385" s="4" t="s">
        <v>108</v>
      </c>
      <c r="H385" s="4" t="s">
        <v>109</v>
      </c>
      <c r="I385" s="4"/>
      <c r="J385" s="4"/>
      <c r="K385" s="4">
        <v>202</v>
      </c>
      <c r="L385" s="4">
        <v>2</v>
      </c>
      <c r="M385" s="4">
        <v>3</v>
      </c>
      <c r="N385" s="4" t="s">
        <v>3</v>
      </c>
      <c r="O385" s="4">
        <v>2</v>
      </c>
      <c r="P385" s="4"/>
      <c r="Q385" s="4"/>
      <c r="R385" s="4"/>
      <c r="S385" s="4"/>
      <c r="T385" s="4"/>
      <c r="U385" s="4"/>
      <c r="V385" s="4"/>
      <c r="W385" s="4"/>
    </row>
    <row r="386" spans="1:23" x14ac:dyDescent="0.2">
      <c r="A386" s="4">
        <v>50</v>
      </c>
      <c r="B386" s="4">
        <v>0</v>
      </c>
      <c r="C386" s="4">
        <v>0</v>
      </c>
      <c r="D386" s="4">
        <v>1</v>
      </c>
      <c r="E386" s="4">
        <v>222</v>
      </c>
      <c r="F386" s="4">
        <f>ROUND(Source!AO382,O386)</f>
        <v>0</v>
      </c>
      <c r="G386" s="4" t="s">
        <v>110</v>
      </c>
      <c r="H386" s="4" t="s">
        <v>111</v>
      </c>
      <c r="I386" s="4"/>
      <c r="J386" s="4"/>
      <c r="K386" s="4">
        <v>222</v>
      </c>
      <c r="L386" s="4">
        <v>3</v>
      </c>
      <c r="M386" s="4">
        <v>3</v>
      </c>
      <c r="N386" s="4" t="s">
        <v>3</v>
      </c>
      <c r="O386" s="4">
        <v>2</v>
      </c>
      <c r="P386" s="4"/>
      <c r="Q386" s="4"/>
      <c r="R386" s="4"/>
      <c r="S386" s="4"/>
      <c r="T386" s="4"/>
      <c r="U386" s="4"/>
      <c r="V386" s="4"/>
      <c r="W386" s="4"/>
    </row>
    <row r="387" spans="1:23" x14ac:dyDescent="0.2">
      <c r="A387" s="4">
        <v>50</v>
      </c>
      <c r="B387" s="4">
        <v>0</v>
      </c>
      <c r="C387" s="4">
        <v>0</v>
      </c>
      <c r="D387" s="4">
        <v>1</v>
      </c>
      <c r="E387" s="4">
        <v>225</v>
      </c>
      <c r="F387" s="4">
        <f>ROUND(Source!AV382,O387)</f>
        <v>1432121.4</v>
      </c>
      <c r="G387" s="4" t="s">
        <v>112</v>
      </c>
      <c r="H387" s="4" t="s">
        <v>113</v>
      </c>
      <c r="I387" s="4"/>
      <c r="J387" s="4"/>
      <c r="K387" s="4">
        <v>225</v>
      </c>
      <c r="L387" s="4">
        <v>4</v>
      </c>
      <c r="M387" s="4">
        <v>3</v>
      </c>
      <c r="N387" s="4" t="s">
        <v>3</v>
      </c>
      <c r="O387" s="4">
        <v>2</v>
      </c>
      <c r="P387" s="4"/>
      <c r="Q387" s="4"/>
      <c r="R387" s="4"/>
      <c r="S387" s="4"/>
      <c r="T387" s="4"/>
      <c r="U387" s="4"/>
      <c r="V387" s="4"/>
      <c r="W387" s="4"/>
    </row>
    <row r="388" spans="1:23" x14ac:dyDescent="0.2">
      <c r="A388" s="4">
        <v>50</v>
      </c>
      <c r="B388" s="4">
        <v>0</v>
      </c>
      <c r="C388" s="4">
        <v>0</v>
      </c>
      <c r="D388" s="4">
        <v>1</v>
      </c>
      <c r="E388" s="4">
        <v>226</v>
      </c>
      <c r="F388" s="4">
        <f>ROUND(Source!AW382,O388)</f>
        <v>1432121.4</v>
      </c>
      <c r="G388" s="4" t="s">
        <v>114</v>
      </c>
      <c r="H388" s="4" t="s">
        <v>115</v>
      </c>
      <c r="I388" s="4"/>
      <c r="J388" s="4"/>
      <c r="K388" s="4">
        <v>226</v>
      </c>
      <c r="L388" s="4">
        <v>5</v>
      </c>
      <c r="M388" s="4">
        <v>3</v>
      </c>
      <c r="N388" s="4" t="s">
        <v>3</v>
      </c>
      <c r="O388" s="4">
        <v>2</v>
      </c>
      <c r="P388" s="4"/>
      <c r="Q388" s="4"/>
      <c r="R388" s="4"/>
      <c r="S388" s="4"/>
      <c r="T388" s="4"/>
      <c r="U388" s="4"/>
      <c r="V388" s="4"/>
      <c r="W388" s="4"/>
    </row>
    <row r="389" spans="1:23" x14ac:dyDescent="0.2">
      <c r="A389" s="4">
        <v>50</v>
      </c>
      <c r="B389" s="4">
        <v>0</v>
      </c>
      <c r="C389" s="4">
        <v>0</v>
      </c>
      <c r="D389" s="4">
        <v>1</v>
      </c>
      <c r="E389" s="4">
        <v>227</v>
      </c>
      <c r="F389" s="4">
        <f>ROUND(Source!AX382,O389)</f>
        <v>0</v>
      </c>
      <c r="G389" s="4" t="s">
        <v>116</v>
      </c>
      <c r="H389" s="4" t="s">
        <v>117</v>
      </c>
      <c r="I389" s="4"/>
      <c r="J389" s="4"/>
      <c r="K389" s="4">
        <v>227</v>
      </c>
      <c r="L389" s="4">
        <v>6</v>
      </c>
      <c r="M389" s="4">
        <v>3</v>
      </c>
      <c r="N389" s="4" t="s">
        <v>3</v>
      </c>
      <c r="O389" s="4">
        <v>2</v>
      </c>
      <c r="P389" s="4"/>
      <c r="Q389" s="4"/>
      <c r="R389" s="4"/>
      <c r="S389" s="4"/>
      <c r="T389" s="4"/>
      <c r="U389" s="4"/>
      <c r="V389" s="4"/>
      <c r="W389" s="4"/>
    </row>
    <row r="390" spans="1:23" x14ac:dyDescent="0.2">
      <c r="A390" s="4">
        <v>50</v>
      </c>
      <c r="B390" s="4">
        <v>0</v>
      </c>
      <c r="C390" s="4">
        <v>0</v>
      </c>
      <c r="D390" s="4">
        <v>1</v>
      </c>
      <c r="E390" s="4">
        <v>228</v>
      </c>
      <c r="F390" s="4">
        <f>ROUND(Source!AY382,O390)</f>
        <v>1432121.4</v>
      </c>
      <c r="G390" s="4" t="s">
        <v>118</v>
      </c>
      <c r="H390" s="4" t="s">
        <v>119</v>
      </c>
      <c r="I390" s="4"/>
      <c r="J390" s="4"/>
      <c r="K390" s="4">
        <v>228</v>
      </c>
      <c r="L390" s="4">
        <v>7</v>
      </c>
      <c r="M390" s="4">
        <v>3</v>
      </c>
      <c r="N390" s="4" t="s">
        <v>3</v>
      </c>
      <c r="O390" s="4">
        <v>2</v>
      </c>
      <c r="P390" s="4"/>
      <c r="Q390" s="4"/>
      <c r="R390" s="4"/>
      <c r="S390" s="4"/>
      <c r="T390" s="4"/>
      <c r="U390" s="4"/>
      <c r="V390" s="4"/>
      <c r="W390" s="4"/>
    </row>
    <row r="391" spans="1:23" x14ac:dyDescent="0.2">
      <c r="A391" s="4">
        <v>50</v>
      </c>
      <c r="B391" s="4">
        <v>0</v>
      </c>
      <c r="C391" s="4">
        <v>0</v>
      </c>
      <c r="D391" s="4">
        <v>1</v>
      </c>
      <c r="E391" s="4">
        <v>216</v>
      </c>
      <c r="F391" s="4">
        <f>ROUND(Source!AP382,O391)</f>
        <v>0</v>
      </c>
      <c r="G391" s="4" t="s">
        <v>120</v>
      </c>
      <c r="H391" s="4" t="s">
        <v>121</v>
      </c>
      <c r="I391" s="4"/>
      <c r="J391" s="4"/>
      <c r="K391" s="4">
        <v>216</v>
      </c>
      <c r="L391" s="4">
        <v>8</v>
      </c>
      <c r="M391" s="4">
        <v>3</v>
      </c>
      <c r="N391" s="4" t="s">
        <v>3</v>
      </c>
      <c r="O391" s="4">
        <v>2</v>
      </c>
      <c r="P391" s="4"/>
      <c r="Q391" s="4"/>
      <c r="R391" s="4"/>
      <c r="S391" s="4"/>
      <c r="T391" s="4"/>
      <c r="U391" s="4"/>
      <c r="V391" s="4"/>
      <c r="W391" s="4"/>
    </row>
    <row r="392" spans="1:23" x14ac:dyDescent="0.2">
      <c r="A392" s="4">
        <v>50</v>
      </c>
      <c r="B392" s="4">
        <v>0</v>
      </c>
      <c r="C392" s="4">
        <v>0</v>
      </c>
      <c r="D392" s="4">
        <v>1</v>
      </c>
      <c r="E392" s="4">
        <v>223</v>
      </c>
      <c r="F392" s="4">
        <f>ROUND(Source!AQ382,O392)</f>
        <v>0</v>
      </c>
      <c r="G392" s="4" t="s">
        <v>122</v>
      </c>
      <c r="H392" s="4" t="s">
        <v>123</v>
      </c>
      <c r="I392" s="4"/>
      <c r="J392" s="4"/>
      <c r="K392" s="4">
        <v>223</v>
      </c>
      <c r="L392" s="4">
        <v>9</v>
      </c>
      <c r="M392" s="4">
        <v>3</v>
      </c>
      <c r="N392" s="4" t="s">
        <v>3</v>
      </c>
      <c r="O392" s="4">
        <v>2</v>
      </c>
      <c r="P392" s="4"/>
      <c r="Q392" s="4"/>
      <c r="R392" s="4"/>
      <c r="S392" s="4"/>
      <c r="T392" s="4"/>
      <c r="U392" s="4"/>
      <c r="V392" s="4"/>
      <c r="W392" s="4"/>
    </row>
    <row r="393" spans="1:23" x14ac:dyDescent="0.2">
      <c r="A393" s="4">
        <v>50</v>
      </c>
      <c r="B393" s="4">
        <v>0</v>
      </c>
      <c r="C393" s="4">
        <v>0</v>
      </c>
      <c r="D393" s="4">
        <v>1</v>
      </c>
      <c r="E393" s="4">
        <v>229</v>
      </c>
      <c r="F393" s="4">
        <f>ROUND(Source!AZ382,O393)</f>
        <v>0</v>
      </c>
      <c r="G393" s="4" t="s">
        <v>124</v>
      </c>
      <c r="H393" s="4" t="s">
        <v>125</v>
      </c>
      <c r="I393" s="4"/>
      <c r="J393" s="4"/>
      <c r="K393" s="4">
        <v>229</v>
      </c>
      <c r="L393" s="4">
        <v>10</v>
      </c>
      <c r="M393" s="4">
        <v>3</v>
      </c>
      <c r="N393" s="4" t="s">
        <v>3</v>
      </c>
      <c r="O393" s="4">
        <v>2</v>
      </c>
      <c r="P393" s="4"/>
      <c r="Q393" s="4"/>
      <c r="R393" s="4"/>
      <c r="S393" s="4"/>
      <c r="T393" s="4"/>
      <c r="U393" s="4"/>
      <c r="V393" s="4"/>
      <c r="W393" s="4"/>
    </row>
    <row r="394" spans="1:23" x14ac:dyDescent="0.2">
      <c r="A394" s="4">
        <v>50</v>
      </c>
      <c r="B394" s="4">
        <v>0</v>
      </c>
      <c r="C394" s="4">
        <v>0</v>
      </c>
      <c r="D394" s="4">
        <v>1</v>
      </c>
      <c r="E394" s="4">
        <v>203</v>
      </c>
      <c r="F394" s="4">
        <f>ROUND(Source!Q382,O394)</f>
        <v>113603.69</v>
      </c>
      <c r="G394" s="4" t="s">
        <v>126</v>
      </c>
      <c r="H394" s="4" t="s">
        <v>127</v>
      </c>
      <c r="I394" s="4"/>
      <c r="J394" s="4"/>
      <c r="K394" s="4">
        <v>203</v>
      </c>
      <c r="L394" s="4">
        <v>11</v>
      </c>
      <c r="M394" s="4">
        <v>3</v>
      </c>
      <c r="N394" s="4" t="s">
        <v>3</v>
      </c>
      <c r="O394" s="4">
        <v>2</v>
      </c>
      <c r="P394" s="4"/>
      <c r="Q394" s="4"/>
      <c r="R394" s="4"/>
      <c r="S394" s="4"/>
      <c r="T394" s="4"/>
      <c r="U394" s="4"/>
      <c r="V394" s="4"/>
      <c r="W394" s="4"/>
    </row>
    <row r="395" spans="1:23" x14ac:dyDescent="0.2">
      <c r="A395" s="4">
        <v>50</v>
      </c>
      <c r="B395" s="4">
        <v>0</v>
      </c>
      <c r="C395" s="4">
        <v>0</v>
      </c>
      <c r="D395" s="4">
        <v>1</v>
      </c>
      <c r="E395" s="4">
        <v>231</v>
      </c>
      <c r="F395" s="4">
        <f>ROUND(Source!BB382,O395)</f>
        <v>0</v>
      </c>
      <c r="G395" s="4" t="s">
        <v>128</v>
      </c>
      <c r="H395" s="4" t="s">
        <v>129</v>
      </c>
      <c r="I395" s="4"/>
      <c r="J395" s="4"/>
      <c r="K395" s="4">
        <v>231</v>
      </c>
      <c r="L395" s="4">
        <v>12</v>
      </c>
      <c r="M395" s="4">
        <v>3</v>
      </c>
      <c r="N395" s="4" t="s">
        <v>3</v>
      </c>
      <c r="O395" s="4">
        <v>2</v>
      </c>
      <c r="P395" s="4"/>
      <c r="Q395" s="4"/>
      <c r="R395" s="4"/>
      <c r="S395" s="4"/>
      <c r="T395" s="4"/>
      <c r="U395" s="4"/>
      <c r="V395" s="4"/>
      <c r="W395" s="4"/>
    </row>
    <row r="396" spans="1:23" x14ac:dyDescent="0.2">
      <c r="A396" s="4">
        <v>50</v>
      </c>
      <c r="B396" s="4">
        <v>0</v>
      </c>
      <c r="C396" s="4">
        <v>0</v>
      </c>
      <c r="D396" s="4">
        <v>1</v>
      </c>
      <c r="E396" s="4">
        <v>204</v>
      </c>
      <c r="F396" s="4">
        <f>ROUND(Source!R382,O396)</f>
        <v>59070.93</v>
      </c>
      <c r="G396" s="4" t="s">
        <v>130</v>
      </c>
      <c r="H396" s="4" t="s">
        <v>131</v>
      </c>
      <c r="I396" s="4"/>
      <c r="J396" s="4"/>
      <c r="K396" s="4">
        <v>204</v>
      </c>
      <c r="L396" s="4">
        <v>13</v>
      </c>
      <c r="M396" s="4">
        <v>3</v>
      </c>
      <c r="N396" s="4" t="s">
        <v>3</v>
      </c>
      <c r="O396" s="4">
        <v>2</v>
      </c>
      <c r="P396" s="4"/>
      <c r="Q396" s="4"/>
      <c r="R396" s="4"/>
      <c r="S396" s="4"/>
      <c r="T396" s="4"/>
      <c r="U396" s="4"/>
      <c r="V396" s="4"/>
      <c r="W396" s="4"/>
    </row>
    <row r="397" spans="1:23" x14ac:dyDescent="0.2">
      <c r="A397" s="4">
        <v>50</v>
      </c>
      <c r="B397" s="4">
        <v>0</v>
      </c>
      <c r="C397" s="4">
        <v>0</v>
      </c>
      <c r="D397" s="4">
        <v>1</v>
      </c>
      <c r="E397" s="4">
        <v>205</v>
      </c>
      <c r="F397" s="4">
        <f>ROUND(Source!S382,O397)</f>
        <v>180836.34</v>
      </c>
      <c r="G397" s="4" t="s">
        <v>132</v>
      </c>
      <c r="H397" s="4" t="s">
        <v>133</v>
      </c>
      <c r="I397" s="4"/>
      <c r="J397" s="4"/>
      <c r="K397" s="4">
        <v>205</v>
      </c>
      <c r="L397" s="4">
        <v>14</v>
      </c>
      <c r="M397" s="4">
        <v>3</v>
      </c>
      <c r="N397" s="4" t="s">
        <v>3</v>
      </c>
      <c r="O397" s="4">
        <v>2</v>
      </c>
      <c r="P397" s="4"/>
      <c r="Q397" s="4"/>
      <c r="R397" s="4"/>
      <c r="S397" s="4"/>
      <c r="T397" s="4"/>
      <c r="U397" s="4"/>
      <c r="V397" s="4"/>
      <c r="W397" s="4"/>
    </row>
    <row r="398" spans="1:23" x14ac:dyDescent="0.2">
      <c r="A398" s="4">
        <v>50</v>
      </c>
      <c r="B398" s="4">
        <v>0</v>
      </c>
      <c r="C398" s="4">
        <v>0</v>
      </c>
      <c r="D398" s="4">
        <v>1</v>
      </c>
      <c r="E398" s="4">
        <v>232</v>
      </c>
      <c r="F398" s="4">
        <f>ROUND(Source!BC382,O398)</f>
        <v>0</v>
      </c>
      <c r="G398" s="4" t="s">
        <v>134</v>
      </c>
      <c r="H398" s="4" t="s">
        <v>135</v>
      </c>
      <c r="I398" s="4"/>
      <c r="J398" s="4"/>
      <c r="K398" s="4">
        <v>232</v>
      </c>
      <c r="L398" s="4">
        <v>15</v>
      </c>
      <c r="M398" s="4">
        <v>3</v>
      </c>
      <c r="N398" s="4" t="s">
        <v>3</v>
      </c>
      <c r="O398" s="4">
        <v>2</v>
      </c>
      <c r="P398" s="4"/>
      <c r="Q398" s="4"/>
      <c r="R398" s="4"/>
      <c r="S398" s="4"/>
      <c r="T398" s="4"/>
      <c r="U398" s="4"/>
      <c r="V398" s="4"/>
      <c r="W398" s="4"/>
    </row>
    <row r="399" spans="1:23" x14ac:dyDescent="0.2">
      <c r="A399" s="4">
        <v>50</v>
      </c>
      <c r="B399" s="4">
        <v>0</v>
      </c>
      <c r="C399" s="4">
        <v>0</v>
      </c>
      <c r="D399" s="4">
        <v>1</v>
      </c>
      <c r="E399" s="4">
        <v>214</v>
      </c>
      <c r="F399" s="4">
        <f>ROUND(Source!AS382,O399)</f>
        <v>535372.31000000006</v>
      </c>
      <c r="G399" s="4" t="s">
        <v>136</v>
      </c>
      <c r="H399" s="4" t="s">
        <v>137</v>
      </c>
      <c r="I399" s="4"/>
      <c r="J399" s="4"/>
      <c r="K399" s="4">
        <v>214</v>
      </c>
      <c r="L399" s="4">
        <v>16</v>
      </c>
      <c r="M399" s="4">
        <v>3</v>
      </c>
      <c r="N399" s="4" t="s">
        <v>3</v>
      </c>
      <c r="O399" s="4">
        <v>2</v>
      </c>
      <c r="P399" s="4"/>
      <c r="Q399" s="4"/>
      <c r="R399" s="4"/>
      <c r="S399" s="4"/>
      <c r="T399" s="4"/>
      <c r="U399" s="4"/>
      <c r="V399" s="4"/>
      <c r="W399" s="4"/>
    </row>
    <row r="400" spans="1:23" x14ac:dyDescent="0.2">
      <c r="A400" s="4">
        <v>50</v>
      </c>
      <c r="B400" s="4">
        <v>0</v>
      </c>
      <c r="C400" s="4">
        <v>0</v>
      </c>
      <c r="D400" s="4">
        <v>1</v>
      </c>
      <c r="E400" s="4">
        <v>215</v>
      </c>
      <c r="F400" s="4">
        <f>ROUND(Source!AT382,O400)</f>
        <v>0</v>
      </c>
      <c r="G400" s="4" t="s">
        <v>138</v>
      </c>
      <c r="H400" s="4" t="s">
        <v>139</v>
      </c>
      <c r="I400" s="4"/>
      <c r="J400" s="4"/>
      <c r="K400" s="4">
        <v>215</v>
      </c>
      <c r="L400" s="4">
        <v>17</v>
      </c>
      <c r="M400" s="4">
        <v>3</v>
      </c>
      <c r="N400" s="4" t="s">
        <v>3</v>
      </c>
      <c r="O400" s="4">
        <v>2</v>
      </c>
      <c r="P400" s="4"/>
      <c r="Q400" s="4"/>
      <c r="R400" s="4"/>
      <c r="S400" s="4"/>
      <c r="T400" s="4"/>
      <c r="U400" s="4"/>
      <c r="V400" s="4"/>
      <c r="W400" s="4"/>
    </row>
    <row r="401" spans="1:23" x14ac:dyDescent="0.2">
      <c r="A401" s="4">
        <v>50</v>
      </c>
      <c r="B401" s="4">
        <v>0</v>
      </c>
      <c r="C401" s="4">
        <v>0</v>
      </c>
      <c r="D401" s="4">
        <v>1</v>
      </c>
      <c r="E401" s="4">
        <v>217</v>
      </c>
      <c r="F401" s="4">
        <f>ROUND(Source!AU382,O401)</f>
        <v>1363494.03</v>
      </c>
      <c r="G401" s="4" t="s">
        <v>140</v>
      </c>
      <c r="H401" s="4" t="s">
        <v>141</v>
      </c>
      <c r="I401" s="4"/>
      <c r="J401" s="4"/>
      <c r="K401" s="4">
        <v>217</v>
      </c>
      <c r="L401" s="4">
        <v>18</v>
      </c>
      <c r="M401" s="4">
        <v>3</v>
      </c>
      <c r="N401" s="4" t="s">
        <v>3</v>
      </c>
      <c r="O401" s="4">
        <v>2</v>
      </c>
      <c r="P401" s="4"/>
      <c r="Q401" s="4"/>
      <c r="R401" s="4"/>
      <c r="S401" s="4"/>
      <c r="T401" s="4"/>
      <c r="U401" s="4"/>
      <c r="V401" s="4"/>
      <c r="W401" s="4"/>
    </row>
    <row r="402" spans="1:23" x14ac:dyDescent="0.2">
      <c r="A402" s="4">
        <v>50</v>
      </c>
      <c r="B402" s="4">
        <v>0</v>
      </c>
      <c r="C402" s="4">
        <v>0</v>
      </c>
      <c r="D402" s="4">
        <v>1</v>
      </c>
      <c r="E402" s="4">
        <v>230</v>
      </c>
      <c r="F402" s="4">
        <f>ROUND(Source!BA382,O402)</f>
        <v>0</v>
      </c>
      <c r="G402" s="4" t="s">
        <v>142</v>
      </c>
      <c r="H402" s="4" t="s">
        <v>143</v>
      </c>
      <c r="I402" s="4"/>
      <c r="J402" s="4"/>
      <c r="K402" s="4">
        <v>230</v>
      </c>
      <c r="L402" s="4">
        <v>19</v>
      </c>
      <c r="M402" s="4">
        <v>3</v>
      </c>
      <c r="N402" s="4" t="s">
        <v>3</v>
      </c>
      <c r="O402" s="4">
        <v>2</v>
      </c>
      <c r="P402" s="4"/>
      <c r="Q402" s="4"/>
      <c r="R402" s="4"/>
      <c r="S402" s="4"/>
      <c r="T402" s="4"/>
      <c r="U402" s="4"/>
      <c r="V402" s="4"/>
      <c r="W402" s="4"/>
    </row>
    <row r="403" spans="1:23" x14ac:dyDescent="0.2">
      <c r="A403" s="4">
        <v>50</v>
      </c>
      <c r="B403" s="4">
        <v>0</v>
      </c>
      <c r="C403" s="4">
        <v>0</v>
      </c>
      <c r="D403" s="4">
        <v>1</v>
      </c>
      <c r="E403" s="4">
        <v>206</v>
      </c>
      <c r="F403" s="4">
        <f>ROUND(Source!T382,O403)</f>
        <v>0</v>
      </c>
      <c r="G403" s="4" t="s">
        <v>144</v>
      </c>
      <c r="H403" s="4" t="s">
        <v>145</v>
      </c>
      <c r="I403" s="4"/>
      <c r="J403" s="4"/>
      <c r="K403" s="4">
        <v>206</v>
      </c>
      <c r="L403" s="4">
        <v>20</v>
      </c>
      <c r="M403" s="4">
        <v>3</v>
      </c>
      <c r="N403" s="4" t="s">
        <v>3</v>
      </c>
      <c r="O403" s="4">
        <v>2</v>
      </c>
      <c r="P403" s="4"/>
      <c r="Q403" s="4"/>
      <c r="R403" s="4"/>
      <c r="S403" s="4"/>
      <c r="T403" s="4"/>
      <c r="U403" s="4"/>
      <c r="V403" s="4"/>
      <c r="W403" s="4"/>
    </row>
    <row r="404" spans="1:23" x14ac:dyDescent="0.2">
      <c r="A404" s="4">
        <v>50</v>
      </c>
      <c r="B404" s="4">
        <v>0</v>
      </c>
      <c r="C404" s="4">
        <v>0</v>
      </c>
      <c r="D404" s="4">
        <v>1</v>
      </c>
      <c r="E404" s="4">
        <v>207</v>
      </c>
      <c r="F404" s="4">
        <f>Source!U382</f>
        <v>872.20689400000003</v>
      </c>
      <c r="G404" s="4" t="s">
        <v>146</v>
      </c>
      <c r="H404" s="4" t="s">
        <v>147</v>
      </c>
      <c r="I404" s="4"/>
      <c r="J404" s="4"/>
      <c r="K404" s="4">
        <v>207</v>
      </c>
      <c r="L404" s="4">
        <v>21</v>
      </c>
      <c r="M404" s="4">
        <v>3</v>
      </c>
      <c r="N404" s="4" t="s">
        <v>3</v>
      </c>
      <c r="O404" s="4">
        <v>-1</v>
      </c>
      <c r="P404" s="4"/>
      <c r="Q404" s="4"/>
      <c r="R404" s="4"/>
      <c r="S404" s="4"/>
      <c r="T404" s="4"/>
      <c r="U404" s="4"/>
      <c r="V404" s="4"/>
      <c r="W404" s="4"/>
    </row>
    <row r="405" spans="1:23" x14ac:dyDescent="0.2">
      <c r="A405" s="4">
        <v>50</v>
      </c>
      <c r="B405" s="4">
        <v>0</v>
      </c>
      <c r="C405" s="4">
        <v>0</v>
      </c>
      <c r="D405" s="4">
        <v>1</v>
      </c>
      <c r="E405" s="4">
        <v>208</v>
      </c>
      <c r="F405" s="4">
        <f>Source!V382</f>
        <v>0</v>
      </c>
      <c r="G405" s="4" t="s">
        <v>148</v>
      </c>
      <c r="H405" s="4" t="s">
        <v>149</v>
      </c>
      <c r="I405" s="4"/>
      <c r="J405" s="4"/>
      <c r="K405" s="4">
        <v>208</v>
      </c>
      <c r="L405" s="4">
        <v>22</v>
      </c>
      <c r="M405" s="4">
        <v>3</v>
      </c>
      <c r="N405" s="4" t="s">
        <v>3</v>
      </c>
      <c r="O405" s="4">
        <v>-1</v>
      </c>
      <c r="P405" s="4"/>
      <c r="Q405" s="4"/>
      <c r="R405" s="4"/>
      <c r="S405" s="4"/>
      <c r="T405" s="4"/>
      <c r="U405" s="4"/>
      <c r="V405" s="4"/>
      <c r="W405" s="4"/>
    </row>
    <row r="406" spans="1:23" x14ac:dyDescent="0.2">
      <c r="A406" s="4">
        <v>50</v>
      </c>
      <c r="B406" s="4">
        <v>0</v>
      </c>
      <c r="C406" s="4">
        <v>0</v>
      </c>
      <c r="D406" s="4">
        <v>1</v>
      </c>
      <c r="E406" s="4">
        <v>209</v>
      </c>
      <c r="F406" s="4">
        <f>ROUND(Source!W382,O406)</f>
        <v>0</v>
      </c>
      <c r="G406" s="4" t="s">
        <v>150</v>
      </c>
      <c r="H406" s="4" t="s">
        <v>151</v>
      </c>
      <c r="I406" s="4"/>
      <c r="J406" s="4"/>
      <c r="K406" s="4">
        <v>209</v>
      </c>
      <c r="L406" s="4">
        <v>23</v>
      </c>
      <c r="M406" s="4">
        <v>3</v>
      </c>
      <c r="N406" s="4" t="s">
        <v>3</v>
      </c>
      <c r="O406" s="4">
        <v>2</v>
      </c>
      <c r="P406" s="4"/>
      <c r="Q406" s="4"/>
      <c r="R406" s="4"/>
      <c r="S406" s="4"/>
      <c r="T406" s="4"/>
      <c r="U406" s="4"/>
      <c r="V406" s="4"/>
      <c r="W406" s="4"/>
    </row>
    <row r="407" spans="1:23" x14ac:dyDescent="0.2">
      <c r="A407" s="4">
        <v>50</v>
      </c>
      <c r="B407" s="4">
        <v>0</v>
      </c>
      <c r="C407" s="4">
        <v>0</v>
      </c>
      <c r="D407" s="4">
        <v>1</v>
      </c>
      <c r="E407" s="4">
        <v>233</v>
      </c>
      <c r="F407" s="4">
        <f>ROUND(Source!BD382,O407)</f>
        <v>0</v>
      </c>
      <c r="G407" s="4" t="s">
        <v>152</v>
      </c>
      <c r="H407" s="4" t="s">
        <v>153</v>
      </c>
      <c r="I407" s="4"/>
      <c r="J407" s="4"/>
      <c r="K407" s="4">
        <v>233</v>
      </c>
      <c r="L407" s="4">
        <v>24</v>
      </c>
      <c r="M407" s="4">
        <v>3</v>
      </c>
      <c r="N407" s="4" t="s">
        <v>3</v>
      </c>
      <c r="O407" s="4">
        <v>2</v>
      </c>
      <c r="P407" s="4"/>
      <c r="Q407" s="4"/>
      <c r="R407" s="4"/>
      <c r="S407" s="4"/>
      <c r="T407" s="4"/>
      <c r="U407" s="4"/>
      <c r="V407" s="4"/>
      <c r="W407" s="4"/>
    </row>
    <row r="408" spans="1:23" x14ac:dyDescent="0.2">
      <c r="A408" s="4">
        <v>50</v>
      </c>
      <c r="B408" s="4">
        <v>0</v>
      </c>
      <c r="C408" s="4">
        <v>0</v>
      </c>
      <c r="D408" s="4">
        <v>1</v>
      </c>
      <c r="E408" s="4">
        <v>210</v>
      </c>
      <c r="F408" s="4">
        <f>ROUND(Source!X382,O408)</f>
        <v>126585.44</v>
      </c>
      <c r="G408" s="4" t="s">
        <v>154</v>
      </c>
      <c r="H408" s="4" t="s">
        <v>155</v>
      </c>
      <c r="I408" s="4"/>
      <c r="J408" s="4"/>
      <c r="K408" s="4">
        <v>210</v>
      </c>
      <c r="L408" s="4">
        <v>25</v>
      </c>
      <c r="M408" s="4">
        <v>3</v>
      </c>
      <c r="N408" s="4" t="s">
        <v>3</v>
      </c>
      <c r="O408" s="4">
        <v>2</v>
      </c>
      <c r="P408" s="4"/>
      <c r="Q408" s="4"/>
      <c r="R408" s="4"/>
      <c r="S408" s="4"/>
      <c r="T408" s="4"/>
      <c r="U408" s="4"/>
      <c r="V408" s="4"/>
      <c r="W408" s="4"/>
    </row>
    <row r="409" spans="1:23" x14ac:dyDescent="0.2">
      <c r="A409" s="4">
        <v>50</v>
      </c>
      <c r="B409" s="4">
        <v>0</v>
      </c>
      <c r="C409" s="4">
        <v>0</v>
      </c>
      <c r="D409" s="4">
        <v>1</v>
      </c>
      <c r="E409" s="4">
        <v>211</v>
      </c>
      <c r="F409" s="4">
        <f>ROUND(Source!Y382,O409)</f>
        <v>18083.650000000001</v>
      </c>
      <c r="G409" s="4" t="s">
        <v>156</v>
      </c>
      <c r="H409" s="4" t="s">
        <v>157</v>
      </c>
      <c r="I409" s="4"/>
      <c r="J409" s="4"/>
      <c r="K409" s="4">
        <v>211</v>
      </c>
      <c r="L409" s="4">
        <v>26</v>
      </c>
      <c r="M409" s="4">
        <v>3</v>
      </c>
      <c r="N409" s="4" t="s">
        <v>3</v>
      </c>
      <c r="O409" s="4">
        <v>2</v>
      </c>
      <c r="P409" s="4"/>
      <c r="Q409" s="4"/>
      <c r="R409" s="4"/>
      <c r="S409" s="4"/>
      <c r="T409" s="4"/>
      <c r="U409" s="4"/>
      <c r="V409" s="4"/>
      <c r="W409" s="4"/>
    </row>
    <row r="410" spans="1:23" x14ac:dyDescent="0.2">
      <c r="A410" s="4">
        <v>50</v>
      </c>
      <c r="B410" s="4">
        <v>0</v>
      </c>
      <c r="C410" s="4">
        <v>0</v>
      </c>
      <c r="D410" s="4">
        <v>1</v>
      </c>
      <c r="E410" s="4">
        <v>224</v>
      </c>
      <c r="F410" s="4">
        <f>ROUND(Source!AR382,O410)</f>
        <v>1898866.34</v>
      </c>
      <c r="G410" s="4" t="s">
        <v>158</v>
      </c>
      <c r="H410" s="4" t="s">
        <v>159</v>
      </c>
      <c r="I410" s="4"/>
      <c r="J410" s="4"/>
      <c r="K410" s="4">
        <v>224</v>
      </c>
      <c r="L410" s="4">
        <v>27</v>
      </c>
      <c r="M410" s="4">
        <v>3</v>
      </c>
      <c r="N410" s="4" t="s">
        <v>3</v>
      </c>
      <c r="O410" s="4">
        <v>2</v>
      </c>
      <c r="P410" s="4"/>
      <c r="Q410" s="4"/>
      <c r="R410" s="4"/>
      <c r="S410" s="4"/>
      <c r="T410" s="4"/>
      <c r="U410" s="4"/>
      <c r="V410" s="4"/>
      <c r="W410" s="4"/>
    </row>
    <row r="411" spans="1:23" x14ac:dyDescent="0.2">
      <c r="A411" s="4">
        <v>50</v>
      </c>
      <c r="B411" s="4">
        <v>1</v>
      </c>
      <c r="C411" s="4">
        <v>0</v>
      </c>
      <c r="D411" s="4">
        <v>2</v>
      </c>
      <c r="E411" s="4">
        <v>0</v>
      </c>
      <c r="F411" s="4">
        <f>ROUND(F410,O411)</f>
        <v>1898866.34</v>
      </c>
      <c r="G411" s="4" t="s">
        <v>27</v>
      </c>
      <c r="H411" s="4" t="s">
        <v>160</v>
      </c>
      <c r="I411" s="4"/>
      <c r="J411" s="4"/>
      <c r="K411" s="4">
        <v>212</v>
      </c>
      <c r="L411" s="4">
        <v>28</v>
      </c>
      <c r="M411" s="4">
        <v>0</v>
      </c>
      <c r="N411" s="4" t="s">
        <v>3</v>
      </c>
      <c r="O411" s="4">
        <v>2</v>
      </c>
      <c r="P411" s="4"/>
      <c r="Q411" s="4"/>
      <c r="R411" s="4"/>
      <c r="S411" s="4"/>
      <c r="T411" s="4"/>
      <c r="U411" s="4"/>
      <c r="V411" s="4"/>
      <c r="W411" s="4"/>
    </row>
    <row r="412" spans="1:23" x14ac:dyDescent="0.2">
      <c r="A412" s="4">
        <v>50</v>
      </c>
      <c r="B412" s="4">
        <v>1</v>
      </c>
      <c r="C412" s="4">
        <v>0</v>
      </c>
      <c r="D412" s="4">
        <v>2</v>
      </c>
      <c r="E412" s="4">
        <v>0</v>
      </c>
      <c r="F412" s="4">
        <f>ROUND(F411*0.2,O412)</f>
        <v>379773.27</v>
      </c>
      <c r="G412" s="4" t="s">
        <v>35</v>
      </c>
      <c r="H412" s="4" t="s">
        <v>161</v>
      </c>
      <c r="I412" s="4"/>
      <c r="J412" s="4"/>
      <c r="K412" s="4">
        <v>212</v>
      </c>
      <c r="L412" s="4">
        <v>29</v>
      </c>
      <c r="M412" s="4">
        <v>0</v>
      </c>
      <c r="N412" s="4" t="s">
        <v>3</v>
      </c>
      <c r="O412" s="4">
        <v>2</v>
      </c>
      <c r="P412" s="4"/>
      <c r="Q412" s="4"/>
      <c r="R412" s="4"/>
      <c r="S412" s="4"/>
      <c r="T412" s="4"/>
      <c r="U412" s="4"/>
      <c r="V412" s="4"/>
      <c r="W412" s="4"/>
    </row>
    <row r="413" spans="1:23" x14ac:dyDescent="0.2">
      <c r="A413" s="4">
        <v>50</v>
      </c>
      <c r="B413" s="4">
        <v>1</v>
      </c>
      <c r="C413" s="4">
        <v>0</v>
      </c>
      <c r="D413" s="4">
        <v>2</v>
      </c>
      <c r="E413" s="4">
        <v>213</v>
      </c>
      <c r="F413" s="4">
        <f>ROUND(F411+F412,O413)</f>
        <v>2278639.61</v>
      </c>
      <c r="G413" s="4" t="s">
        <v>39</v>
      </c>
      <c r="H413" s="4" t="s">
        <v>162</v>
      </c>
      <c r="I413" s="4"/>
      <c r="J413" s="4"/>
      <c r="K413" s="4">
        <v>212</v>
      </c>
      <c r="L413" s="4">
        <v>30</v>
      </c>
      <c r="M413" s="4">
        <v>0</v>
      </c>
      <c r="N413" s="4" t="s">
        <v>3</v>
      </c>
      <c r="O413" s="4">
        <v>2</v>
      </c>
      <c r="P413" s="4"/>
      <c r="Q413" s="4"/>
      <c r="R413" s="4"/>
      <c r="S413" s="4"/>
      <c r="T413" s="4"/>
      <c r="U413" s="4"/>
      <c r="V413" s="4"/>
      <c r="W413" s="4"/>
    </row>
    <row r="416" spans="1:23" x14ac:dyDescent="0.2">
      <c r="A416">
        <v>-1</v>
      </c>
    </row>
    <row r="418" spans="1:15" x14ac:dyDescent="0.2">
      <c r="A418" s="3">
        <v>75</v>
      </c>
      <c r="B418" s="3" t="s">
        <v>291</v>
      </c>
      <c r="C418" s="3">
        <v>2020</v>
      </c>
      <c r="D418" s="3">
        <v>0</v>
      </c>
      <c r="E418" s="3">
        <v>10</v>
      </c>
      <c r="F418" s="3">
        <v>0</v>
      </c>
      <c r="G418" s="3">
        <v>0</v>
      </c>
      <c r="H418" s="3">
        <v>1</v>
      </c>
      <c r="I418" s="3">
        <v>0</v>
      </c>
      <c r="J418" s="3">
        <v>1</v>
      </c>
      <c r="K418" s="3">
        <v>78</v>
      </c>
      <c r="L418" s="3">
        <v>30</v>
      </c>
      <c r="M418" s="3">
        <v>0</v>
      </c>
      <c r="N418" s="3">
        <v>49707740</v>
      </c>
      <c r="O418" s="3">
        <v>1</v>
      </c>
    </row>
    <row r="422" spans="1:15" x14ac:dyDescent="0.2">
      <c r="A422">
        <v>65</v>
      </c>
      <c r="C422">
        <v>1</v>
      </c>
      <c r="D422">
        <v>0</v>
      </c>
      <c r="E422">
        <v>245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54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33" x14ac:dyDescent="0.2">
      <c r="A1">
        <v>0</v>
      </c>
      <c r="B1" t="s">
        <v>0</v>
      </c>
      <c r="D1" t="s">
        <v>292</v>
      </c>
      <c r="F1">
        <v>0</v>
      </c>
      <c r="G1">
        <v>0</v>
      </c>
      <c r="H1">
        <v>0</v>
      </c>
      <c r="I1" t="s">
        <v>2</v>
      </c>
      <c r="J1" t="s">
        <v>3</v>
      </c>
      <c r="K1">
        <v>0</v>
      </c>
      <c r="L1">
        <v>32921</v>
      </c>
      <c r="M1">
        <v>10</v>
      </c>
      <c r="N1">
        <v>11</v>
      </c>
      <c r="O1">
        <v>2</v>
      </c>
      <c r="P1">
        <v>0</v>
      </c>
      <c r="Q1">
        <v>3</v>
      </c>
    </row>
    <row r="12" spans="1:133" x14ac:dyDescent="0.2">
      <c r="A12" s="1">
        <v>1</v>
      </c>
      <c r="B12" s="1">
        <v>54</v>
      </c>
      <c r="C12" s="1">
        <v>1</v>
      </c>
      <c r="D12" s="1"/>
      <c r="E12" s="1">
        <v>0</v>
      </c>
      <c r="F12" s="1" t="s">
        <v>4</v>
      </c>
      <c r="G12" s="1" t="s">
        <v>5</v>
      </c>
      <c r="H12" s="1" t="s">
        <v>3</v>
      </c>
      <c r="I12" s="1">
        <v>0</v>
      </c>
      <c r="J12" s="1" t="s">
        <v>3</v>
      </c>
      <c r="K12" s="1">
        <v>0</v>
      </c>
      <c r="L12" s="1">
        <v>0</v>
      </c>
      <c r="M12" s="1">
        <v>2</v>
      </c>
      <c r="N12" s="1"/>
      <c r="O12" s="1">
        <v>0</v>
      </c>
      <c r="P12" s="1">
        <v>0</v>
      </c>
      <c r="Q12" s="1">
        <v>0</v>
      </c>
      <c r="R12" s="1">
        <v>108</v>
      </c>
      <c r="S12" s="1"/>
      <c r="T12" s="1">
        <v>1</v>
      </c>
      <c r="U12" s="1" t="s">
        <v>3</v>
      </c>
      <c r="V12" s="1">
        <v>0</v>
      </c>
      <c r="W12" s="1" t="s">
        <v>3</v>
      </c>
      <c r="X12" s="1" t="s">
        <v>3</v>
      </c>
      <c r="Y12" s="1" t="s">
        <v>3</v>
      </c>
      <c r="Z12" s="1" t="s">
        <v>3</v>
      </c>
      <c r="AA12" s="1" t="s">
        <v>3</v>
      </c>
      <c r="AB12" s="1" t="s">
        <v>6</v>
      </c>
      <c r="AC12" s="1" t="s">
        <v>7</v>
      </c>
      <c r="AD12" s="1" t="s">
        <v>8</v>
      </c>
      <c r="AE12" s="1" t="s">
        <v>9</v>
      </c>
      <c r="AF12" s="1" t="s">
        <v>3</v>
      </c>
      <c r="AG12" s="1" t="s">
        <v>3</v>
      </c>
      <c r="AH12" s="1" t="s">
        <v>10</v>
      </c>
      <c r="AI12" s="1" t="s">
        <v>11</v>
      </c>
      <c r="AJ12" s="1" t="s">
        <v>12</v>
      </c>
      <c r="AK12" s="1"/>
      <c r="AL12" s="1" t="s">
        <v>13</v>
      </c>
      <c r="AM12" s="1" t="s">
        <v>14</v>
      </c>
      <c r="AN12" s="1" t="s">
        <v>15</v>
      </c>
      <c r="AO12" s="1"/>
      <c r="AP12" s="1" t="s">
        <v>3</v>
      </c>
      <c r="AQ12" s="1" t="s">
        <v>3</v>
      </c>
      <c r="AR12" s="1" t="s">
        <v>3</v>
      </c>
      <c r="AS12" s="1"/>
      <c r="AT12" s="1"/>
      <c r="AU12" s="1"/>
      <c r="AV12" s="1"/>
      <c r="AW12" s="1"/>
      <c r="AX12" s="1" t="s">
        <v>16</v>
      </c>
      <c r="AY12" s="1" t="s">
        <v>15</v>
      </c>
      <c r="AZ12" s="1" t="s">
        <v>3</v>
      </c>
      <c r="BA12" s="1"/>
      <c r="BB12" s="1"/>
      <c r="BC12" s="1"/>
      <c r="BD12" s="1"/>
      <c r="BE12" s="1"/>
      <c r="BF12" s="1"/>
      <c r="BG12" s="1"/>
      <c r="BH12" s="1" t="s">
        <v>17</v>
      </c>
      <c r="BI12" s="1" t="s">
        <v>18</v>
      </c>
      <c r="BJ12" s="1">
        <v>1</v>
      </c>
      <c r="BK12" s="1">
        <v>1</v>
      </c>
      <c r="BL12" s="1">
        <v>0</v>
      </c>
      <c r="BM12" s="1">
        <v>0</v>
      </c>
      <c r="BN12" s="1">
        <v>1</v>
      </c>
      <c r="BO12" s="1">
        <v>0</v>
      </c>
      <c r="BP12" s="1">
        <v>6</v>
      </c>
      <c r="BQ12" s="1">
        <v>2</v>
      </c>
      <c r="BR12" s="1">
        <v>1</v>
      </c>
      <c r="BS12" s="1">
        <v>1</v>
      </c>
      <c r="BT12" s="1">
        <v>1</v>
      </c>
      <c r="BU12" s="1">
        <v>0</v>
      </c>
      <c r="BV12" s="1">
        <v>1</v>
      </c>
      <c r="BW12" s="1">
        <v>0</v>
      </c>
      <c r="BX12" s="1">
        <v>0</v>
      </c>
      <c r="BY12" s="1" t="s">
        <v>19</v>
      </c>
      <c r="BZ12" s="1" t="s">
        <v>20</v>
      </c>
      <c r="CA12" s="1" t="s">
        <v>21</v>
      </c>
      <c r="CB12" s="1" t="s">
        <v>21</v>
      </c>
      <c r="CC12" s="1" t="s">
        <v>21</v>
      </c>
      <c r="CD12" s="1" t="s">
        <v>21</v>
      </c>
      <c r="CE12" s="1" t="s">
        <v>22</v>
      </c>
      <c r="CF12" s="1">
        <v>0</v>
      </c>
      <c r="CG12" s="1">
        <v>0</v>
      </c>
      <c r="CH12" s="1">
        <v>17104906</v>
      </c>
      <c r="CI12" s="1" t="s">
        <v>3</v>
      </c>
      <c r="CJ12" s="1" t="s">
        <v>3</v>
      </c>
      <c r="CK12" s="1">
        <v>1</v>
      </c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>
        <v>0</v>
      </c>
    </row>
    <row r="14" spans="1:133" x14ac:dyDescent="0.2">
      <c r="A14" s="1">
        <v>22</v>
      </c>
      <c r="B14" s="1">
        <v>0</v>
      </c>
      <c r="C14" s="1">
        <v>0</v>
      </c>
      <c r="D14" s="1">
        <v>49707740</v>
      </c>
      <c r="E14" s="1">
        <v>0</v>
      </c>
      <c r="F14" s="1">
        <v>3</v>
      </c>
      <c r="G14" s="1"/>
      <c r="H14" s="1"/>
      <c r="I14" s="1"/>
      <c r="J14" s="1"/>
      <c r="K14" s="1"/>
      <c r="L14" s="1"/>
      <c r="M14" s="1"/>
      <c r="N14" s="1"/>
      <c r="O14" s="1"/>
    </row>
    <row r="16" spans="1:133" x14ac:dyDescent="0.2">
      <c r="A16" s="5">
        <v>3</v>
      </c>
      <c r="B16" s="5">
        <v>1</v>
      </c>
      <c r="C16" s="5" t="s">
        <v>23</v>
      </c>
      <c r="D16" s="5" t="s">
        <v>24</v>
      </c>
      <c r="E16" s="6">
        <f>(Source!F366)/1000</f>
        <v>535.37231000000008</v>
      </c>
      <c r="F16" s="6">
        <f>(Source!F367)/1000</f>
        <v>0</v>
      </c>
      <c r="G16" s="6">
        <f>(Source!F358)/1000</f>
        <v>0</v>
      </c>
      <c r="H16" s="6">
        <f>(Source!F368)/1000+(Source!F369)/1000</f>
        <v>1363.4940300000001</v>
      </c>
      <c r="I16" s="6">
        <f>E16+F16+G16+H16</f>
        <v>1898.86634</v>
      </c>
      <c r="J16" s="6">
        <f>(Source!F364)/1000</f>
        <v>180.83634000000001</v>
      </c>
      <c r="AI16" s="5">
        <v>0</v>
      </c>
      <c r="AJ16" s="5">
        <v>-1</v>
      </c>
      <c r="AK16" s="5" t="s">
        <v>3</v>
      </c>
      <c r="AL16" s="5" t="s">
        <v>3</v>
      </c>
      <c r="AM16" s="5" t="s">
        <v>3</v>
      </c>
      <c r="AN16" s="5">
        <v>0</v>
      </c>
      <c r="AO16" s="5" t="s">
        <v>3</v>
      </c>
      <c r="AP16" s="5" t="s">
        <v>3</v>
      </c>
      <c r="AT16" s="6">
        <v>1726561.43</v>
      </c>
      <c r="AU16" s="6">
        <v>1432121.4</v>
      </c>
      <c r="AV16" s="6">
        <v>0</v>
      </c>
      <c r="AW16" s="6">
        <v>0</v>
      </c>
      <c r="AX16" s="6">
        <v>0</v>
      </c>
      <c r="AY16" s="6">
        <v>113603.69</v>
      </c>
      <c r="AZ16" s="6">
        <v>59070.93</v>
      </c>
      <c r="BA16" s="6">
        <v>180836.34</v>
      </c>
      <c r="BB16" s="6">
        <v>535372.31000000006</v>
      </c>
      <c r="BC16" s="6">
        <v>0</v>
      </c>
      <c r="BD16" s="6">
        <v>1363494.03</v>
      </c>
      <c r="BE16" s="6">
        <v>0</v>
      </c>
      <c r="BF16" s="6">
        <v>872.20689399999992</v>
      </c>
      <c r="BG16" s="6">
        <v>0</v>
      </c>
      <c r="BH16" s="6">
        <v>0</v>
      </c>
      <c r="BI16" s="6">
        <v>126585.44</v>
      </c>
      <c r="BJ16" s="6">
        <v>18083.650000000001</v>
      </c>
      <c r="BK16" s="6">
        <v>1898866.34</v>
      </c>
    </row>
    <row r="18" spans="1:19" x14ac:dyDescent="0.2">
      <c r="A18">
        <v>51</v>
      </c>
      <c r="E18" s="7">
        <f>SUMIF(A16:A17,3,E16:E17)</f>
        <v>535.37231000000008</v>
      </c>
      <c r="F18" s="7">
        <f>SUMIF(A16:A17,3,F16:F17)</f>
        <v>0</v>
      </c>
      <c r="G18" s="7">
        <f>SUMIF(A16:A17,3,G16:G17)</f>
        <v>0</v>
      </c>
      <c r="H18" s="7">
        <f>SUMIF(A16:A17,3,H16:H17)</f>
        <v>1363.4940300000001</v>
      </c>
      <c r="I18" s="7">
        <f>SUMIF(A16:A17,3,I16:I17)</f>
        <v>1898.86634</v>
      </c>
      <c r="J18" s="7">
        <f>SUMIF(A16:A17,3,J16:J17)</f>
        <v>180.83634000000001</v>
      </c>
      <c r="K18" s="7"/>
      <c r="L18" s="7"/>
      <c r="M18" s="7"/>
      <c r="N18" s="7"/>
      <c r="O18" s="7"/>
      <c r="P18" s="7"/>
      <c r="Q18" s="7"/>
      <c r="R18" s="7"/>
      <c r="S18" s="7"/>
    </row>
    <row r="20" spans="1:19" x14ac:dyDescent="0.2">
      <c r="A20" s="4">
        <v>50</v>
      </c>
      <c r="B20" s="4">
        <v>0</v>
      </c>
      <c r="C20" s="4">
        <v>0</v>
      </c>
      <c r="D20" s="4">
        <v>1</v>
      </c>
      <c r="E20" s="4">
        <v>201</v>
      </c>
      <c r="F20" s="4">
        <v>1726561.43</v>
      </c>
      <c r="G20" s="4" t="s">
        <v>106</v>
      </c>
      <c r="H20" s="4" t="s">
        <v>107</v>
      </c>
      <c r="I20" s="4"/>
      <c r="J20" s="4"/>
      <c r="K20" s="4">
        <v>201</v>
      </c>
      <c r="L20" s="4">
        <v>1</v>
      </c>
      <c r="M20" s="4">
        <v>3</v>
      </c>
      <c r="N20" s="4" t="s">
        <v>3</v>
      </c>
      <c r="O20" s="4">
        <v>2</v>
      </c>
      <c r="P20" s="4"/>
    </row>
    <row r="21" spans="1:19" x14ac:dyDescent="0.2">
      <c r="A21" s="4">
        <v>50</v>
      </c>
      <c r="B21" s="4">
        <v>0</v>
      </c>
      <c r="C21" s="4">
        <v>0</v>
      </c>
      <c r="D21" s="4">
        <v>1</v>
      </c>
      <c r="E21" s="4">
        <v>202</v>
      </c>
      <c r="F21" s="4">
        <v>1432121.4</v>
      </c>
      <c r="G21" s="4" t="s">
        <v>108</v>
      </c>
      <c r="H21" s="4" t="s">
        <v>109</v>
      </c>
      <c r="I21" s="4"/>
      <c r="J21" s="4"/>
      <c r="K21" s="4">
        <v>202</v>
      </c>
      <c r="L21" s="4">
        <v>2</v>
      </c>
      <c r="M21" s="4">
        <v>3</v>
      </c>
      <c r="N21" s="4" t="s">
        <v>3</v>
      </c>
      <c r="O21" s="4">
        <v>2</v>
      </c>
      <c r="P21" s="4"/>
    </row>
    <row r="22" spans="1:19" x14ac:dyDescent="0.2">
      <c r="A22" s="4">
        <v>50</v>
      </c>
      <c r="B22" s="4">
        <v>0</v>
      </c>
      <c r="C22" s="4">
        <v>0</v>
      </c>
      <c r="D22" s="4">
        <v>1</v>
      </c>
      <c r="E22" s="4">
        <v>222</v>
      </c>
      <c r="F22" s="4">
        <v>0</v>
      </c>
      <c r="G22" s="4" t="s">
        <v>110</v>
      </c>
      <c r="H22" s="4" t="s">
        <v>111</v>
      </c>
      <c r="I22" s="4"/>
      <c r="J22" s="4"/>
      <c r="K22" s="4">
        <v>222</v>
      </c>
      <c r="L22" s="4">
        <v>3</v>
      </c>
      <c r="M22" s="4">
        <v>3</v>
      </c>
      <c r="N22" s="4" t="s">
        <v>3</v>
      </c>
      <c r="O22" s="4">
        <v>2</v>
      </c>
      <c r="P22" s="4"/>
    </row>
    <row r="23" spans="1:19" x14ac:dyDescent="0.2">
      <c r="A23" s="4">
        <v>50</v>
      </c>
      <c r="B23" s="4">
        <v>0</v>
      </c>
      <c r="C23" s="4">
        <v>0</v>
      </c>
      <c r="D23" s="4">
        <v>1</v>
      </c>
      <c r="E23" s="4">
        <v>225</v>
      </c>
      <c r="F23" s="4">
        <v>1432121.4</v>
      </c>
      <c r="G23" s="4" t="s">
        <v>112</v>
      </c>
      <c r="H23" s="4" t="s">
        <v>113</v>
      </c>
      <c r="I23" s="4"/>
      <c r="J23" s="4"/>
      <c r="K23" s="4">
        <v>225</v>
      </c>
      <c r="L23" s="4">
        <v>4</v>
      </c>
      <c r="M23" s="4">
        <v>3</v>
      </c>
      <c r="N23" s="4" t="s">
        <v>3</v>
      </c>
      <c r="O23" s="4">
        <v>2</v>
      </c>
      <c r="P23" s="4"/>
    </row>
    <row r="24" spans="1:19" x14ac:dyDescent="0.2">
      <c r="A24" s="4">
        <v>50</v>
      </c>
      <c r="B24" s="4">
        <v>0</v>
      </c>
      <c r="C24" s="4">
        <v>0</v>
      </c>
      <c r="D24" s="4">
        <v>1</v>
      </c>
      <c r="E24" s="4">
        <v>226</v>
      </c>
      <c r="F24" s="4">
        <v>1432121.4</v>
      </c>
      <c r="G24" s="4" t="s">
        <v>114</v>
      </c>
      <c r="H24" s="4" t="s">
        <v>115</v>
      </c>
      <c r="I24" s="4"/>
      <c r="J24" s="4"/>
      <c r="K24" s="4">
        <v>226</v>
      </c>
      <c r="L24" s="4">
        <v>5</v>
      </c>
      <c r="M24" s="4">
        <v>3</v>
      </c>
      <c r="N24" s="4" t="s">
        <v>3</v>
      </c>
      <c r="O24" s="4">
        <v>2</v>
      </c>
      <c r="P24" s="4"/>
    </row>
    <row r="25" spans="1:19" x14ac:dyDescent="0.2">
      <c r="A25" s="4">
        <v>50</v>
      </c>
      <c r="B25" s="4">
        <v>0</v>
      </c>
      <c r="C25" s="4">
        <v>0</v>
      </c>
      <c r="D25" s="4">
        <v>1</v>
      </c>
      <c r="E25" s="4">
        <v>227</v>
      </c>
      <c r="F25" s="4">
        <v>0</v>
      </c>
      <c r="G25" s="4" t="s">
        <v>116</v>
      </c>
      <c r="H25" s="4" t="s">
        <v>117</v>
      </c>
      <c r="I25" s="4"/>
      <c r="J25" s="4"/>
      <c r="K25" s="4">
        <v>227</v>
      </c>
      <c r="L25" s="4">
        <v>6</v>
      </c>
      <c r="M25" s="4">
        <v>3</v>
      </c>
      <c r="N25" s="4" t="s">
        <v>3</v>
      </c>
      <c r="O25" s="4">
        <v>2</v>
      </c>
      <c r="P25" s="4"/>
    </row>
    <row r="26" spans="1:19" x14ac:dyDescent="0.2">
      <c r="A26" s="4">
        <v>50</v>
      </c>
      <c r="B26" s="4">
        <v>0</v>
      </c>
      <c r="C26" s="4">
        <v>0</v>
      </c>
      <c r="D26" s="4">
        <v>1</v>
      </c>
      <c r="E26" s="4">
        <v>228</v>
      </c>
      <c r="F26" s="4">
        <v>1432121.4</v>
      </c>
      <c r="G26" s="4" t="s">
        <v>118</v>
      </c>
      <c r="H26" s="4" t="s">
        <v>119</v>
      </c>
      <c r="I26" s="4"/>
      <c r="J26" s="4"/>
      <c r="K26" s="4">
        <v>228</v>
      </c>
      <c r="L26" s="4">
        <v>7</v>
      </c>
      <c r="M26" s="4">
        <v>3</v>
      </c>
      <c r="N26" s="4" t="s">
        <v>3</v>
      </c>
      <c r="O26" s="4">
        <v>2</v>
      </c>
      <c r="P26" s="4"/>
    </row>
    <row r="27" spans="1:19" x14ac:dyDescent="0.2">
      <c r="A27" s="4">
        <v>50</v>
      </c>
      <c r="B27" s="4">
        <v>0</v>
      </c>
      <c r="C27" s="4">
        <v>0</v>
      </c>
      <c r="D27" s="4">
        <v>1</v>
      </c>
      <c r="E27" s="4">
        <v>216</v>
      </c>
      <c r="F27" s="4">
        <v>0</v>
      </c>
      <c r="G27" s="4" t="s">
        <v>120</v>
      </c>
      <c r="H27" s="4" t="s">
        <v>121</v>
      </c>
      <c r="I27" s="4"/>
      <c r="J27" s="4"/>
      <c r="K27" s="4">
        <v>216</v>
      </c>
      <c r="L27" s="4">
        <v>8</v>
      </c>
      <c r="M27" s="4">
        <v>3</v>
      </c>
      <c r="N27" s="4" t="s">
        <v>3</v>
      </c>
      <c r="O27" s="4">
        <v>2</v>
      </c>
      <c r="P27" s="4"/>
    </row>
    <row r="28" spans="1:19" x14ac:dyDescent="0.2">
      <c r="A28" s="4">
        <v>50</v>
      </c>
      <c r="B28" s="4">
        <v>0</v>
      </c>
      <c r="C28" s="4">
        <v>0</v>
      </c>
      <c r="D28" s="4">
        <v>1</v>
      </c>
      <c r="E28" s="4">
        <v>223</v>
      </c>
      <c r="F28" s="4">
        <v>0</v>
      </c>
      <c r="G28" s="4" t="s">
        <v>122</v>
      </c>
      <c r="H28" s="4" t="s">
        <v>123</v>
      </c>
      <c r="I28" s="4"/>
      <c r="J28" s="4"/>
      <c r="K28" s="4">
        <v>223</v>
      </c>
      <c r="L28" s="4">
        <v>9</v>
      </c>
      <c r="M28" s="4">
        <v>3</v>
      </c>
      <c r="N28" s="4" t="s">
        <v>3</v>
      </c>
      <c r="O28" s="4">
        <v>2</v>
      </c>
      <c r="P28" s="4"/>
    </row>
    <row r="29" spans="1:19" x14ac:dyDescent="0.2">
      <c r="A29" s="4">
        <v>50</v>
      </c>
      <c r="B29" s="4">
        <v>0</v>
      </c>
      <c r="C29" s="4">
        <v>0</v>
      </c>
      <c r="D29" s="4">
        <v>1</v>
      </c>
      <c r="E29" s="4">
        <v>229</v>
      </c>
      <c r="F29" s="4">
        <v>0</v>
      </c>
      <c r="G29" s="4" t="s">
        <v>124</v>
      </c>
      <c r="H29" s="4" t="s">
        <v>125</v>
      </c>
      <c r="I29" s="4"/>
      <c r="J29" s="4"/>
      <c r="K29" s="4">
        <v>229</v>
      </c>
      <c r="L29" s="4">
        <v>10</v>
      </c>
      <c r="M29" s="4">
        <v>3</v>
      </c>
      <c r="N29" s="4" t="s">
        <v>3</v>
      </c>
      <c r="O29" s="4">
        <v>2</v>
      </c>
      <c r="P29" s="4"/>
    </row>
    <row r="30" spans="1:19" x14ac:dyDescent="0.2">
      <c r="A30" s="4">
        <v>50</v>
      </c>
      <c r="B30" s="4">
        <v>0</v>
      </c>
      <c r="C30" s="4">
        <v>0</v>
      </c>
      <c r="D30" s="4">
        <v>1</v>
      </c>
      <c r="E30" s="4">
        <v>203</v>
      </c>
      <c r="F30" s="4">
        <v>113603.69</v>
      </c>
      <c r="G30" s="4" t="s">
        <v>126</v>
      </c>
      <c r="H30" s="4" t="s">
        <v>127</v>
      </c>
      <c r="I30" s="4"/>
      <c r="J30" s="4"/>
      <c r="K30" s="4">
        <v>203</v>
      </c>
      <c r="L30" s="4">
        <v>11</v>
      </c>
      <c r="M30" s="4">
        <v>3</v>
      </c>
      <c r="N30" s="4" t="s">
        <v>3</v>
      </c>
      <c r="O30" s="4">
        <v>2</v>
      </c>
      <c r="P30" s="4"/>
    </row>
    <row r="31" spans="1:19" x14ac:dyDescent="0.2">
      <c r="A31" s="4">
        <v>50</v>
      </c>
      <c r="B31" s="4">
        <v>0</v>
      </c>
      <c r="C31" s="4">
        <v>0</v>
      </c>
      <c r="D31" s="4">
        <v>1</v>
      </c>
      <c r="E31" s="4">
        <v>231</v>
      </c>
      <c r="F31" s="4">
        <v>0</v>
      </c>
      <c r="G31" s="4" t="s">
        <v>128</v>
      </c>
      <c r="H31" s="4" t="s">
        <v>129</v>
      </c>
      <c r="I31" s="4"/>
      <c r="J31" s="4"/>
      <c r="K31" s="4">
        <v>231</v>
      </c>
      <c r="L31" s="4">
        <v>12</v>
      </c>
      <c r="M31" s="4">
        <v>3</v>
      </c>
      <c r="N31" s="4" t="s">
        <v>3</v>
      </c>
      <c r="O31" s="4">
        <v>2</v>
      </c>
      <c r="P31" s="4"/>
    </row>
    <row r="32" spans="1:19" x14ac:dyDescent="0.2">
      <c r="A32" s="4">
        <v>50</v>
      </c>
      <c r="B32" s="4">
        <v>0</v>
      </c>
      <c r="C32" s="4">
        <v>0</v>
      </c>
      <c r="D32" s="4">
        <v>1</v>
      </c>
      <c r="E32" s="4">
        <v>204</v>
      </c>
      <c r="F32" s="4">
        <v>59070.93</v>
      </c>
      <c r="G32" s="4" t="s">
        <v>130</v>
      </c>
      <c r="H32" s="4" t="s">
        <v>131</v>
      </c>
      <c r="I32" s="4"/>
      <c r="J32" s="4"/>
      <c r="K32" s="4">
        <v>204</v>
      </c>
      <c r="L32" s="4">
        <v>13</v>
      </c>
      <c r="M32" s="4">
        <v>3</v>
      </c>
      <c r="N32" s="4" t="s">
        <v>3</v>
      </c>
      <c r="O32" s="4">
        <v>2</v>
      </c>
      <c r="P32" s="4"/>
    </row>
    <row r="33" spans="1:16" x14ac:dyDescent="0.2">
      <c r="A33" s="4">
        <v>50</v>
      </c>
      <c r="B33" s="4">
        <v>0</v>
      </c>
      <c r="C33" s="4">
        <v>0</v>
      </c>
      <c r="D33" s="4">
        <v>1</v>
      </c>
      <c r="E33" s="4">
        <v>205</v>
      </c>
      <c r="F33" s="4">
        <v>180836.34</v>
      </c>
      <c r="G33" s="4" t="s">
        <v>132</v>
      </c>
      <c r="H33" s="4" t="s">
        <v>133</v>
      </c>
      <c r="I33" s="4"/>
      <c r="J33" s="4"/>
      <c r="K33" s="4">
        <v>205</v>
      </c>
      <c r="L33" s="4">
        <v>14</v>
      </c>
      <c r="M33" s="4">
        <v>3</v>
      </c>
      <c r="N33" s="4" t="s">
        <v>3</v>
      </c>
      <c r="O33" s="4">
        <v>2</v>
      </c>
      <c r="P33" s="4"/>
    </row>
    <row r="34" spans="1:16" x14ac:dyDescent="0.2">
      <c r="A34" s="4">
        <v>50</v>
      </c>
      <c r="B34" s="4">
        <v>0</v>
      </c>
      <c r="C34" s="4">
        <v>0</v>
      </c>
      <c r="D34" s="4">
        <v>1</v>
      </c>
      <c r="E34" s="4">
        <v>232</v>
      </c>
      <c r="F34" s="4">
        <v>0</v>
      </c>
      <c r="G34" s="4" t="s">
        <v>134</v>
      </c>
      <c r="H34" s="4" t="s">
        <v>135</v>
      </c>
      <c r="I34" s="4"/>
      <c r="J34" s="4"/>
      <c r="K34" s="4">
        <v>232</v>
      </c>
      <c r="L34" s="4">
        <v>15</v>
      </c>
      <c r="M34" s="4">
        <v>3</v>
      </c>
      <c r="N34" s="4" t="s">
        <v>3</v>
      </c>
      <c r="O34" s="4">
        <v>2</v>
      </c>
      <c r="P34" s="4"/>
    </row>
    <row r="35" spans="1:16" x14ac:dyDescent="0.2">
      <c r="A35" s="4">
        <v>50</v>
      </c>
      <c r="B35" s="4">
        <v>0</v>
      </c>
      <c r="C35" s="4">
        <v>0</v>
      </c>
      <c r="D35" s="4">
        <v>1</v>
      </c>
      <c r="E35" s="4">
        <v>214</v>
      </c>
      <c r="F35" s="4">
        <v>535372.31000000006</v>
      </c>
      <c r="G35" s="4" t="s">
        <v>136</v>
      </c>
      <c r="H35" s="4" t="s">
        <v>137</v>
      </c>
      <c r="I35" s="4"/>
      <c r="J35" s="4"/>
      <c r="K35" s="4">
        <v>214</v>
      </c>
      <c r="L35" s="4">
        <v>16</v>
      </c>
      <c r="M35" s="4">
        <v>3</v>
      </c>
      <c r="N35" s="4" t="s">
        <v>3</v>
      </c>
      <c r="O35" s="4">
        <v>2</v>
      </c>
      <c r="P35" s="4"/>
    </row>
    <row r="36" spans="1:16" x14ac:dyDescent="0.2">
      <c r="A36" s="4">
        <v>50</v>
      </c>
      <c r="B36" s="4">
        <v>0</v>
      </c>
      <c r="C36" s="4">
        <v>0</v>
      </c>
      <c r="D36" s="4">
        <v>1</v>
      </c>
      <c r="E36" s="4">
        <v>215</v>
      </c>
      <c r="F36" s="4">
        <v>0</v>
      </c>
      <c r="G36" s="4" t="s">
        <v>138</v>
      </c>
      <c r="H36" s="4" t="s">
        <v>139</v>
      </c>
      <c r="I36" s="4"/>
      <c r="J36" s="4"/>
      <c r="K36" s="4">
        <v>215</v>
      </c>
      <c r="L36" s="4">
        <v>17</v>
      </c>
      <c r="M36" s="4">
        <v>3</v>
      </c>
      <c r="N36" s="4" t="s">
        <v>3</v>
      </c>
      <c r="O36" s="4">
        <v>2</v>
      </c>
      <c r="P36" s="4"/>
    </row>
    <row r="37" spans="1:16" x14ac:dyDescent="0.2">
      <c r="A37" s="4">
        <v>50</v>
      </c>
      <c r="B37" s="4">
        <v>0</v>
      </c>
      <c r="C37" s="4">
        <v>0</v>
      </c>
      <c r="D37" s="4">
        <v>1</v>
      </c>
      <c r="E37" s="4">
        <v>217</v>
      </c>
      <c r="F37" s="4">
        <v>1363494.03</v>
      </c>
      <c r="G37" s="4" t="s">
        <v>140</v>
      </c>
      <c r="H37" s="4" t="s">
        <v>141</v>
      </c>
      <c r="I37" s="4"/>
      <c r="J37" s="4"/>
      <c r="K37" s="4">
        <v>217</v>
      </c>
      <c r="L37" s="4">
        <v>18</v>
      </c>
      <c r="M37" s="4">
        <v>3</v>
      </c>
      <c r="N37" s="4" t="s">
        <v>3</v>
      </c>
      <c r="O37" s="4">
        <v>2</v>
      </c>
      <c r="P37" s="4"/>
    </row>
    <row r="38" spans="1:16" x14ac:dyDescent="0.2">
      <c r="A38" s="4">
        <v>50</v>
      </c>
      <c r="B38" s="4">
        <v>0</v>
      </c>
      <c r="C38" s="4">
        <v>0</v>
      </c>
      <c r="D38" s="4">
        <v>1</v>
      </c>
      <c r="E38" s="4">
        <v>230</v>
      </c>
      <c r="F38" s="4">
        <v>0</v>
      </c>
      <c r="G38" s="4" t="s">
        <v>142</v>
      </c>
      <c r="H38" s="4" t="s">
        <v>143</v>
      </c>
      <c r="I38" s="4"/>
      <c r="J38" s="4"/>
      <c r="K38" s="4">
        <v>230</v>
      </c>
      <c r="L38" s="4">
        <v>19</v>
      </c>
      <c r="M38" s="4">
        <v>3</v>
      </c>
      <c r="N38" s="4" t="s">
        <v>3</v>
      </c>
      <c r="O38" s="4">
        <v>2</v>
      </c>
      <c r="P38" s="4"/>
    </row>
    <row r="39" spans="1:16" x14ac:dyDescent="0.2">
      <c r="A39" s="4">
        <v>50</v>
      </c>
      <c r="B39" s="4">
        <v>0</v>
      </c>
      <c r="C39" s="4">
        <v>0</v>
      </c>
      <c r="D39" s="4">
        <v>1</v>
      </c>
      <c r="E39" s="4">
        <v>206</v>
      </c>
      <c r="F39" s="4">
        <v>0</v>
      </c>
      <c r="G39" s="4" t="s">
        <v>144</v>
      </c>
      <c r="H39" s="4" t="s">
        <v>145</v>
      </c>
      <c r="I39" s="4"/>
      <c r="J39" s="4"/>
      <c r="K39" s="4">
        <v>206</v>
      </c>
      <c r="L39" s="4">
        <v>20</v>
      </c>
      <c r="M39" s="4">
        <v>3</v>
      </c>
      <c r="N39" s="4" t="s">
        <v>3</v>
      </c>
      <c r="O39" s="4">
        <v>2</v>
      </c>
      <c r="P39" s="4"/>
    </row>
    <row r="40" spans="1:16" x14ac:dyDescent="0.2">
      <c r="A40" s="4">
        <v>50</v>
      </c>
      <c r="B40" s="4">
        <v>0</v>
      </c>
      <c r="C40" s="4">
        <v>0</v>
      </c>
      <c r="D40" s="4">
        <v>1</v>
      </c>
      <c r="E40" s="4">
        <v>207</v>
      </c>
      <c r="F40" s="4">
        <v>872.20689399999992</v>
      </c>
      <c r="G40" s="4" t="s">
        <v>146</v>
      </c>
      <c r="H40" s="4" t="s">
        <v>147</v>
      </c>
      <c r="I40" s="4"/>
      <c r="J40" s="4"/>
      <c r="K40" s="4">
        <v>207</v>
      </c>
      <c r="L40" s="4">
        <v>21</v>
      </c>
      <c r="M40" s="4">
        <v>3</v>
      </c>
      <c r="N40" s="4" t="s">
        <v>3</v>
      </c>
      <c r="O40" s="4">
        <v>-1</v>
      </c>
      <c r="P40" s="4"/>
    </row>
    <row r="41" spans="1:16" x14ac:dyDescent="0.2">
      <c r="A41" s="4">
        <v>50</v>
      </c>
      <c r="B41" s="4">
        <v>0</v>
      </c>
      <c r="C41" s="4">
        <v>0</v>
      </c>
      <c r="D41" s="4">
        <v>1</v>
      </c>
      <c r="E41" s="4">
        <v>208</v>
      </c>
      <c r="F41" s="4">
        <v>0</v>
      </c>
      <c r="G41" s="4" t="s">
        <v>148</v>
      </c>
      <c r="H41" s="4" t="s">
        <v>149</v>
      </c>
      <c r="I41" s="4"/>
      <c r="J41" s="4"/>
      <c r="K41" s="4">
        <v>208</v>
      </c>
      <c r="L41" s="4">
        <v>22</v>
      </c>
      <c r="M41" s="4">
        <v>3</v>
      </c>
      <c r="N41" s="4" t="s">
        <v>3</v>
      </c>
      <c r="O41" s="4">
        <v>-1</v>
      </c>
      <c r="P41" s="4"/>
    </row>
    <row r="42" spans="1:16" x14ac:dyDescent="0.2">
      <c r="A42" s="4">
        <v>50</v>
      </c>
      <c r="B42" s="4">
        <v>0</v>
      </c>
      <c r="C42" s="4">
        <v>0</v>
      </c>
      <c r="D42" s="4">
        <v>1</v>
      </c>
      <c r="E42" s="4">
        <v>209</v>
      </c>
      <c r="F42" s="4">
        <v>0</v>
      </c>
      <c r="G42" s="4" t="s">
        <v>150</v>
      </c>
      <c r="H42" s="4" t="s">
        <v>151</v>
      </c>
      <c r="I42" s="4"/>
      <c r="J42" s="4"/>
      <c r="K42" s="4">
        <v>209</v>
      </c>
      <c r="L42" s="4">
        <v>23</v>
      </c>
      <c r="M42" s="4">
        <v>3</v>
      </c>
      <c r="N42" s="4" t="s">
        <v>3</v>
      </c>
      <c r="O42" s="4">
        <v>2</v>
      </c>
      <c r="P42" s="4"/>
    </row>
    <row r="43" spans="1:16" x14ac:dyDescent="0.2">
      <c r="A43" s="4">
        <v>50</v>
      </c>
      <c r="B43" s="4">
        <v>0</v>
      </c>
      <c r="C43" s="4">
        <v>0</v>
      </c>
      <c r="D43" s="4">
        <v>1</v>
      </c>
      <c r="E43" s="4">
        <v>233</v>
      </c>
      <c r="F43" s="4">
        <v>0</v>
      </c>
      <c r="G43" s="4" t="s">
        <v>152</v>
      </c>
      <c r="H43" s="4" t="s">
        <v>153</v>
      </c>
      <c r="I43" s="4"/>
      <c r="J43" s="4"/>
      <c r="K43" s="4">
        <v>233</v>
      </c>
      <c r="L43" s="4">
        <v>24</v>
      </c>
      <c r="M43" s="4">
        <v>3</v>
      </c>
      <c r="N43" s="4" t="s">
        <v>3</v>
      </c>
      <c r="O43" s="4">
        <v>2</v>
      </c>
      <c r="P43" s="4"/>
    </row>
    <row r="44" spans="1:16" x14ac:dyDescent="0.2">
      <c r="A44" s="4">
        <v>50</v>
      </c>
      <c r="B44" s="4">
        <v>0</v>
      </c>
      <c r="C44" s="4">
        <v>0</v>
      </c>
      <c r="D44" s="4">
        <v>1</v>
      </c>
      <c r="E44" s="4">
        <v>210</v>
      </c>
      <c r="F44" s="4">
        <v>126585.44</v>
      </c>
      <c r="G44" s="4" t="s">
        <v>154</v>
      </c>
      <c r="H44" s="4" t="s">
        <v>155</v>
      </c>
      <c r="I44" s="4"/>
      <c r="J44" s="4"/>
      <c r="K44" s="4">
        <v>210</v>
      </c>
      <c r="L44" s="4">
        <v>25</v>
      </c>
      <c r="M44" s="4">
        <v>3</v>
      </c>
      <c r="N44" s="4" t="s">
        <v>3</v>
      </c>
      <c r="O44" s="4">
        <v>2</v>
      </c>
      <c r="P44" s="4"/>
    </row>
    <row r="45" spans="1:16" x14ac:dyDescent="0.2">
      <c r="A45" s="4">
        <v>50</v>
      </c>
      <c r="B45" s="4">
        <v>0</v>
      </c>
      <c r="C45" s="4">
        <v>0</v>
      </c>
      <c r="D45" s="4">
        <v>1</v>
      </c>
      <c r="E45" s="4">
        <v>211</v>
      </c>
      <c r="F45" s="4">
        <v>18083.650000000001</v>
      </c>
      <c r="G45" s="4" t="s">
        <v>156</v>
      </c>
      <c r="H45" s="4" t="s">
        <v>157</v>
      </c>
      <c r="I45" s="4"/>
      <c r="J45" s="4"/>
      <c r="K45" s="4">
        <v>211</v>
      </c>
      <c r="L45" s="4">
        <v>26</v>
      </c>
      <c r="M45" s="4">
        <v>3</v>
      </c>
      <c r="N45" s="4" t="s">
        <v>3</v>
      </c>
      <c r="O45" s="4">
        <v>2</v>
      </c>
      <c r="P45" s="4"/>
    </row>
    <row r="46" spans="1:16" x14ac:dyDescent="0.2">
      <c r="A46" s="4">
        <v>50</v>
      </c>
      <c r="B46" s="4">
        <v>0</v>
      </c>
      <c r="C46" s="4">
        <v>0</v>
      </c>
      <c r="D46" s="4">
        <v>1</v>
      </c>
      <c r="E46" s="4">
        <v>224</v>
      </c>
      <c r="F46" s="4">
        <v>1898866.34</v>
      </c>
      <c r="G46" s="4" t="s">
        <v>158</v>
      </c>
      <c r="H46" s="4" t="s">
        <v>159</v>
      </c>
      <c r="I46" s="4"/>
      <c r="J46" s="4"/>
      <c r="K46" s="4">
        <v>224</v>
      </c>
      <c r="L46" s="4">
        <v>27</v>
      </c>
      <c r="M46" s="4">
        <v>3</v>
      </c>
      <c r="N46" s="4" t="s">
        <v>3</v>
      </c>
      <c r="O46" s="4">
        <v>2</v>
      </c>
      <c r="P46" s="4"/>
    </row>
    <row r="47" spans="1:16" x14ac:dyDescent="0.2">
      <c r="A47" s="4">
        <v>50</v>
      </c>
      <c r="B47" s="4">
        <v>1</v>
      </c>
      <c r="C47" s="4">
        <v>0</v>
      </c>
      <c r="D47" s="4">
        <v>2</v>
      </c>
      <c r="E47" s="4">
        <v>0</v>
      </c>
      <c r="F47" s="4">
        <v>1898866.34</v>
      </c>
      <c r="G47" s="4" t="s">
        <v>27</v>
      </c>
      <c r="H47" s="4" t="s">
        <v>160</v>
      </c>
      <c r="I47" s="4"/>
      <c r="J47" s="4"/>
      <c r="K47" s="4">
        <v>212</v>
      </c>
      <c r="L47" s="4">
        <v>28</v>
      </c>
      <c r="M47" s="4">
        <v>0</v>
      </c>
      <c r="N47" s="4" t="s">
        <v>3</v>
      </c>
      <c r="O47" s="4">
        <v>2</v>
      </c>
      <c r="P47" s="4"/>
    </row>
    <row r="48" spans="1:16" x14ac:dyDescent="0.2">
      <c r="A48" s="4">
        <v>50</v>
      </c>
      <c r="B48" s="4">
        <v>1</v>
      </c>
      <c r="C48" s="4">
        <v>0</v>
      </c>
      <c r="D48" s="4">
        <v>2</v>
      </c>
      <c r="E48" s="4">
        <v>0</v>
      </c>
      <c r="F48" s="4">
        <v>379773.27</v>
      </c>
      <c r="G48" s="4" t="s">
        <v>35</v>
      </c>
      <c r="H48" s="4" t="s">
        <v>161</v>
      </c>
      <c r="I48" s="4"/>
      <c r="J48" s="4"/>
      <c r="K48" s="4">
        <v>212</v>
      </c>
      <c r="L48" s="4">
        <v>29</v>
      </c>
      <c r="M48" s="4">
        <v>0</v>
      </c>
      <c r="N48" s="4" t="s">
        <v>3</v>
      </c>
      <c r="O48" s="4">
        <v>2</v>
      </c>
      <c r="P48" s="4"/>
    </row>
    <row r="49" spans="1:16" x14ac:dyDescent="0.2">
      <c r="A49" s="4">
        <v>50</v>
      </c>
      <c r="B49" s="4">
        <v>1</v>
      </c>
      <c r="C49" s="4">
        <v>0</v>
      </c>
      <c r="D49" s="4">
        <v>2</v>
      </c>
      <c r="E49" s="4">
        <v>213</v>
      </c>
      <c r="F49" s="4">
        <v>2278639.61</v>
      </c>
      <c r="G49" s="4" t="s">
        <v>39</v>
      </c>
      <c r="H49" s="4" t="s">
        <v>162</v>
      </c>
      <c r="I49" s="4"/>
      <c r="J49" s="4"/>
      <c r="K49" s="4">
        <v>212</v>
      </c>
      <c r="L49" s="4">
        <v>30</v>
      </c>
      <c r="M49" s="4">
        <v>0</v>
      </c>
      <c r="N49" s="4" t="s">
        <v>3</v>
      </c>
      <c r="O49" s="4">
        <v>2</v>
      </c>
      <c r="P49" s="4"/>
    </row>
    <row r="51" spans="1:16" x14ac:dyDescent="0.2">
      <c r="A51">
        <v>-1</v>
      </c>
    </row>
    <row r="54" spans="1:16" x14ac:dyDescent="0.2">
      <c r="A54" s="3">
        <v>75</v>
      </c>
      <c r="B54" s="3" t="s">
        <v>291</v>
      </c>
      <c r="C54" s="3">
        <v>2020</v>
      </c>
      <c r="D54" s="3">
        <v>0</v>
      </c>
      <c r="E54" s="3">
        <v>10</v>
      </c>
      <c r="F54" s="3">
        <v>0</v>
      </c>
      <c r="G54" s="3">
        <v>0</v>
      </c>
      <c r="H54" s="3">
        <v>1</v>
      </c>
      <c r="I54" s="3">
        <v>0</v>
      </c>
      <c r="J54" s="3">
        <v>1</v>
      </c>
      <c r="K54" s="3">
        <v>78</v>
      </c>
      <c r="L54" s="3">
        <v>30</v>
      </c>
      <c r="M54" s="3">
        <v>0</v>
      </c>
      <c r="N54" s="3">
        <v>49707740</v>
      </c>
      <c r="O54" s="3">
        <v>1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71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107" x14ac:dyDescent="0.2">
      <c r="A1">
        <f>ROW(Source!A28)</f>
        <v>28</v>
      </c>
      <c r="B1">
        <v>49707740</v>
      </c>
      <c r="C1">
        <v>49708209</v>
      </c>
      <c r="D1">
        <v>48326108</v>
      </c>
      <c r="E1">
        <v>27</v>
      </c>
      <c r="F1">
        <v>1</v>
      </c>
      <c r="G1">
        <v>27</v>
      </c>
      <c r="H1">
        <v>1</v>
      </c>
      <c r="I1" t="s">
        <v>293</v>
      </c>
      <c r="J1" t="s">
        <v>3</v>
      </c>
      <c r="K1" t="s">
        <v>294</v>
      </c>
      <c r="L1">
        <v>1191</v>
      </c>
      <c r="N1">
        <v>1013</v>
      </c>
      <c r="O1" t="s">
        <v>295</v>
      </c>
      <c r="P1" t="s">
        <v>295</v>
      </c>
      <c r="Q1">
        <v>1</v>
      </c>
      <c r="W1">
        <v>0</v>
      </c>
      <c r="X1">
        <v>476480486</v>
      </c>
      <c r="Y1">
        <v>1.59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1</v>
      </c>
      <c r="AK1">
        <v>1</v>
      </c>
      <c r="AL1">
        <v>1</v>
      </c>
      <c r="AN1">
        <v>0</v>
      </c>
      <c r="AO1">
        <v>1</v>
      </c>
      <c r="AP1">
        <v>0</v>
      </c>
      <c r="AQ1">
        <v>0</v>
      </c>
      <c r="AR1">
        <v>0</v>
      </c>
      <c r="AS1" t="s">
        <v>3</v>
      </c>
      <c r="AT1">
        <v>1.59</v>
      </c>
      <c r="AU1" t="s">
        <v>3</v>
      </c>
      <c r="AV1">
        <v>1</v>
      </c>
      <c r="AW1">
        <v>2</v>
      </c>
      <c r="AX1">
        <v>49708219</v>
      </c>
      <c r="AY1">
        <v>1</v>
      </c>
      <c r="AZ1">
        <v>0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CX1">
        <f>Y1*Source!I28</f>
        <v>0.93015000000000003</v>
      </c>
      <c r="CY1">
        <f>AD1</f>
        <v>0</v>
      </c>
      <c r="CZ1">
        <f>AH1</f>
        <v>0</v>
      </c>
      <c r="DA1">
        <f>AL1</f>
        <v>1</v>
      </c>
      <c r="DB1">
        <f t="shared" ref="DB1:DB7" si="0">ROUND(ROUND(AT1*CZ1,2),6)</f>
        <v>0</v>
      </c>
      <c r="DC1">
        <f t="shared" ref="DC1:DC7" si="1">ROUND(ROUND(AT1*AG1,2),6)</f>
        <v>0</v>
      </c>
    </row>
    <row r="2" spans="1:107" x14ac:dyDescent="0.2">
      <c r="A2">
        <f>ROW(Source!A28)</f>
        <v>28</v>
      </c>
      <c r="B2">
        <v>49707740</v>
      </c>
      <c r="C2">
        <v>49708209</v>
      </c>
      <c r="D2">
        <v>48338278</v>
      </c>
      <c r="E2">
        <v>1</v>
      </c>
      <c r="F2">
        <v>1</v>
      </c>
      <c r="G2">
        <v>27</v>
      </c>
      <c r="H2">
        <v>2</v>
      </c>
      <c r="I2" t="s">
        <v>296</v>
      </c>
      <c r="J2" t="s">
        <v>297</v>
      </c>
      <c r="K2" t="s">
        <v>298</v>
      </c>
      <c r="L2">
        <v>1368</v>
      </c>
      <c r="N2">
        <v>1011</v>
      </c>
      <c r="O2" t="s">
        <v>299</v>
      </c>
      <c r="P2" t="s">
        <v>299</v>
      </c>
      <c r="Q2">
        <v>1</v>
      </c>
      <c r="W2">
        <v>0</v>
      </c>
      <c r="X2">
        <v>-903558812</v>
      </c>
      <c r="Y2">
        <v>4.9800000000000004</v>
      </c>
      <c r="AA2">
        <v>0</v>
      </c>
      <c r="AB2">
        <v>1493.72</v>
      </c>
      <c r="AC2">
        <v>566.86</v>
      </c>
      <c r="AD2">
        <v>0</v>
      </c>
      <c r="AE2">
        <v>0</v>
      </c>
      <c r="AF2">
        <v>1493.72</v>
      </c>
      <c r="AG2">
        <v>566.86</v>
      </c>
      <c r="AH2">
        <v>0</v>
      </c>
      <c r="AI2">
        <v>1</v>
      </c>
      <c r="AJ2">
        <v>1</v>
      </c>
      <c r="AK2">
        <v>1</v>
      </c>
      <c r="AL2">
        <v>1</v>
      </c>
      <c r="AN2">
        <v>0</v>
      </c>
      <c r="AO2">
        <v>1</v>
      </c>
      <c r="AP2">
        <v>0</v>
      </c>
      <c r="AQ2">
        <v>0</v>
      </c>
      <c r="AR2">
        <v>0</v>
      </c>
      <c r="AS2" t="s">
        <v>3</v>
      </c>
      <c r="AT2">
        <v>4.9800000000000004</v>
      </c>
      <c r="AU2" t="s">
        <v>3</v>
      </c>
      <c r="AV2">
        <v>0</v>
      </c>
      <c r="AW2">
        <v>2</v>
      </c>
      <c r="AX2">
        <v>49708220</v>
      </c>
      <c r="AY2">
        <v>1</v>
      </c>
      <c r="AZ2">
        <v>0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CX2">
        <f>Y2*Source!I28</f>
        <v>2.9133</v>
      </c>
      <c r="CY2">
        <f>AB2</f>
        <v>1493.72</v>
      </c>
      <c r="CZ2">
        <f>AF2</f>
        <v>1493.72</v>
      </c>
      <c r="DA2">
        <f>AJ2</f>
        <v>1</v>
      </c>
      <c r="DB2">
        <f t="shared" si="0"/>
        <v>7438.73</v>
      </c>
      <c r="DC2">
        <f t="shared" si="1"/>
        <v>2822.96</v>
      </c>
    </row>
    <row r="3" spans="1:107" x14ac:dyDescent="0.2">
      <c r="A3">
        <f>ROW(Source!A28)</f>
        <v>28</v>
      </c>
      <c r="B3">
        <v>49707740</v>
      </c>
      <c r="C3">
        <v>49708209</v>
      </c>
      <c r="D3">
        <v>48338301</v>
      </c>
      <c r="E3">
        <v>1</v>
      </c>
      <c r="F3">
        <v>1</v>
      </c>
      <c r="G3">
        <v>27</v>
      </c>
      <c r="H3">
        <v>2</v>
      </c>
      <c r="I3" t="s">
        <v>300</v>
      </c>
      <c r="J3" t="s">
        <v>301</v>
      </c>
      <c r="K3" t="s">
        <v>302</v>
      </c>
      <c r="L3">
        <v>1368</v>
      </c>
      <c r="N3">
        <v>1011</v>
      </c>
      <c r="O3" t="s">
        <v>299</v>
      </c>
      <c r="P3" t="s">
        <v>299</v>
      </c>
      <c r="Q3">
        <v>1</v>
      </c>
      <c r="W3">
        <v>0</v>
      </c>
      <c r="X3">
        <v>-888973741</v>
      </c>
      <c r="Y3">
        <v>1.25</v>
      </c>
      <c r="AA3">
        <v>0</v>
      </c>
      <c r="AB3">
        <v>1072.23</v>
      </c>
      <c r="AC3">
        <v>488.73</v>
      </c>
      <c r="AD3">
        <v>0</v>
      </c>
      <c r="AE3">
        <v>0</v>
      </c>
      <c r="AF3">
        <v>1072.23</v>
      </c>
      <c r="AG3">
        <v>488.73</v>
      </c>
      <c r="AH3">
        <v>0</v>
      </c>
      <c r="AI3">
        <v>1</v>
      </c>
      <c r="AJ3">
        <v>1</v>
      </c>
      <c r="AK3">
        <v>1</v>
      </c>
      <c r="AL3">
        <v>1</v>
      </c>
      <c r="AN3">
        <v>0</v>
      </c>
      <c r="AO3">
        <v>1</v>
      </c>
      <c r="AP3">
        <v>0</v>
      </c>
      <c r="AQ3">
        <v>0</v>
      </c>
      <c r="AR3">
        <v>0</v>
      </c>
      <c r="AS3" t="s">
        <v>3</v>
      </c>
      <c r="AT3">
        <v>1.25</v>
      </c>
      <c r="AU3" t="s">
        <v>3</v>
      </c>
      <c r="AV3">
        <v>0</v>
      </c>
      <c r="AW3">
        <v>2</v>
      </c>
      <c r="AX3">
        <v>49708221</v>
      </c>
      <c r="AY3">
        <v>1</v>
      </c>
      <c r="AZ3">
        <v>0</v>
      </c>
      <c r="BA3">
        <v>3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CX3">
        <f>Y3*Source!I28</f>
        <v>0.73124999999999996</v>
      </c>
      <c r="CY3">
        <f>AB3</f>
        <v>1072.23</v>
      </c>
      <c r="CZ3">
        <f>AF3</f>
        <v>1072.23</v>
      </c>
      <c r="DA3">
        <f>AJ3</f>
        <v>1</v>
      </c>
      <c r="DB3">
        <f t="shared" si="0"/>
        <v>1340.29</v>
      </c>
      <c r="DC3">
        <f t="shared" si="1"/>
        <v>610.91</v>
      </c>
    </row>
    <row r="4" spans="1:107" x14ac:dyDescent="0.2">
      <c r="A4">
        <f>ROW(Source!A29)</f>
        <v>29</v>
      </c>
      <c r="B4">
        <v>49707740</v>
      </c>
      <c r="C4">
        <v>49708222</v>
      </c>
      <c r="D4">
        <v>48326108</v>
      </c>
      <c r="E4">
        <v>27</v>
      </c>
      <c r="F4">
        <v>1</v>
      </c>
      <c r="G4">
        <v>27</v>
      </c>
      <c r="H4">
        <v>1</v>
      </c>
      <c r="I4" t="s">
        <v>293</v>
      </c>
      <c r="J4" t="s">
        <v>3</v>
      </c>
      <c r="K4" t="s">
        <v>294</v>
      </c>
      <c r="L4">
        <v>1191</v>
      </c>
      <c r="N4">
        <v>1013</v>
      </c>
      <c r="O4" t="s">
        <v>295</v>
      </c>
      <c r="P4" t="s">
        <v>295</v>
      </c>
      <c r="Q4">
        <v>1</v>
      </c>
      <c r="W4">
        <v>0</v>
      </c>
      <c r="X4">
        <v>476480486</v>
      </c>
      <c r="Y4">
        <v>221.6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1</v>
      </c>
      <c r="AL4">
        <v>1</v>
      </c>
      <c r="AN4">
        <v>0</v>
      </c>
      <c r="AO4">
        <v>1</v>
      </c>
      <c r="AP4">
        <v>0</v>
      </c>
      <c r="AQ4">
        <v>0</v>
      </c>
      <c r="AR4">
        <v>0</v>
      </c>
      <c r="AS4" t="s">
        <v>3</v>
      </c>
      <c r="AT4">
        <v>221.6</v>
      </c>
      <c r="AU4" t="s">
        <v>3</v>
      </c>
      <c r="AV4">
        <v>1</v>
      </c>
      <c r="AW4">
        <v>2</v>
      </c>
      <c r="AX4">
        <v>49708226</v>
      </c>
      <c r="AY4">
        <v>1</v>
      </c>
      <c r="AZ4">
        <v>0</v>
      </c>
      <c r="BA4">
        <v>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CX4">
        <f>Y4*Source!I29</f>
        <v>14.404</v>
      </c>
      <c r="CY4">
        <f>AD4</f>
        <v>0</v>
      </c>
      <c r="CZ4">
        <f>AH4</f>
        <v>0</v>
      </c>
      <c r="DA4">
        <f>AL4</f>
        <v>1</v>
      </c>
      <c r="DB4">
        <f t="shared" si="0"/>
        <v>0</v>
      </c>
      <c r="DC4">
        <f t="shared" si="1"/>
        <v>0</v>
      </c>
    </row>
    <row r="5" spans="1:107" x14ac:dyDescent="0.2">
      <c r="A5">
        <f>ROW(Source!A30)</f>
        <v>30</v>
      </c>
      <c r="B5">
        <v>49707740</v>
      </c>
      <c r="C5">
        <v>49708227</v>
      </c>
      <c r="D5">
        <v>48326108</v>
      </c>
      <c r="E5">
        <v>27</v>
      </c>
      <c r="F5">
        <v>1</v>
      </c>
      <c r="G5">
        <v>27</v>
      </c>
      <c r="H5">
        <v>1</v>
      </c>
      <c r="I5" t="s">
        <v>293</v>
      </c>
      <c r="J5" t="s">
        <v>3</v>
      </c>
      <c r="K5" t="s">
        <v>294</v>
      </c>
      <c r="L5">
        <v>1191</v>
      </c>
      <c r="N5">
        <v>1013</v>
      </c>
      <c r="O5" t="s">
        <v>295</v>
      </c>
      <c r="P5" t="s">
        <v>295</v>
      </c>
      <c r="Q5">
        <v>1</v>
      </c>
      <c r="W5">
        <v>0</v>
      </c>
      <c r="X5">
        <v>476480486</v>
      </c>
      <c r="Y5">
        <v>0.65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1</v>
      </c>
      <c r="AK5">
        <v>1</v>
      </c>
      <c r="AL5">
        <v>1</v>
      </c>
      <c r="AN5">
        <v>0</v>
      </c>
      <c r="AO5">
        <v>1</v>
      </c>
      <c r="AP5">
        <v>0</v>
      </c>
      <c r="AQ5">
        <v>0</v>
      </c>
      <c r="AR5">
        <v>0</v>
      </c>
      <c r="AS5" t="s">
        <v>3</v>
      </c>
      <c r="AT5">
        <v>0.65</v>
      </c>
      <c r="AU5" t="s">
        <v>3</v>
      </c>
      <c r="AV5">
        <v>1</v>
      </c>
      <c r="AW5">
        <v>2</v>
      </c>
      <c r="AX5">
        <v>49708230</v>
      </c>
      <c r="AY5">
        <v>1</v>
      </c>
      <c r="AZ5">
        <v>6144</v>
      </c>
      <c r="BA5">
        <v>5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CX5">
        <f>Y5*Source!I30</f>
        <v>4.2250000000000003E-2</v>
      </c>
      <c r="CY5">
        <f>AD5</f>
        <v>0</v>
      </c>
      <c r="CZ5">
        <f>AH5</f>
        <v>0</v>
      </c>
      <c r="DA5">
        <f>AL5</f>
        <v>1</v>
      </c>
      <c r="DB5">
        <f t="shared" si="0"/>
        <v>0</v>
      </c>
      <c r="DC5">
        <f t="shared" si="1"/>
        <v>0</v>
      </c>
    </row>
    <row r="6" spans="1:107" x14ac:dyDescent="0.2">
      <c r="A6">
        <f>ROW(Source!A30)</f>
        <v>30</v>
      </c>
      <c r="B6">
        <v>49707740</v>
      </c>
      <c r="C6">
        <v>49708227</v>
      </c>
      <c r="D6">
        <v>48338291</v>
      </c>
      <c r="E6">
        <v>1</v>
      </c>
      <c r="F6">
        <v>1</v>
      </c>
      <c r="G6">
        <v>27</v>
      </c>
      <c r="H6">
        <v>2</v>
      </c>
      <c r="I6" t="s">
        <v>303</v>
      </c>
      <c r="J6" t="s">
        <v>304</v>
      </c>
      <c r="K6" t="s">
        <v>305</v>
      </c>
      <c r="L6">
        <v>1368</v>
      </c>
      <c r="N6">
        <v>1011</v>
      </c>
      <c r="O6" t="s">
        <v>299</v>
      </c>
      <c r="P6" t="s">
        <v>299</v>
      </c>
      <c r="Q6">
        <v>1</v>
      </c>
      <c r="W6">
        <v>0</v>
      </c>
      <c r="X6">
        <v>-273351582</v>
      </c>
      <c r="Y6">
        <v>0.54</v>
      </c>
      <c r="AA6">
        <v>0</v>
      </c>
      <c r="AB6">
        <v>2268.84</v>
      </c>
      <c r="AC6">
        <v>849.67</v>
      </c>
      <c r="AD6">
        <v>0</v>
      </c>
      <c r="AE6">
        <v>0</v>
      </c>
      <c r="AF6">
        <v>2268.84</v>
      </c>
      <c r="AG6">
        <v>849.67</v>
      </c>
      <c r="AH6">
        <v>0</v>
      </c>
      <c r="AI6">
        <v>1</v>
      </c>
      <c r="AJ6">
        <v>1</v>
      </c>
      <c r="AK6">
        <v>1</v>
      </c>
      <c r="AL6">
        <v>1</v>
      </c>
      <c r="AN6">
        <v>0</v>
      </c>
      <c r="AO6">
        <v>1</v>
      </c>
      <c r="AP6">
        <v>0</v>
      </c>
      <c r="AQ6">
        <v>0</v>
      </c>
      <c r="AR6">
        <v>0</v>
      </c>
      <c r="AS6" t="s">
        <v>3</v>
      </c>
      <c r="AT6">
        <v>0.54</v>
      </c>
      <c r="AU6" t="s">
        <v>3</v>
      </c>
      <c r="AV6">
        <v>0</v>
      </c>
      <c r="AW6">
        <v>1</v>
      </c>
      <c r="AX6">
        <v>-1</v>
      </c>
      <c r="AY6">
        <v>0</v>
      </c>
      <c r="AZ6">
        <v>0</v>
      </c>
      <c r="BA6" t="s">
        <v>3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CX6">
        <f>Y6*Source!I30</f>
        <v>3.5100000000000006E-2</v>
      </c>
      <c r="CY6">
        <f>AB6</f>
        <v>2268.84</v>
      </c>
      <c r="CZ6">
        <f>AF6</f>
        <v>2268.84</v>
      </c>
      <c r="DA6">
        <f>AJ6</f>
        <v>1</v>
      </c>
      <c r="DB6">
        <f t="shared" si="0"/>
        <v>1225.17</v>
      </c>
      <c r="DC6">
        <f t="shared" si="1"/>
        <v>458.82</v>
      </c>
    </row>
    <row r="7" spans="1:107" x14ac:dyDescent="0.2">
      <c r="A7">
        <f>ROW(Source!A31)</f>
        <v>31</v>
      </c>
      <c r="B7">
        <v>49707740</v>
      </c>
      <c r="C7">
        <v>49708231</v>
      </c>
      <c r="D7">
        <v>48339078</v>
      </c>
      <c r="E7">
        <v>1</v>
      </c>
      <c r="F7">
        <v>1</v>
      </c>
      <c r="G7">
        <v>27</v>
      </c>
      <c r="H7">
        <v>2</v>
      </c>
      <c r="I7" t="s">
        <v>306</v>
      </c>
      <c r="J7" t="s">
        <v>307</v>
      </c>
      <c r="K7" t="s">
        <v>308</v>
      </c>
      <c r="L7">
        <v>1368</v>
      </c>
      <c r="N7">
        <v>1011</v>
      </c>
      <c r="O7" t="s">
        <v>299</v>
      </c>
      <c r="P7" t="s">
        <v>299</v>
      </c>
      <c r="Q7">
        <v>1</v>
      </c>
      <c r="W7">
        <v>0</v>
      </c>
      <c r="X7">
        <v>-1786200580</v>
      </c>
      <c r="Y7">
        <v>3.1E-2</v>
      </c>
      <c r="AA7">
        <v>0</v>
      </c>
      <c r="AB7">
        <v>1014.12</v>
      </c>
      <c r="AC7">
        <v>317.13</v>
      </c>
      <c r="AD7">
        <v>0</v>
      </c>
      <c r="AE7">
        <v>0</v>
      </c>
      <c r="AF7">
        <v>1014.12</v>
      </c>
      <c r="AG7">
        <v>317.13</v>
      </c>
      <c r="AH7">
        <v>0</v>
      </c>
      <c r="AI7">
        <v>1</v>
      </c>
      <c r="AJ7">
        <v>1</v>
      </c>
      <c r="AK7">
        <v>1</v>
      </c>
      <c r="AL7">
        <v>1</v>
      </c>
      <c r="AN7">
        <v>0</v>
      </c>
      <c r="AO7">
        <v>1</v>
      </c>
      <c r="AP7">
        <v>0</v>
      </c>
      <c r="AQ7">
        <v>0</v>
      </c>
      <c r="AR7">
        <v>0</v>
      </c>
      <c r="AS7" t="s">
        <v>3</v>
      </c>
      <c r="AT7">
        <v>3.1E-2</v>
      </c>
      <c r="AU7" t="s">
        <v>3</v>
      </c>
      <c r="AV7">
        <v>0</v>
      </c>
      <c r="AW7">
        <v>2</v>
      </c>
      <c r="AX7">
        <v>49708235</v>
      </c>
      <c r="AY7">
        <v>1</v>
      </c>
      <c r="AZ7">
        <v>0</v>
      </c>
      <c r="BA7">
        <v>6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CX7">
        <f>Y7*Source!I31</f>
        <v>2.0150000000000001</v>
      </c>
      <c r="CY7">
        <f>AB7</f>
        <v>1014.12</v>
      </c>
      <c r="CZ7">
        <f>AF7</f>
        <v>1014.12</v>
      </c>
      <c r="DA7">
        <f>AJ7</f>
        <v>1</v>
      </c>
      <c r="DB7">
        <f t="shared" si="0"/>
        <v>31.44</v>
      </c>
      <c r="DC7">
        <f t="shared" si="1"/>
        <v>9.83</v>
      </c>
    </row>
    <row r="8" spans="1:107" x14ac:dyDescent="0.2">
      <c r="A8">
        <f>ROW(Source!A32)</f>
        <v>32</v>
      </c>
      <c r="B8">
        <v>49707740</v>
      </c>
      <c r="C8">
        <v>49708236</v>
      </c>
      <c r="D8">
        <v>48339078</v>
      </c>
      <c r="E8">
        <v>1</v>
      </c>
      <c r="F8">
        <v>1</v>
      </c>
      <c r="G8">
        <v>27</v>
      </c>
      <c r="H8">
        <v>2</v>
      </c>
      <c r="I8" t="s">
        <v>306</v>
      </c>
      <c r="J8" t="s">
        <v>307</v>
      </c>
      <c r="K8" t="s">
        <v>308</v>
      </c>
      <c r="L8">
        <v>1368</v>
      </c>
      <c r="N8">
        <v>1011</v>
      </c>
      <c r="O8" t="s">
        <v>299</v>
      </c>
      <c r="P8" t="s">
        <v>299</v>
      </c>
      <c r="Q8">
        <v>1</v>
      </c>
      <c r="W8">
        <v>0</v>
      </c>
      <c r="X8">
        <v>-1786200580</v>
      </c>
      <c r="Y8">
        <v>0.56000000000000005</v>
      </c>
      <c r="AA8">
        <v>0</v>
      </c>
      <c r="AB8">
        <v>1014.12</v>
      </c>
      <c r="AC8">
        <v>317.13</v>
      </c>
      <c r="AD8">
        <v>0</v>
      </c>
      <c r="AE8">
        <v>0</v>
      </c>
      <c r="AF8">
        <v>1014.12</v>
      </c>
      <c r="AG8">
        <v>317.13</v>
      </c>
      <c r="AH8">
        <v>0</v>
      </c>
      <c r="AI8">
        <v>1</v>
      </c>
      <c r="AJ8">
        <v>1</v>
      </c>
      <c r="AK8">
        <v>1</v>
      </c>
      <c r="AL8">
        <v>1</v>
      </c>
      <c r="AN8">
        <v>0</v>
      </c>
      <c r="AO8">
        <v>1</v>
      </c>
      <c r="AP8">
        <v>1</v>
      </c>
      <c r="AQ8">
        <v>0</v>
      </c>
      <c r="AR8">
        <v>0</v>
      </c>
      <c r="AS8" t="s">
        <v>3</v>
      </c>
      <c r="AT8">
        <v>0.01</v>
      </c>
      <c r="AU8" t="s">
        <v>53</v>
      </c>
      <c r="AV8">
        <v>0</v>
      </c>
      <c r="AW8">
        <v>2</v>
      </c>
      <c r="AX8">
        <v>49708238</v>
      </c>
      <c r="AY8">
        <v>1</v>
      </c>
      <c r="AZ8">
        <v>0</v>
      </c>
      <c r="BA8">
        <v>7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CX8">
        <f>Y8*Source!I32</f>
        <v>36.400000000000006</v>
      </c>
      <c r="CY8">
        <f>AB8</f>
        <v>1014.12</v>
      </c>
      <c r="CZ8">
        <f>AF8</f>
        <v>1014.12</v>
      </c>
      <c r="DA8">
        <f>AJ8</f>
        <v>1</v>
      </c>
      <c r="DB8">
        <f>ROUND((ROUND(AT8*CZ8,2)*56),6)</f>
        <v>567.84</v>
      </c>
      <c r="DC8">
        <f>ROUND((ROUND(AT8*AG8,2)*56),6)</f>
        <v>177.52</v>
      </c>
    </row>
    <row r="9" spans="1:107" x14ac:dyDescent="0.2">
      <c r="A9">
        <f>ROW(Source!A34)</f>
        <v>34</v>
      </c>
      <c r="B9">
        <v>49707740</v>
      </c>
      <c r="C9">
        <v>49708240</v>
      </c>
      <c r="D9">
        <v>48326108</v>
      </c>
      <c r="E9">
        <v>27</v>
      </c>
      <c r="F9">
        <v>1</v>
      </c>
      <c r="G9">
        <v>27</v>
      </c>
      <c r="H9">
        <v>1</v>
      </c>
      <c r="I9" t="s">
        <v>293</v>
      </c>
      <c r="J9" t="s">
        <v>3</v>
      </c>
      <c r="K9" t="s">
        <v>294</v>
      </c>
      <c r="L9">
        <v>1191</v>
      </c>
      <c r="N9">
        <v>1013</v>
      </c>
      <c r="O9" t="s">
        <v>295</v>
      </c>
      <c r="P9" t="s">
        <v>295</v>
      </c>
      <c r="Q9">
        <v>1</v>
      </c>
      <c r="W9">
        <v>0</v>
      </c>
      <c r="X9">
        <v>476480486</v>
      </c>
      <c r="Y9">
        <v>16.559999999999999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1</v>
      </c>
      <c r="AK9">
        <v>1</v>
      </c>
      <c r="AL9">
        <v>1</v>
      </c>
      <c r="AN9">
        <v>0</v>
      </c>
      <c r="AO9">
        <v>1</v>
      </c>
      <c r="AP9">
        <v>0</v>
      </c>
      <c r="AQ9">
        <v>0</v>
      </c>
      <c r="AR9">
        <v>0</v>
      </c>
      <c r="AS9" t="s">
        <v>3</v>
      </c>
      <c r="AT9">
        <v>16.559999999999999</v>
      </c>
      <c r="AU9" t="s">
        <v>3</v>
      </c>
      <c r="AV9">
        <v>1</v>
      </c>
      <c r="AW9">
        <v>2</v>
      </c>
      <c r="AX9">
        <v>49708265</v>
      </c>
      <c r="AY9">
        <v>1</v>
      </c>
      <c r="AZ9">
        <v>0</v>
      </c>
      <c r="BA9">
        <v>8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CX9">
        <f>Y9*Source!I34</f>
        <v>4.3056000000000001</v>
      </c>
      <c r="CY9">
        <f>AD9</f>
        <v>0</v>
      </c>
      <c r="CZ9">
        <f>AH9</f>
        <v>0</v>
      </c>
      <c r="DA9">
        <f>AL9</f>
        <v>1</v>
      </c>
      <c r="DB9">
        <f t="shared" ref="DB9:DB55" si="2">ROUND(ROUND(AT9*CZ9,2),6)</f>
        <v>0</v>
      </c>
      <c r="DC9">
        <f t="shared" ref="DC9:DC55" si="3">ROUND(ROUND(AT9*AG9,2),6)</f>
        <v>0</v>
      </c>
    </row>
    <row r="10" spans="1:107" x14ac:dyDescent="0.2">
      <c r="A10">
        <f>ROW(Source!A34)</f>
        <v>34</v>
      </c>
      <c r="B10">
        <v>49707740</v>
      </c>
      <c r="C10">
        <v>49708240</v>
      </c>
      <c r="D10">
        <v>48338323</v>
      </c>
      <c r="E10">
        <v>1</v>
      </c>
      <c r="F10">
        <v>1</v>
      </c>
      <c r="G10">
        <v>27</v>
      </c>
      <c r="H10">
        <v>2</v>
      </c>
      <c r="I10" t="s">
        <v>309</v>
      </c>
      <c r="J10" t="s">
        <v>310</v>
      </c>
      <c r="K10" t="s">
        <v>311</v>
      </c>
      <c r="L10">
        <v>1368</v>
      </c>
      <c r="N10">
        <v>1011</v>
      </c>
      <c r="O10" t="s">
        <v>299</v>
      </c>
      <c r="P10" t="s">
        <v>299</v>
      </c>
      <c r="Q10">
        <v>1</v>
      </c>
      <c r="W10">
        <v>0</v>
      </c>
      <c r="X10">
        <v>-714750861</v>
      </c>
      <c r="Y10">
        <v>2.08</v>
      </c>
      <c r="AA10">
        <v>0</v>
      </c>
      <c r="AB10">
        <v>740.94</v>
      </c>
      <c r="AC10">
        <v>413.22</v>
      </c>
      <c r="AD10">
        <v>0</v>
      </c>
      <c r="AE10">
        <v>0</v>
      </c>
      <c r="AF10">
        <v>740.94</v>
      </c>
      <c r="AG10">
        <v>413.22</v>
      </c>
      <c r="AH10">
        <v>0</v>
      </c>
      <c r="AI10">
        <v>1</v>
      </c>
      <c r="AJ10">
        <v>1</v>
      </c>
      <c r="AK10">
        <v>1</v>
      </c>
      <c r="AL10">
        <v>1</v>
      </c>
      <c r="AN10">
        <v>0</v>
      </c>
      <c r="AO10">
        <v>1</v>
      </c>
      <c r="AP10">
        <v>0</v>
      </c>
      <c r="AQ10">
        <v>0</v>
      </c>
      <c r="AR10">
        <v>0</v>
      </c>
      <c r="AS10" t="s">
        <v>3</v>
      </c>
      <c r="AT10">
        <v>2.08</v>
      </c>
      <c r="AU10" t="s">
        <v>3</v>
      </c>
      <c r="AV10">
        <v>0</v>
      </c>
      <c r="AW10">
        <v>2</v>
      </c>
      <c r="AX10">
        <v>49708266</v>
      </c>
      <c r="AY10">
        <v>1</v>
      </c>
      <c r="AZ10">
        <v>0</v>
      </c>
      <c r="BA10">
        <v>9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CX10">
        <f>Y10*Source!I34</f>
        <v>0.54080000000000006</v>
      </c>
      <c r="CY10">
        <f>AB10</f>
        <v>740.94</v>
      </c>
      <c r="CZ10">
        <f>AF10</f>
        <v>740.94</v>
      </c>
      <c r="DA10">
        <f>AJ10</f>
        <v>1</v>
      </c>
      <c r="DB10">
        <f t="shared" si="2"/>
        <v>1541.16</v>
      </c>
      <c r="DC10">
        <f t="shared" si="3"/>
        <v>859.5</v>
      </c>
    </row>
    <row r="11" spans="1:107" x14ac:dyDescent="0.2">
      <c r="A11">
        <f>ROW(Source!A34)</f>
        <v>34</v>
      </c>
      <c r="B11">
        <v>49707740</v>
      </c>
      <c r="C11">
        <v>49708240</v>
      </c>
      <c r="D11">
        <v>48338478</v>
      </c>
      <c r="E11">
        <v>1</v>
      </c>
      <c r="F11">
        <v>1</v>
      </c>
      <c r="G11">
        <v>27</v>
      </c>
      <c r="H11">
        <v>2</v>
      </c>
      <c r="I11" t="s">
        <v>312</v>
      </c>
      <c r="J11" t="s">
        <v>313</v>
      </c>
      <c r="K11" t="s">
        <v>314</v>
      </c>
      <c r="L11">
        <v>1368</v>
      </c>
      <c r="N11">
        <v>1011</v>
      </c>
      <c r="O11" t="s">
        <v>299</v>
      </c>
      <c r="P11" t="s">
        <v>299</v>
      </c>
      <c r="Q11">
        <v>1</v>
      </c>
      <c r="W11">
        <v>0</v>
      </c>
      <c r="X11">
        <v>1985690002</v>
      </c>
      <c r="Y11">
        <v>2.08</v>
      </c>
      <c r="AA11">
        <v>0</v>
      </c>
      <c r="AB11">
        <v>430.32</v>
      </c>
      <c r="AC11">
        <v>215.31</v>
      </c>
      <c r="AD11">
        <v>0</v>
      </c>
      <c r="AE11">
        <v>0</v>
      </c>
      <c r="AF11">
        <v>430.32</v>
      </c>
      <c r="AG11">
        <v>215.31</v>
      </c>
      <c r="AH11">
        <v>0</v>
      </c>
      <c r="AI11">
        <v>1</v>
      </c>
      <c r="AJ11">
        <v>1</v>
      </c>
      <c r="AK11">
        <v>1</v>
      </c>
      <c r="AL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 t="s">
        <v>3</v>
      </c>
      <c r="AT11">
        <v>2.08</v>
      </c>
      <c r="AU11" t="s">
        <v>3</v>
      </c>
      <c r="AV11">
        <v>0</v>
      </c>
      <c r="AW11">
        <v>2</v>
      </c>
      <c r="AX11">
        <v>49708267</v>
      </c>
      <c r="AY11">
        <v>1</v>
      </c>
      <c r="AZ11">
        <v>0</v>
      </c>
      <c r="BA11">
        <v>10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CX11">
        <f>Y11*Source!I34</f>
        <v>0.54080000000000006</v>
      </c>
      <c r="CY11">
        <f>AB11</f>
        <v>430.32</v>
      </c>
      <c r="CZ11">
        <f>AF11</f>
        <v>430.32</v>
      </c>
      <c r="DA11">
        <f>AJ11</f>
        <v>1</v>
      </c>
      <c r="DB11">
        <f t="shared" si="2"/>
        <v>895.07</v>
      </c>
      <c r="DC11">
        <f t="shared" si="3"/>
        <v>447.84</v>
      </c>
    </row>
    <row r="12" spans="1:107" x14ac:dyDescent="0.2">
      <c r="A12">
        <f>ROW(Source!A34)</f>
        <v>34</v>
      </c>
      <c r="B12">
        <v>49707740</v>
      </c>
      <c r="C12">
        <v>49708240</v>
      </c>
      <c r="D12">
        <v>48338481</v>
      </c>
      <c r="E12">
        <v>1</v>
      </c>
      <c r="F12">
        <v>1</v>
      </c>
      <c r="G12">
        <v>27</v>
      </c>
      <c r="H12">
        <v>2</v>
      </c>
      <c r="I12" t="s">
        <v>315</v>
      </c>
      <c r="J12" t="s">
        <v>316</v>
      </c>
      <c r="K12" t="s">
        <v>317</v>
      </c>
      <c r="L12">
        <v>1368</v>
      </c>
      <c r="N12">
        <v>1011</v>
      </c>
      <c r="O12" t="s">
        <v>299</v>
      </c>
      <c r="P12" t="s">
        <v>299</v>
      </c>
      <c r="Q12">
        <v>1</v>
      </c>
      <c r="W12">
        <v>0</v>
      </c>
      <c r="X12">
        <v>351519474</v>
      </c>
      <c r="Y12">
        <v>0.81</v>
      </c>
      <c r="AA12">
        <v>0</v>
      </c>
      <c r="AB12">
        <v>2020.59</v>
      </c>
      <c r="AC12">
        <v>458.56</v>
      </c>
      <c r="AD12">
        <v>0</v>
      </c>
      <c r="AE12">
        <v>0</v>
      </c>
      <c r="AF12">
        <v>2020.59</v>
      </c>
      <c r="AG12">
        <v>458.56</v>
      </c>
      <c r="AH12">
        <v>0</v>
      </c>
      <c r="AI12">
        <v>1</v>
      </c>
      <c r="AJ12">
        <v>1</v>
      </c>
      <c r="AK12">
        <v>1</v>
      </c>
      <c r="AL12">
        <v>1</v>
      </c>
      <c r="AN12">
        <v>0</v>
      </c>
      <c r="AO12">
        <v>1</v>
      </c>
      <c r="AP12">
        <v>0</v>
      </c>
      <c r="AQ12">
        <v>0</v>
      </c>
      <c r="AR12">
        <v>0</v>
      </c>
      <c r="AS12" t="s">
        <v>3</v>
      </c>
      <c r="AT12">
        <v>0.81</v>
      </c>
      <c r="AU12" t="s">
        <v>3</v>
      </c>
      <c r="AV12">
        <v>0</v>
      </c>
      <c r="AW12">
        <v>2</v>
      </c>
      <c r="AX12">
        <v>49708268</v>
      </c>
      <c r="AY12">
        <v>1</v>
      </c>
      <c r="AZ12">
        <v>0</v>
      </c>
      <c r="BA12">
        <v>11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CX12">
        <f>Y12*Source!I34</f>
        <v>0.21060000000000001</v>
      </c>
      <c r="CY12">
        <f>AB12</f>
        <v>2020.59</v>
      </c>
      <c r="CZ12">
        <f>AF12</f>
        <v>2020.59</v>
      </c>
      <c r="DA12">
        <f>AJ12</f>
        <v>1</v>
      </c>
      <c r="DB12">
        <f t="shared" si="2"/>
        <v>1636.68</v>
      </c>
      <c r="DC12">
        <f t="shared" si="3"/>
        <v>371.43</v>
      </c>
    </row>
    <row r="13" spans="1:107" x14ac:dyDescent="0.2">
      <c r="A13">
        <f>ROW(Source!A34)</f>
        <v>34</v>
      </c>
      <c r="B13">
        <v>49707740</v>
      </c>
      <c r="C13">
        <v>49708240</v>
      </c>
      <c r="D13">
        <v>48338505</v>
      </c>
      <c r="E13">
        <v>1</v>
      </c>
      <c r="F13">
        <v>1</v>
      </c>
      <c r="G13">
        <v>27</v>
      </c>
      <c r="H13">
        <v>2</v>
      </c>
      <c r="I13" t="s">
        <v>318</v>
      </c>
      <c r="J13" t="s">
        <v>319</v>
      </c>
      <c r="K13" t="s">
        <v>320</v>
      </c>
      <c r="L13">
        <v>1368</v>
      </c>
      <c r="N13">
        <v>1011</v>
      </c>
      <c r="O13" t="s">
        <v>299</v>
      </c>
      <c r="P13" t="s">
        <v>299</v>
      </c>
      <c r="Q13">
        <v>1</v>
      </c>
      <c r="W13">
        <v>0</v>
      </c>
      <c r="X13">
        <v>41279402</v>
      </c>
      <c r="Y13">
        <v>1.94</v>
      </c>
      <c r="AA13">
        <v>0</v>
      </c>
      <c r="AB13">
        <v>1412.71</v>
      </c>
      <c r="AC13">
        <v>641.32000000000005</v>
      </c>
      <c r="AD13">
        <v>0</v>
      </c>
      <c r="AE13">
        <v>0</v>
      </c>
      <c r="AF13">
        <v>1412.71</v>
      </c>
      <c r="AG13">
        <v>641.32000000000005</v>
      </c>
      <c r="AH13">
        <v>0</v>
      </c>
      <c r="AI13">
        <v>1</v>
      </c>
      <c r="AJ13">
        <v>1</v>
      </c>
      <c r="AK13">
        <v>1</v>
      </c>
      <c r="AL13">
        <v>1</v>
      </c>
      <c r="AN13">
        <v>0</v>
      </c>
      <c r="AO13">
        <v>1</v>
      </c>
      <c r="AP13">
        <v>0</v>
      </c>
      <c r="AQ13">
        <v>0</v>
      </c>
      <c r="AR13">
        <v>0</v>
      </c>
      <c r="AS13" t="s">
        <v>3</v>
      </c>
      <c r="AT13">
        <v>1.94</v>
      </c>
      <c r="AU13" t="s">
        <v>3</v>
      </c>
      <c r="AV13">
        <v>0</v>
      </c>
      <c r="AW13">
        <v>2</v>
      </c>
      <c r="AX13">
        <v>49708269</v>
      </c>
      <c r="AY13">
        <v>1</v>
      </c>
      <c r="AZ13">
        <v>0</v>
      </c>
      <c r="BA13">
        <v>12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CX13">
        <f>Y13*Source!I34</f>
        <v>0.50439999999999996</v>
      </c>
      <c r="CY13">
        <f>AB13</f>
        <v>1412.71</v>
      </c>
      <c r="CZ13">
        <f>AF13</f>
        <v>1412.71</v>
      </c>
      <c r="DA13">
        <f>AJ13</f>
        <v>1</v>
      </c>
      <c r="DB13">
        <f t="shared" si="2"/>
        <v>2740.66</v>
      </c>
      <c r="DC13">
        <f t="shared" si="3"/>
        <v>1244.1600000000001</v>
      </c>
    </row>
    <row r="14" spans="1:107" x14ac:dyDescent="0.2">
      <c r="A14">
        <f>ROW(Source!A34)</f>
        <v>34</v>
      </c>
      <c r="B14">
        <v>49707740</v>
      </c>
      <c r="C14">
        <v>49708240</v>
      </c>
      <c r="D14">
        <v>48338471</v>
      </c>
      <c r="E14">
        <v>1</v>
      </c>
      <c r="F14">
        <v>1</v>
      </c>
      <c r="G14">
        <v>27</v>
      </c>
      <c r="H14">
        <v>2</v>
      </c>
      <c r="I14" t="s">
        <v>321</v>
      </c>
      <c r="J14" t="s">
        <v>322</v>
      </c>
      <c r="K14" t="s">
        <v>323</v>
      </c>
      <c r="L14">
        <v>1368</v>
      </c>
      <c r="N14">
        <v>1011</v>
      </c>
      <c r="O14" t="s">
        <v>299</v>
      </c>
      <c r="P14" t="s">
        <v>299</v>
      </c>
      <c r="Q14">
        <v>1</v>
      </c>
      <c r="W14">
        <v>0</v>
      </c>
      <c r="X14">
        <v>-1991511797</v>
      </c>
      <c r="Y14">
        <v>0.65</v>
      </c>
      <c r="AA14">
        <v>0</v>
      </c>
      <c r="AB14">
        <v>1213.3399999999999</v>
      </c>
      <c r="AC14">
        <v>461.6</v>
      </c>
      <c r="AD14">
        <v>0</v>
      </c>
      <c r="AE14">
        <v>0</v>
      </c>
      <c r="AF14">
        <v>1213.3399999999999</v>
      </c>
      <c r="AG14">
        <v>461.6</v>
      </c>
      <c r="AH14">
        <v>0</v>
      </c>
      <c r="AI14">
        <v>1</v>
      </c>
      <c r="AJ14">
        <v>1</v>
      </c>
      <c r="AK14">
        <v>1</v>
      </c>
      <c r="AL14">
        <v>1</v>
      </c>
      <c r="AN14">
        <v>0</v>
      </c>
      <c r="AO14">
        <v>1</v>
      </c>
      <c r="AP14">
        <v>0</v>
      </c>
      <c r="AQ14">
        <v>0</v>
      </c>
      <c r="AR14">
        <v>0</v>
      </c>
      <c r="AS14" t="s">
        <v>3</v>
      </c>
      <c r="AT14">
        <v>0.65</v>
      </c>
      <c r="AU14" t="s">
        <v>3</v>
      </c>
      <c r="AV14">
        <v>0</v>
      </c>
      <c r="AW14">
        <v>2</v>
      </c>
      <c r="AX14">
        <v>49708270</v>
      </c>
      <c r="AY14">
        <v>1</v>
      </c>
      <c r="AZ14">
        <v>0</v>
      </c>
      <c r="BA14">
        <v>13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CX14">
        <f>Y14*Source!I34</f>
        <v>0.16900000000000001</v>
      </c>
      <c r="CY14">
        <f>AB14</f>
        <v>1213.3399999999999</v>
      </c>
      <c r="CZ14">
        <f>AF14</f>
        <v>1213.3399999999999</v>
      </c>
      <c r="DA14">
        <f>AJ14</f>
        <v>1</v>
      </c>
      <c r="DB14">
        <f t="shared" si="2"/>
        <v>788.67</v>
      </c>
      <c r="DC14">
        <f t="shared" si="3"/>
        <v>300.04000000000002</v>
      </c>
    </row>
    <row r="15" spans="1:107" x14ac:dyDescent="0.2">
      <c r="A15">
        <f>ROW(Source!A34)</f>
        <v>34</v>
      </c>
      <c r="B15">
        <v>49707740</v>
      </c>
      <c r="C15">
        <v>49708240</v>
      </c>
      <c r="D15">
        <v>48340433</v>
      </c>
      <c r="E15">
        <v>1</v>
      </c>
      <c r="F15">
        <v>1</v>
      </c>
      <c r="G15">
        <v>27</v>
      </c>
      <c r="H15">
        <v>3</v>
      </c>
      <c r="I15" t="s">
        <v>324</v>
      </c>
      <c r="J15" t="s">
        <v>325</v>
      </c>
      <c r="K15" t="s">
        <v>326</v>
      </c>
      <c r="L15">
        <v>1339</v>
      </c>
      <c r="N15">
        <v>1007</v>
      </c>
      <c r="O15" t="s">
        <v>46</v>
      </c>
      <c r="P15" t="s">
        <v>46</v>
      </c>
      <c r="Q15">
        <v>1</v>
      </c>
      <c r="W15">
        <v>0</v>
      </c>
      <c r="X15">
        <v>-840107338</v>
      </c>
      <c r="Y15">
        <v>110</v>
      </c>
      <c r="AA15">
        <v>590.78</v>
      </c>
      <c r="AB15">
        <v>0</v>
      </c>
      <c r="AC15">
        <v>0</v>
      </c>
      <c r="AD15">
        <v>0</v>
      </c>
      <c r="AE15">
        <v>590.78</v>
      </c>
      <c r="AF15">
        <v>0</v>
      </c>
      <c r="AG15">
        <v>0</v>
      </c>
      <c r="AH15">
        <v>0</v>
      </c>
      <c r="AI15">
        <v>1</v>
      </c>
      <c r="AJ15">
        <v>1</v>
      </c>
      <c r="AK15">
        <v>1</v>
      </c>
      <c r="AL15">
        <v>1</v>
      </c>
      <c r="AN15">
        <v>0</v>
      </c>
      <c r="AO15">
        <v>1</v>
      </c>
      <c r="AP15">
        <v>0</v>
      </c>
      <c r="AQ15">
        <v>0</v>
      </c>
      <c r="AR15">
        <v>0</v>
      </c>
      <c r="AS15" t="s">
        <v>3</v>
      </c>
      <c r="AT15">
        <v>110</v>
      </c>
      <c r="AU15" t="s">
        <v>3</v>
      </c>
      <c r="AV15">
        <v>0</v>
      </c>
      <c r="AW15">
        <v>2</v>
      </c>
      <c r="AX15">
        <v>49708271</v>
      </c>
      <c r="AY15">
        <v>1</v>
      </c>
      <c r="AZ15">
        <v>0</v>
      </c>
      <c r="BA15">
        <v>14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CX15">
        <f>Y15*Source!I34</f>
        <v>28.6</v>
      </c>
      <c r="CY15">
        <f>AA15</f>
        <v>590.78</v>
      </c>
      <c r="CZ15">
        <f>AE15</f>
        <v>590.78</v>
      </c>
      <c r="DA15">
        <f>AI15</f>
        <v>1</v>
      </c>
      <c r="DB15">
        <f t="shared" si="2"/>
        <v>64985.8</v>
      </c>
      <c r="DC15">
        <f t="shared" si="3"/>
        <v>0</v>
      </c>
    </row>
    <row r="16" spans="1:107" x14ac:dyDescent="0.2">
      <c r="A16">
        <f>ROW(Source!A34)</f>
        <v>34</v>
      </c>
      <c r="B16">
        <v>49707740</v>
      </c>
      <c r="C16">
        <v>49708240</v>
      </c>
      <c r="D16">
        <v>48341179</v>
      </c>
      <c r="E16">
        <v>1</v>
      </c>
      <c r="F16">
        <v>1</v>
      </c>
      <c r="G16">
        <v>27</v>
      </c>
      <c r="H16">
        <v>3</v>
      </c>
      <c r="I16" t="s">
        <v>327</v>
      </c>
      <c r="J16" t="s">
        <v>328</v>
      </c>
      <c r="K16" t="s">
        <v>329</v>
      </c>
      <c r="L16">
        <v>1339</v>
      </c>
      <c r="N16">
        <v>1007</v>
      </c>
      <c r="O16" t="s">
        <v>46</v>
      </c>
      <c r="P16" t="s">
        <v>46</v>
      </c>
      <c r="Q16">
        <v>1</v>
      </c>
      <c r="W16">
        <v>0</v>
      </c>
      <c r="X16">
        <v>2028445372</v>
      </c>
      <c r="Y16">
        <v>5</v>
      </c>
      <c r="AA16">
        <v>35.25</v>
      </c>
      <c r="AB16">
        <v>0</v>
      </c>
      <c r="AC16">
        <v>0</v>
      </c>
      <c r="AD16">
        <v>0</v>
      </c>
      <c r="AE16">
        <v>35.25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1</v>
      </c>
      <c r="AL16">
        <v>1</v>
      </c>
      <c r="AN16">
        <v>0</v>
      </c>
      <c r="AO16">
        <v>1</v>
      </c>
      <c r="AP16">
        <v>0</v>
      </c>
      <c r="AQ16">
        <v>0</v>
      </c>
      <c r="AR16">
        <v>0</v>
      </c>
      <c r="AS16" t="s">
        <v>3</v>
      </c>
      <c r="AT16">
        <v>5</v>
      </c>
      <c r="AU16" t="s">
        <v>3</v>
      </c>
      <c r="AV16">
        <v>0</v>
      </c>
      <c r="AW16">
        <v>2</v>
      </c>
      <c r="AX16">
        <v>49708272</v>
      </c>
      <c r="AY16">
        <v>1</v>
      </c>
      <c r="AZ16">
        <v>0</v>
      </c>
      <c r="BA16">
        <v>15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CX16">
        <f>Y16*Source!I34</f>
        <v>1.3</v>
      </c>
      <c r="CY16">
        <f>AA16</f>
        <v>35.25</v>
      </c>
      <c r="CZ16">
        <f>AE16</f>
        <v>35.25</v>
      </c>
      <c r="DA16">
        <f>AI16</f>
        <v>1</v>
      </c>
      <c r="DB16">
        <f t="shared" si="2"/>
        <v>176.25</v>
      </c>
      <c r="DC16">
        <f t="shared" si="3"/>
        <v>0</v>
      </c>
    </row>
    <row r="17" spans="1:107" x14ac:dyDescent="0.2">
      <c r="A17">
        <f>ROW(Source!A35)</f>
        <v>35</v>
      </c>
      <c r="B17">
        <v>49707740</v>
      </c>
      <c r="C17">
        <v>49708273</v>
      </c>
      <c r="D17">
        <v>48326108</v>
      </c>
      <c r="E17">
        <v>27</v>
      </c>
      <c r="F17">
        <v>1</v>
      </c>
      <c r="G17">
        <v>27</v>
      </c>
      <c r="H17">
        <v>1</v>
      </c>
      <c r="I17" t="s">
        <v>293</v>
      </c>
      <c r="J17" t="s">
        <v>3</v>
      </c>
      <c r="K17" t="s">
        <v>294</v>
      </c>
      <c r="L17">
        <v>1191</v>
      </c>
      <c r="N17">
        <v>1013</v>
      </c>
      <c r="O17" t="s">
        <v>295</v>
      </c>
      <c r="P17" t="s">
        <v>295</v>
      </c>
      <c r="Q17">
        <v>1</v>
      </c>
      <c r="W17">
        <v>0</v>
      </c>
      <c r="X17">
        <v>476480486</v>
      </c>
      <c r="Y17">
        <v>24.84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1</v>
      </c>
      <c r="AK17">
        <v>1</v>
      </c>
      <c r="AL17">
        <v>1</v>
      </c>
      <c r="AN17">
        <v>0</v>
      </c>
      <c r="AO17">
        <v>1</v>
      </c>
      <c r="AP17">
        <v>0</v>
      </c>
      <c r="AQ17">
        <v>0</v>
      </c>
      <c r="AR17">
        <v>0</v>
      </c>
      <c r="AS17" t="s">
        <v>3</v>
      </c>
      <c r="AT17">
        <v>24.84</v>
      </c>
      <c r="AU17" t="s">
        <v>3</v>
      </c>
      <c r="AV17">
        <v>1</v>
      </c>
      <c r="AW17">
        <v>2</v>
      </c>
      <c r="AX17">
        <v>49708301</v>
      </c>
      <c r="AY17">
        <v>1</v>
      </c>
      <c r="AZ17">
        <v>0</v>
      </c>
      <c r="BA17">
        <v>16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CX17">
        <f>Y17*Source!I35</f>
        <v>9.6875999999999998</v>
      </c>
      <c r="CY17">
        <f>AD17</f>
        <v>0</v>
      </c>
      <c r="CZ17">
        <f>AH17</f>
        <v>0</v>
      </c>
      <c r="DA17">
        <f>AL17</f>
        <v>1</v>
      </c>
      <c r="DB17">
        <f t="shared" si="2"/>
        <v>0</v>
      </c>
      <c r="DC17">
        <f t="shared" si="3"/>
        <v>0</v>
      </c>
    </row>
    <row r="18" spans="1:107" x14ac:dyDescent="0.2">
      <c r="A18">
        <f>ROW(Source!A35)</f>
        <v>35</v>
      </c>
      <c r="B18">
        <v>49707740</v>
      </c>
      <c r="C18">
        <v>49708273</v>
      </c>
      <c r="D18">
        <v>48338300</v>
      </c>
      <c r="E18">
        <v>1</v>
      </c>
      <c r="F18">
        <v>1</v>
      </c>
      <c r="G18">
        <v>27</v>
      </c>
      <c r="H18">
        <v>2</v>
      </c>
      <c r="I18" t="s">
        <v>330</v>
      </c>
      <c r="J18" t="s">
        <v>331</v>
      </c>
      <c r="K18" t="s">
        <v>332</v>
      </c>
      <c r="L18">
        <v>1368</v>
      </c>
      <c r="N18">
        <v>1011</v>
      </c>
      <c r="O18" t="s">
        <v>299</v>
      </c>
      <c r="P18" t="s">
        <v>299</v>
      </c>
      <c r="Q18">
        <v>1</v>
      </c>
      <c r="W18">
        <v>0</v>
      </c>
      <c r="X18">
        <v>974897901</v>
      </c>
      <c r="Y18">
        <v>2.94</v>
      </c>
      <c r="AA18">
        <v>0</v>
      </c>
      <c r="AB18">
        <v>956.79</v>
      </c>
      <c r="AC18">
        <v>359.44</v>
      </c>
      <c r="AD18">
        <v>0</v>
      </c>
      <c r="AE18">
        <v>0</v>
      </c>
      <c r="AF18">
        <v>956.79</v>
      </c>
      <c r="AG18">
        <v>359.44</v>
      </c>
      <c r="AH18">
        <v>0</v>
      </c>
      <c r="AI18">
        <v>1</v>
      </c>
      <c r="AJ18">
        <v>1</v>
      </c>
      <c r="AK18">
        <v>1</v>
      </c>
      <c r="AL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 t="s">
        <v>3</v>
      </c>
      <c r="AT18">
        <v>2.94</v>
      </c>
      <c r="AU18" t="s">
        <v>3</v>
      </c>
      <c r="AV18">
        <v>0</v>
      </c>
      <c r="AW18">
        <v>2</v>
      </c>
      <c r="AX18">
        <v>49708302</v>
      </c>
      <c r="AY18">
        <v>1</v>
      </c>
      <c r="AZ18">
        <v>0</v>
      </c>
      <c r="BA18">
        <v>17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CX18">
        <f>Y18*Source!I35</f>
        <v>1.1466000000000001</v>
      </c>
      <c r="CY18">
        <f t="shared" ref="CY18:CY23" si="4">AB18</f>
        <v>956.79</v>
      </c>
      <c r="CZ18">
        <f t="shared" ref="CZ18:CZ23" si="5">AF18</f>
        <v>956.79</v>
      </c>
      <c r="DA18">
        <f t="shared" ref="DA18:DA23" si="6">AJ18</f>
        <v>1</v>
      </c>
      <c r="DB18">
        <f t="shared" si="2"/>
        <v>2812.96</v>
      </c>
      <c r="DC18">
        <f t="shared" si="3"/>
        <v>1056.75</v>
      </c>
    </row>
    <row r="19" spans="1:107" x14ac:dyDescent="0.2">
      <c r="A19">
        <f>ROW(Source!A35)</f>
        <v>35</v>
      </c>
      <c r="B19">
        <v>49707740</v>
      </c>
      <c r="C19">
        <v>49708273</v>
      </c>
      <c r="D19">
        <v>48338481</v>
      </c>
      <c r="E19">
        <v>1</v>
      </c>
      <c r="F19">
        <v>1</v>
      </c>
      <c r="G19">
        <v>27</v>
      </c>
      <c r="H19">
        <v>2</v>
      </c>
      <c r="I19" t="s">
        <v>315</v>
      </c>
      <c r="J19" t="s">
        <v>316</v>
      </c>
      <c r="K19" t="s">
        <v>317</v>
      </c>
      <c r="L19">
        <v>1368</v>
      </c>
      <c r="N19">
        <v>1011</v>
      </c>
      <c r="O19" t="s">
        <v>299</v>
      </c>
      <c r="P19" t="s">
        <v>299</v>
      </c>
      <c r="Q19">
        <v>1</v>
      </c>
      <c r="W19">
        <v>0</v>
      </c>
      <c r="X19">
        <v>351519474</v>
      </c>
      <c r="Y19">
        <v>1.1399999999999999</v>
      </c>
      <c r="AA19">
        <v>0</v>
      </c>
      <c r="AB19">
        <v>2020.59</v>
      </c>
      <c r="AC19">
        <v>458.56</v>
      </c>
      <c r="AD19">
        <v>0</v>
      </c>
      <c r="AE19">
        <v>0</v>
      </c>
      <c r="AF19">
        <v>2020.59</v>
      </c>
      <c r="AG19">
        <v>458.56</v>
      </c>
      <c r="AH19">
        <v>0</v>
      </c>
      <c r="AI19">
        <v>1</v>
      </c>
      <c r="AJ19">
        <v>1</v>
      </c>
      <c r="AK19">
        <v>1</v>
      </c>
      <c r="AL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 t="s">
        <v>3</v>
      </c>
      <c r="AT19">
        <v>1.1399999999999999</v>
      </c>
      <c r="AU19" t="s">
        <v>3</v>
      </c>
      <c r="AV19">
        <v>0</v>
      </c>
      <c r="AW19">
        <v>2</v>
      </c>
      <c r="AX19">
        <v>49708303</v>
      </c>
      <c r="AY19">
        <v>1</v>
      </c>
      <c r="AZ19">
        <v>0</v>
      </c>
      <c r="BA19">
        <v>18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CX19">
        <f>Y19*Source!I35</f>
        <v>0.4446</v>
      </c>
      <c r="CY19">
        <f t="shared" si="4"/>
        <v>2020.59</v>
      </c>
      <c r="CZ19">
        <f t="shared" si="5"/>
        <v>2020.59</v>
      </c>
      <c r="DA19">
        <f t="shared" si="6"/>
        <v>1</v>
      </c>
      <c r="DB19">
        <f t="shared" si="2"/>
        <v>2303.4699999999998</v>
      </c>
      <c r="DC19">
        <f t="shared" si="3"/>
        <v>522.76</v>
      </c>
    </row>
    <row r="20" spans="1:107" x14ac:dyDescent="0.2">
      <c r="A20">
        <f>ROW(Source!A35)</f>
        <v>35</v>
      </c>
      <c r="B20">
        <v>49707740</v>
      </c>
      <c r="C20">
        <v>49708273</v>
      </c>
      <c r="D20">
        <v>48338466</v>
      </c>
      <c r="E20">
        <v>1</v>
      </c>
      <c r="F20">
        <v>1</v>
      </c>
      <c r="G20">
        <v>27</v>
      </c>
      <c r="H20">
        <v>2</v>
      </c>
      <c r="I20" t="s">
        <v>333</v>
      </c>
      <c r="J20" t="s">
        <v>334</v>
      </c>
      <c r="K20" t="s">
        <v>335</v>
      </c>
      <c r="L20">
        <v>1368</v>
      </c>
      <c r="N20">
        <v>1011</v>
      </c>
      <c r="O20" t="s">
        <v>299</v>
      </c>
      <c r="P20" t="s">
        <v>299</v>
      </c>
      <c r="Q20">
        <v>1</v>
      </c>
      <c r="W20">
        <v>0</v>
      </c>
      <c r="X20">
        <v>-1930120489</v>
      </c>
      <c r="Y20">
        <v>8.9600000000000009</v>
      </c>
      <c r="AA20">
        <v>0</v>
      </c>
      <c r="AB20">
        <v>1261.8699999999999</v>
      </c>
      <c r="AC20">
        <v>530.02</v>
      </c>
      <c r="AD20">
        <v>0</v>
      </c>
      <c r="AE20">
        <v>0</v>
      </c>
      <c r="AF20">
        <v>1261.8699999999999</v>
      </c>
      <c r="AG20">
        <v>530.02</v>
      </c>
      <c r="AH20">
        <v>0</v>
      </c>
      <c r="AI20">
        <v>1</v>
      </c>
      <c r="AJ20">
        <v>1</v>
      </c>
      <c r="AK20">
        <v>1</v>
      </c>
      <c r="AL20">
        <v>1</v>
      </c>
      <c r="AN20">
        <v>0</v>
      </c>
      <c r="AO20">
        <v>1</v>
      </c>
      <c r="AP20">
        <v>0</v>
      </c>
      <c r="AQ20">
        <v>0</v>
      </c>
      <c r="AR20">
        <v>0</v>
      </c>
      <c r="AS20" t="s">
        <v>3</v>
      </c>
      <c r="AT20">
        <v>8.9600000000000009</v>
      </c>
      <c r="AU20" t="s">
        <v>3</v>
      </c>
      <c r="AV20">
        <v>0</v>
      </c>
      <c r="AW20">
        <v>2</v>
      </c>
      <c r="AX20">
        <v>49708304</v>
      </c>
      <c r="AY20">
        <v>1</v>
      </c>
      <c r="AZ20">
        <v>0</v>
      </c>
      <c r="BA20">
        <v>19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CX20">
        <f>Y20*Source!I35</f>
        <v>3.4944000000000006</v>
      </c>
      <c r="CY20">
        <f t="shared" si="4"/>
        <v>1261.8699999999999</v>
      </c>
      <c r="CZ20">
        <f t="shared" si="5"/>
        <v>1261.8699999999999</v>
      </c>
      <c r="DA20">
        <f t="shared" si="6"/>
        <v>1</v>
      </c>
      <c r="DB20">
        <f t="shared" si="2"/>
        <v>11306.36</v>
      </c>
      <c r="DC20">
        <f t="shared" si="3"/>
        <v>4748.9799999999996</v>
      </c>
    </row>
    <row r="21" spans="1:107" x14ac:dyDescent="0.2">
      <c r="A21">
        <f>ROW(Source!A35)</f>
        <v>35</v>
      </c>
      <c r="B21">
        <v>49707740</v>
      </c>
      <c r="C21">
        <v>49708273</v>
      </c>
      <c r="D21">
        <v>48338467</v>
      </c>
      <c r="E21">
        <v>1</v>
      </c>
      <c r="F21">
        <v>1</v>
      </c>
      <c r="G21">
        <v>27</v>
      </c>
      <c r="H21">
        <v>2</v>
      </c>
      <c r="I21" t="s">
        <v>336</v>
      </c>
      <c r="J21" t="s">
        <v>337</v>
      </c>
      <c r="K21" t="s">
        <v>338</v>
      </c>
      <c r="L21">
        <v>1368</v>
      </c>
      <c r="N21">
        <v>1011</v>
      </c>
      <c r="O21" t="s">
        <v>299</v>
      </c>
      <c r="P21" t="s">
        <v>299</v>
      </c>
      <c r="Q21">
        <v>1</v>
      </c>
      <c r="W21">
        <v>0</v>
      </c>
      <c r="X21">
        <v>1869206802</v>
      </c>
      <c r="Y21">
        <v>18.25</v>
      </c>
      <c r="AA21">
        <v>0</v>
      </c>
      <c r="AB21">
        <v>1827.95</v>
      </c>
      <c r="AC21">
        <v>720.55</v>
      </c>
      <c r="AD21">
        <v>0</v>
      </c>
      <c r="AE21">
        <v>0</v>
      </c>
      <c r="AF21">
        <v>1827.95</v>
      </c>
      <c r="AG21">
        <v>720.55</v>
      </c>
      <c r="AH21">
        <v>0</v>
      </c>
      <c r="AI21">
        <v>1</v>
      </c>
      <c r="AJ21">
        <v>1</v>
      </c>
      <c r="AK21">
        <v>1</v>
      </c>
      <c r="AL21">
        <v>1</v>
      </c>
      <c r="AN21">
        <v>0</v>
      </c>
      <c r="AO21">
        <v>1</v>
      </c>
      <c r="AP21">
        <v>0</v>
      </c>
      <c r="AQ21">
        <v>0</v>
      </c>
      <c r="AR21">
        <v>0</v>
      </c>
      <c r="AS21" t="s">
        <v>3</v>
      </c>
      <c r="AT21">
        <v>18.25</v>
      </c>
      <c r="AU21" t="s">
        <v>3</v>
      </c>
      <c r="AV21">
        <v>0</v>
      </c>
      <c r="AW21">
        <v>2</v>
      </c>
      <c r="AX21">
        <v>49708305</v>
      </c>
      <c r="AY21">
        <v>1</v>
      </c>
      <c r="AZ21">
        <v>0</v>
      </c>
      <c r="BA21">
        <v>20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CX21">
        <f>Y21*Source!I35</f>
        <v>7.1175000000000006</v>
      </c>
      <c r="CY21">
        <f t="shared" si="4"/>
        <v>1827.95</v>
      </c>
      <c r="CZ21">
        <f t="shared" si="5"/>
        <v>1827.95</v>
      </c>
      <c r="DA21">
        <f t="shared" si="6"/>
        <v>1</v>
      </c>
      <c r="DB21">
        <f t="shared" si="2"/>
        <v>33360.089999999997</v>
      </c>
      <c r="DC21">
        <f t="shared" si="3"/>
        <v>13150.04</v>
      </c>
    </row>
    <row r="22" spans="1:107" x14ac:dyDescent="0.2">
      <c r="A22">
        <f>ROW(Source!A35)</f>
        <v>35</v>
      </c>
      <c r="B22">
        <v>49707740</v>
      </c>
      <c r="C22">
        <v>49708273</v>
      </c>
      <c r="D22">
        <v>48338505</v>
      </c>
      <c r="E22">
        <v>1</v>
      </c>
      <c r="F22">
        <v>1</v>
      </c>
      <c r="G22">
        <v>27</v>
      </c>
      <c r="H22">
        <v>2</v>
      </c>
      <c r="I22" t="s">
        <v>318</v>
      </c>
      <c r="J22" t="s">
        <v>319</v>
      </c>
      <c r="K22" t="s">
        <v>320</v>
      </c>
      <c r="L22">
        <v>1368</v>
      </c>
      <c r="N22">
        <v>1011</v>
      </c>
      <c r="O22" t="s">
        <v>299</v>
      </c>
      <c r="P22" t="s">
        <v>299</v>
      </c>
      <c r="Q22">
        <v>1</v>
      </c>
      <c r="W22">
        <v>0</v>
      </c>
      <c r="X22">
        <v>41279402</v>
      </c>
      <c r="Y22">
        <v>2.2400000000000002</v>
      </c>
      <c r="AA22">
        <v>0</v>
      </c>
      <c r="AB22">
        <v>1412.71</v>
      </c>
      <c r="AC22">
        <v>641.32000000000005</v>
      </c>
      <c r="AD22">
        <v>0</v>
      </c>
      <c r="AE22">
        <v>0</v>
      </c>
      <c r="AF22">
        <v>1412.71</v>
      </c>
      <c r="AG22">
        <v>641.32000000000005</v>
      </c>
      <c r="AH22">
        <v>0</v>
      </c>
      <c r="AI22">
        <v>1</v>
      </c>
      <c r="AJ22">
        <v>1</v>
      </c>
      <c r="AK22">
        <v>1</v>
      </c>
      <c r="AL22">
        <v>1</v>
      </c>
      <c r="AN22">
        <v>0</v>
      </c>
      <c r="AO22">
        <v>1</v>
      </c>
      <c r="AP22">
        <v>0</v>
      </c>
      <c r="AQ22">
        <v>0</v>
      </c>
      <c r="AR22">
        <v>0</v>
      </c>
      <c r="AS22" t="s">
        <v>3</v>
      </c>
      <c r="AT22">
        <v>2.2400000000000002</v>
      </c>
      <c r="AU22" t="s">
        <v>3</v>
      </c>
      <c r="AV22">
        <v>0</v>
      </c>
      <c r="AW22">
        <v>2</v>
      </c>
      <c r="AX22">
        <v>49708306</v>
      </c>
      <c r="AY22">
        <v>1</v>
      </c>
      <c r="AZ22">
        <v>0</v>
      </c>
      <c r="BA22">
        <v>21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CX22">
        <f>Y22*Source!I35</f>
        <v>0.87360000000000015</v>
      </c>
      <c r="CY22">
        <f t="shared" si="4"/>
        <v>1412.71</v>
      </c>
      <c r="CZ22">
        <f t="shared" si="5"/>
        <v>1412.71</v>
      </c>
      <c r="DA22">
        <f t="shared" si="6"/>
        <v>1</v>
      </c>
      <c r="DB22">
        <f t="shared" si="2"/>
        <v>3164.47</v>
      </c>
      <c r="DC22">
        <f t="shared" si="3"/>
        <v>1436.56</v>
      </c>
    </row>
    <row r="23" spans="1:107" x14ac:dyDescent="0.2">
      <c r="A23">
        <f>ROW(Source!A35)</f>
        <v>35</v>
      </c>
      <c r="B23">
        <v>49707740</v>
      </c>
      <c r="C23">
        <v>49708273</v>
      </c>
      <c r="D23">
        <v>48338471</v>
      </c>
      <c r="E23">
        <v>1</v>
      </c>
      <c r="F23">
        <v>1</v>
      </c>
      <c r="G23">
        <v>27</v>
      </c>
      <c r="H23">
        <v>2</v>
      </c>
      <c r="I23" t="s">
        <v>321</v>
      </c>
      <c r="J23" t="s">
        <v>322</v>
      </c>
      <c r="K23" t="s">
        <v>323</v>
      </c>
      <c r="L23">
        <v>1368</v>
      </c>
      <c r="N23">
        <v>1011</v>
      </c>
      <c r="O23" t="s">
        <v>299</v>
      </c>
      <c r="P23" t="s">
        <v>299</v>
      </c>
      <c r="Q23">
        <v>1</v>
      </c>
      <c r="W23">
        <v>0</v>
      </c>
      <c r="X23">
        <v>-1991511797</v>
      </c>
      <c r="Y23">
        <v>0.65</v>
      </c>
      <c r="AA23">
        <v>0</v>
      </c>
      <c r="AB23">
        <v>1213.3399999999999</v>
      </c>
      <c r="AC23">
        <v>461.6</v>
      </c>
      <c r="AD23">
        <v>0</v>
      </c>
      <c r="AE23">
        <v>0</v>
      </c>
      <c r="AF23">
        <v>1213.3399999999999</v>
      </c>
      <c r="AG23">
        <v>461.6</v>
      </c>
      <c r="AH23">
        <v>0</v>
      </c>
      <c r="AI23">
        <v>1</v>
      </c>
      <c r="AJ23">
        <v>1</v>
      </c>
      <c r="AK23">
        <v>1</v>
      </c>
      <c r="AL23">
        <v>1</v>
      </c>
      <c r="AN23">
        <v>0</v>
      </c>
      <c r="AO23">
        <v>1</v>
      </c>
      <c r="AP23">
        <v>0</v>
      </c>
      <c r="AQ23">
        <v>0</v>
      </c>
      <c r="AR23">
        <v>0</v>
      </c>
      <c r="AS23" t="s">
        <v>3</v>
      </c>
      <c r="AT23">
        <v>0.65</v>
      </c>
      <c r="AU23" t="s">
        <v>3</v>
      </c>
      <c r="AV23">
        <v>0</v>
      </c>
      <c r="AW23">
        <v>2</v>
      </c>
      <c r="AX23">
        <v>49708307</v>
      </c>
      <c r="AY23">
        <v>1</v>
      </c>
      <c r="AZ23">
        <v>0</v>
      </c>
      <c r="BA23">
        <v>22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CX23">
        <f>Y23*Source!I35</f>
        <v>0.2535</v>
      </c>
      <c r="CY23">
        <f t="shared" si="4"/>
        <v>1213.3399999999999</v>
      </c>
      <c r="CZ23">
        <f t="shared" si="5"/>
        <v>1213.3399999999999</v>
      </c>
      <c r="DA23">
        <f t="shared" si="6"/>
        <v>1</v>
      </c>
      <c r="DB23">
        <f t="shared" si="2"/>
        <v>788.67</v>
      </c>
      <c r="DC23">
        <f t="shared" si="3"/>
        <v>300.04000000000002</v>
      </c>
    </row>
    <row r="24" spans="1:107" x14ac:dyDescent="0.2">
      <c r="A24">
        <f>ROW(Source!A35)</f>
        <v>35</v>
      </c>
      <c r="B24">
        <v>49707740</v>
      </c>
      <c r="C24">
        <v>49708273</v>
      </c>
      <c r="D24">
        <v>48340459</v>
      </c>
      <c r="E24">
        <v>1</v>
      </c>
      <c r="F24">
        <v>1</v>
      </c>
      <c r="G24">
        <v>27</v>
      </c>
      <c r="H24">
        <v>3</v>
      </c>
      <c r="I24" t="s">
        <v>339</v>
      </c>
      <c r="J24" t="s">
        <v>340</v>
      </c>
      <c r="K24" t="s">
        <v>341</v>
      </c>
      <c r="L24">
        <v>1339</v>
      </c>
      <c r="N24">
        <v>1007</v>
      </c>
      <c r="O24" t="s">
        <v>46</v>
      </c>
      <c r="P24" t="s">
        <v>46</v>
      </c>
      <c r="Q24">
        <v>1</v>
      </c>
      <c r="W24">
        <v>0</v>
      </c>
      <c r="X24">
        <v>811973350</v>
      </c>
      <c r="Y24">
        <v>126</v>
      </c>
      <c r="AA24">
        <v>1763.75</v>
      </c>
      <c r="AB24">
        <v>0</v>
      </c>
      <c r="AC24">
        <v>0</v>
      </c>
      <c r="AD24">
        <v>0</v>
      </c>
      <c r="AE24">
        <v>1763.75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N24">
        <v>0</v>
      </c>
      <c r="AO24">
        <v>1</v>
      </c>
      <c r="AP24">
        <v>0</v>
      </c>
      <c r="AQ24">
        <v>0</v>
      </c>
      <c r="AR24">
        <v>0</v>
      </c>
      <c r="AS24" t="s">
        <v>3</v>
      </c>
      <c r="AT24">
        <v>126</v>
      </c>
      <c r="AU24" t="s">
        <v>3</v>
      </c>
      <c r="AV24">
        <v>0</v>
      </c>
      <c r="AW24">
        <v>2</v>
      </c>
      <c r="AX24">
        <v>49708308</v>
      </c>
      <c r="AY24">
        <v>1</v>
      </c>
      <c r="AZ24">
        <v>0</v>
      </c>
      <c r="BA24">
        <v>23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CX24">
        <f>Y24*Source!I35</f>
        <v>49.14</v>
      </c>
      <c r="CY24">
        <f>AA24</f>
        <v>1763.75</v>
      </c>
      <c r="CZ24">
        <f>AE24</f>
        <v>1763.75</v>
      </c>
      <c r="DA24">
        <f>AI24</f>
        <v>1</v>
      </c>
      <c r="DB24">
        <f t="shared" si="2"/>
        <v>222232.5</v>
      </c>
      <c r="DC24">
        <f t="shared" si="3"/>
        <v>0</v>
      </c>
    </row>
    <row r="25" spans="1:107" x14ac:dyDescent="0.2">
      <c r="A25">
        <f>ROW(Source!A35)</f>
        <v>35</v>
      </c>
      <c r="B25">
        <v>49707740</v>
      </c>
      <c r="C25">
        <v>49708273</v>
      </c>
      <c r="D25">
        <v>48341179</v>
      </c>
      <c r="E25">
        <v>1</v>
      </c>
      <c r="F25">
        <v>1</v>
      </c>
      <c r="G25">
        <v>27</v>
      </c>
      <c r="H25">
        <v>3</v>
      </c>
      <c r="I25" t="s">
        <v>327</v>
      </c>
      <c r="J25" t="s">
        <v>328</v>
      </c>
      <c r="K25" t="s">
        <v>329</v>
      </c>
      <c r="L25">
        <v>1339</v>
      </c>
      <c r="N25">
        <v>1007</v>
      </c>
      <c r="O25" t="s">
        <v>46</v>
      </c>
      <c r="P25" t="s">
        <v>46</v>
      </c>
      <c r="Q25">
        <v>1</v>
      </c>
      <c r="W25">
        <v>0</v>
      </c>
      <c r="X25">
        <v>2028445372</v>
      </c>
      <c r="Y25">
        <v>7</v>
      </c>
      <c r="AA25">
        <v>35.25</v>
      </c>
      <c r="AB25">
        <v>0</v>
      </c>
      <c r="AC25">
        <v>0</v>
      </c>
      <c r="AD25">
        <v>0</v>
      </c>
      <c r="AE25">
        <v>35.25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1</v>
      </c>
      <c r="AL25">
        <v>1</v>
      </c>
      <c r="AN25">
        <v>0</v>
      </c>
      <c r="AO25">
        <v>1</v>
      </c>
      <c r="AP25">
        <v>0</v>
      </c>
      <c r="AQ25">
        <v>0</v>
      </c>
      <c r="AR25">
        <v>0</v>
      </c>
      <c r="AS25" t="s">
        <v>3</v>
      </c>
      <c r="AT25">
        <v>7</v>
      </c>
      <c r="AU25" t="s">
        <v>3</v>
      </c>
      <c r="AV25">
        <v>0</v>
      </c>
      <c r="AW25">
        <v>2</v>
      </c>
      <c r="AX25">
        <v>49708309</v>
      </c>
      <c r="AY25">
        <v>1</v>
      </c>
      <c r="AZ25">
        <v>0</v>
      </c>
      <c r="BA25">
        <v>24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CX25">
        <f>Y25*Source!I35</f>
        <v>2.73</v>
      </c>
      <c r="CY25">
        <f>AA25</f>
        <v>35.25</v>
      </c>
      <c r="CZ25">
        <f>AE25</f>
        <v>35.25</v>
      </c>
      <c r="DA25">
        <f>AI25</f>
        <v>1</v>
      </c>
      <c r="DB25">
        <f t="shared" si="2"/>
        <v>246.75</v>
      </c>
      <c r="DC25">
        <f t="shared" si="3"/>
        <v>0</v>
      </c>
    </row>
    <row r="26" spans="1:107" x14ac:dyDescent="0.2">
      <c r="A26">
        <f>ROW(Source!A36)</f>
        <v>36</v>
      </c>
      <c r="B26">
        <v>49707740</v>
      </c>
      <c r="C26">
        <v>49708310</v>
      </c>
      <c r="D26">
        <v>48326108</v>
      </c>
      <c r="E26">
        <v>27</v>
      </c>
      <c r="F26">
        <v>1</v>
      </c>
      <c r="G26">
        <v>27</v>
      </c>
      <c r="H26">
        <v>1</v>
      </c>
      <c r="I26" t="s">
        <v>293</v>
      </c>
      <c r="J26" t="s">
        <v>3</v>
      </c>
      <c r="K26" t="s">
        <v>294</v>
      </c>
      <c r="L26">
        <v>1191</v>
      </c>
      <c r="N26">
        <v>1013</v>
      </c>
      <c r="O26" t="s">
        <v>295</v>
      </c>
      <c r="P26" t="s">
        <v>295</v>
      </c>
      <c r="Q26">
        <v>1</v>
      </c>
      <c r="W26">
        <v>0</v>
      </c>
      <c r="X26">
        <v>476480486</v>
      </c>
      <c r="Y26">
        <v>13.57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1</v>
      </c>
      <c r="AL26">
        <v>1</v>
      </c>
      <c r="AN26">
        <v>0</v>
      </c>
      <c r="AO26">
        <v>1</v>
      </c>
      <c r="AP26">
        <v>0</v>
      </c>
      <c r="AQ26">
        <v>0</v>
      </c>
      <c r="AR26">
        <v>0</v>
      </c>
      <c r="AS26" t="s">
        <v>3</v>
      </c>
      <c r="AT26">
        <v>13.57</v>
      </c>
      <c r="AU26" t="s">
        <v>3</v>
      </c>
      <c r="AV26">
        <v>1</v>
      </c>
      <c r="AW26">
        <v>2</v>
      </c>
      <c r="AX26">
        <v>49708323</v>
      </c>
      <c r="AY26">
        <v>1</v>
      </c>
      <c r="AZ26">
        <v>0</v>
      </c>
      <c r="BA26">
        <v>25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CX26">
        <f>Y26*Source!I36</f>
        <v>35.282000000000004</v>
      </c>
      <c r="CY26">
        <f>AD26</f>
        <v>0</v>
      </c>
      <c r="CZ26">
        <f>AH26</f>
        <v>0</v>
      </c>
      <c r="DA26">
        <f>AL26</f>
        <v>1</v>
      </c>
      <c r="DB26">
        <f t="shared" si="2"/>
        <v>0</v>
      </c>
      <c r="DC26">
        <f t="shared" si="3"/>
        <v>0</v>
      </c>
    </row>
    <row r="27" spans="1:107" x14ac:dyDescent="0.2">
      <c r="A27">
        <f>ROW(Source!A36)</f>
        <v>36</v>
      </c>
      <c r="B27">
        <v>49707740</v>
      </c>
      <c r="C27">
        <v>49708310</v>
      </c>
      <c r="D27">
        <v>48338468</v>
      </c>
      <c r="E27">
        <v>1</v>
      </c>
      <c r="F27">
        <v>1</v>
      </c>
      <c r="G27">
        <v>27</v>
      </c>
      <c r="H27">
        <v>2</v>
      </c>
      <c r="I27" t="s">
        <v>342</v>
      </c>
      <c r="J27" t="s">
        <v>343</v>
      </c>
      <c r="K27" t="s">
        <v>344</v>
      </c>
      <c r="L27">
        <v>1368</v>
      </c>
      <c r="N27">
        <v>1011</v>
      </c>
      <c r="O27" t="s">
        <v>299</v>
      </c>
      <c r="P27" t="s">
        <v>299</v>
      </c>
      <c r="Q27">
        <v>1</v>
      </c>
      <c r="W27">
        <v>0</v>
      </c>
      <c r="X27">
        <v>-1085430917</v>
      </c>
      <c r="Y27">
        <v>0.46</v>
      </c>
      <c r="AA27">
        <v>0</v>
      </c>
      <c r="AB27">
        <v>888.61</v>
      </c>
      <c r="AC27">
        <v>396.74</v>
      </c>
      <c r="AD27">
        <v>0</v>
      </c>
      <c r="AE27">
        <v>0</v>
      </c>
      <c r="AF27">
        <v>888.61</v>
      </c>
      <c r="AG27">
        <v>396.74</v>
      </c>
      <c r="AH27">
        <v>0</v>
      </c>
      <c r="AI27">
        <v>1</v>
      </c>
      <c r="AJ27">
        <v>1</v>
      </c>
      <c r="AK27">
        <v>1</v>
      </c>
      <c r="AL27">
        <v>1</v>
      </c>
      <c r="AN27">
        <v>0</v>
      </c>
      <c r="AO27">
        <v>1</v>
      </c>
      <c r="AP27">
        <v>0</v>
      </c>
      <c r="AQ27">
        <v>0</v>
      </c>
      <c r="AR27">
        <v>0</v>
      </c>
      <c r="AS27" t="s">
        <v>3</v>
      </c>
      <c r="AT27">
        <v>0.46</v>
      </c>
      <c r="AU27" t="s">
        <v>3</v>
      </c>
      <c r="AV27">
        <v>0</v>
      </c>
      <c r="AW27">
        <v>2</v>
      </c>
      <c r="AX27">
        <v>49708324</v>
      </c>
      <c r="AY27">
        <v>1</v>
      </c>
      <c r="AZ27">
        <v>0</v>
      </c>
      <c r="BA27">
        <v>26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CX27">
        <f>Y27*Source!I36</f>
        <v>1.1960000000000002</v>
      </c>
      <c r="CY27">
        <f>AB27</f>
        <v>888.61</v>
      </c>
      <c r="CZ27">
        <f>AF27</f>
        <v>888.61</v>
      </c>
      <c r="DA27">
        <f>AJ27</f>
        <v>1</v>
      </c>
      <c r="DB27">
        <f t="shared" si="2"/>
        <v>408.76</v>
      </c>
      <c r="DC27">
        <f t="shared" si="3"/>
        <v>182.5</v>
      </c>
    </row>
    <row r="28" spans="1:107" x14ac:dyDescent="0.2">
      <c r="A28">
        <f>ROW(Source!A36)</f>
        <v>36</v>
      </c>
      <c r="B28">
        <v>49707740</v>
      </c>
      <c r="C28">
        <v>49708310</v>
      </c>
      <c r="D28">
        <v>48338469</v>
      </c>
      <c r="E28">
        <v>1</v>
      </c>
      <c r="F28">
        <v>1</v>
      </c>
      <c r="G28">
        <v>27</v>
      </c>
      <c r="H28">
        <v>2</v>
      </c>
      <c r="I28" t="s">
        <v>345</v>
      </c>
      <c r="J28" t="s">
        <v>346</v>
      </c>
      <c r="K28" t="s">
        <v>347</v>
      </c>
      <c r="L28">
        <v>1368</v>
      </c>
      <c r="N28">
        <v>1011</v>
      </c>
      <c r="O28" t="s">
        <v>299</v>
      </c>
      <c r="P28" t="s">
        <v>299</v>
      </c>
      <c r="Q28">
        <v>1</v>
      </c>
      <c r="W28">
        <v>0</v>
      </c>
      <c r="X28">
        <v>-784871617</v>
      </c>
      <c r="Y28">
        <v>1.39</v>
      </c>
      <c r="AA28">
        <v>0</v>
      </c>
      <c r="AB28">
        <v>880.59</v>
      </c>
      <c r="AC28">
        <v>534.02</v>
      </c>
      <c r="AD28">
        <v>0</v>
      </c>
      <c r="AE28">
        <v>0</v>
      </c>
      <c r="AF28">
        <v>880.59</v>
      </c>
      <c r="AG28">
        <v>534.02</v>
      </c>
      <c r="AH28">
        <v>0</v>
      </c>
      <c r="AI28">
        <v>1</v>
      </c>
      <c r="AJ28">
        <v>1</v>
      </c>
      <c r="AK28">
        <v>1</v>
      </c>
      <c r="AL28">
        <v>1</v>
      </c>
      <c r="AN28">
        <v>0</v>
      </c>
      <c r="AO28">
        <v>1</v>
      </c>
      <c r="AP28">
        <v>0</v>
      </c>
      <c r="AQ28">
        <v>0</v>
      </c>
      <c r="AR28">
        <v>0</v>
      </c>
      <c r="AS28" t="s">
        <v>3</v>
      </c>
      <c r="AT28">
        <v>1.39</v>
      </c>
      <c r="AU28" t="s">
        <v>3</v>
      </c>
      <c r="AV28">
        <v>0</v>
      </c>
      <c r="AW28">
        <v>2</v>
      </c>
      <c r="AX28">
        <v>49708325</v>
      </c>
      <c r="AY28">
        <v>1</v>
      </c>
      <c r="AZ28">
        <v>0</v>
      </c>
      <c r="BA28">
        <v>27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CX28">
        <f>Y28*Source!I36</f>
        <v>3.6139999999999999</v>
      </c>
      <c r="CY28">
        <f>AB28</f>
        <v>880.59</v>
      </c>
      <c r="CZ28">
        <f>AF28</f>
        <v>880.59</v>
      </c>
      <c r="DA28">
        <f>AJ28</f>
        <v>1</v>
      </c>
      <c r="DB28">
        <f t="shared" si="2"/>
        <v>1224.02</v>
      </c>
      <c r="DC28">
        <f t="shared" si="3"/>
        <v>742.29</v>
      </c>
    </row>
    <row r="29" spans="1:107" x14ac:dyDescent="0.2">
      <c r="A29">
        <f>ROW(Source!A36)</f>
        <v>36</v>
      </c>
      <c r="B29">
        <v>49707740</v>
      </c>
      <c r="C29">
        <v>49708310</v>
      </c>
      <c r="D29">
        <v>48342361</v>
      </c>
      <c r="E29">
        <v>1</v>
      </c>
      <c r="F29">
        <v>1</v>
      </c>
      <c r="G29">
        <v>27</v>
      </c>
      <c r="H29">
        <v>3</v>
      </c>
      <c r="I29" t="s">
        <v>76</v>
      </c>
      <c r="J29" t="s">
        <v>78</v>
      </c>
      <c r="K29" t="s">
        <v>77</v>
      </c>
      <c r="L29">
        <v>1348</v>
      </c>
      <c r="N29">
        <v>1009</v>
      </c>
      <c r="O29" t="s">
        <v>57</v>
      </c>
      <c r="P29" t="s">
        <v>57</v>
      </c>
      <c r="Q29">
        <v>1000</v>
      </c>
      <c r="W29">
        <v>1</v>
      </c>
      <c r="X29">
        <v>734291692</v>
      </c>
      <c r="Y29">
        <v>-9.58</v>
      </c>
      <c r="AA29">
        <v>2690.29</v>
      </c>
      <c r="AB29">
        <v>0</v>
      </c>
      <c r="AC29">
        <v>0</v>
      </c>
      <c r="AD29">
        <v>0</v>
      </c>
      <c r="AE29">
        <v>2690.29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N29">
        <v>0</v>
      </c>
      <c r="AO29">
        <v>1</v>
      </c>
      <c r="AP29">
        <v>0</v>
      </c>
      <c r="AQ29">
        <v>0</v>
      </c>
      <c r="AR29">
        <v>0</v>
      </c>
      <c r="AS29" t="s">
        <v>3</v>
      </c>
      <c r="AT29">
        <v>-9.58</v>
      </c>
      <c r="AU29" t="s">
        <v>3</v>
      </c>
      <c r="AV29">
        <v>0</v>
      </c>
      <c r="AW29">
        <v>2</v>
      </c>
      <c r="AX29">
        <v>49708326</v>
      </c>
      <c r="AY29">
        <v>1</v>
      </c>
      <c r="AZ29">
        <v>6144</v>
      </c>
      <c r="BA29">
        <v>28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CX29">
        <f>Y29*Source!I36</f>
        <v>-24.908000000000001</v>
      </c>
      <c r="CY29">
        <f>AA29</f>
        <v>2690.29</v>
      </c>
      <c r="CZ29">
        <f>AE29</f>
        <v>2690.29</v>
      </c>
      <c r="DA29">
        <f>AI29</f>
        <v>1</v>
      </c>
      <c r="DB29">
        <f t="shared" si="2"/>
        <v>-25772.98</v>
      </c>
      <c r="DC29">
        <f t="shared" si="3"/>
        <v>0</v>
      </c>
    </row>
    <row r="30" spans="1:107" x14ac:dyDescent="0.2">
      <c r="A30">
        <f>ROW(Source!A36)</f>
        <v>36</v>
      </c>
      <c r="B30">
        <v>49707740</v>
      </c>
      <c r="C30">
        <v>49708310</v>
      </c>
      <c r="D30">
        <v>48342362</v>
      </c>
      <c r="E30">
        <v>1</v>
      </c>
      <c r="F30">
        <v>1</v>
      </c>
      <c r="G30">
        <v>27</v>
      </c>
      <c r="H30">
        <v>3</v>
      </c>
      <c r="I30" t="s">
        <v>80</v>
      </c>
      <c r="J30" t="s">
        <v>82</v>
      </c>
      <c r="K30" t="s">
        <v>81</v>
      </c>
      <c r="L30">
        <v>1348</v>
      </c>
      <c r="N30">
        <v>1009</v>
      </c>
      <c r="O30" t="s">
        <v>57</v>
      </c>
      <c r="P30" t="s">
        <v>57</v>
      </c>
      <c r="Q30">
        <v>1000</v>
      </c>
      <c r="W30">
        <v>0</v>
      </c>
      <c r="X30">
        <v>1103439754</v>
      </c>
      <c r="Y30">
        <v>9.66</v>
      </c>
      <c r="AA30">
        <v>2562.79</v>
      </c>
      <c r="AB30">
        <v>0</v>
      </c>
      <c r="AC30">
        <v>0</v>
      </c>
      <c r="AD30">
        <v>0</v>
      </c>
      <c r="AE30">
        <v>2562.79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3</v>
      </c>
      <c r="AT30">
        <v>9.66</v>
      </c>
      <c r="AU30" t="s">
        <v>3</v>
      </c>
      <c r="AV30">
        <v>0</v>
      </c>
      <c r="AW30">
        <v>1</v>
      </c>
      <c r="AX30">
        <v>-1</v>
      </c>
      <c r="AY30">
        <v>0</v>
      </c>
      <c r="AZ30">
        <v>0</v>
      </c>
      <c r="BA30" t="s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CX30">
        <f>Y30*Source!I36</f>
        <v>25.116</v>
      </c>
      <c r="CY30">
        <f>AA30</f>
        <v>2562.79</v>
      </c>
      <c r="CZ30">
        <f>AE30</f>
        <v>2562.79</v>
      </c>
      <c r="DA30">
        <f>AI30</f>
        <v>1</v>
      </c>
      <c r="DB30">
        <f t="shared" si="2"/>
        <v>24756.55</v>
      </c>
      <c r="DC30">
        <f t="shared" si="3"/>
        <v>0</v>
      </c>
    </row>
    <row r="31" spans="1:107" x14ac:dyDescent="0.2">
      <c r="A31">
        <f>ROW(Source!A39)</f>
        <v>39</v>
      </c>
      <c r="B31">
        <v>49707740</v>
      </c>
      <c r="C31">
        <v>49708329</v>
      </c>
      <c r="D31">
        <v>48326108</v>
      </c>
      <c r="E31">
        <v>27</v>
      </c>
      <c r="F31">
        <v>1</v>
      </c>
      <c r="G31">
        <v>27</v>
      </c>
      <c r="H31">
        <v>1</v>
      </c>
      <c r="I31" t="s">
        <v>293</v>
      </c>
      <c r="J31" t="s">
        <v>3</v>
      </c>
      <c r="K31" t="s">
        <v>294</v>
      </c>
      <c r="L31">
        <v>1191</v>
      </c>
      <c r="N31">
        <v>1013</v>
      </c>
      <c r="O31" t="s">
        <v>295</v>
      </c>
      <c r="P31" t="s">
        <v>295</v>
      </c>
      <c r="Q31">
        <v>1</v>
      </c>
      <c r="W31">
        <v>0</v>
      </c>
      <c r="X31">
        <v>476480486</v>
      </c>
      <c r="Y31">
        <v>18.440000000000001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1</v>
      </c>
      <c r="AK31">
        <v>1</v>
      </c>
      <c r="AL31">
        <v>1</v>
      </c>
      <c r="AN31">
        <v>0</v>
      </c>
      <c r="AO31">
        <v>1</v>
      </c>
      <c r="AP31">
        <v>0</v>
      </c>
      <c r="AQ31">
        <v>0</v>
      </c>
      <c r="AR31">
        <v>0</v>
      </c>
      <c r="AS31" t="s">
        <v>3</v>
      </c>
      <c r="AT31">
        <v>18.440000000000001</v>
      </c>
      <c r="AU31" t="s">
        <v>3</v>
      </c>
      <c r="AV31">
        <v>1</v>
      </c>
      <c r="AW31">
        <v>2</v>
      </c>
      <c r="AX31">
        <v>49708360</v>
      </c>
      <c r="AY31">
        <v>1</v>
      </c>
      <c r="AZ31">
        <v>0</v>
      </c>
      <c r="BA31">
        <v>29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CX31">
        <f>Y31*Source!I39</f>
        <v>47.944000000000003</v>
      </c>
      <c r="CY31">
        <f>AD31</f>
        <v>0</v>
      </c>
      <c r="CZ31">
        <f>AH31</f>
        <v>0</v>
      </c>
      <c r="DA31">
        <f>AL31</f>
        <v>1</v>
      </c>
      <c r="DB31">
        <f t="shared" si="2"/>
        <v>0</v>
      </c>
      <c r="DC31">
        <f t="shared" si="3"/>
        <v>0</v>
      </c>
    </row>
    <row r="32" spans="1:107" x14ac:dyDescent="0.2">
      <c r="A32">
        <f>ROW(Source!A39)</f>
        <v>39</v>
      </c>
      <c r="B32">
        <v>49707740</v>
      </c>
      <c r="C32">
        <v>49708329</v>
      </c>
      <c r="D32">
        <v>48338967</v>
      </c>
      <c r="E32">
        <v>1</v>
      </c>
      <c r="F32">
        <v>1</v>
      </c>
      <c r="G32">
        <v>27</v>
      </c>
      <c r="H32">
        <v>2</v>
      </c>
      <c r="I32" t="s">
        <v>348</v>
      </c>
      <c r="J32" t="s">
        <v>349</v>
      </c>
      <c r="K32" t="s">
        <v>350</v>
      </c>
      <c r="L32">
        <v>1368</v>
      </c>
      <c r="N32">
        <v>1011</v>
      </c>
      <c r="O32" t="s">
        <v>299</v>
      </c>
      <c r="P32" t="s">
        <v>299</v>
      </c>
      <c r="Q32">
        <v>1</v>
      </c>
      <c r="W32">
        <v>0</v>
      </c>
      <c r="X32">
        <v>2028281919</v>
      </c>
      <c r="Y32">
        <v>2.64</v>
      </c>
      <c r="AA32">
        <v>0</v>
      </c>
      <c r="AB32">
        <v>531.41</v>
      </c>
      <c r="AC32">
        <v>373.56</v>
      </c>
      <c r="AD32">
        <v>0</v>
      </c>
      <c r="AE32">
        <v>0</v>
      </c>
      <c r="AF32">
        <v>531.41</v>
      </c>
      <c r="AG32">
        <v>373.56</v>
      </c>
      <c r="AH32">
        <v>0</v>
      </c>
      <c r="AI32">
        <v>1</v>
      </c>
      <c r="AJ32">
        <v>1</v>
      </c>
      <c r="AK32">
        <v>1</v>
      </c>
      <c r="AL32">
        <v>1</v>
      </c>
      <c r="AN32">
        <v>0</v>
      </c>
      <c r="AO32">
        <v>1</v>
      </c>
      <c r="AP32">
        <v>0</v>
      </c>
      <c r="AQ32">
        <v>0</v>
      </c>
      <c r="AR32">
        <v>0</v>
      </c>
      <c r="AS32" t="s">
        <v>3</v>
      </c>
      <c r="AT32">
        <v>2.64</v>
      </c>
      <c r="AU32" t="s">
        <v>3</v>
      </c>
      <c r="AV32">
        <v>0</v>
      </c>
      <c r="AW32">
        <v>2</v>
      </c>
      <c r="AX32">
        <v>49708361</v>
      </c>
      <c r="AY32">
        <v>1</v>
      </c>
      <c r="AZ32">
        <v>0</v>
      </c>
      <c r="BA32">
        <v>30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CX32">
        <f>Y32*Source!I39</f>
        <v>6.8640000000000008</v>
      </c>
      <c r="CY32">
        <f>AB32</f>
        <v>531.41</v>
      </c>
      <c r="CZ32">
        <f>AF32</f>
        <v>531.41</v>
      </c>
      <c r="DA32">
        <f>AJ32</f>
        <v>1</v>
      </c>
      <c r="DB32">
        <f t="shared" si="2"/>
        <v>1402.92</v>
      </c>
      <c r="DC32">
        <f t="shared" si="3"/>
        <v>986.2</v>
      </c>
    </row>
    <row r="33" spans="1:107" x14ac:dyDescent="0.2">
      <c r="A33">
        <f>ROW(Source!A39)</f>
        <v>39</v>
      </c>
      <c r="B33">
        <v>49707740</v>
      </c>
      <c r="C33">
        <v>49708329</v>
      </c>
      <c r="D33">
        <v>48339190</v>
      </c>
      <c r="E33">
        <v>1</v>
      </c>
      <c r="F33">
        <v>1</v>
      </c>
      <c r="G33">
        <v>27</v>
      </c>
      <c r="H33">
        <v>2</v>
      </c>
      <c r="I33" t="s">
        <v>351</v>
      </c>
      <c r="J33" t="s">
        <v>352</v>
      </c>
      <c r="K33" t="s">
        <v>353</v>
      </c>
      <c r="L33">
        <v>1368</v>
      </c>
      <c r="N33">
        <v>1011</v>
      </c>
      <c r="O33" t="s">
        <v>299</v>
      </c>
      <c r="P33" t="s">
        <v>299</v>
      </c>
      <c r="Q33">
        <v>1</v>
      </c>
      <c r="W33">
        <v>0</v>
      </c>
      <c r="X33">
        <v>-1222982568</v>
      </c>
      <c r="Y33">
        <v>1.18</v>
      </c>
      <c r="AA33">
        <v>0</v>
      </c>
      <c r="AB33">
        <v>7.44</v>
      </c>
      <c r="AC33">
        <v>0.98</v>
      </c>
      <c r="AD33">
        <v>0</v>
      </c>
      <c r="AE33">
        <v>0</v>
      </c>
      <c r="AF33">
        <v>7.44</v>
      </c>
      <c r="AG33">
        <v>0.98</v>
      </c>
      <c r="AH33">
        <v>0</v>
      </c>
      <c r="AI33">
        <v>1</v>
      </c>
      <c r="AJ33">
        <v>1</v>
      </c>
      <c r="AK33">
        <v>1</v>
      </c>
      <c r="AL33">
        <v>1</v>
      </c>
      <c r="AN33">
        <v>0</v>
      </c>
      <c r="AO33">
        <v>1</v>
      </c>
      <c r="AP33">
        <v>0</v>
      </c>
      <c r="AQ33">
        <v>0</v>
      </c>
      <c r="AR33">
        <v>0</v>
      </c>
      <c r="AS33" t="s">
        <v>3</v>
      </c>
      <c r="AT33">
        <v>1.18</v>
      </c>
      <c r="AU33" t="s">
        <v>3</v>
      </c>
      <c r="AV33">
        <v>0</v>
      </c>
      <c r="AW33">
        <v>2</v>
      </c>
      <c r="AX33">
        <v>49708362</v>
      </c>
      <c r="AY33">
        <v>1</v>
      </c>
      <c r="AZ33">
        <v>0</v>
      </c>
      <c r="BA33">
        <v>31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CX33">
        <f>Y33*Source!I39</f>
        <v>3.0680000000000001</v>
      </c>
      <c r="CY33">
        <f>AB33</f>
        <v>7.44</v>
      </c>
      <c r="CZ33">
        <f>AF33</f>
        <v>7.44</v>
      </c>
      <c r="DA33">
        <f>AJ33</f>
        <v>1</v>
      </c>
      <c r="DB33">
        <f t="shared" si="2"/>
        <v>8.7799999999999994</v>
      </c>
      <c r="DC33">
        <f t="shared" si="3"/>
        <v>1.1599999999999999</v>
      </c>
    </row>
    <row r="34" spans="1:107" x14ac:dyDescent="0.2">
      <c r="A34">
        <f>ROW(Source!A39)</f>
        <v>39</v>
      </c>
      <c r="B34">
        <v>49707740</v>
      </c>
      <c r="C34">
        <v>49708329</v>
      </c>
      <c r="D34">
        <v>48338392</v>
      </c>
      <c r="E34">
        <v>1</v>
      </c>
      <c r="F34">
        <v>1</v>
      </c>
      <c r="G34">
        <v>27</v>
      </c>
      <c r="H34">
        <v>2</v>
      </c>
      <c r="I34" t="s">
        <v>354</v>
      </c>
      <c r="J34" t="s">
        <v>355</v>
      </c>
      <c r="K34" t="s">
        <v>356</v>
      </c>
      <c r="L34">
        <v>1368</v>
      </c>
      <c r="N34">
        <v>1011</v>
      </c>
      <c r="O34" t="s">
        <v>299</v>
      </c>
      <c r="P34" t="s">
        <v>299</v>
      </c>
      <c r="Q34">
        <v>1</v>
      </c>
      <c r="W34">
        <v>0</v>
      </c>
      <c r="X34">
        <v>-929482187</v>
      </c>
      <c r="Y34">
        <v>0.01</v>
      </c>
      <c r="AA34">
        <v>0</v>
      </c>
      <c r="AB34">
        <v>616.73</v>
      </c>
      <c r="AC34">
        <v>511.29</v>
      </c>
      <c r="AD34">
        <v>0</v>
      </c>
      <c r="AE34">
        <v>0</v>
      </c>
      <c r="AF34">
        <v>616.73</v>
      </c>
      <c r="AG34">
        <v>511.29</v>
      </c>
      <c r="AH34">
        <v>0</v>
      </c>
      <c r="AI34">
        <v>1</v>
      </c>
      <c r="AJ34">
        <v>1</v>
      </c>
      <c r="AK34">
        <v>1</v>
      </c>
      <c r="AL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 t="s">
        <v>3</v>
      </c>
      <c r="AT34">
        <v>0.01</v>
      </c>
      <c r="AU34" t="s">
        <v>3</v>
      </c>
      <c r="AV34">
        <v>0</v>
      </c>
      <c r="AW34">
        <v>2</v>
      </c>
      <c r="AX34">
        <v>49708363</v>
      </c>
      <c r="AY34">
        <v>1</v>
      </c>
      <c r="AZ34">
        <v>0</v>
      </c>
      <c r="BA34">
        <v>32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CX34">
        <f>Y34*Source!I39</f>
        <v>2.6000000000000002E-2</v>
      </c>
      <c r="CY34">
        <f>AB34</f>
        <v>616.73</v>
      </c>
      <c r="CZ34">
        <f>AF34</f>
        <v>616.73</v>
      </c>
      <c r="DA34">
        <f>AJ34</f>
        <v>1</v>
      </c>
      <c r="DB34">
        <f t="shared" si="2"/>
        <v>6.17</v>
      </c>
      <c r="DC34">
        <f t="shared" si="3"/>
        <v>5.1100000000000003</v>
      </c>
    </row>
    <row r="35" spans="1:107" x14ac:dyDescent="0.2">
      <c r="A35">
        <f>ROW(Source!A39)</f>
        <v>39</v>
      </c>
      <c r="B35">
        <v>49707740</v>
      </c>
      <c r="C35">
        <v>49708329</v>
      </c>
      <c r="D35">
        <v>48338576</v>
      </c>
      <c r="E35">
        <v>1</v>
      </c>
      <c r="F35">
        <v>1</v>
      </c>
      <c r="G35">
        <v>27</v>
      </c>
      <c r="H35">
        <v>2</v>
      </c>
      <c r="I35" t="s">
        <v>357</v>
      </c>
      <c r="J35" t="s">
        <v>358</v>
      </c>
      <c r="K35" t="s">
        <v>359</v>
      </c>
      <c r="L35">
        <v>1368</v>
      </c>
      <c r="N35">
        <v>1011</v>
      </c>
      <c r="O35" t="s">
        <v>299</v>
      </c>
      <c r="P35" t="s">
        <v>299</v>
      </c>
      <c r="Q35">
        <v>1</v>
      </c>
      <c r="W35">
        <v>0</v>
      </c>
      <c r="X35">
        <v>1948933241</v>
      </c>
      <c r="Y35">
        <v>2.64</v>
      </c>
      <c r="AA35">
        <v>0</v>
      </c>
      <c r="AB35">
        <v>454.31</v>
      </c>
      <c r="AC35">
        <v>405.68</v>
      </c>
      <c r="AD35">
        <v>0</v>
      </c>
      <c r="AE35">
        <v>0</v>
      </c>
      <c r="AF35">
        <v>454.31</v>
      </c>
      <c r="AG35">
        <v>405.68</v>
      </c>
      <c r="AH35">
        <v>0</v>
      </c>
      <c r="AI35">
        <v>1</v>
      </c>
      <c r="AJ35">
        <v>1</v>
      </c>
      <c r="AK35">
        <v>1</v>
      </c>
      <c r="AL35">
        <v>1</v>
      </c>
      <c r="AN35">
        <v>0</v>
      </c>
      <c r="AO35">
        <v>1</v>
      </c>
      <c r="AP35">
        <v>0</v>
      </c>
      <c r="AQ35">
        <v>0</v>
      </c>
      <c r="AR35">
        <v>0</v>
      </c>
      <c r="AS35" t="s">
        <v>3</v>
      </c>
      <c r="AT35">
        <v>2.64</v>
      </c>
      <c r="AU35" t="s">
        <v>3</v>
      </c>
      <c r="AV35">
        <v>0</v>
      </c>
      <c r="AW35">
        <v>2</v>
      </c>
      <c r="AX35">
        <v>49708364</v>
      </c>
      <c r="AY35">
        <v>1</v>
      </c>
      <c r="AZ35">
        <v>0</v>
      </c>
      <c r="BA35">
        <v>33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CX35">
        <f>Y35*Source!I39</f>
        <v>6.8640000000000008</v>
      </c>
      <c r="CY35">
        <f>AB35</f>
        <v>454.31</v>
      </c>
      <c r="CZ35">
        <f>AF35</f>
        <v>454.31</v>
      </c>
      <c r="DA35">
        <f>AJ35</f>
        <v>1</v>
      </c>
      <c r="DB35">
        <f t="shared" si="2"/>
        <v>1199.3800000000001</v>
      </c>
      <c r="DC35">
        <f t="shared" si="3"/>
        <v>1071</v>
      </c>
    </row>
    <row r="36" spans="1:107" x14ac:dyDescent="0.2">
      <c r="A36">
        <f>ROW(Source!A39)</f>
        <v>39</v>
      </c>
      <c r="B36">
        <v>49707740</v>
      </c>
      <c r="C36">
        <v>49708329</v>
      </c>
      <c r="D36">
        <v>48341400</v>
      </c>
      <c r="E36">
        <v>1</v>
      </c>
      <c r="F36">
        <v>1</v>
      </c>
      <c r="G36">
        <v>27</v>
      </c>
      <c r="H36">
        <v>3</v>
      </c>
      <c r="I36" t="s">
        <v>360</v>
      </c>
      <c r="J36" t="s">
        <v>361</v>
      </c>
      <c r="K36" t="s">
        <v>362</v>
      </c>
      <c r="L36">
        <v>1327</v>
      </c>
      <c r="N36">
        <v>1005</v>
      </c>
      <c r="O36" t="s">
        <v>363</v>
      </c>
      <c r="P36" t="s">
        <v>363</v>
      </c>
      <c r="Q36">
        <v>1</v>
      </c>
      <c r="W36">
        <v>0</v>
      </c>
      <c r="X36">
        <v>-656702110</v>
      </c>
      <c r="Y36">
        <v>5.6</v>
      </c>
      <c r="AA36">
        <v>12.02</v>
      </c>
      <c r="AB36">
        <v>0</v>
      </c>
      <c r="AC36">
        <v>0</v>
      </c>
      <c r="AD36">
        <v>0</v>
      </c>
      <c r="AE36">
        <v>12.02</v>
      </c>
      <c r="AF36">
        <v>0</v>
      </c>
      <c r="AG36">
        <v>0</v>
      </c>
      <c r="AH36">
        <v>0</v>
      </c>
      <c r="AI36">
        <v>1</v>
      </c>
      <c r="AJ36">
        <v>1</v>
      </c>
      <c r="AK36">
        <v>1</v>
      </c>
      <c r="AL36">
        <v>1</v>
      </c>
      <c r="AN36">
        <v>0</v>
      </c>
      <c r="AO36">
        <v>1</v>
      </c>
      <c r="AP36">
        <v>0</v>
      </c>
      <c r="AQ36">
        <v>0</v>
      </c>
      <c r="AR36">
        <v>0</v>
      </c>
      <c r="AS36" t="s">
        <v>3</v>
      </c>
      <c r="AT36">
        <v>5.6</v>
      </c>
      <c r="AU36" t="s">
        <v>3</v>
      </c>
      <c r="AV36">
        <v>0</v>
      </c>
      <c r="AW36">
        <v>2</v>
      </c>
      <c r="AX36">
        <v>49708365</v>
      </c>
      <c r="AY36">
        <v>1</v>
      </c>
      <c r="AZ36">
        <v>0</v>
      </c>
      <c r="BA36">
        <v>34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CX36">
        <f>Y36*Source!I39</f>
        <v>14.559999999999999</v>
      </c>
      <c r="CY36">
        <f>AA36</f>
        <v>12.02</v>
      </c>
      <c r="CZ36">
        <f>AE36</f>
        <v>12.02</v>
      </c>
      <c r="DA36">
        <f>AI36</f>
        <v>1</v>
      </c>
      <c r="DB36">
        <f t="shared" si="2"/>
        <v>67.31</v>
      </c>
      <c r="DC36">
        <f t="shared" si="3"/>
        <v>0</v>
      </c>
    </row>
    <row r="37" spans="1:107" x14ac:dyDescent="0.2">
      <c r="A37">
        <f>ROW(Source!A39)</f>
        <v>39</v>
      </c>
      <c r="B37">
        <v>49707740</v>
      </c>
      <c r="C37">
        <v>49708329</v>
      </c>
      <c r="D37">
        <v>48341487</v>
      </c>
      <c r="E37">
        <v>1</v>
      </c>
      <c r="F37">
        <v>1</v>
      </c>
      <c r="G37">
        <v>27</v>
      </c>
      <c r="H37">
        <v>3</v>
      </c>
      <c r="I37" t="s">
        <v>364</v>
      </c>
      <c r="J37" t="s">
        <v>365</v>
      </c>
      <c r="K37" t="s">
        <v>366</v>
      </c>
      <c r="L37">
        <v>1348</v>
      </c>
      <c r="N37">
        <v>1009</v>
      </c>
      <c r="O37" t="s">
        <v>57</v>
      </c>
      <c r="P37" t="s">
        <v>57</v>
      </c>
      <c r="Q37">
        <v>1000</v>
      </c>
      <c r="W37">
        <v>0</v>
      </c>
      <c r="X37">
        <v>2135985724</v>
      </c>
      <c r="Y37">
        <v>3.15E-3</v>
      </c>
      <c r="AA37">
        <v>343020.03</v>
      </c>
      <c r="AB37">
        <v>0</v>
      </c>
      <c r="AC37">
        <v>0</v>
      </c>
      <c r="AD37">
        <v>0</v>
      </c>
      <c r="AE37">
        <v>343020.03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1</v>
      </c>
      <c r="AN37">
        <v>0</v>
      </c>
      <c r="AO37">
        <v>1</v>
      </c>
      <c r="AP37">
        <v>0</v>
      </c>
      <c r="AQ37">
        <v>0</v>
      </c>
      <c r="AR37">
        <v>0</v>
      </c>
      <c r="AS37" t="s">
        <v>3</v>
      </c>
      <c r="AT37">
        <v>3.15E-3</v>
      </c>
      <c r="AU37" t="s">
        <v>3</v>
      </c>
      <c r="AV37">
        <v>0</v>
      </c>
      <c r="AW37">
        <v>2</v>
      </c>
      <c r="AX37">
        <v>49708366</v>
      </c>
      <c r="AY37">
        <v>1</v>
      </c>
      <c r="AZ37">
        <v>0</v>
      </c>
      <c r="BA37">
        <v>35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CX37">
        <f>Y37*Source!I39</f>
        <v>8.1900000000000011E-3</v>
      </c>
      <c r="CY37">
        <f>AA37</f>
        <v>343020.03</v>
      </c>
      <c r="CZ37">
        <f>AE37</f>
        <v>343020.03</v>
      </c>
      <c r="DA37">
        <f>AI37</f>
        <v>1</v>
      </c>
      <c r="DB37">
        <f t="shared" si="2"/>
        <v>1080.51</v>
      </c>
      <c r="DC37">
        <f t="shared" si="3"/>
        <v>0</v>
      </c>
    </row>
    <row r="38" spans="1:107" x14ac:dyDescent="0.2">
      <c r="A38">
        <f>ROW(Source!A39)</f>
        <v>39</v>
      </c>
      <c r="B38">
        <v>49707740</v>
      </c>
      <c r="C38">
        <v>49708329</v>
      </c>
      <c r="D38">
        <v>48341704</v>
      </c>
      <c r="E38">
        <v>1</v>
      </c>
      <c r="F38">
        <v>1</v>
      </c>
      <c r="G38">
        <v>27</v>
      </c>
      <c r="H38">
        <v>3</v>
      </c>
      <c r="I38" t="s">
        <v>367</v>
      </c>
      <c r="J38" t="s">
        <v>368</v>
      </c>
      <c r="K38" t="s">
        <v>369</v>
      </c>
      <c r="L38">
        <v>1346</v>
      </c>
      <c r="N38">
        <v>1009</v>
      </c>
      <c r="O38" t="s">
        <v>370</v>
      </c>
      <c r="P38" t="s">
        <v>370</v>
      </c>
      <c r="Q38">
        <v>1</v>
      </c>
      <c r="W38">
        <v>0</v>
      </c>
      <c r="X38">
        <v>-78256104</v>
      </c>
      <c r="Y38">
        <v>735</v>
      </c>
      <c r="AA38">
        <v>17.77</v>
      </c>
      <c r="AB38">
        <v>0</v>
      </c>
      <c r="AC38">
        <v>0</v>
      </c>
      <c r="AD38">
        <v>0</v>
      </c>
      <c r="AE38">
        <v>17.77</v>
      </c>
      <c r="AF38">
        <v>0</v>
      </c>
      <c r="AG38">
        <v>0</v>
      </c>
      <c r="AH38">
        <v>0</v>
      </c>
      <c r="AI38">
        <v>1</v>
      </c>
      <c r="AJ38">
        <v>1</v>
      </c>
      <c r="AK38">
        <v>1</v>
      </c>
      <c r="AL38">
        <v>1</v>
      </c>
      <c r="AN38">
        <v>0</v>
      </c>
      <c r="AO38">
        <v>1</v>
      </c>
      <c r="AP38">
        <v>0</v>
      </c>
      <c r="AQ38">
        <v>0</v>
      </c>
      <c r="AR38">
        <v>0</v>
      </c>
      <c r="AS38" t="s">
        <v>3</v>
      </c>
      <c r="AT38">
        <v>735</v>
      </c>
      <c r="AU38" t="s">
        <v>3</v>
      </c>
      <c r="AV38">
        <v>0</v>
      </c>
      <c r="AW38">
        <v>2</v>
      </c>
      <c r="AX38">
        <v>49708367</v>
      </c>
      <c r="AY38">
        <v>1</v>
      </c>
      <c r="AZ38">
        <v>0</v>
      </c>
      <c r="BA38">
        <v>36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CX38">
        <f>Y38*Source!I39</f>
        <v>1911</v>
      </c>
      <c r="CY38">
        <f>AA38</f>
        <v>17.77</v>
      </c>
      <c r="CZ38">
        <f>AE38</f>
        <v>17.77</v>
      </c>
      <c r="DA38">
        <f>AI38</f>
        <v>1</v>
      </c>
      <c r="DB38">
        <f t="shared" si="2"/>
        <v>13060.95</v>
      </c>
      <c r="DC38">
        <f t="shared" si="3"/>
        <v>0</v>
      </c>
    </row>
    <row r="39" spans="1:107" x14ac:dyDescent="0.2">
      <c r="A39">
        <f>ROW(Source!A39)</f>
        <v>39</v>
      </c>
      <c r="B39">
        <v>49707740</v>
      </c>
      <c r="C39">
        <v>49708329</v>
      </c>
      <c r="D39">
        <v>48341711</v>
      </c>
      <c r="E39">
        <v>1</v>
      </c>
      <c r="F39">
        <v>1</v>
      </c>
      <c r="G39">
        <v>27</v>
      </c>
      <c r="H39">
        <v>3</v>
      </c>
      <c r="I39" t="s">
        <v>371</v>
      </c>
      <c r="J39" t="s">
        <v>372</v>
      </c>
      <c r="K39" t="s">
        <v>373</v>
      </c>
      <c r="L39">
        <v>1346</v>
      </c>
      <c r="N39">
        <v>1009</v>
      </c>
      <c r="O39" t="s">
        <v>370</v>
      </c>
      <c r="P39" t="s">
        <v>370</v>
      </c>
      <c r="Q39">
        <v>1</v>
      </c>
      <c r="W39">
        <v>0</v>
      </c>
      <c r="X39">
        <v>1434584530</v>
      </c>
      <c r="Y39">
        <v>241.5</v>
      </c>
      <c r="AA39">
        <v>202.34</v>
      </c>
      <c r="AB39">
        <v>0</v>
      </c>
      <c r="AC39">
        <v>0</v>
      </c>
      <c r="AD39">
        <v>0</v>
      </c>
      <c r="AE39">
        <v>202.34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N39">
        <v>0</v>
      </c>
      <c r="AO39">
        <v>1</v>
      </c>
      <c r="AP39">
        <v>0</v>
      </c>
      <c r="AQ39">
        <v>0</v>
      </c>
      <c r="AR39">
        <v>0</v>
      </c>
      <c r="AS39" t="s">
        <v>3</v>
      </c>
      <c r="AT39">
        <v>241.5</v>
      </c>
      <c r="AU39" t="s">
        <v>3</v>
      </c>
      <c r="AV39">
        <v>0</v>
      </c>
      <c r="AW39">
        <v>2</v>
      </c>
      <c r="AX39">
        <v>49708368</v>
      </c>
      <c r="AY39">
        <v>1</v>
      </c>
      <c r="AZ39">
        <v>0</v>
      </c>
      <c r="BA39">
        <v>37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CX39">
        <f>Y39*Source!I39</f>
        <v>627.9</v>
      </c>
      <c r="CY39">
        <f>AA39</f>
        <v>202.34</v>
      </c>
      <c r="CZ39">
        <f>AE39</f>
        <v>202.34</v>
      </c>
      <c r="DA39">
        <f>AI39</f>
        <v>1</v>
      </c>
      <c r="DB39">
        <f t="shared" si="2"/>
        <v>48865.11</v>
      </c>
      <c r="DC39">
        <f t="shared" si="3"/>
        <v>0</v>
      </c>
    </row>
    <row r="40" spans="1:107" x14ac:dyDescent="0.2">
      <c r="A40">
        <f>ROW(Source!A39)</f>
        <v>39</v>
      </c>
      <c r="B40">
        <v>49707740</v>
      </c>
      <c r="C40">
        <v>49708329</v>
      </c>
      <c r="D40">
        <v>48339678</v>
      </c>
      <c r="E40">
        <v>1</v>
      </c>
      <c r="F40">
        <v>1</v>
      </c>
      <c r="G40">
        <v>27</v>
      </c>
      <c r="H40">
        <v>3</v>
      </c>
      <c r="I40" t="s">
        <v>88</v>
      </c>
      <c r="J40" t="s">
        <v>90</v>
      </c>
      <c r="K40" t="s">
        <v>89</v>
      </c>
      <c r="L40">
        <v>1348</v>
      </c>
      <c r="N40">
        <v>1009</v>
      </c>
      <c r="O40" t="s">
        <v>57</v>
      </c>
      <c r="P40" t="s">
        <v>57</v>
      </c>
      <c r="Q40">
        <v>1000</v>
      </c>
      <c r="W40">
        <v>1</v>
      </c>
      <c r="X40">
        <v>-629368275</v>
      </c>
      <c r="Y40">
        <v>-5.2499999999999998E-2</v>
      </c>
      <c r="AA40">
        <v>748299.67</v>
      </c>
      <c r="AB40">
        <v>0</v>
      </c>
      <c r="AC40">
        <v>0</v>
      </c>
      <c r="AD40">
        <v>0</v>
      </c>
      <c r="AE40">
        <v>748299.67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N40">
        <v>0</v>
      </c>
      <c r="AO40">
        <v>1</v>
      </c>
      <c r="AP40">
        <v>0</v>
      </c>
      <c r="AQ40">
        <v>0</v>
      </c>
      <c r="AR40">
        <v>0</v>
      </c>
      <c r="AS40" t="s">
        <v>3</v>
      </c>
      <c r="AT40">
        <v>-5.2499999999999998E-2</v>
      </c>
      <c r="AU40" t="s">
        <v>3</v>
      </c>
      <c r="AV40">
        <v>0</v>
      </c>
      <c r="AW40">
        <v>2</v>
      </c>
      <c r="AX40">
        <v>49708369</v>
      </c>
      <c r="AY40">
        <v>1</v>
      </c>
      <c r="AZ40">
        <v>6144</v>
      </c>
      <c r="BA40">
        <v>38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CX40">
        <f>Y40*Source!I39</f>
        <v>-0.13650000000000001</v>
      </c>
      <c r="CY40">
        <f>AA40</f>
        <v>748299.67</v>
      </c>
      <c r="CZ40">
        <f>AE40</f>
        <v>748299.67</v>
      </c>
      <c r="DA40">
        <f>AI40</f>
        <v>1</v>
      </c>
      <c r="DB40">
        <f t="shared" si="2"/>
        <v>-39285.730000000003</v>
      </c>
      <c r="DC40">
        <f t="shared" si="3"/>
        <v>0</v>
      </c>
    </row>
    <row r="41" spans="1:107" x14ac:dyDescent="0.2">
      <c r="A41">
        <f>ROW(Source!A41)</f>
        <v>41</v>
      </c>
      <c r="B41">
        <v>49707740</v>
      </c>
      <c r="C41">
        <v>49708371</v>
      </c>
      <c r="D41">
        <v>48326108</v>
      </c>
      <c r="E41">
        <v>27</v>
      </c>
      <c r="F41">
        <v>1</v>
      </c>
      <c r="G41">
        <v>27</v>
      </c>
      <c r="H41">
        <v>1</v>
      </c>
      <c r="I41" t="s">
        <v>293</v>
      </c>
      <c r="J41" t="s">
        <v>3</v>
      </c>
      <c r="K41" t="s">
        <v>294</v>
      </c>
      <c r="L41">
        <v>1191</v>
      </c>
      <c r="N41">
        <v>1013</v>
      </c>
      <c r="O41" t="s">
        <v>295</v>
      </c>
      <c r="P41" t="s">
        <v>295</v>
      </c>
      <c r="Q41">
        <v>1</v>
      </c>
      <c r="W41">
        <v>0</v>
      </c>
      <c r="X41">
        <v>476480486</v>
      </c>
      <c r="Y41">
        <v>18.440000000000001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 t="s">
        <v>3</v>
      </c>
      <c r="AT41">
        <v>18.440000000000001</v>
      </c>
      <c r="AU41" t="s">
        <v>3</v>
      </c>
      <c r="AV41">
        <v>1</v>
      </c>
      <c r="AW41">
        <v>2</v>
      </c>
      <c r="AX41">
        <v>49708382</v>
      </c>
      <c r="AY41">
        <v>1</v>
      </c>
      <c r="AZ41">
        <v>0</v>
      </c>
      <c r="BA41">
        <v>39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CX41">
        <f>Y41*Source!I41</f>
        <v>47.944000000000003</v>
      </c>
      <c r="CY41">
        <f>AD41</f>
        <v>0</v>
      </c>
      <c r="CZ41">
        <f>AH41</f>
        <v>0</v>
      </c>
      <c r="DA41">
        <f>AL41</f>
        <v>1</v>
      </c>
      <c r="DB41">
        <f t="shared" si="2"/>
        <v>0</v>
      </c>
      <c r="DC41">
        <f t="shared" si="3"/>
        <v>0</v>
      </c>
    </row>
    <row r="42" spans="1:107" x14ac:dyDescent="0.2">
      <c r="A42">
        <f>ROW(Source!A41)</f>
        <v>41</v>
      </c>
      <c r="B42">
        <v>49707740</v>
      </c>
      <c r="C42">
        <v>49708371</v>
      </c>
      <c r="D42">
        <v>48338967</v>
      </c>
      <c r="E42">
        <v>1</v>
      </c>
      <c r="F42">
        <v>1</v>
      </c>
      <c r="G42">
        <v>27</v>
      </c>
      <c r="H42">
        <v>2</v>
      </c>
      <c r="I42" t="s">
        <v>348</v>
      </c>
      <c r="J42" t="s">
        <v>349</v>
      </c>
      <c r="K42" t="s">
        <v>350</v>
      </c>
      <c r="L42">
        <v>1368</v>
      </c>
      <c r="N42">
        <v>1011</v>
      </c>
      <c r="O42" t="s">
        <v>299</v>
      </c>
      <c r="P42" t="s">
        <v>299</v>
      </c>
      <c r="Q42">
        <v>1</v>
      </c>
      <c r="W42">
        <v>0</v>
      </c>
      <c r="X42">
        <v>2028281919</v>
      </c>
      <c r="Y42">
        <v>2.64</v>
      </c>
      <c r="AA42">
        <v>0</v>
      </c>
      <c r="AB42">
        <v>531.41</v>
      </c>
      <c r="AC42">
        <v>373.56</v>
      </c>
      <c r="AD42">
        <v>0</v>
      </c>
      <c r="AE42">
        <v>0</v>
      </c>
      <c r="AF42">
        <v>531.41</v>
      </c>
      <c r="AG42">
        <v>373.56</v>
      </c>
      <c r="AH42">
        <v>0</v>
      </c>
      <c r="AI42">
        <v>1</v>
      </c>
      <c r="AJ42">
        <v>1</v>
      </c>
      <c r="AK42">
        <v>1</v>
      </c>
      <c r="AL42">
        <v>1</v>
      </c>
      <c r="AN42">
        <v>0</v>
      </c>
      <c r="AO42">
        <v>1</v>
      </c>
      <c r="AP42">
        <v>0</v>
      </c>
      <c r="AQ42">
        <v>0</v>
      </c>
      <c r="AR42">
        <v>0</v>
      </c>
      <c r="AS42" t="s">
        <v>3</v>
      </c>
      <c r="AT42">
        <v>2.64</v>
      </c>
      <c r="AU42" t="s">
        <v>3</v>
      </c>
      <c r="AV42">
        <v>0</v>
      </c>
      <c r="AW42">
        <v>2</v>
      </c>
      <c r="AX42">
        <v>49708383</v>
      </c>
      <c r="AY42">
        <v>1</v>
      </c>
      <c r="AZ42">
        <v>0</v>
      </c>
      <c r="BA42">
        <v>40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CX42">
        <f>Y42*Source!I41</f>
        <v>6.8640000000000008</v>
      </c>
      <c r="CY42">
        <f>AB42</f>
        <v>531.41</v>
      </c>
      <c r="CZ42">
        <f>AF42</f>
        <v>531.41</v>
      </c>
      <c r="DA42">
        <f>AJ42</f>
        <v>1</v>
      </c>
      <c r="DB42">
        <f t="shared" si="2"/>
        <v>1402.92</v>
      </c>
      <c r="DC42">
        <f t="shared" si="3"/>
        <v>986.2</v>
      </c>
    </row>
    <row r="43" spans="1:107" x14ac:dyDescent="0.2">
      <c r="A43">
        <f>ROW(Source!A41)</f>
        <v>41</v>
      </c>
      <c r="B43">
        <v>49707740</v>
      </c>
      <c r="C43">
        <v>49708371</v>
      </c>
      <c r="D43">
        <v>48339190</v>
      </c>
      <c r="E43">
        <v>1</v>
      </c>
      <c r="F43">
        <v>1</v>
      </c>
      <c r="G43">
        <v>27</v>
      </c>
      <c r="H43">
        <v>2</v>
      </c>
      <c r="I43" t="s">
        <v>351</v>
      </c>
      <c r="J43" t="s">
        <v>352</v>
      </c>
      <c r="K43" t="s">
        <v>353</v>
      </c>
      <c r="L43">
        <v>1368</v>
      </c>
      <c r="N43">
        <v>1011</v>
      </c>
      <c r="O43" t="s">
        <v>299</v>
      </c>
      <c r="P43" t="s">
        <v>299</v>
      </c>
      <c r="Q43">
        <v>1</v>
      </c>
      <c r="W43">
        <v>0</v>
      </c>
      <c r="X43">
        <v>-1222982568</v>
      </c>
      <c r="Y43">
        <v>1.18</v>
      </c>
      <c r="AA43">
        <v>0</v>
      </c>
      <c r="AB43">
        <v>7.44</v>
      </c>
      <c r="AC43">
        <v>0.98</v>
      </c>
      <c r="AD43">
        <v>0</v>
      </c>
      <c r="AE43">
        <v>0</v>
      </c>
      <c r="AF43">
        <v>7.44</v>
      </c>
      <c r="AG43">
        <v>0.98</v>
      </c>
      <c r="AH43">
        <v>0</v>
      </c>
      <c r="AI43">
        <v>1</v>
      </c>
      <c r="AJ43">
        <v>1</v>
      </c>
      <c r="AK43">
        <v>1</v>
      </c>
      <c r="AL43">
        <v>1</v>
      </c>
      <c r="AN43">
        <v>0</v>
      </c>
      <c r="AO43">
        <v>1</v>
      </c>
      <c r="AP43">
        <v>0</v>
      </c>
      <c r="AQ43">
        <v>0</v>
      </c>
      <c r="AR43">
        <v>0</v>
      </c>
      <c r="AS43" t="s">
        <v>3</v>
      </c>
      <c r="AT43">
        <v>1.18</v>
      </c>
      <c r="AU43" t="s">
        <v>3</v>
      </c>
      <c r="AV43">
        <v>0</v>
      </c>
      <c r="AW43">
        <v>2</v>
      </c>
      <c r="AX43">
        <v>49708384</v>
      </c>
      <c r="AY43">
        <v>1</v>
      </c>
      <c r="AZ43">
        <v>0</v>
      </c>
      <c r="BA43">
        <v>41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CX43">
        <f>Y43*Source!I41</f>
        <v>3.0680000000000001</v>
      </c>
      <c r="CY43">
        <f>AB43</f>
        <v>7.44</v>
      </c>
      <c r="CZ43">
        <f>AF43</f>
        <v>7.44</v>
      </c>
      <c r="DA43">
        <f>AJ43</f>
        <v>1</v>
      </c>
      <c r="DB43">
        <f t="shared" si="2"/>
        <v>8.7799999999999994</v>
      </c>
      <c r="DC43">
        <f t="shared" si="3"/>
        <v>1.1599999999999999</v>
      </c>
    </row>
    <row r="44" spans="1:107" x14ac:dyDescent="0.2">
      <c r="A44">
        <f>ROW(Source!A41)</f>
        <v>41</v>
      </c>
      <c r="B44">
        <v>49707740</v>
      </c>
      <c r="C44">
        <v>49708371</v>
      </c>
      <c r="D44">
        <v>48338392</v>
      </c>
      <c r="E44">
        <v>1</v>
      </c>
      <c r="F44">
        <v>1</v>
      </c>
      <c r="G44">
        <v>27</v>
      </c>
      <c r="H44">
        <v>2</v>
      </c>
      <c r="I44" t="s">
        <v>354</v>
      </c>
      <c r="J44" t="s">
        <v>355</v>
      </c>
      <c r="K44" t="s">
        <v>356</v>
      </c>
      <c r="L44">
        <v>1368</v>
      </c>
      <c r="N44">
        <v>1011</v>
      </c>
      <c r="O44" t="s">
        <v>299</v>
      </c>
      <c r="P44" t="s">
        <v>299</v>
      </c>
      <c r="Q44">
        <v>1</v>
      </c>
      <c r="W44">
        <v>0</v>
      </c>
      <c r="X44">
        <v>-929482187</v>
      </c>
      <c r="Y44">
        <v>0.01</v>
      </c>
      <c r="AA44">
        <v>0</v>
      </c>
      <c r="AB44">
        <v>616.73</v>
      </c>
      <c r="AC44">
        <v>511.29</v>
      </c>
      <c r="AD44">
        <v>0</v>
      </c>
      <c r="AE44">
        <v>0</v>
      </c>
      <c r="AF44">
        <v>616.73</v>
      </c>
      <c r="AG44">
        <v>511.29</v>
      </c>
      <c r="AH44">
        <v>0</v>
      </c>
      <c r="AI44">
        <v>1</v>
      </c>
      <c r="AJ44">
        <v>1</v>
      </c>
      <c r="AK44">
        <v>1</v>
      </c>
      <c r="AL44">
        <v>1</v>
      </c>
      <c r="AN44">
        <v>0</v>
      </c>
      <c r="AO44">
        <v>1</v>
      </c>
      <c r="AP44">
        <v>0</v>
      </c>
      <c r="AQ44">
        <v>0</v>
      </c>
      <c r="AR44">
        <v>0</v>
      </c>
      <c r="AS44" t="s">
        <v>3</v>
      </c>
      <c r="AT44">
        <v>0.01</v>
      </c>
      <c r="AU44" t="s">
        <v>3</v>
      </c>
      <c r="AV44">
        <v>0</v>
      </c>
      <c r="AW44">
        <v>2</v>
      </c>
      <c r="AX44">
        <v>49708385</v>
      </c>
      <c r="AY44">
        <v>1</v>
      </c>
      <c r="AZ44">
        <v>0</v>
      </c>
      <c r="BA44">
        <v>42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CX44">
        <f>Y44*Source!I41</f>
        <v>2.6000000000000002E-2</v>
      </c>
      <c r="CY44">
        <f>AB44</f>
        <v>616.73</v>
      </c>
      <c r="CZ44">
        <f>AF44</f>
        <v>616.73</v>
      </c>
      <c r="DA44">
        <f>AJ44</f>
        <v>1</v>
      </c>
      <c r="DB44">
        <f t="shared" si="2"/>
        <v>6.17</v>
      </c>
      <c r="DC44">
        <f t="shared" si="3"/>
        <v>5.1100000000000003</v>
      </c>
    </row>
    <row r="45" spans="1:107" x14ac:dyDescent="0.2">
      <c r="A45">
        <f>ROW(Source!A41)</f>
        <v>41</v>
      </c>
      <c r="B45">
        <v>49707740</v>
      </c>
      <c r="C45">
        <v>49708371</v>
      </c>
      <c r="D45">
        <v>48338576</v>
      </c>
      <c r="E45">
        <v>1</v>
      </c>
      <c r="F45">
        <v>1</v>
      </c>
      <c r="G45">
        <v>27</v>
      </c>
      <c r="H45">
        <v>2</v>
      </c>
      <c r="I45" t="s">
        <v>357</v>
      </c>
      <c r="J45" t="s">
        <v>358</v>
      </c>
      <c r="K45" t="s">
        <v>359</v>
      </c>
      <c r="L45">
        <v>1368</v>
      </c>
      <c r="N45">
        <v>1011</v>
      </c>
      <c r="O45" t="s">
        <v>299</v>
      </c>
      <c r="P45" t="s">
        <v>299</v>
      </c>
      <c r="Q45">
        <v>1</v>
      </c>
      <c r="W45">
        <v>0</v>
      </c>
      <c r="X45">
        <v>1948933241</v>
      </c>
      <c r="Y45">
        <v>2.64</v>
      </c>
      <c r="AA45">
        <v>0</v>
      </c>
      <c r="AB45">
        <v>454.31</v>
      </c>
      <c r="AC45">
        <v>405.68</v>
      </c>
      <c r="AD45">
        <v>0</v>
      </c>
      <c r="AE45">
        <v>0</v>
      </c>
      <c r="AF45">
        <v>454.31</v>
      </c>
      <c r="AG45">
        <v>405.68</v>
      </c>
      <c r="AH45">
        <v>0</v>
      </c>
      <c r="AI45">
        <v>1</v>
      </c>
      <c r="AJ45">
        <v>1</v>
      </c>
      <c r="AK45">
        <v>1</v>
      </c>
      <c r="AL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 t="s">
        <v>3</v>
      </c>
      <c r="AT45">
        <v>2.64</v>
      </c>
      <c r="AU45" t="s">
        <v>3</v>
      </c>
      <c r="AV45">
        <v>0</v>
      </c>
      <c r="AW45">
        <v>2</v>
      </c>
      <c r="AX45">
        <v>49708386</v>
      </c>
      <c r="AY45">
        <v>1</v>
      </c>
      <c r="AZ45">
        <v>0</v>
      </c>
      <c r="BA45">
        <v>43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CX45">
        <f>Y45*Source!I41</f>
        <v>6.8640000000000008</v>
      </c>
      <c r="CY45">
        <f>AB45</f>
        <v>454.31</v>
      </c>
      <c r="CZ45">
        <f>AF45</f>
        <v>454.31</v>
      </c>
      <c r="DA45">
        <f>AJ45</f>
        <v>1</v>
      </c>
      <c r="DB45">
        <f t="shared" si="2"/>
        <v>1199.3800000000001</v>
      </c>
      <c r="DC45">
        <f t="shared" si="3"/>
        <v>1071</v>
      </c>
    </row>
    <row r="46" spans="1:107" x14ac:dyDescent="0.2">
      <c r="A46">
        <f>ROW(Source!A41)</f>
        <v>41</v>
      </c>
      <c r="B46">
        <v>49707740</v>
      </c>
      <c r="C46">
        <v>49708371</v>
      </c>
      <c r="D46">
        <v>48341400</v>
      </c>
      <c r="E46">
        <v>1</v>
      </c>
      <c r="F46">
        <v>1</v>
      </c>
      <c r="G46">
        <v>27</v>
      </c>
      <c r="H46">
        <v>3</v>
      </c>
      <c r="I46" t="s">
        <v>360</v>
      </c>
      <c r="J46" t="s">
        <v>361</v>
      </c>
      <c r="K46" t="s">
        <v>362</v>
      </c>
      <c r="L46">
        <v>1327</v>
      </c>
      <c r="N46">
        <v>1005</v>
      </c>
      <c r="O46" t="s">
        <v>363</v>
      </c>
      <c r="P46" t="s">
        <v>363</v>
      </c>
      <c r="Q46">
        <v>1</v>
      </c>
      <c r="W46">
        <v>0</v>
      </c>
      <c r="X46">
        <v>-656702110</v>
      </c>
      <c r="Y46">
        <v>5.6</v>
      </c>
      <c r="AA46">
        <v>12.02</v>
      </c>
      <c r="AB46">
        <v>0</v>
      </c>
      <c r="AC46">
        <v>0</v>
      </c>
      <c r="AD46">
        <v>0</v>
      </c>
      <c r="AE46">
        <v>12.02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1</v>
      </c>
      <c r="AN46">
        <v>0</v>
      </c>
      <c r="AO46">
        <v>1</v>
      </c>
      <c r="AP46">
        <v>0</v>
      </c>
      <c r="AQ46">
        <v>0</v>
      </c>
      <c r="AR46">
        <v>0</v>
      </c>
      <c r="AS46" t="s">
        <v>3</v>
      </c>
      <c r="AT46">
        <v>5.6</v>
      </c>
      <c r="AU46" t="s">
        <v>3</v>
      </c>
      <c r="AV46">
        <v>0</v>
      </c>
      <c r="AW46">
        <v>2</v>
      </c>
      <c r="AX46">
        <v>49708387</v>
      </c>
      <c r="AY46">
        <v>1</v>
      </c>
      <c r="AZ46">
        <v>0</v>
      </c>
      <c r="BA46">
        <v>44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CX46">
        <f>Y46*Source!I41</f>
        <v>14.559999999999999</v>
      </c>
      <c r="CY46">
        <f>AA46</f>
        <v>12.02</v>
      </c>
      <c r="CZ46">
        <f>AE46</f>
        <v>12.02</v>
      </c>
      <c r="DA46">
        <f>AI46</f>
        <v>1</v>
      </c>
      <c r="DB46">
        <f t="shared" si="2"/>
        <v>67.31</v>
      </c>
      <c r="DC46">
        <f t="shared" si="3"/>
        <v>0</v>
      </c>
    </row>
    <row r="47" spans="1:107" x14ac:dyDescent="0.2">
      <c r="A47">
        <f>ROW(Source!A41)</f>
        <v>41</v>
      </c>
      <c r="B47">
        <v>49707740</v>
      </c>
      <c r="C47">
        <v>49708371</v>
      </c>
      <c r="D47">
        <v>48341487</v>
      </c>
      <c r="E47">
        <v>1</v>
      </c>
      <c r="F47">
        <v>1</v>
      </c>
      <c r="G47">
        <v>27</v>
      </c>
      <c r="H47">
        <v>3</v>
      </c>
      <c r="I47" t="s">
        <v>364</v>
      </c>
      <c r="J47" t="s">
        <v>365</v>
      </c>
      <c r="K47" t="s">
        <v>366</v>
      </c>
      <c r="L47">
        <v>1348</v>
      </c>
      <c r="N47">
        <v>1009</v>
      </c>
      <c r="O47" t="s">
        <v>57</v>
      </c>
      <c r="P47" t="s">
        <v>57</v>
      </c>
      <c r="Q47">
        <v>1000</v>
      </c>
      <c r="W47">
        <v>0</v>
      </c>
      <c r="X47">
        <v>2135985724</v>
      </c>
      <c r="Y47">
        <v>3.15E-3</v>
      </c>
      <c r="AA47">
        <v>343020.03</v>
      </c>
      <c r="AB47">
        <v>0</v>
      </c>
      <c r="AC47">
        <v>0</v>
      </c>
      <c r="AD47">
        <v>0</v>
      </c>
      <c r="AE47">
        <v>343020.03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1</v>
      </c>
      <c r="AL47">
        <v>1</v>
      </c>
      <c r="AN47">
        <v>0</v>
      </c>
      <c r="AO47">
        <v>1</v>
      </c>
      <c r="AP47">
        <v>0</v>
      </c>
      <c r="AQ47">
        <v>0</v>
      </c>
      <c r="AR47">
        <v>0</v>
      </c>
      <c r="AS47" t="s">
        <v>3</v>
      </c>
      <c r="AT47">
        <v>3.15E-3</v>
      </c>
      <c r="AU47" t="s">
        <v>3</v>
      </c>
      <c r="AV47">
        <v>0</v>
      </c>
      <c r="AW47">
        <v>2</v>
      </c>
      <c r="AX47">
        <v>49708388</v>
      </c>
      <c r="AY47">
        <v>1</v>
      </c>
      <c r="AZ47">
        <v>0</v>
      </c>
      <c r="BA47">
        <v>45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CX47">
        <f>Y47*Source!I41</f>
        <v>8.1900000000000011E-3</v>
      </c>
      <c r="CY47">
        <f>AA47</f>
        <v>343020.03</v>
      </c>
      <c r="CZ47">
        <f>AE47</f>
        <v>343020.03</v>
      </c>
      <c r="DA47">
        <f>AI47</f>
        <v>1</v>
      </c>
      <c r="DB47">
        <f t="shared" si="2"/>
        <v>1080.51</v>
      </c>
      <c r="DC47">
        <f t="shared" si="3"/>
        <v>0</v>
      </c>
    </row>
    <row r="48" spans="1:107" x14ac:dyDescent="0.2">
      <c r="A48">
        <f>ROW(Source!A41)</f>
        <v>41</v>
      </c>
      <c r="B48">
        <v>49707740</v>
      </c>
      <c r="C48">
        <v>49708371</v>
      </c>
      <c r="D48">
        <v>48341704</v>
      </c>
      <c r="E48">
        <v>1</v>
      </c>
      <c r="F48">
        <v>1</v>
      </c>
      <c r="G48">
        <v>27</v>
      </c>
      <c r="H48">
        <v>3</v>
      </c>
      <c r="I48" t="s">
        <v>367</v>
      </c>
      <c r="J48" t="s">
        <v>368</v>
      </c>
      <c r="K48" t="s">
        <v>369</v>
      </c>
      <c r="L48">
        <v>1346</v>
      </c>
      <c r="N48">
        <v>1009</v>
      </c>
      <c r="O48" t="s">
        <v>370</v>
      </c>
      <c r="P48" t="s">
        <v>370</v>
      </c>
      <c r="Q48">
        <v>1</v>
      </c>
      <c r="W48">
        <v>0</v>
      </c>
      <c r="X48">
        <v>-78256104</v>
      </c>
      <c r="Y48">
        <v>735</v>
      </c>
      <c r="AA48">
        <v>17.77</v>
      </c>
      <c r="AB48">
        <v>0</v>
      </c>
      <c r="AC48">
        <v>0</v>
      </c>
      <c r="AD48">
        <v>0</v>
      </c>
      <c r="AE48">
        <v>17.77</v>
      </c>
      <c r="AF48">
        <v>0</v>
      </c>
      <c r="AG48">
        <v>0</v>
      </c>
      <c r="AH48">
        <v>0</v>
      </c>
      <c r="AI48">
        <v>1</v>
      </c>
      <c r="AJ48">
        <v>1</v>
      </c>
      <c r="AK48">
        <v>1</v>
      </c>
      <c r="AL48">
        <v>1</v>
      </c>
      <c r="AN48">
        <v>0</v>
      </c>
      <c r="AO48">
        <v>1</v>
      </c>
      <c r="AP48">
        <v>0</v>
      </c>
      <c r="AQ48">
        <v>0</v>
      </c>
      <c r="AR48">
        <v>0</v>
      </c>
      <c r="AS48" t="s">
        <v>3</v>
      </c>
      <c r="AT48">
        <v>735</v>
      </c>
      <c r="AU48" t="s">
        <v>3</v>
      </c>
      <c r="AV48">
        <v>0</v>
      </c>
      <c r="AW48">
        <v>2</v>
      </c>
      <c r="AX48">
        <v>49708389</v>
      </c>
      <c r="AY48">
        <v>1</v>
      </c>
      <c r="AZ48">
        <v>0</v>
      </c>
      <c r="BA48">
        <v>46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CX48">
        <f>Y48*Source!I41</f>
        <v>1911</v>
      </c>
      <c r="CY48">
        <f>AA48</f>
        <v>17.77</v>
      </c>
      <c r="CZ48">
        <f>AE48</f>
        <v>17.77</v>
      </c>
      <c r="DA48">
        <f>AI48</f>
        <v>1</v>
      </c>
      <c r="DB48">
        <f t="shared" si="2"/>
        <v>13060.95</v>
      </c>
      <c r="DC48">
        <f t="shared" si="3"/>
        <v>0</v>
      </c>
    </row>
    <row r="49" spans="1:107" x14ac:dyDescent="0.2">
      <c r="A49">
        <f>ROW(Source!A41)</f>
        <v>41</v>
      </c>
      <c r="B49">
        <v>49707740</v>
      </c>
      <c r="C49">
        <v>49708371</v>
      </c>
      <c r="D49">
        <v>48341711</v>
      </c>
      <c r="E49">
        <v>1</v>
      </c>
      <c r="F49">
        <v>1</v>
      </c>
      <c r="G49">
        <v>27</v>
      </c>
      <c r="H49">
        <v>3</v>
      </c>
      <c r="I49" t="s">
        <v>371</v>
      </c>
      <c r="J49" t="s">
        <v>372</v>
      </c>
      <c r="K49" t="s">
        <v>373</v>
      </c>
      <c r="L49">
        <v>1346</v>
      </c>
      <c r="N49">
        <v>1009</v>
      </c>
      <c r="O49" t="s">
        <v>370</v>
      </c>
      <c r="P49" t="s">
        <v>370</v>
      </c>
      <c r="Q49">
        <v>1</v>
      </c>
      <c r="W49">
        <v>0</v>
      </c>
      <c r="X49">
        <v>1434584530</v>
      </c>
      <c r="Y49">
        <v>241.5</v>
      </c>
      <c r="AA49">
        <v>202.34</v>
      </c>
      <c r="AB49">
        <v>0</v>
      </c>
      <c r="AC49">
        <v>0</v>
      </c>
      <c r="AD49">
        <v>0</v>
      </c>
      <c r="AE49">
        <v>202.34</v>
      </c>
      <c r="AF49">
        <v>0</v>
      </c>
      <c r="AG49">
        <v>0</v>
      </c>
      <c r="AH49">
        <v>0</v>
      </c>
      <c r="AI49">
        <v>1</v>
      </c>
      <c r="AJ49">
        <v>1</v>
      </c>
      <c r="AK49">
        <v>1</v>
      </c>
      <c r="AL49">
        <v>1</v>
      </c>
      <c r="AN49">
        <v>0</v>
      </c>
      <c r="AO49">
        <v>1</v>
      </c>
      <c r="AP49">
        <v>0</v>
      </c>
      <c r="AQ49">
        <v>0</v>
      </c>
      <c r="AR49">
        <v>0</v>
      </c>
      <c r="AS49" t="s">
        <v>3</v>
      </c>
      <c r="AT49">
        <v>241.5</v>
      </c>
      <c r="AU49" t="s">
        <v>3</v>
      </c>
      <c r="AV49">
        <v>0</v>
      </c>
      <c r="AW49">
        <v>2</v>
      </c>
      <c r="AX49">
        <v>49708390</v>
      </c>
      <c r="AY49">
        <v>1</v>
      </c>
      <c r="AZ49">
        <v>0</v>
      </c>
      <c r="BA49">
        <v>47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CX49">
        <f>Y49*Source!I41</f>
        <v>627.9</v>
      </c>
      <c r="CY49">
        <f>AA49</f>
        <v>202.34</v>
      </c>
      <c r="CZ49">
        <f>AE49</f>
        <v>202.34</v>
      </c>
      <c r="DA49">
        <f>AI49</f>
        <v>1</v>
      </c>
      <c r="DB49">
        <f t="shared" si="2"/>
        <v>48865.11</v>
      </c>
      <c r="DC49">
        <f t="shared" si="3"/>
        <v>0</v>
      </c>
    </row>
    <row r="50" spans="1:107" x14ac:dyDescent="0.2">
      <c r="A50">
        <f>ROW(Source!A41)</f>
        <v>41</v>
      </c>
      <c r="B50">
        <v>49707740</v>
      </c>
      <c r="C50">
        <v>49708371</v>
      </c>
      <c r="D50">
        <v>48339678</v>
      </c>
      <c r="E50">
        <v>1</v>
      </c>
      <c r="F50">
        <v>1</v>
      </c>
      <c r="G50">
        <v>27</v>
      </c>
      <c r="H50">
        <v>3</v>
      </c>
      <c r="I50" t="s">
        <v>88</v>
      </c>
      <c r="J50" t="s">
        <v>90</v>
      </c>
      <c r="K50" t="s">
        <v>89</v>
      </c>
      <c r="L50">
        <v>1348</v>
      </c>
      <c r="N50">
        <v>1009</v>
      </c>
      <c r="O50" t="s">
        <v>57</v>
      </c>
      <c r="P50" t="s">
        <v>57</v>
      </c>
      <c r="Q50">
        <v>1000</v>
      </c>
      <c r="W50">
        <v>0</v>
      </c>
      <c r="X50">
        <v>-629368275</v>
      </c>
      <c r="Y50">
        <v>5.2499999999999998E-2</v>
      </c>
      <c r="AA50">
        <v>748299.67</v>
      </c>
      <c r="AB50">
        <v>0</v>
      </c>
      <c r="AC50">
        <v>0</v>
      </c>
      <c r="AD50">
        <v>0</v>
      </c>
      <c r="AE50">
        <v>748299.67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1</v>
      </c>
      <c r="AL50">
        <v>1</v>
      </c>
      <c r="AN50">
        <v>0</v>
      </c>
      <c r="AO50">
        <v>1</v>
      </c>
      <c r="AP50">
        <v>0</v>
      </c>
      <c r="AQ50">
        <v>0</v>
      </c>
      <c r="AR50">
        <v>0</v>
      </c>
      <c r="AS50" t="s">
        <v>3</v>
      </c>
      <c r="AT50">
        <v>5.2499999999999998E-2</v>
      </c>
      <c r="AU50" t="s">
        <v>3</v>
      </c>
      <c r="AV50">
        <v>0</v>
      </c>
      <c r="AW50">
        <v>2</v>
      </c>
      <c r="AX50">
        <v>49708391</v>
      </c>
      <c r="AY50">
        <v>1</v>
      </c>
      <c r="AZ50">
        <v>0</v>
      </c>
      <c r="BA50">
        <v>48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CX50">
        <f>Y50*Source!I41</f>
        <v>0.13650000000000001</v>
      </c>
      <c r="CY50">
        <f>AA50</f>
        <v>748299.67</v>
      </c>
      <c r="CZ50">
        <f>AE50</f>
        <v>748299.67</v>
      </c>
      <c r="DA50">
        <f>AI50</f>
        <v>1</v>
      </c>
      <c r="DB50">
        <f t="shared" si="2"/>
        <v>39285.730000000003</v>
      </c>
      <c r="DC50">
        <f t="shared" si="3"/>
        <v>0</v>
      </c>
    </row>
    <row r="51" spans="1:107" x14ac:dyDescent="0.2">
      <c r="A51">
        <f>ROW(Source!A42)</f>
        <v>42</v>
      </c>
      <c r="B51">
        <v>49707740</v>
      </c>
      <c r="C51">
        <v>49708392</v>
      </c>
      <c r="D51">
        <v>48326108</v>
      </c>
      <c r="E51">
        <v>27</v>
      </c>
      <c r="F51">
        <v>1</v>
      </c>
      <c r="G51">
        <v>27</v>
      </c>
      <c r="H51">
        <v>1</v>
      </c>
      <c r="I51" t="s">
        <v>293</v>
      </c>
      <c r="J51" t="s">
        <v>3</v>
      </c>
      <c r="K51" t="s">
        <v>294</v>
      </c>
      <c r="L51">
        <v>1191</v>
      </c>
      <c r="N51">
        <v>1013</v>
      </c>
      <c r="O51" t="s">
        <v>295</v>
      </c>
      <c r="P51" t="s">
        <v>295</v>
      </c>
      <c r="Q51">
        <v>1</v>
      </c>
      <c r="W51">
        <v>0</v>
      </c>
      <c r="X51">
        <v>476480486</v>
      </c>
      <c r="Y51">
        <v>80.27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1</v>
      </c>
      <c r="AJ51">
        <v>1</v>
      </c>
      <c r="AK51">
        <v>1</v>
      </c>
      <c r="AL51">
        <v>1</v>
      </c>
      <c r="AN51">
        <v>0</v>
      </c>
      <c r="AO51">
        <v>1</v>
      </c>
      <c r="AP51">
        <v>0</v>
      </c>
      <c r="AQ51">
        <v>0</v>
      </c>
      <c r="AR51">
        <v>0</v>
      </c>
      <c r="AS51" t="s">
        <v>3</v>
      </c>
      <c r="AT51">
        <v>80.27</v>
      </c>
      <c r="AU51" t="s">
        <v>3</v>
      </c>
      <c r="AV51">
        <v>1</v>
      </c>
      <c r="AW51">
        <v>2</v>
      </c>
      <c r="AX51">
        <v>49708405</v>
      </c>
      <c r="AY51">
        <v>1</v>
      </c>
      <c r="AZ51">
        <v>0</v>
      </c>
      <c r="BA51">
        <v>49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CX51">
        <f>Y51*Source!I42</f>
        <v>55.386299999999991</v>
      </c>
      <c r="CY51">
        <f>AD51</f>
        <v>0</v>
      </c>
      <c r="CZ51">
        <f>AH51</f>
        <v>0</v>
      </c>
      <c r="DA51">
        <f>AL51</f>
        <v>1</v>
      </c>
      <c r="DB51">
        <f t="shared" si="2"/>
        <v>0</v>
      </c>
      <c r="DC51">
        <f t="shared" si="3"/>
        <v>0</v>
      </c>
    </row>
    <row r="52" spans="1:107" x14ac:dyDescent="0.2">
      <c r="A52">
        <f>ROW(Source!A42)</f>
        <v>42</v>
      </c>
      <c r="B52">
        <v>49707740</v>
      </c>
      <c r="C52">
        <v>49708392</v>
      </c>
      <c r="D52">
        <v>48342148</v>
      </c>
      <c r="E52">
        <v>1</v>
      </c>
      <c r="F52">
        <v>1</v>
      </c>
      <c r="G52">
        <v>27</v>
      </c>
      <c r="H52">
        <v>3</v>
      </c>
      <c r="I52" t="s">
        <v>374</v>
      </c>
      <c r="J52" t="s">
        <v>375</v>
      </c>
      <c r="K52" t="s">
        <v>376</v>
      </c>
      <c r="L52">
        <v>1339</v>
      </c>
      <c r="N52">
        <v>1007</v>
      </c>
      <c r="O52" t="s">
        <v>46</v>
      </c>
      <c r="P52" t="s">
        <v>46</v>
      </c>
      <c r="Q52">
        <v>1</v>
      </c>
      <c r="W52">
        <v>0</v>
      </c>
      <c r="X52">
        <v>-697630842</v>
      </c>
      <c r="Y52">
        <v>5.9</v>
      </c>
      <c r="AA52">
        <v>3714.73</v>
      </c>
      <c r="AB52">
        <v>0</v>
      </c>
      <c r="AC52">
        <v>0</v>
      </c>
      <c r="AD52">
        <v>0</v>
      </c>
      <c r="AE52">
        <v>3714.73</v>
      </c>
      <c r="AF52">
        <v>0</v>
      </c>
      <c r="AG52">
        <v>0</v>
      </c>
      <c r="AH52">
        <v>0</v>
      </c>
      <c r="AI52">
        <v>1</v>
      </c>
      <c r="AJ52">
        <v>1</v>
      </c>
      <c r="AK52">
        <v>1</v>
      </c>
      <c r="AL52">
        <v>1</v>
      </c>
      <c r="AN52">
        <v>0</v>
      </c>
      <c r="AO52">
        <v>1</v>
      </c>
      <c r="AP52">
        <v>0</v>
      </c>
      <c r="AQ52">
        <v>0</v>
      </c>
      <c r="AR52">
        <v>0</v>
      </c>
      <c r="AS52" t="s">
        <v>3</v>
      </c>
      <c r="AT52">
        <v>5.9</v>
      </c>
      <c r="AU52" t="s">
        <v>3</v>
      </c>
      <c r="AV52">
        <v>0</v>
      </c>
      <c r="AW52">
        <v>2</v>
      </c>
      <c r="AX52">
        <v>49708406</v>
      </c>
      <c r="AY52">
        <v>1</v>
      </c>
      <c r="AZ52">
        <v>0</v>
      </c>
      <c r="BA52">
        <v>50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CX52">
        <f>Y52*Source!I42</f>
        <v>4.0709999999999997</v>
      </c>
      <c r="CY52">
        <f>AA52</f>
        <v>3714.73</v>
      </c>
      <c r="CZ52">
        <f>AE52</f>
        <v>3714.73</v>
      </c>
      <c r="DA52">
        <f>AI52</f>
        <v>1</v>
      </c>
      <c r="DB52">
        <f t="shared" si="2"/>
        <v>21916.91</v>
      </c>
      <c r="DC52">
        <f t="shared" si="3"/>
        <v>0</v>
      </c>
    </row>
    <row r="53" spans="1:107" x14ac:dyDescent="0.2">
      <c r="A53">
        <f>ROW(Source!A42)</f>
        <v>42</v>
      </c>
      <c r="B53">
        <v>49707740</v>
      </c>
      <c r="C53">
        <v>49708392</v>
      </c>
      <c r="D53">
        <v>48342224</v>
      </c>
      <c r="E53">
        <v>1</v>
      </c>
      <c r="F53">
        <v>1</v>
      </c>
      <c r="G53">
        <v>27</v>
      </c>
      <c r="H53">
        <v>3</v>
      </c>
      <c r="I53" t="s">
        <v>377</v>
      </c>
      <c r="J53" t="s">
        <v>378</v>
      </c>
      <c r="K53" t="s">
        <v>379</v>
      </c>
      <c r="L53">
        <v>1339</v>
      </c>
      <c r="N53">
        <v>1007</v>
      </c>
      <c r="O53" t="s">
        <v>46</v>
      </c>
      <c r="P53" t="s">
        <v>46</v>
      </c>
      <c r="Q53">
        <v>1</v>
      </c>
      <c r="W53">
        <v>0</v>
      </c>
      <c r="X53">
        <v>253260963</v>
      </c>
      <c r="Y53">
        <v>0.06</v>
      </c>
      <c r="AA53">
        <v>3392.59</v>
      </c>
      <c r="AB53">
        <v>0</v>
      </c>
      <c r="AC53">
        <v>0</v>
      </c>
      <c r="AD53">
        <v>0</v>
      </c>
      <c r="AE53">
        <v>3392.59</v>
      </c>
      <c r="AF53">
        <v>0</v>
      </c>
      <c r="AG53">
        <v>0</v>
      </c>
      <c r="AH53">
        <v>0</v>
      </c>
      <c r="AI53">
        <v>1</v>
      </c>
      <c r="AJ53">
        <v>1</v>
      </c>
      <c r="AK53">
        <v>1</v>
      </c>
      <c r="AL53">
        <v>1</v>
      </c>
      <c r="AN53">
        <v>0</v>
      </c>
      <c r="AO53">
        <v>1</v>
      </c>
      <c r="AP53">
        <v>0</v>
      </c>
      <c r="AQ53">
        <v>0</v>
      </c>
      <c r="AR53">
        <v>0</v>
      </c>
      <c r="AS53" t="s">
        <v>3</v>
      </c>
      <c r="AT53">
        <v>0.06</v>
      </c>
      <c r="AU53" t="s">
        <v>3</v>
      </c>
      <c r="AV53">
        <v>0</v>
      </c>
      <c r="AW53">
        <v>2</v>
      </c>
      <c r="AX53">
        <v>49708407</v>
      </c>
      <c r="AY53">
        <v>1</v>
      </c>
      <c r="AZ53">
        <v>0</v>
      </c>
      <c r="BA53">
        <v>51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CX53">
        <f>Y53*Source!I42</f>
        <v>4.1399999999999992E-2</v>
      </c>
      <c r="CY53">
        <f>AA53</f>
        <v>3392.59</v>
      </c>
      <c r="CZ53">
        <f>AE53</f>
        <v>3392.59</v>
      </c>
      <c r="DA53">
        <f>AI53</f>
        <v>1</v>
      </c>
      <c r="DB53">
        <f t="shared" si="2"/>
        <v>203.56</v>
      </c>
      <c r="DC53">
        <f t="shared" si="3"/>
        <v>0</v>
      </c>
    </row>
    <row r="54" spans="1:107" x14ac:dyDescent="0.2">
      <c r="A54">
        <f>ROW(Source!A42)</f>
        <v>42</v>
      </c>
      <c r="B54">
        <v>49707740</v>
      </c>
      <c r="C54">
        <v>49708392</v>
      </c>
      <c r="D54">
        <v>48342962</v>
      </c>
      <c r="E54">
        <v>1</v>
      </c>
      <c r="F54">
        <v>1</v>
      </c>
      <c r="G54">
        <v>27</v>
      </c>
      <c r="H54">
        <v>3</v>
      </c>
      <c r="I54" t="s">
        <v>103</v>
      </c>
      <c r="J54" t="s">
        <v>105</v>
      </c>
      <c r="K54" t="s">
        <v>104</v>
      </c>
      <c r="L54">
        <v>1339</v>
      </c>
      <c r="N54">
        <v>1007</v>
      </c>
      <c r="O54" t="s">
        <v>46</v>
      </c>
      <c r="P54" t="s">
        <v>46</v>
      </c>
      <c r="Q54">
        <v>1</v>
      </c>
      <c r="W54">
        <v>1</v>
      </c>
      <c r="X54">
        <v>1857369686</v>
      </c>
      <c r="Y54">
        <v>-4.3</v>
      </c>
      <c r="AA54">
        <v>7833.01</v>
      </c>
      <c r="AB54">
        <v>0</v>
      </c>
      <c r="AC54">
        <v>0</v>
      </c>
      <c r="AD54">
        <v>0</v>
      </c>
      <c r="AE54">
        <v>7833.01</v>
      </c>
      <c r="AF54">
        <v>0</v>
      </c>
      <c r="AG54">
        <v>0</v>
      </c>
      <c r="AH54">
        <v>0</v>
      </c>
      <c r="AI54">
        <v>1</v>
      </c>
      <c r="AJ54">
        <v>1</v>
      </c>
      <c r="AK54">
        <v>1</v>
      </c>
      <c r="AL54">
        <v>1</v>
      </c>
      <c r="AN54">
        <v>0</v>
      </c>
      <c r="AO54">
        <v>1</v>
      </c>
      <c r="AP54">
        <v>0</v>
      </c>
      <c r="AQ54">
        <v>0</v>
      </c>
      <c r="AR54">
        <v>0</v>
      </c>
      <c r="AS54" t="s">
        <v>3</v>
      </c>
      <c r="AT54">
        <v>-4.3</v>
      </c>
      <c r="AU54" t="s">
        <v>3</v>
      </c>
      <c r="AV54">
        <v>0</v>
      </c>
      <c r="AW54">
        <v>2</v>
      </c>
      <c r="AX54">
        <v>49708408</v>
      </c>
      <c r="AY54">
        <v>1</v>
      </c>
      <c r="AZ54">
        <v>6144</v>
      </c>
      <c r="BA54">
        <v>52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CX54">
        <f>Y54*Source!I42</f>
        <v>-2.9669999999999996</v>
      </c>
      <c r="CY54">
        <f>AA54</f>
        <v>7833.01</v>
      </c>
      <c r="CZ54">
        <f>AE54</f>
        <v>7833.01</v>
      </c>
      <c r="DA54">
        <f>AI54</f>
        <v>1</v>
      </c>
      <c r="DB54">
        <f t="shared" si="2"/>
        <v>-33681.94</v>
      </c>
      <c r="DC54">
        <f t="shared" si="3"/>
        <v>0</v>
      </c>
    </row>
    <row r="55" spans="1:107" x14ac:dyDescent="0.2">
      <c r="A55">
        <f>ROW(Source!A42)</f>
        <v>42</v>
      </c>
      <c r="B55">
        <v>49707740</v>
      </c>
      <c r="C55">
        <v>49708392</v>
      </c>
      <c r="D55">
        <v>0</v>
      </c>
      <c r="E55">
        <v>27</v>
      </c>
      <c r="F55">
        <v>1</v>
      </c>
      <c r="G55">
        <v>27</v>
      </c>
      <c r="H55">
        <v>3</v>
      </c>
      <c r="I55" t="s">
        <v>98</v>
      </c>
      <c r="J55" t="s">
        <v>3</v>
      </c>
      <c r="K55" t="s">
        <v>99</v>
      </c>
      <c r="L55">
        <v>1354</v>
      </c>
      <c r="N55">
        <v>1010</v>
      </c>
      <c r="O55" t="s">
        <v>100</v>
      </c>
      <c r="P55" t="s">
        <v>100</v>
      </c>
      <c r="Q55">
        <v>1</v>
      </c>
      <c r="W55">
        <v>0</v>
      </c>
      <c r="X55">
        <v>-589486669</v>
      </c>
      <c r="Y55">
        <v>0</v>
      </c>
      <c r="AA55">
        <v>372.6</v>
      </c>
      <c r="AB55">
        <v>0</v>
      </c>
      <c r="AC55">
        <v>0</v>
      </c>
      <c r="AD55">
        <v>0</v>
      </c>
      <c r="AE55">
        <v>372.6</v>
      </c>
      <c r="AF55">
        <v>0</v>
      </c>
      <c r="AG55">
        <v>0</v>
      </c>
      <c r="AH55">
        <v>0</v>
      </c>
      <c r="AI55">
        <v>1</v>
      </c>
      <c r="AJ55">
        <v>1</v>
      </c>
      <c r="AK55">
        <v>1</v>
      </c>
      <c r="AL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3</v>
      </c>
      <c r="AT55">
        <v>0</v>
      </c>
      <c r="AU55" t="s">
        <v>3</v>
      </c>
      <c r="AV55">
        <v>0</v>
      </c>
      <c r="AW55">
        <v>1</v>
      </c>
      <c r="AX55">
        <v>-1</v>
      </c>
      <c r="AY55">
        <v>0</v>
      </c>
      <c r="AZ55">
        <v>0</v>
      </c>
      <c r="BA55" t="s">
        <v>3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CX55">
        <f>Y55*Source!I42</f>
        <v>0</v>
      </c>
      <c r="CY55">
        <f>AA55</f>
        <v>372.6</v>
      </c>
      <c r="CZ55">
        <f>AE55</f>
        <v>372.6</v>
      </c>
      <c r="DA55">
        <f>AI55</f>
        <v>1</v>
      </c>
      <c r="DB55">
        <f t="shared" si="2"/>
        <v>0</v>
      </c>
      <c r="DC55">
        <f t="shared" si="3"/>
        <v>0</v>
      </c>
    </row>
    <row r="56" spans="1:107" x14ac:dyDescent="0.2">
      <c r="A56">
        <f>ROW(Source!A83)</f>
        <v>83</v>
      </c>
      <c r="B56">
        <v>49707740</v>
      </c>
      <c r="C56">
        <v>49708411</v>
      </c>
      <c r="D56">
        <v>48326108</v>
      </c>
      <c r="E56">
        <v>27</v>
      </c>
      <c r="F56">
        <v>1</v>
      </c>
      <c r="G56">
        <v>27</v>
      </c>
      <c r="H56">
        <v>1</v>
      </c>
      <c r="I56" t="s">
        <v>293</v>
      </c>
      <c r="J56" t="s">
        <v>3</v>
      </c>
      <c r="K56" t="s">
        <v>294</v>
      </c>
      <c r="L56">
        <v>1191</v>
      </c>
      <c r="N56">
        <v>1013</v>
      </c>
      <c r="O56" t="s">
        <v>295</v>
      </c>
      <c r="P56" t="s">
        <v>295</v>
      </c>
      <c r="Q56">
        <v>1</v>
      </c>
      <c r="W56">
        <v>0</v>
      </c>
      <c r="X56">
        <v>476480486</v>
      </c>
      <c r="Y56">
        <v>17.48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1</v>
      </c>
      <c r="AL56">
        <v>1</v>
      </c>
      <c r="AN56">
        <v>0</v>
      </c>
      <c r="AO56">
        <v>1</v>
      </c>
      <c r="AP56">
        <v>1</v>
      </c>
      <c r="AQ56">
        <v>0</v>
      </c>
      <c r="AR56">
        <v>0</v>
      </c>
      <c r="AS56" t="s">
        <v>3</v>
      </c>
      <c r="AT56">
        <v>87.4</v>
      </c>
      <c r="AU56" t="s">
        <v>170</v>
      </c>
      <c r="AV56">
        <v>1</v>
      </c>
      <c r="AW56">
        <v>2</v>
      </c>
      <c r="AX56">
        <v>49708417</v>
      </c>
      <c r="AY56">
        <v>1</v>
      </c>
      <c r="AZ56">
        <v>0</v>
      </c>
      <c r="BA56">
        <v>53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CX56">
        <f>Y56*Source!I83</f>
        <v>52.44</v>
      </c>
      <c r="CY56">
        <f>AD56</f>
        <v>0</v>
      </c>
      <c r="CZ56">
        <f>AH56</f>
        <v>0</v>
      </c>
      <c r="DA56">
        <f>AL56</f>
        <v>1</v>
      </c>
      <c r="DB56">
        <f>ROUND((ROUND(AT56*CZ56,2)*0.2),6)</f>
        <v>0</v>
      </c>
      <c r="DC56">
        <f>ROUND((ROUND(AT56*AG56,2)*0.2),6)</f>
        <v>0</v>
      </c>
    </row>
    <row r="57" spans="1:107" x14ac:dyDescent="0.2">
      <c r="A57">
        <f>ROW(Source!A83)</f>
        <v>83</v>
      </c>
      <c r="B57">
        <v>49707740</v>
      </c>
      <c r="C57">
        <v>49708411</v>
      </c>
      <c r="D57">
        <v>48338410</v>
      </c>
      <c r="E57">
        <v>1</v>
      </c>
      <c r="F57">
        <v>1</v>
      </c>
      <c r="G57">
        <v>27</v>
      </c>
      <c r="H57">
        <v>2</v>
      </c>
      <c r="I57" t="s">
        <v>380</v>
      </c>
      <c r="J57" t="s">
        <v>381</v>
      </c>
      <c r="K57" t="s">
        <v>382</v>
      </c>
      <c r="L57">
        <v>1368</v>
      </c>
      <c r="N57">
        <v>1011</v>
      </c>
      <c r="O57" t="s">
        <v>299</v>
      </c>
      <c r="P57" t="s">
        <v>299</v>
      </c>
      <c r="Q57">
        <v>1</v>
      </c>
      <c r="W57">
        <v>0</v>
      </c>
      <c r="X57">
        <v>-204835879</v>
      </c>
      <c r="Y57">
        <v>3.8000000000000003</v>
      </c>
      <c r="AA57">
        <v>0</v>
      </c>
      <c r="AB57">
        <v>31</v>
      </c>
      <c r="AC57">
        <v>1.35</v>
      </c>
      <c r="AD57">
        <v>0</v>
      </c>
      <c r="AE57">
        <v>0</v>
      </c>
      <c r="AF57">
        <v>31</v>
      </c>
      <c r="AG57">
        <v>1.35</v>
      </c>
      <c r="AH57">
        <v>0</v>
      </c>
      <c r="AI57">
        <v>1</v>
      </c>
      <c r="AJ57">
        <v>1</v>
      </c>
      <c r="AK57">
        <v>1</v>
      </c>
      <c r="AL57">
        <v>1</v>
      </c>
      <c r="AN57">
        <v>0</v>
      </c>
      <c r="AO57">
        <v>1</v>
      </c>
      <c r="AP57">
        <v>1</v>
      </c>
      <c r="AQ57">
        <v>0</v>
      </c>
      <c r="AR57">
        <v>0</v>
      </c>
      <c r="AS57" t="s">
        <v>3</v>
      </c>
      <c r="AT57">
        <v>19</v>
      </c>
      <c r="AU57" t="s">
        <v>170</v>
      </c>
      <c r="AV57">
        <v>0</v>
      </c>
      <c r="AW57">
        <v>2</v>
      </c>
      <c r="AX57">
        <v>49708418</v>
      </c>
      <c r="AY57">
        <v>1</v>
      </c>
      <c r="AZ57">
        <v>2048</v>
      </c>
      <c r="BA57">
        <v>54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CX57">
        <f>Y57*Source!I83</f>
        <v>11.4</v>
      </c>
      <c r="CY57">
        <f>AB57</f>
        <v>31</v>
      </c>
      <c r="CZ57">
        <f>AF57</f>
        <v>31</v>
      </c>
      <c r="DA57">
        <f>AJ57</f>
        <v>1</v>
      </c>
      <c r="DB57">
        <f>ROUND((ROUND(AT57*CZ57,2)*0.2),6)</f>
        <v>117.8</v>
      </c>
      <c r="DC57">
        <f>ROUND((ROUND(AT57*AG57,2)*0.2),6)</f>
        <v>5.13</v>
      </c>
    </row>
    <row r="58" spans="1:107" x14ac:dyDescent="0.2">
      <c r="A58">
        <f>ROW(Source!A83)</f>
        <v>83</v>
      </c>
      <c r="B58">
        <v>49707740</v>
      </c>
      <c r="C58">
        <v>49708411</v>
      </c>
      <c r="D58">
        <v>48340229</v>
      </c>
      <c r="E58">
        <v>1</v>
      </c>
      <c r="F58">
        <v>1</v>
      </c>
      <c r="G58">
        <v>27</v>
      </c>
      <c r="H58">
        <v>3</v>
      </c>
      <c r="I58" t="s">
        <v>383</v>
      </c>
      <c r="J58" t="s">
        <v>384</v>
      </c>
      <c r="K58" t="s">
        <v>385</v>
      </c>
      <c r="L58">
        <v>1348</v>
      </c>
      <c r="N58">
        <v>1009</v>
      </c>
      <c r="O58" t="s">
        <v>57</v>
      </c>
      <c r="P58" t="s">
        <v>57</v>
      </c>
      <c r="Q58">
        <v>1000</v>
      </c>
      <c r="W58">
        <v>0</v>
      </c>
      <c r="X58">
        <v>-1356276541</v>
      </c>
      <c r="Y58">
        <v>0</v>
      </c>
      <c r="AA58">
        <v>105084.63</v>
      </c>
      <c r="AB58">
        <v>0</v>
      </c>
      <c r="AC58">
        <v>0</v>
      </c>
      <c r="AD58">
        <v>0</v>
      </c>
      <c r="AE58">
        <v>105084.63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1</v>
      </c>
      <c r="AL58">
        <v>1</v>
      </c>
      <c r="AN58">
        <v>0</v>
      </c>
      <c r="AO58">
        <v>1</v>
      </c>
      <c r="AP58">
        <v>1</v>
      </c>
      <c r="AQ58">
        <v>0</v>
      </c>
      <c r="AR58">
        <v>0</v>
      </c>
      <c r="AS58" t="s">
        <v>3</v>
      </c>
      <c r="AT58">
        <v>3.3E-3</v>
      </c>
      <c r="AU58" t="s">
        <v>169</v>
      </c>
      <c r="AV58">
        <v>0</v>
      </c>
      <c r="AW58">
        <v>2</v>
      </c>
      <c r="AX58">
        <v>49708419</v>
      </c>
      <c r="AY58">
        <v>1</v>
      </c>
      <c r="AZ58">
        <v>0</v>
      </c>
      <c r="BA58">
        <v>55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CX58">
        <f>Y58*Source!I83</f>
        <v>0</v>
      </c>
      <c r="CY58">
        <f>AA58</f>
        <v>105084.63</v>
      </c>
      <c r="CZ58">
        <f>AE58</f>
        <v>105084.63</v>
      </c>
      <c r="DA58">
        <f>AI58</f>
        <v>1</v>
      </c>
      <c r="DB58">
        <f>ROUND((ROUND(AT58*CZ58,2)*0),6)</f>
        <v>0</v>
      </c>
      <c r="DC58">
        <f>ROUND((ROUND(AT58*AG58,2)*0),6)</f>
        <v>0</v>
      </c>
    </row>
    <row r="59" spans="1:107" x14ac:dyDescent="0.2">
      <c r="A59">
        <f>ROW(Source!A83)</f>
        <v>83</v>
      </c>
      <c r="B59">
        <v>49707740</v>
      </c>
      <c r="C59">
        <v>49708411</v>
      </c>
      <c r="D59">
        <v>48341086</v>
      </c>
      <c r="E59">
        <v>1</v>
      </c>
      <c r="F59">
        <v>1</v>
      </c>
      <c r="G59">
        <v>27</v>
      </c>
      <c r="H59">
        <v>3</v>
      </c>
      <c r="I59" t="s">
        <v>386</v>
      </c>
      <c r="J59" t="s">
        <v>387</v>
      </c>
      <c r="K59" t="s">
        <v>388</v>
      </c>
      <c r="L59">
        <v>1348</v>
      </c>
      <c r="N59">
        <v>1009</v>
      </c>
      <c r="O59" t="s">
        <v>57</v>
      </c>
      <c r="P59" t="s">
        <v>57</v>
      </c>
      <c r="Q59">
        <v>1000</v>
      </c>
      <c r="W59">
        <v>0</v>
      </c>
      <c r="X59">
        <v>-941081254</v>
      </c>
      <c r="Y59">
        <v>0</v>
      </c>
      <c r="AA59">
        <v>110781.14</v>
      </c>
      <c r="AB59">
        <v>0</v>
      </c>
      <c r="AC59">
        <v>0</v>
      </c>
      <c r="AD59">
        <v>0</v>
      </c>
      <c r="AE59">
        <v>110781.14</v>
      </c>
      <c r="AF59">
        <v>0</v>
      </c>
      <c r="AG59">
        <v>0</v>
      </c>
      <c r="AH59">
        <v>0</v>
      </c>
      <c r="AI59">
        <v>1</v>
      </c>
      <c r="AJ59">
        <v>1</v>
      </c>
      <c r="AK59">
        <v>1</v>
      </c>
      <c r="AL59">
        <v>1</v>
      </c>
      <c r="AN59">
        <v>0</v>
      </c>
      <c r="AO59">
        <v>1</v>
      </c>
      <c r="AP59">
        <v>1</v>
      </c>
      <c r="AQ59">
        <v>0</v>
      </c>
      <c r="AR59">
        <v>0</v>
      </c>
      <c r="AS59" t="s">
        <v>3</v>
      </c>
      <c r="AT59">
        <v>1.4E-3</v>
      </c>
      <c r="AU59" t="s">
        <v>169</v>
      </c>
      <c r="AV59">
        <v>0</v>
      </c>
      <c r="AW59">
        <v>2</v>
      </c>
      <c r="AX59">
        <v>49708420</v>
      </c>
      <c r="AY59">
        <v>1</v>
      </c>
      <c r="AZ59">
        <v>0</v>
      </c>
      <c r="BA59">
        <v>56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CX59">
        <f>Y59*Source!I83</f>
        <v>0</v>
      </c>
      <c r="CY59">
        <f>AA59</f>
        <v>110781.14</v>
      </c>
      <c r="CZ59">
        <f>AE59</f>
        <v>110781.14</v>
      </c>
      <c r="DA59">
        <f>AI59</f>
        <v>1</v>
      </c>
      <c r="DB59">
        <f>ROUND((ROUND(AT59*CZ59,2)*0),6)</f>
        <v>0</v>
      </c>
      <c r="DC59">
        <f>ROUND((ROUND(AT59*AG59,2)*0),6)</f>
        <v>0</v>
      </c>
    </row>
    <row r="60" spans="1:107" x14ac:dyDescent="0.2">
      <c r="A60">
        <f>ROW(Source!A83)</f>
        <v>83</v>
      </c>
      <c r="B60">
        <v>49707740</v>
      </c>
      <c r="C60">
        <v>49708411</v>
      </c>
      <c r="D60">
        <v>48343201</v>
      </c>
      <c r="E60">
        <v>1</v>
      </c>
      <c r="F60">
        <v>1</v>
      </c>
      <c r="G60">
        <v>27</v>
      </c>
      <c r="H60">
        <v>3</v>
      </c>
      <c r="I60" t="s">
        <v>389</v>
      </c>
      <c r="J60" t="s">
        <v>390</v>
      </c>
      <c r="K60" t="s">
        <v>391</v>
      </c>
      <c r="L60">
        <v>1348</v>
      </c>
      <c r="N60">
        <v>1009</v>
      </c>
      <c r="O60" t="s">
        <v>57</v>
      </c>
      <c r="P60" t="s">
        <v>57</v>
      </c>
      <c r="Q60">
        <v>1000</v>
      </c>
      <c r="W60">
        <v>0</v>
      </c>
      <c r="X60">
        <v>485376408</v>
      </c>
      <c r="Y60">
        <v>0</v>
      </c>
      <c r="AA60">
        <v>75026.559999999998</v>
      </c>
      <c r="AB60">
        <v>0</v>
      </c>
      <c r="AC60">
        <v>0</v>
      </c>
      <c r="AD60">
        <v>0</v>
      </c>
      <c r="AE60">
        <v>75026.559999999998</v>
      </c>
      <c r="AF60">
        <v>0</v>
      </c>
      <c r="AG60">
        <v>0</v>
      </c>
      <c r="AH60">
        <v>0</v>
      </c>
      <c r="AI60">
        <v>1</v>
      </c>
      <c r="AJ60">
        <v>1</v>
      </c>
      <c r="AK60">
        <v>1</v>
      </c>
      <c r="AL60">
        <v>1</v>
      </c>
      <c r="AN60">
        <v>0</v>
      </c>
      <c r="AO60">
        <v>1</v>
      </c>
      <c r="AP60">
        <v>1</v>
      </c>
      <c r="AQ60">
        <v>0</v>
      </c>
      <c r="AR60">
        <v>0</v>
      </c>
      <c r="AS60" t="s">
        <v>3</v>
      </c>
      <c r="AT60">
        <v>1</v>
      </c>
      <c r="AU60" t="s">
        <v>169</v>
      </c>
      <c r="AV60">
        <v>0</v>
      </c>
      <c r="AW60">
        <v>2</v>
      </c>
      <c r="AX60">
        <v>49708421</v>
      </c>
      <c r="AY60">
        <v>1</v>
      </c>
      <c r="AZ60">
        <v>0</v>
      </c>
      <c r="BA60">
        <v>57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CX60">
        <f>Y60*Source!I83</f>
        <v>0</v>
      </c>
      <c r="CY60">
        <f>AA60</f>
        <v>75026.559999999998</v>
      </c>
      <c r="CZ60">
        <f>AE60</f>
        <v>75026.559999999998</v>
      </c>
      <c r="DA60">
        <f>AI60</f>
        <v>1</v>
      </c>
      <c r="DB60">
        <f>ROUND((ROUND(AT60*CZ60,2)*0),6)</f>
        <v>0</v>
      </c>
      <c r="DC60">
        <f>ROUND((ROUND(AT60*AG60,2)*0),6)</f>
        <v>0</v>
      </c>
    </row>
    <row r="61" spans="1:107" x14ac:dyDescent="0.2">
      <c r="A61">
        <f>ROW(Source!A84)</f>
        <v>84</v>
      </c>
      <c r="B61">
        <v>49707740</v>
      </c>
      <c r="C61">
        <v>49708422</v>
      </c>
      <c r="D61">
        <v>48326108</v>
      </c>
      <c r="E61">
        <v>27</v>
      </c>
      <c r="F61">
        <v>1</v>
      </c>
      <c r="G61">
        <v>27</v>
      </c>
      <c r="H61">
        <v>1</v>
      </c>
      <c r="I61" t="s">
        <v>293</v>
      </c>
      <c r="J61" t="s">
        <v>3</v>
      </c>
      <c r="K61" t="s">
        <v>294</v>
      </c>
      <c r="L61">
        <v>1191</v>
      </c>
      <c r="N61">
        <v>1013</v>
      </c>
      <c r="O61" t="s">
        <v>295</v>
      </c>
      <c r="P61" t="s">
        <v>295</v>
      </c>
      <c r="Q61">
        <v>1</v>
      </c>
      <c r="W61">
        <v>0</v>
      </c>
      <c r="X61">
        <v>476480486</v>
      </c>
      <c r="Y61">
        <v>22.080000000000002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N61">
        <v>0</v>
      </c>
      <c r="AO61">
        <v>1</v>
      </c>
      <c r="AP61">
        <v>1</v>
      </c>
      <c r="AQ61">
        <v>0</v>
      </c>
      <c r="AR61">
        <v>0</v>
      </c>
      <c r="AS61" t="s">
        <v>3</v>
      </c>
      <c r="AT61">
        <v>110.4</v>
      </c>
      <c r="AU61" t="s">
        <v>170</v>
      </c>
      <c r="AV61">
        <v>1</v>
      </c>
      <c r="AW61">
        <v>2</v>
      </c>
      <c r="AX61">
        <v>49708428</v>
      </c>
      <c r="AY61">
        <v>1</v>
      </c>
      <c r="AZ61">
        <v>2048</v>
      </c>
      <c r="BA61">
        <v>58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CX61">
        <f>Y61*Source!I84</f>
        <v>19.872000000000003</v>
      </c>
      <c r="CY61">
        <f>AD61</f>
        <v>0</v>
      </c>
      <c r="CZ61">
        <f>AH61</f>
        <v>0</v>
      </c>
      <c r="DA61">
        <f>AL61</f>
        <v>1</v>
      </c>
      <c r="DB61">
        <f>ROUND((ROUND(AT61*CZ61,2)*0.2),6)</f>
        <v>0</v>
      </c>
      <c r="DC61">
        <f>ROUND((ROUND(AT61*AG61,2)*0.2),6)</f>
        <v>0</v>
      </c>
    </row>
    <row r="62" spans="1:107" x14ac:dyDescent="0.2">
      <c r="A62">
        <f>ROW(Source!A84)</f>
        <v>84</v>
      </c>
      <c r="B62">
        <v>49707740</v>
      </c>
      <c r="C62">
        <v>49708422</v>
      </c>
      <c r="D62">
        <v>48338410</v>
      </c>
      <c r="E62">
        <v>1</v>
      </c>
      <c r="F62">
        <v>1</v>
      </c>
      <c r="G62">
        <v>27</v>
      </c>
      <c r="H62">
        <v>2</v>
      </c>
      <c r="I62" t="s">
        <v>380</v>
      </c>
      <c r="J62" t="s">
        <v>381</v>
      </c>
      <c r="K62" t="s">
        <v>382</v>
      </c>
      <c r="L62">
        <v>1368</v>
      </c>
      <c r="N62">
        <v>1011</v>
      </c>
      <c r="O62" t="s">
        <v>299</v>
      </c>
      <c r="P62" t="s">
        <v>299</v>
      </c>
      <c r="Q62">
        <v>1</v>
      </c>
      <c r="W62">
        <v>0</v>
      </c>
      <c r="X62">
        <v>-204835879</v>
      </c>
      <c r="Y62">
        <v>4.8000000000000007</v>
      </c>
      <c r="AA62">
        <v>0</v>
      </c>
      <c r="AB62">
        <v>31</v>
      </c>
      <c r="AC62">
        <v>1.35</v>
      </c>
      <c r="AD62">
        <v>0</v>
      </c>
      <c r="AE62">
        <v>0</v>
      </c>
      <c r="AF62">
        <v>31</v>
      </c>
      <c r="AG62">
        <v>1.35</v>
      </c>
      <c r="AH62">
        <v>0</v>
      </c>
      <c r="AI62">
        <v>1</v>
      </c>
      <c r="AJ62">
        <v>1</v>
      </c>
      <c r="AK62">
        <v>1</v>
      </c>
      <c r="AL62">
        <v>1</v>
      </c>
      <c r="AN62">
        <v>0</v>
      </c>
      <c r="AO62">
        <v>1</v>
      </c>
      <c r="AP62">
        <v>1</v>
      </c>
      <c r="AQ62">
        <v>0</v>
      </c>
      <c r="AR62">
        <v>0</v>
      </c>
      <c r="AS62" t="s">
        <v>3</v>
      </c>
      <c r="AT62">
        <v>24</v>
      </c>
      <c r="AU62" t="s">
        <v>170</v>
      </c>
      <c r="AV62">
        <v>0</v>
      </c>
      <c r="AW62">
        <v>2</v>
      </c>
      <c r="AX62">
        <v>49708429</v>
      </c>
      <c r="AY62">
        <v>1</v>
      </c>
      <c r="AZ62">
        <v>2048</v>
      </c>
      <c r="BA62">
        <v>59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CX62">
        <f>Y62*Source!I84</f>
        <v>4.3200000000000012</v>
      </c>
      <c r="CY62">
        <f>AB62</f>
        <v>31</v>
      </c>
      <c r="CZ62">
        <f>AF62</f>
        <v>31</v>
      </c>
      <c r="DA62">
        <f>AJ62</f>
        <v>1</v>
      </c>
      <c r="DB62">
        <f>ROUND((ROUND(AT62*CZ62,2)*0.2),6)</f>
        <v>148.80000000000001</v>
      </c>
      <c r="DC62">
        <f>ROUND((ROUND(AT62*AG62,2)*0.2),6)</f>
        <v>6.48</v>
      </c>
    </row>
    <row r="63" spans="1:107" x14ac:dyDescent="0.2">
      <c r="A63">
        <f>ROW(Source!A84)</f>
        <v>84</v>
      </c>
      <c r="B63">
        <v>49707740</v>
      </c>
      <c r="C63">
        <v>49708422</v>
      </c>
      <c r="D63">
        <v>48340229</v>
      </c>
      <c r="E63">
        <v>1</v>
      </c>
      <c r="F63">
        <v>1</v>
      </c>
      <c r="G63">
        <v>27</v>
      </c>
      <c r="H63">
        <v>3</v>
      </c>
      <c r="I63" t="s">
        <v>383</v>
      </c>
      <c r="J63" t="s">
        <v>384</v>
      </c>
      <c r="K63" t="s">
        <v>385</v>
      </c>
      <c r="L63">
        <v>1348</v>
      </c>
      <c r="N63">
        <v>1009</v>
      </c>
      <c r="O63" t="s">
        <v>57</v>
      </c>
      <c r="P63" t="s">
        <v>57</v>
      </c>
      <c r="Q63">
        <v>1000</v>
      </c>
      <c r="W63">
        <v>0</v>
      </c>
      <c r="X63">
        <v>-1356276541</v>
      </c>
      <c r="Y63">
        <v>0</v>
      </c>
      <c r="AA63">
        <v>105084.63</v>
      </c>
      <c r="AB63">
        <v>0</v>
      </c>
      <c r="AC63">
        <v>0</v>
      </c>
      <c r="AD63">
        <v>0</v>
      </c>
      <c r="AE63">
        <v>105084.63</v>
      </c>
      <c r="AF63">
        <v>0</v>
      </c>
      <c r="AG63">
        <v>0</v>
      </c>
      <c r="AH63">
        <v>0</v>
      </c>
      <c r="AI63">
        <v>1</v>
      </c>
      <c r="AJ63">
        <v>1</v>
      </c>
      <c r="AK63">
        <v>1</v>
      </c>
      <c r="AL63">
        <v>1</v>
      </c>
      <c r="AN63">
        <v>0</v>
      </c>
      <c r="AO63">
        <v>1</v>
      </c>
      <c r="AP63">
        <v>1</v>
      </c>
      <c r="AQ63">
        <v>0</v>
      </c>
      <c r="AR63">
        <v>0</v>
      </c>
      <c r="AS63" t="s">
        <v>3</v>
      </c>
      <c r="AT63">
        <v>5.0000000000000001E-3</v>
      </c>
      <c r="AU63" t="s">
        <v>169</v>
      </c>
      <c r="AV63">
        <v>0</v>
      </c>
      <c r="AW63">
        <v>2</v>
      </c>
      <c r="AX63">
        <v>49708430</v>
      </c>
      <c r="AY63">
        <v>1</v>
      </c>
      <c r="AZ63">
        <v>0</v>
      </c>
      <c r="BA63">
        <v>60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CX63">
        <f>Y63*Source!I84</f>
        <v>0</v>
      </c>
      <c r="CY63">
        <f>AA63</f>
        <v>105084.63</v>
      </c>
      <c r="CZ63">
        <f>AE63</f>
        <v>105084.63</v>
      </c>
      <c r="DA63">
        <f>AI63</f>
        <v>1</v>
      </c>
      <c r="DB63">
        <f>ROUND((ROUND(AT63*CZ63,2)*0),6)</f>
        <v>0</v>
      </c>
      <c r="DC63">
        <f>ROUND((ROUND(AT63*AG63,2)*0),6)</f>
        <v>0</v>
      </c>
    </row>
    <row r="64" spans="1:107" x14ac:dyDescent="0.2">
      <c r="A64">
        <f>ROW(Source!A84)</f>
        <v>84</v>
      </c>
      <c r="B64">
        <v>49707740</v>
      </c>
      <c r="C64">
        <v>49708422</v>
      </c>
      <c r="D64">
        <v>48341086</v>
      </c>
      <c r="E64">
        <v>1</v>
      </c>
      <c r="F64">
        <v>1</v>
      </c>
      <c r="G64">
        <v>27</v>
      </c>
      <c r="H64">
        <v>3</v>
      </c>
      <c r="I64" t="s">
        <v>386</v>
      </c>
      <c r="J64" t="s">
        <v>387</v>
      </c>
      <c r="K64" t="s">
        <v>388</v>
      </c>
      <c r="L64">
        <v>1348</v>
      </c>
      <c r="N64">
        <v>1009</v>
      </c>
      <c r="O64" t="s">
        <v>57</v>
      </c>
      <c r="P64" t="s">
        <v>57</v>
      </c>
      <c r="Q64">
        <v>1000</v>
      </c>
      <c r="W64">
        <v>0</v>
      </c>
      <c r="X64">
        <v>-941081254</v>
      </c>
      <c r="Y64">
        <v>0</v>
      </c>
      <c r="AA64">
        <v>110781.14</v>
      </c>
      <c r="AB64">
        <v>0</v>
      </c>
      <c r="AC64">
        <v>0</v>
      </c>
      <c r="AD64">
        <v>0</v>
      </c>
      <c r="AE64">
        <v>110781.14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N64">
        <v>0</v>
      </c>
      <c r="AO64">
        <v>1</v>
      </c>
      <c r="AP64">
        <v>1</v>
      </c>
      <c r="AQ64">
        <v>0</v>
      </c>
      <c r="AR64">
        <v>0</v>
      </c>
      <c r="AS64" t="s">
        <v>3</v>
      </c>
      <c r="AT64">
        <v>2E-3</v>
      </c>
      <c r="AU64" t="s">
        <v>169</v>
      </c>
      <c r="AV64">
        <v>0</v>
      </c>
      <c r="AW64">
        <v>2</v>
      </c>
      <c r="AX64">
        <v>49708431</v>
      </c>
      <c r="AY64">
        <v>1</v>
      </c>
      <c r="AZ64">
        <v>0</v>
      </c>
      <c r="BA64">
        <v>61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CX64">
        <f>Y64*Source!I84</f>
        <v>0</v>
      </c>
      <c r="CY64">
        <f>AA64</f>
        <v>110781.14</v>
      </c>
      <c r="CZ64">
        <f>AE64</f>
        <v>110781.14</v>
      </c>
      <c r="DA64">
        <f>AI64</f>
        <v>1</v>
      </c>
      <c r="DB64">
        <f>ROUND((ROUND(AT64*CZ64,2)*0),6)</f>
        <v>0</v>
      </c>
      <c r="DC64">
        <f>ROUND((ROUND(AT64*AG64,2)*0),6)</f>
        <v>0</v>
      </c>
    </row>
    <row r="65" spans="1:107" x14ac:dyDescent="0.2">
      <c r="A65">
        <f>ROW(Source!A84)</f>
        <v>84</v>
      </c>
      <c r="B65">
        <v>49707740</v>
      </c>
      <c r="C65">
        <v>49708422</v>
      </c>
      <c r="D65">
        <v>48343198</v>
      </c>
      <c r="E65">
        <v>1</v>
      </c>
      <c r="F65">
        <v>1</v>
      </c>
      <c r="G65">
        <v>27</v>
      </c>
      <c r="H65">
        <v>3</v>
      </c>
      <c r="I65" t="s">
        <v>392</v>
      </c>
      <c r="J65" t="s">
        <v>393</v>
      </c>
      <c r="K65" t="s">
        <v>394</v>
      </c>
      <c r="L65">
        <v>1348</v>
      </c>
      <c r="N65">
        <v>1009</v>
      </c>
      <c r="O65" t="s">
        <v>57</v>
      </c>
      <c r="P65" t="s">
        <v>57</v>
      </c>
      <c r="Q65">
        <v>1000</v>
      </c>
      <c r="W65">
        <v>0</v>
      </c>
      <c r="X65">
        <v>-135154983</v>
      </c>
      <c r="Y65">
        <v>0</v>
      </c>
      <c r="AA65">
        <v>79722.539999999994</v>
      </c>
      <c r="AB65">
        <v>0</v>
      </c>
      <c r="AC65">
        <v>0</v>
      </c>
      <c r="AD65">
        <v>0</v>
      </c>
      <c r="AE65">
        <v>79722.539999999994</v>
      </c>
      <c r="AF65">
        <v>0</v>
      </c>
      <c r="AG65">
        <v>0</v>
      </c>
      <c r="AH65">
        <v>0</v>
      </c>
      <c r="AI65">
        <v>1</v>
      </c>
      <c r="AJ65">
        <v>1</v>
      </c>
      <c r="AK65">
        <v>1</v>
      </c>
      <c r="AL65">
        <v>1</v>
      </c>
      <c r="AN65">
        <v>0</v>
      </c>
      <c r="AO65">
        <v>1</v>
      </c>
      <c r="AP65">
        <v>1</v>
      </c>
      <c r="AQ65">
        <v>0</v>
      </c>
      <c r="AR65">
        <v>0</v>
      </c>
      <c r="AS65" t="s">
        <v>3</v>
      </c>
      <c r="AT65">
        <v>1</v>
      </c>
      <c r="AU65" t="s">
        <v>169</v>
      </c>
      <c r="AV65">
        <v>0</v>
      </c>
      <c r="AW65">
        <v>2</v>
      </c>
      <c r="AX65">
        <v>49708432</v>
      </c>
      <c r="AY65">
        <v>1</v>
      </c>
      <c r="AZ65">
        <v>0</v>
      </c>
      <c r="BA65">
        <v>62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CX65">
        <f>Y65*Source!I84</f>
        <v>0</v>
      </c>
      <c r="CY65">
        <f>AA65</f>
        <v>79722.539999999994</v>
      </c>
      <c r="CZ65">
        <f>AE65</f>
        <v>79722.539999999994</v>
      </c>
      <c r="DA65">
        <f>AI65</f>
        <v>1</v>
      </c>
      <c r="DB65">
        <f>ROUND((ROUND(AT65*CZ65,2)*0),6)</f>
        <v>0</v>
      </c>
      <c r="DC65">
        <f>ROUND((ROUND(AT65*AG65,2)*0),6)</f>
        <v>0</v>
      </c>
    </row>
    <row r="66" spans="1:107" x14ac:dyDescent="0.2">
      <c r="A66">
        <f>ROW(Source!A85)</f>
        <v>85</v>
      </c>
      <c r="B66">
        <v>49707740</v>
      </c>
      <c r="C66">
        <v>49708433</v>
      </c>
      <c r="D66">
        <v>48338279</v>
      </c>
      <c r="E66">
        <v>1</v>
      </c>
      <c r="F66">
        <v>1</v>
      </c>
      <c r="G66">
        <v>27</v>
      </c>
      <c r="H66">
        <v>2</v>
      </c>
      <c r="I66" t="s">
        <v>395</v>
      </c>
      <c r="J66" t="s">
        <v>396</v>
      </c>
      <c r="K66" t="s">
        <v>397</v>
      </c>
      <c r="L66">
        <v>1368</v>
      </c>
      <c r="N66">
        <v>1011</v>
      </c>
      <c r="O66" t="s">
        <v>299</v>
      </c>
      <c r="P66" t="s">
        <v>299</v>
      </c>
      <c r="Q66">
        <v>1</v>
      </c>
      <c r="W66">
        <v>0</v>
      </c>
      <c r="X66">
        <v>770341722</v>
      </c>
      <c r="Y66">
        <v>5.3699999999999998E-2</v>
      </c>
      <c r="AA66">
        <v>0</v>
      </c>
      <c r="AB66">
        <v>1494.43</v>
      </c>
      <c r="AC66">
        <v>481.21</v>
      </c>
      <c r="AD66">
        <v>0</v>
      </c>
      <c r="AE66">
        <v>0</v>
      </c>
      <c r="AF66">
        <v>1494.43</v>
      </c>
      <c r="AG66">
        <v>481.21</v>
      </c>
      <c r="AH66">
        <v>0</v>
      </c>
      <c r="AI66">
        <v>1</v>
      </c>
      <c r="AJ66">
        <v>1</v>
      </c>
      <c r="AK66">
        <v>1</v>
      </c>
      <c r="AL66">
        <v>1</v>
      </c>
      <c r="AN66">
        <v>0</v>
      </c>
      <c r="AO66">
        <v>1</v>
      </c>
      <c r="AP66">
        <v>0</v>
      </c>
      <c r="AQ66">
        <v>0</v>
      </c>
      <c r="AR66">
        <v>0</v>
      </c>
      <c r="AS66" t="s">
        <v>3</v>
      </c>
      <c r="AT66">
        <v>5.3699999999999998E-2</v>
      </c>
      <c r="AU66" t="s">
        <v>3</v>
      </c>
      <c r="AV66">
        <v>0</v>
      </c>
      <c r="AW66">
        <v>2</v>
      </c>
      <c r="AX66">
        <v>49708435</v>
      </c>
      <c r="AY66">
        <v>1</v>
      </c>
      <c r="AZ66">
        <v>0</v>
      </c>
      <c r="BA66">
        <v>63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CX66">
        <f>Y66*Source!I85</f>
        <v>0.18795000000000001</v>
      </c>
      <c r="CY66">
        <f>AB66</f>
        <v>1494.43</v>
      </c>
      <c r="CZ66">
        <f>AF66</f>
        <v>1494.43</v>
      </c>
      <c r="DA66">
        <f>AJ66</f>
        <v>1</v>
      </c>
      <c r="DB66">
        <f t="shared" ref="DB66:DB71" si="7">ROUND(ROUND(AT66*CZ66,2),6)</f>
        <v>80.25</v>
      </c>
      <c r="DC66">
        <f t="shared" ref="DC66:DC71" si="8">ROUND(ROUND(AT66*AG66,2),6)</f>
        <v>25.84</v>
      </c>
    </row>
    <row r="67" spans="1:107" x14ac:dyDescent="0.2">
      <c r="A67">
        <f>ROW(Source!A86)</f>
        <v>86</v>
      </c>
      <c r="B67">
        <v>49707740</v>
      </c>
      <c r="C67">
        <v>49708436</v>
      </c>
      <c r="D67">
        <v>48326108</v>
      </c>
      <c r="E67">
        <v>27</v>
      </c>
      <c r="F67">
        <v>1</v>
      </c>
      <c r="G67">
        <v>27</v>
      </c>
      <c r="H67">
        <v>1</v>
      </c>
      <c r="I67" t="s">
        <v>293</v>
      </c>
      <c r="J67" t="s">
        <v>3</v>
      </c>
      <c r="K67" t="s">
        <v>294</v>
      </c>
      <c r="L67">
        <v>1191</v>
      </c>
      <c r="N67">
        <v>1013</v>
      </c>
      <c r="O67" t="s">
        <v>295</v>
      </c>
      <c r="P67" t="s">
        <v>295</v>
      </c>
      <c r="Q67">
        <v>1</v>
      </c>
      <c r="W67">
        <v>0</v>
      </c>
      <c r="X67">
        <v>476480486</v>
      </c>
      <c r="Y67">
        <v>1.02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1</v>
      </c>
      <c r="AJ67">
        <v>1</v>
      </c>
      <c r="AK67">
        <v>1</v>
      </c>
      <c r="AL67">
        <v>1</v>
      </c>
      <c r="AN67">
        <v>0</v>
      </c>
      <c r="AO67">
        <v>1</v>
      </c>
      <c r="AP67">
        <v>0</v>
      </c>
      <c r="AQ67">
        <v>0</v>
      </c>
      <c r="AR67">
        <v>0</v>
      </c>
      <c r="AS67" t="s">
        <v>3</v>
      </c>
      <c r="AT67">
        <v>1.02</v>
      </c>
      <c r="AU67" t="s">
        <v>3</v>
      </c>
      <c r="AV67">
        <v>1</v>
      </c>
      <c r="AW67">
        <v>2</v>
      </c>
      <c r="AX67">
        <v>49708438</v>
      </c>
      <c r="AY67">
        <v>1</v>
      </c>
      <c r="AZ67">
        <v>0</v>
      </c>
      <c r="BA67">
        <v>64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CX67">
        <f>Y67*Source!I86</f>
        <v>0.40800000000000003</v>
      </c>
      <c r="CY67">
        <f>AD67</f>
        <v>0</v>
      </c>
      <c r="CZ67">
        <f>AH67</f>
        <v>0</v>
      </c>
      <c r="DA67">
        <f>AL67</f>
        <v>1</v>
      </c>
      <c r="DB67">
        <f t="shared" si="7"/>
        <v>0</v>
      </c>
      <c r="DC67">
        <f t="shared" si="8"/>
        <v>0</v>
      </c>
    </row>
    <row r="68" spans="1:107" x14ac:dyDescent="0.2">
      <c r="A68">
        <f>ROW(Source!A87)</f>
        <v>87</v>
      </c>
      <c r="B68">
        <v>49707740</v>
      </c>
      <c r="C68">
        <v>49708439</v>
      </c>
      <c r="D68">
        <v>48339077</v>
      </c>
      <c r="E68">
        <v>1</v>
      </c>
      <c r="F68">
        <v>1</v>
      </c>
      <c r="G68">
        <v>27</v>
      </c>
      <c r="H68">
        <v>2</v>
      </c>
      <c r="I68" t="s">
        <v>398</v>
      </c>
      <c r="J68" t="s">
        <v>399</v>
      </c>
      <c r="K68" t="s">
        <v>400</v>
      </c>
      <c r="L68">
        <v>1368</v>
      </c>
      <c r="N68">
        <v>1011</v>
      </c>
      <c r="O68" t="s">
        <v>299</v>
      </c>
      <c r="P68" t="s">
        <v>299</v>
      </c>
      <c r="Q68">
        <v>1</v>
      </c>
      <c r="W68">
        <v>0</v>
      </c>
      <c r="X68">
        <v>238809398</v>
      </c>
      <c r="Y68">
        <v>5.3999999999999999E-2</v>
      </c>
      <c r="AA68">
        <v>0</v>
      </c>
      <c r="AB68">
        <v>1009.4</v>
      </c>
      <c r="AC68">
        <v>316.82</v>
      </c>
      <c r="AD68">
        <v>0</v>
      </c>
      <c r="AE68">
        <v>0</v>
      </c>
      <c r="AF68">
        <v>1009.4</v>
      </c>
      <c r="AG68">
        <v>316.82</v>
      </c>
      <c r="AH68">
        <v>0</v>
      </c>
      <c r="AI68">
        <v>1</v>
      </c>
      <c r="AJ68">
        <v>1</v>
      </c>
      <c r="AK68">
        <v>1</v>
      </c>
      <c r="AL68">
        <v>1</v>
      </c>
      <c r="AN68">
        <v>0</v>
      </c>
      <c r="AO68">
        <v>1</v>
      </c>
      <c r="AP68">
        <v>0</v>
      </c>
      <c r="AQ68">
        <v>0</v>
      </c>
      <c r="AR68">
        <v>0</v>
      </c>
      <c r="AS68" t="s">
        <v>3</v>
      </c>
      <c r="AT68">
        <v>5.3999999999999999E-2</v>
      </c>
      <c r="AU68" t="s">
        <v>3</v>
      </c>
      <c r="AV68">
        <v>0</v>
      </c>
      <c r="AW68">
        <v>2</v>
      </c>
      <c r="AX68">
        <v>49708442</v>
      </c>
      <c r="AY68">
        <v>1</v>
      </c>
      <c r="AZ68">
        <v>0</v>
      </c>
      <c r="BA68">
        <v>65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CX68">
        <f>Y68*Source!I87</f>
        <v>2.1600000000000001E-2</v>
      </c>
      <c r="CY68">
        <f t="shared" ref="CY68:CY73" si="9">AB68</f>
        <v>1009.4</v>
      </c>
      <c r="CZ68">
        <f t="shared" ref="CZ68:CZ73" si="10">AF68</f>
        <v>1009.4</v>
      </c>
      <c r="DA68">
        <f t="shared" ref="DA68:DA73" si="11">AJ68</f>
        <v>1</v>
      </c>
      <c r="DB68">
        <f t="shared" si="7"/>
        <v>54.51</v>
      </c>
      <c r="DC68">
        <f t="shared" si="8"/>
        <v>17.11</v>
      </c>
    </row>
    <row r="69" spans="1:107" x14ac:dyDescent="0.2">
      <c r="A69">
        <f>ROW(Source!A87)</f>
        <v>87</v>
      </c>
      <c r="B69">
        <v>49707740</v>
      </c>
      <c r="C69">
        <v>49708439</v>
      </c>
      <c r="D69">
        <v>48339078</v>
      </c>
      <c r="E69">
        <v>1</v>
      </c>
      <c r="F69">
        <v>1</v>
      </c>
      <c r="G69">
        <v>27</v>
      </c>
      <c r="H69">
        <v>2</v>
      </c>
      <c r="I69" t="s">
        <v>306</v>
      </c>
      <c r="J69" t="s">
        <v>307</v>
      </c>
      <c r="K69" t="s">
        <v>308</v>
      </c>
      <c r="L69">
        <v>1368</v>
      </c>
      <c r="N69">
        <v>1011</v>
      </c>
      <c r="O69" t="s">
        <v>299</v>
      </c>
      <c r="P69" t="s">
        <v>299</v>
      </c>
      <c r="Q69">
        <v>1</v>
      </c>
      <c r="W69">
        <v>0</v>
      </c>
      <c r="X69">
        <v>-1786200580</v>
      </c>
      <c r="Y69">
        <v>5.5E-2</v>
      </c>
      <c r="AA69">
        <v>0</v>
      </c>
      <c r="AB69">
        <v>1014.12</v>
      </c>
      <c r="AC69">
        <v>317.13</v>
      </c>
      <c r="AD69">
        <v>0</v>
      </c>
      <c r="AE69">
        <v>0</v>
      </c>
      <c r="AF69">
        <v>1014.12</v>
      </c>
      <c r="AG69">
        <v>317.13</v>
      </c>
      <c r="AH69">
        <v>0</v>
      </c>
      <c r="AI69">
        <v>1</v>
      </c>
      <c r="AJ69">
        <v>1</v>
      </c>
      <c r="AK69">
        <v>1</v>
      </c>
      <c r="AL69">
        <v>1</v>
      </c>
      <c r="AN69">
        <v>0</v>
      </c>
      <c r="AO69">
        <v>1</v>
      </c>
      <c r="AP69">
        <v>0</v>
      </c>
      <c r="AQ69">
        <v>0</v>
      </c>
      <c r="AR69">
        <v>0</v>
      </c>
      <c r="AS69" t="s">
        <v>3</v>
      </c>
      <c r="AT69">
        <v>5.5E-2</v>
      </c>
      <c r="AU69" t="s">
        <v>3</v>
      </c>
      <c r="AV69">
        <v>0</v>
      </c>
      <c r="AW69">
        <v>2</v>
      </c>
      <c r="AX69">
        <v>49708443</v>
      </c>
      <c r="AY69">
        <v>1</v>
      </c>
      <c r="AZ69">
        <v>0</v>
      </c>
      <c r="BA69">
        <v>66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CX69">
        <f>Y69*Source!I87</f>
        <v>2.2000000000000002E-2</v>
      </c>
      <c r="CY69">
        <f t="shared" si="9"/>
        <v>1014.12</v>
      </c>
      <c r="CZ69">
        <f t="shared" si="10"/>
        <v>1014.12</v>
      </c>
      <c r="DA69">
        <f t="shared" si="11"/>
        <v>1</v>
      </c>
      <c r="DB69">
        <f t="shared" si="7"/>
        <v>55.78</v>
      </c>
      <c r="DC69">
        <f t="shared" si="8"/>
        <v>17.440000000000001</v>
      </c>
    </row>
    <row r="70" spans="1:107" x14ac:dyDescent="0.2">
      <c r="A70">
        <f>ROW(Source!A88)</f>
        <v>88</v>
      </c>
      <c r="B70">
        <v>49707740</v>
      </c>
      <c r="C70">
        <v>49708444</v>
      </c>
      <c r="D70">
        <v>48339077</v>
      </c>
      <c r="E70">
        <v>1</v>
      </c>
      <c r="F70">
        <v>1</v>
      </c>
      <c r="G70">
        <v>27</v>
      </c>
      <c r="H70">
        <v>2</v>
      </c>
      <c r="I70" t="s">
        <v>398</v>
      </c>
      <c r="J70" t="s">
        <v>399</v>
      </c>
      <c r="K70" t="s">
        <v>400</v>
      </c>
      <c r="L70">
        <v>1368</v>
      </c>
      <c r="N70">
        <v>1011</v>
      </c>
      <c r="O70" t="s">
        <v>299</v>
      </c>
      <c r="P70" t="s">
        <v>299</v>
      </c>
      <c r="Q70">
        <v>1</v>
      </c>
      <c r="W70">
        <v>0</v>
      </c>
      <c r="X70">
        <v>238809398</v>
      </c>
      <c r="Y70">
        <v>0.02</v>
      </c>
      <c r="AA70">
        <v>0</v>
      </c>
      <c r="AB70">
        <v>1009.4</v>
      </c>
      <c r="AC70">
        <v>316.82</v>
      </c>
      <c r="AD70">
        <v>0</v>
      </c>
      <c r="AE70">
        <v>0</v>
      </c>
      <c r="AF70">
        <v>1009.4</v>
      </c>
      <c r="AG70">
        <v>316.82</v>
      </c>
      <c r="AH70">
        <v>0</v>
      </c>
      <c r="AI70">
        <v>1</v>
      </c>
      <c r="AJ70">
        <v>1</v>
      </c>
      <c r="AK70">
        <v>1</v>
      </c>
      <c r="AL70">
        <v>1</v>
      </c>
      <c r="AN70">
        <v>0</v>
      </c>
      <c r="AO70">
        <v>1</v>
      </c>
      <c r="AP70">
        <v>0</v>
      </c>
      <c r="AQ70">
        <v>0</v>
      </c>
      <c r="AR70">
        <v>0</v>
      </c>
      <c r="AS70" t="s">
        <v>3</v>
      </c>
      <c r="AT70">
        <v>0.02</v>
      </c>
      <c r="AU70" t="s">
        <v>3</v>
      </c>
      <c r="AV70">
        <v>0</v>
      </c>
      <c r="AW70">
        <v>2</v>
      </c>
      <c r="AX70">
        <v>49708447</v>
      </c>
      <c r="AY70">
        <v>1</v>
      </c>
      <c r="AZ70">
        <v>0</v>
      </c>
      <c r="BA70">
        <v>67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CX70">
        <f>Y70*Source!I88</f>
        <v>7.0000000000000007E-2</v>
      </c>
      <c r="CY70">
        <f t="shared" si="9"/>
        <v>1009.4</v>
      </c>
      <c r="CZ70">
        <f t="shared" si="10"/>
        <v>1009.4</v>
      </c>
      <c r="DA70">
        <f t="shared" si="11"/>
        <v>1</v>
      </c>
      <c r="DB70">
        <f t="shared" si="7"/>
        <v>20.190000000000001</v>
      </c>
      <c r="DC70">
        <f t="shared" si="8"/>
        <v>6.34</v>
      </c>
    </row>
    <row r="71" spans="1:107" x14ac:dyDescent="0.2">
      <c r="A71">
        <f>ROW(Source!A88)</f>
        <v>88</v>
      </c>
      <c r="B71">
        <v>49707740</v>
      </c>
      <c r="C71">
        <v>49708444</v>
      </c>
      <c r="D71">
        <v>48339078</v>
      </c>
      <c r="E71">
        <v>1</v>
      </c>
      <c r="F71">
        <v>1</v>
      </c>
      <c r="G71">
        <v>27</v>
      </c>
      <c r="H71">
        <v>2</v>
      </c>
      <c r="I71" t="s">
        <v>306</v>
      </c>
      <c r="J71" t="s">
        <v>307</v>
      </c>
      <c r="K71" t="s">
        <v>308</v>
      </c>
      <c r="L71">
        <v>1368</v>
      </c>
      <c r="N71">
        <v>1011</v>
      </c>
      <c r="O71" t="s">
        <v>299</v>
      </c>
      <c r="P71" t="s">
        <v>299</v>
      </c>
      <c r="Q71">
        <v>1</v>
      </c>
      <c r="W71">
        <v>0</v>
      </c>
      <c r="X71">
        <v>-1786200580</v>
      </c>
      <c r="Y71">
        <v>1.7999999999999999E-2</v>
      </c>
      <c r="AA71">
        <v>0</v>
      </c>
      <c r="AB71">
        <v>1014.12</v>
      </c>
      <c r="AC71">
        <v>317.13</v>
      </c>
      <c r="AD71">
        <v>0</v>
      </c>
      <c r="AE71">
        <v>0</v>
      </c>
      <c r="AF71">
        <v>1014.12</v>
      </c>
      <c r="AG71">
        <v>317.13</v>
      </c>
      <c r="AH71">
        <v>0</v>
      </c>
      <c r="AI71">
        <v>1</v>
      </c>
      <c r="AJ71">
        <v>1</v>
      </c>
      <c r="AK71">
        <v>1</v>
      </c>
      <c r="AL71">
        <v>1</v>
      </c>
      <c r="AN71">
        <v>0</v>
      </c>
      <c r="AO71">
        <v>1</v>
      </c>
      <c r="AP71">
        <v>0</v>
      </c>
      <c r="AQ71">
        <v>0</v>
      </c>
      <c r="AR71">
        <v>0</v>
      </c>
      <c r="AS71" t="s">
        <v>3</v>
      </c>
      <c r="AT71">
        <v>1.7999999999999999E-2</v>
      </c>
      <c r="AU71" t="s">
        <v>3</v>
      </c>
      <c r="AV71">
        <v>0</v>
      </c>
      <c r="AW71">
        <v>2</v>
      </c>
      <c r="AX71">
        <v>49708448</v>
      </c>
      <c r="AY71">
        <v>1</v>
      </c>
      <c r="AZ71">
        <v>0</v>
      </c>
      <c r="BA71">
        <v>68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CX71">
        <f>Y71*Source!I88</f>
        <v>6.3E-2</v>
      </c>
      <c r="CY71">
        <f t="shared" si="9"/>
        <v>1014.12</v>
      </c>
      <c r="CZ71">
        <f t="shared" si="10"/>
        <v>1014.12</v>
      </c>
      <c r="DA71">
        <f t="shared" si="11"/>
        <v>1</v>
      </c>
      <c r="DB71">
        <f t="shared" si="7"/>
        <v>18.25</v>
      </c>
      <c r="DC71">
        <f t="shared" si="8"/>
        <v>5.71</v>
      </c>
    </row>
    <row r="72" spans="1:107" x14ac:dyDescent="0.2">
      <c r="A72">
        <f>ROW(Source!A89)</f>
        <v>89</v>
      </c>
      <c r="B72">
        <v>49707740</v>
      </c>
      <c r="C72">
        <v>49708449</v>
      </c>
      <c r="D72">
        <v>48339077</v>
      </c>
      <c r="E72">
        <v>1</v>
      </c>
      <c r="F72">
        <v>1</v>
      </c>
      <c r="G72">
        <v>27</v>
      </c>
      <c r="H72">
        <v>2</v>
      </c>
      <c r="I72" t="s">
        <v>398</v>
      </c>
      <c r="J72" t="s">
        <v>399</v>
      </c>
      <c r="K72" t="s">
        <v>400</v>
      </c>
      <c r="L72">
        <v>1368</v>
      </c>
      <c r="N72">
        <v>1011</v>
      </c>
      <c r="O72" t="s">
        <v>299</v>
      </c>
      <c r="P72" t="s">
        <v>299</v>
      </c>
      <c r="Q72">
        <v>1</v>
      </c>
      <c r="W72">
        <v>0</v>
      </c>
      <c r="X72">
        <v>238809398</v>
      </c>
      <c r="Y72">
        <v>0.04</v>
      </c>
      <c r="AA72">
        <v>0</v>
      </c>
      <c r="AB72">
        <v>1009.4</v>
      </c>
      <c r="AC72">
        <v>316.82</v>
      </c>
      <c r="AD72">
        <v>0</v>
      </c>
      <c r="AE72">
        <v>0</v>
      </c>
      <c r="AF72">
        <v>1009.4</v>
      </c>
      <c r="AG72">
        <v>316.82</v>
      </c>
      <c r="AH72">
        <v>0</v>
      </c>
      <c r="AI72">
        <v>1</v>
      </c>
      <c r="AJ72">
        <v>1</v>
      </c>
      <c r="AK72">
        <v>1</v>
      </c>
      <c r="AL72">
        <v>1</v>
      </c>
      <c r="AN72">
        <v>0</v>
      </c>
      <c r="AO72">
        <v>1</v>
      </c>
      <c r="AP72">
        <v>1</v>
      </c>
      <c r="AQ72">
        <v>0</v>
      </c>
      <c r="AR72">
        <v>0</v>
      </c>
      <c r="AS72" t="s">
        <v>3</v>
      </c>
      <c r="AT72">
        <v>0.01</v>
      </c>
      <c r="AU72" t="s">
        <v>196</v>
      </c>
      <c r="AV72">
        <v>0</v>
      </c>
      <c r="AW72">
        <v>2</v>
      </c>
      <c r="AX72">
        <v>49708452</v>
      </c>
      <c r="AY72">
        <v>1</v>
      </c>
      <c r="AZ72">
        <v>0</v>
      </c>
      <c r="BA72">
        <v>69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CX72">
        <f>Y72*Source!I89</f>
        <v>0.156</v>
      </c>
      <c r="CY72">
        <f t="shared" si="9"/>
        <v>1009.4</v>
      </c>
      <c r="CZ72">
        <f t="shared" si="10"/>
        <v>1009.4</v>
      </c>
      <c r="DA72">
        <f t="shared" si="11"/>
        <v>1</v>
      </c>
      <c r="DB72">
        <f>ROUND((ROUND(AT72*CZ72,2)*4),6)</f>
        <v>40.36</v>
      </c>
      <c r="DC72">
        <f>ROUND((ROUND(AT72*AG72,2)*4),6)</f>
        <v>12.68</v>
      </c>
    </row>
    <row r="73" spans="1:107" x14ac:dyDescent="0.2">
      <c r="A73">
        <f>ROW(Source!A89)</f>
        <v>89</v>
      </c>
      <c r="B73">
        <v>49707740</v>
      </c>
      <c r="C73">
        <v>49708449</v>
      </c>
      <c r="D73">
        <v>48339078</v>
      </c>
      <c r="E73">
        <v>1</v>
      </c>
      <c r="F73">
        <v>1</v>
      </c>
      <c r="G73">
        <v>27</v>
      </c>
      <c r="H73">
        <v>2</v>
      </c>
      <c r="I73" t="s">
        <v>306</v>
      </c>
      <c r="J73" t="s">
        <v>307</v>
      </c>
      <c r="K73" t="s">
        <v>308</v>
      </c>
      <c r="L73">
        <v>1368</v>
      </c>
      <c r="N73">
        <v>1011</v>
      </c>
      <c r="O73" t="s">
        <v>299</v>
      </c>
      <c r="P73" t="s">
        <v>299</v>
      </c>
      <c r="Q73">
        <v>1</v>
      </c>
      <c r="W73">
        <v>0</v>
      </c>
      <c r="X73">
        <v>-1786200580</v>
      </c>
      <c r="Y73">
        <v>3.2000000000000001E-2</v>
      </c>
      <c r="AA73">
        <v>0</v>
      </c>
      <c r="AB73">
        <v>1014.12</v>
      </c>
      <c r="AC73">
        <v>317.13</v>
      </c>
      <c r="AD73">
        <v>0</v>
      </c>
      <c r="AE73">
        <v>0</v>
      </c>
      <c r="AF73">
        <v>1014.12</v>
      </c>
      <c r="AG73">
        <v>317.13</v>
      </c>
      <c r="AH73">
        <v>0</v>
      </c>
      <c r="AI73">
        <v>1</v>
      </c>
      <c r="AJ73">
        <v>1</v>
      </c>
      <c r="AK73">
        <v>1</v>
      </c>
      <c r="AL73">
        <v>1</v>
      </c>
      <c r="AN73">
        <v>0</v>
      </c>
      <c r="AO73">
        <v>1</v>
      </c>
      <c r="AP73">
        <v>1</v>
      </c>
      <c r="AQ73">
        <v>0</v>
      </c>
      <c r="AR73">
        <v>0</v>
      </c>
      <c r="AS73" t="s">
        <v>3</v>
      </c>
      <c r="AT73">
        <v>8.0000000000000002E-3</v>
      </c>
      <c r="AU73" t="s">
        <v>196</v>
      </c>
      <c r="AV73">
        <v>0</v>
      </c>
      <c r="AW73">
        <v>2</v>
      </c>
      <c r="AX73">
        <v>49708453</v>
      </c>
      <c r="AY73">
        <v>1</v>
      </c>
      <c r="AZ73">
        <v>0</v>
      </c>
      <c r="BA73">
        <v>70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CX73">
        <f>Y73*Source!I89</f>
        <v>0.12479999999999999</v>
      </c>
      <c r="CY73">
        <f t="shared" si="9"/>
        <v>1014.12</v>
      </c>
      <c r="CZ73">
        <f t="shared" si="10"/>
        <v>1014.12</v>
      </c>
      <c r="DA73">
        <f t="shared" si="11"/>
        <v>1</v>
      </c>
      <c r="DB73">
        <f>ROUND((ROUND(AT73*CZ73,2)*4),6)</f>
        <v>32.44</v>
      </c>
      <c r="DC73">
        <f>ROUND((ROUND(AT73*AG73,2)*4),6)</f>
        <v>10.16</v>
      </c>
    </row>
    <row r="74" spans="1:107" x14ac:dyDescent="0.2">
      <c r="A74">
        <f>ROW(Source!A128)</f>
        <v>128</v>
      </c>
      <c r="B74">
        <v>49707740</v>
      </c>
      <c r="C74">
        <v>49708454</v>
      </c>
      <c r="D74">
        <v>48326108</v>
      </c>
      <c r="E74">
        <v>27</v>
      </c>
      <c r="F74">
        <v>1</v>
      </c>
      <c r="G74">
        <v>27</v>
      </c>
      <c r="H74">
        <v>1</v>
      </c>
      <c r="I74" t="s">
        <v>293</v>
      </c>
      <c r="J74" t="s">
        <v>3</v>
      </c>
      <c r="K74" t="s">
        <v>294</v>
      </c>
      <c r="L74">
        <v>1191</v>
      </c>
      <c r="N74">
        <v>1013</v>
      </c>
      <c r="O74" t="s">
        <v>295</v>
      </c>
      <c r="P74" t="s">
        <v>295</v>
      </c>
      <c r="Q74">
        <v>1</v>
      </c>
      <c r="W74">
        <v>0</v>
      </c>
      <c r="X74">
        <v>476480486</v>
      </c>
      <c r="Y74">
        <v>260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1</v>
      </c>
      <c r="AK74">
        <v>1</v>
      </c>
      <c r="AL74">
        <v>1</v>
      </c>
      <c r="AN74">
        <v>0</v>
      </c>
      <c r="AO74">
        <v>1</v>
      </c>
      <c r="AP74">
        <v>0</v>
      </c>
      <c r="AQ74">
        <v>0</v>
      </c>
      <c r="AR74">
        <v>0</v>
      </c>
      <c r="AS74" t="s">
        <v>3</v>
      </c>
      <c r="AT74">
        <v>260</v>
      </c>
      <c r="AU74" t="s">
        <v>3</v>
      </c>
      <c r="AV74">
        <v>1</v>
      </c>
      <c r="AW74">
        <v>2</v>
      </c>
      <c r="AX74">
        <v>49708456</v>
      </c>
      <c r="AY74">
        <v>1</v>
      </c>
      <c r="AZ74">
        <v>0</v>
      </c>
      <c r="BA74">
        <v>71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CX74">
        <f>Y74*Source!I128</f>
        <v>135.20000000000002</v>
      </c>
      <c r="CY74">
        <f>AD74</f>
        <v>0</v>
      </c>
      <c r="CZ74">
        <f>AH74</f>
        <v>0</v>
      </c>
      <c r="DA74">
        <f>AL74</f>
        <v>1</v>
      </c>
      <c r="DB74">
        <f>ROUND(ROUND(AT74*CZ74,2),6)</f>
        <v>0</v>
      </c>
      <c r="DC74">
        <f>ROUND(ROUND(AT74*AG74,2),6)</f>
        <v>0</v>
      </c>
    </row>
    <row r="75" spans="1:107" x14ac:dyDescent="0.2">
      <c r="A75">
        <f>ROW(Source!A129)</f>
        <v>129</v>
      </c>
      <c r="B75">
        <v>49707740</v>
      </c>
      <c r="C75">
        <v>49709176</v>
      </c>
      <c r="D75">
        <v>48326108</v>
      </c>
      <c r="E75">
        <v>27</v>
      </c>
      <c r="F75">
        <v>1</v>
      </c>
      <c r="G75">
        <v>27</v>
      </c>
      <c r="H75">
        <v>1</v>
      </c>
      <c r="I75" t="s">
        <v>293</v>
      </c>
      <c r="J75" t="s">
        <v>3</v>
      </c>
      <c r="K75" t="s">
        <v>294</v>
      </c>
      <c r="L75">
        <v>1191</v>
      </c>
      <c r="N75">
        <v>1013</v>
      </c>
      <c r="O75" t="s">
        <v>295</v>
      </c>
      <c r="P75" t="s">
        <v>295</v>
      </c>
      <c r="Q75">
        <v>1</v>
      </c>
      <c r="W75">
        <v>0</v>
      </c>
      <c r="X75">
        <v>476480486</v>
      </c>
      <c r="Y75">
        <v>582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1</v>
      </c>
      <c r="AL75">
        <v>1</v>
      </c>
      <c r="AN75">
        <v>0</v>
      </c>
      <c r="AO75">
        <v>1</v>
      </c>
      <c r="AP75">
        <v>0</v>
      </c>
      <c r="AQ75">
        <v>0</v>
      </c>
      <c r="AR75">
        <v>0</v>
      </c>
      <c r="AS75" t="s">
        <v>3</v>
      </c>
      <c r="AT75">
        <v>582</v>
      </c>
      <c r="AU75" t="s">
        <v>3</v>
      </c>
      <c r="AV75">
        <v>1</v>
      </c>
      <c r="AW75">
        <v>2</v>
      </c>
      <c r="AX75">
        <v>49709177</v>
      </c>
      <c r="AY75">
        <v>1</v>
      </c>
      <c r="AZ75">
        <v>0</v>
      </c>
      <c r="BA75">
        <v>72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CX75">
        <f>Y75*Source!I129</f>
        <v>302.64</v>
      </c>
      <c r="CY75">
        <f>AD75</f>
        <v>0</v>
      </c>
      <c r="CZ75">
        <f>AH75</f>
        <v>0</v>
      </c>
      <c r="DA75">
        <f>AL75</f>
        <v>1</v>
      </c>
      <c r="DB75">
        <f>ROUND(ROUND(AT75*CZ75,2),6)</f>
        <v>0</v>
      </c>
      <c r="DC75">
        <f>ROUND(ROUND(AT75*AG75,2),6)</f>
        <v>0</v>
      </c>
    </row>
    <row r="76" spans="1:107" x14ac:dyDescent="0.2">
      <c r="A76">
        <f>ROW(Source!A130)</f>
        <v>130</v>
      </c>
      <c r="B76">
        <v>49707740</v>
      </c>
      <c r="C76">
        <v>49708457</v>
      </c>
      <c r="D76">
        <v>48326108</v>
      </c>
      <c r="E76">
        <v>27</v>
      </c>
      <c r="F76">
        <v>1</v>
      </c>
      <c r="G76">
        <v>27</v>
      </c>
      <c r="H76">
        <v>1</v>
      </c>
      <c r="I76" t="s">
        <v>293</v>
      </c>
      <c r="J76" t="s">
        <v>3</v>
      </c>
      <c r="K76" t="s">
        <v>294</v>
      </c>
      <c r="L76">
        <v>1191</v>
      </c>
      <c r="N76">
        <v>1013</v>
      </c>
      <c r="O76" t="s">
        <v>295</v>
      </c>
      <c r="P76" t="s">
        <v>295</v>
      </c>
      <c r="Q76">
        <v>1</v>
      </c>
      <c r="W76">
        <v>0</v>
      </c>
      <c r="X76">
        <v>476480486</v>
      </c>
      <c r="Y76">
        <v>83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1</v>
      </c>
      <c r="AL76">
        <v>1</v>
      </c>
      <c r="AN76">
        <v>0</v>
      </c>
      <c r="AO76">
        <v>1</v>
      </c>
      <c r="AP76">
        <v>0</v>
      </c>
      <c r="AQ76">
        <v>0</v>
      </c>
      <c r="AR76">
        <v>0</v>
      </c>
      <c r="AS76" t="s">
        <v>3</v>
      </c>
      <c r="AT76">
        <v>83</v>
      </c>
      <c r="AU76" t="s">
        <v>3</v>
      </c>
      <c r="AV76">
        <v>1</v>
      </c>
      <c r="AW76">
        <v>2</v>
      </c>
      <c r="AX76">
        <v>49708459</v>
      </c>
      <c r="AY76">
        <v>1</v>
      </c>
      <c r="AZ76">
        <v>0</v>
      </c>
      <c r="BA76">
        <v>73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CX76">
        <f>Y76*Source!I130</f>
        <v>1.9422000000000001</v>
      </c>
      <c r="CY76">
        <f>AD76</f>
        <v>0</v>
      </c>
      <c r="CZ76">
        <f>AH76</f>
        <v>0</v>
      </c>
      <c r="DA76">
        <f>AL76</f>
        <v>1</v>
      </c>
      <c r="DB76">
        <f>ROUND(ROUND(AT76*CZ76,2),6)</f>
        <v>0</v>
      </c>
      <c r="DC76">
        <f>ROUND(ROUND(AT76*AG76,2),6)</f>
        <v>0</v>
      </c>
    </row>
    <row r="77" spans="1:107" x14ac:dyDescent="0.2">
      <c r="A77">
        <f>ROW(Source!A131)</f>
        <v>131</v>
      </c>
      <c r="B77">
        <v>49707740</v>
      </c>
      <c r="C77">
        <v>49708460</v>
      </c>
      <c r="D77">
        <v>48339078</v>
      </c>
      <c r="E77">
        <v>1</v>
      </c>
      <c r="F77">
        <v>1</v>
      </c>
      <c r="G77">
        <v>27</v>
      </c>
      <c r="H77">
        <v>2</v>
      </c>
      <c r="I77" t="s">
        <v>306</v>
      </c>
      <c r="J77" t="s">
        <v>401</v>
      </c>
      <c r="K77" t="s">
        <v>308</v>
      </c>
      <c r="L77">
        <v>1368</v>
      </c>
      <c r="N77">
        <v>1011</v>
      </c>
      <c r="O77" t="s">
        <v>299</v>
      </c>
      <c r="P77" t="s">
        <v>299</v>
      </c>
      <c r="Q77">
        <v>1</v>
      </c>
      <c r="W77">
        <v>0</v>
      </c>
      <c r="X77">
        <v>486337296</v>
      </c>
      <c r="Y77">
        <v>3.1E-2</v>
      </c>
      <c r="AA77">
        <v>0</v>
      </c>
      <c r="AB77">
        <v>1014.12</v>
      </c>
      <c r="AC77">
        <v>317.13</v>
      </c>
      <c r="AD77">
        <v>0</v>
      </c>
      <c r="AE77">
        <v>0</v>
      </c>
      <c r="AF77">
        <v>1014.12</v>
      </c>
      <c r="AG77">
        <v>317.13</v>
      </c>
      <c r="AH77">
        <v>0</v>
      </c>
      <c r="AI77">
        <v>1</v>
      </c>
      <c r="AJ77">
        <v>1</v>
      </c>
      <c r="AK77">
        <v>1</v>
      </c>
      <c r="AL77">
        <v>1</v>
      </c>
      <c r="AN77">
        <v>0</v>
      </c>
      <c r="AO77">
        <v>1</v>
      </c>
      <c r="AP77">
        <v>0</v>
      </c>
      <c r="AQ77">
        <v>0</v>
      </c>
      <c r="AR77">
        <v>0</v>
      </c>
      <c r="AS77" t="s">
        <v>3</v>
      </c>
      <c r="AT77">
        <v>3.1E-2</v>
      </c>
      <c r="AU77" t="s">
        <v>3</v>
      </c>
      <c r="AV77">
        <v>0</v>
      </c>
      <c r="AW77">
        <v>2</v>
      </c>
      <c r="AX77">
        <v>49708462</v>
      </c>
      <c r="AY77">
        <v>1</v>
      </c>
      <c r="AZ77">
        <v>0</v>
      </c>
      <c r="BA77">
        <v>74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CX77">
        <f>Y77*Source!I131</f>
        <v>7.2539999999999993E-2</v>
      </c>
      <c r="CY77">
        <f>AB77</f>
        <v>1014.12</v>
      </c>
      <c r="CZ77">
        <f>AF77</f>
        <v>1014.12</v>
      </c>
      <c r="DA77">
        <f>AJ77</f>
        <v>1</v>
      </c>
      <c r="DB77">
        <f>ROUND(ROUND(AT77*CZ77,2),6)</f>
        <v>31.44</v>
      </c>
      <c r="DC77">
        <f>ROUND(ROUND(AT77*AG77,2),6)</f>
        <v>9.83</v>
      </c>
    </row>
    <row r="78" spans="1:107" x14ac:dyDescent="0.2">
      <c r="A78">
        <f>ROW(Source!A132)</f>
        <v>132</v>
      </c>
      <c r="B78">
        <v>49707740</v>
      </c>
      <c r="C78">
        <v>49708463</v>
      </c>
      <c r="D78">
        <v>48339078</v>
      </c>
      <c r="E78">
        <v>1</v>
      </c>
      <c r="F78">
        <v>1</v>
      </c>
      <c r="G78">
        <v>27</v>
      </c>
      <c r="H78">
        <v>2</v>
      </c>
      <c r="I78" t="s">
        <v>306</v>
      </c>
      <c r="J78" t="s">
        <v>401</v>
      </c>
      <c r="K78" t="s">
        <v>308</v>
      </c>
      <c r="L78">
        <v>1368</v>
      </c>
      <c r="N78">
        <v>1011</v>
      </c>
      <c r="O78" t="s">
        <v>299</v>
      </c>
      <c r="P78" t="s">
        <v>299</v>
      </c>
      <c r="Q78">
        <v>1</v>
      </c>
      <c r="W78">
        <v>0</v>
      </c>
      <c r="X78">
        <v>486337296</v>
      </c>
      <c r="Y78">
        <v>0.56000000000000005</v>
      </c>
      <c r="AA78">
        <v>0</v>
      </c>
      <c r="AB78">
        <v>1014.12</v>
      </c>
      <c r="AC78">
        <v>317.13</v>
      </c>
      <c r="AD78">
        <v>0</v>
      </c>
      <c r="AE78">
        <v>0</v>
      </c>
      <c r="AF78">
        <v>1014.12</v>
      </c>
      <c r="AG78">
        <v>317.13</v>
      </c>
      <c r="AH78">
        <v>0</v>
      </c>
      <c r="AI78">
        <v>1</v>
      </c>
      <c r="AJ78">
        <v>1</v>
      </c>
      <c r="AK78">
        <v>1</v>
      </c>
      <c r="AL78">
        <v>1</v>
      </c>
      <c r="AN78">
        <v>0</v>
      </c>
      <c r="AO78">
        <v>1</v>
      </c>
      <c r="AP78">
        <v>1</v>
      </c>
      <c r="AQ78">
        <v>0</v>
      </c>
      <c r="AR78">
        <v>0</v>
      </c>
      <c r="AS78" t="s">
        <v>3</v>
      </c>
      <c r="AT78">
        <v>0.01</v>
      </c>
      <c r="AU78" t="s">
        <v>53</v>
      </c>
      <c r="AV78">
        <v>0</v>
      </c>
      <c r="AW78">
        <v>2</v>
      </c>
      <c r="AX78">
        <v>49708465</v>
      </c>
      <c r="AY78">
        <v>1</v>
      </c>
      <c r="AZ78">
        <v>0</v>
      </c>
      <c r="BA78">
        <v>75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CX78">
        <f>Y78*Source!I132</f>
        <v>1.3104</v>
      </c>
      <c r="CY78">
        <f>AB78</f>
        <v>1014.12</v>
      </c>
      <c r="CZ78">
        <f>AF78</f>
        <v>1014.12</v>
      </c>
      <c r="DA78">
        <f>AJ78</f>
        <v>1</v>
      </c>
      <c r="DB78">
        <f>ROUND((ROUND(AT78*CZ78,2)*56),6)</f>
        <v>567.84</v>
      </c>
      <c r="DC78">
        <f>ROUND((ROUND(AT78*AG78,2)*56),6)</f>
        <v>177.52</v>
      </c>
    </row>
    <row r="79" spans="1:107" x14ac:dyDescent="0.2">
      <c r="A79">
        <f>ROW(Source!A134)</f>
        <v>134</v>
      </c>
      <c r="B79">
        <v>49707740</v>
      </c>
      <c r="C79">
        <v>49709179</v>
      </c>
      <c r="D79">
        <v>48326108</v>
      </c>
      <c r="E79">
        <v>27</v>
      </c>
      <c r="F79">
        <v>1</v>
      </c>
      <c r="G79">
        <v>27</v>
      </c>
      <c r="H79">
        <v>1</v>
      </c>
      <c r="I79" t="s">
        <v>293</v>
      </c>
      <c r="J79" t="s">
        <v>3</v>
      </c>
      <c r="K79" t="s">
        <v>294</v>
      </c>
      <c r="L79">
        <v>1191</v>
      </c>
      <c r="N79">
        <v>1013</v>
      </c>
      <c r="O79" t="s">
        <v>295</v>
      </c>
      <c r="P79" t="s">
        <v>295</v>
      </c>
      <c r="Q79">
        <v>1</v>
      </c>
      <c r="W79">
        <v>0</v>
      </c>
      <c r="X79">
        <v>476480486</v>
      </c>
      <c r="Y79">
        <v>0.9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1</v>
      </c>
      <c r="AJ79">
        <v>1</v>
      </c>
      <c r="AK79">
        <v>1</v>
      </c>
      <c r="AL79">
        <v>1</v>
      </c>
      <c r="AN79">
        <v>0</v>
      </c>
      <c r="AO79">
        <v>1</v>
      </c>
      <c r="AP79">
        <v>0</v>
      </c>
      <c r="AQ79">
        <v>0</v>
      </c>
      <c r="AR79">
        <v>0</v>
      </c>
      <c r="AS79" t="s">
        <v>3</v>
      </c>
      <c r="AT79">
        <v>0.9</v>
      </c>
      <c r="AU79" t="s">
        <v>3</v>
      </c>
      <c r="AV79">
        <v>1</v>
      </c>
      <c r="AW79">
        <v>2</v>
      </c>
      <c r="AX79">
        <v>49709180</v>
      </c>
      <c r="AY79">
        <v>1</v>
      </c>
      <c r="AZ79">
        <v>0</v>
      </c>
      <c r="BA79">
        <v>76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CX79">
        <f>Y79*Source!I134</f>
        <v>0.42120000000000002</v>
      </c>
      <c r="CY79">
        <f>AD79</f>
        <v>0</v>
      </c>
      <c r="CZ79">
        <f>AH79</f>
        <v>0</v>
      </c>
      <c r="DA79">
        <f>AL79</f>
        <v>1</v>
      </c>
      <c r="DB79">
        <f t="shared" ref="DB79:DB104" si="12">ROUND(ROUND(AT79*CZ79,2),6)</f>
        <v>0</v>
      </c>
      <c r="DC79">
        <f t="shared" ref="DC79:DC104" si="13">ROUND(ROUND(AT79*AG79,2),6)</f>
        <v>0</v>
      </c>
    </row>
    <row r="80" spans="1:107" x14ac:dyDescent="0.2">
      <c r="A80">
        <f>ROW(Source!A134)</f>
        <v>134</v>
      </c>
      <c r="B80">
        <v>49707740</v>
      </c>
      <c r="C80">
        <v>49709179</v>
      </c>
      <c r="D80">
        <v>48338634</v>
      </c>
      <c r="E80">
        <v>1</v>
      </c>
      <c r="F80">
        <v>1</v>
      </c>
      <c r="G80">
        <v>27</v>
      </c>
      <c r="H80">
        <v>2</v>
      </c>
      <c r="I80" t="s">
        <v>402</v>
      </c>
      <c r="J80" t="s">
        <v>403</v>
      </c>
      <c r="K80" t="s">
        <v>404</v>
      </c>
      <c r="L80">
        <v>1368</v>
      </c>
      <c r="N80">
        <v>1011</v>
      </c>
      <c r="O80" t="s">
        <v>299</v>
      </c>
      <c r="P80" t="s">
        <v>299</v>
      </c>
      <c r="Q80">
        <v>1</v>
      </c>
      <c r="W80">
        <v>0</v>
      </c>
      <c r="X80">
        <v>830483721</v>
      </c>
      <c r="Y80">
        <v>0.22</v>
      </c>
      <c r="AA80">
        <v>0</v>
      </c>
      <c r="AB80">
        <v>470.71</v>
      </c>
      <c r="AC80">
        <v>359.8</v>
      </c>
      <c r="AD80">
        <v>0</v>
      </c>
      <c r="AE80">
        <v>0</v>
      </c>
      <c r="AF80">
        <v>470.71</v>
      </c>
      <c r="AG80">
        <v>359.8</v>
      </c>
      <c r="AH80">
        <v>0</v>
      </c>
      <c r="AI80">
        <v>1</v>
      </c>
      <c r="AJ80">
        <v>1</v>
      </c>
      <c r="AK80">
        <v>1</v>
      </c>
      <c r="AL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 t="s">
        <v>3</v>
      </c>
      <c r="AT80">
        <v>0.22</v>
      </c>
      <c r="AU80" t="s">
        <v>3</v>
      </c>
      <c r="AV80">
        <v>0</v>
      </c>
      <c r="AW80">
        <v>2</v>
      </c>
      <c r="AX80">
        <v>49709181</v>
      </c>
      <c r="AY80">
        <v>1</v>
      </c>
      <c r="AZ80">
        <v>0</v>
      </c>
      <c r="BA80">
        <v>77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CX80">
        <f>Y80*Source!I134</f>
        <v>0.10296000000000001</v>
      </c>
      <c r="CY80">
        <f>AB80</f>
        <v>470.71</v>
      </c>
      <c r="CZ80">
        <f>AF80</f>
        <v>470.71</v>
      </c>
      <c r="DA80">
        <f>AJ80</f>
        <v>1</v>
      </c>
      <c r="DB80">
        <f t="shared" si="12"/>
        <v>103.56</v>
      </c>
      <c r="DC80">
        <f t="shared" si="13"/>
        <v>79.16</v>
      </c>
    </row>
    <row r="81" spans="1:107" x14ac:dyDescent="0.2">
      <c r="A81">
        <f>ROW(Source!A134)</f>
        <v>134</v>
      </c>
      <c r="B81">
        <v>49707740</v>
      </c>
      <c r="C81">
        <v>49709179</v>
      </c>
      <c r="D81">
        <v>48339102</v>
      </c>
      <c r="E81">
        <v>1</v>
      </c>
      <c r="F81">
        <v>1</v>
      </c>
      <c r="G81">
        <v>27</v>
      </c>
      <c r="H81">
        <v>2</v>
      </c>
      <c r="I81" t="s">
        <v>405</v>
      </c>
      <c r="J81" t="s">
        <v>406</v>
      </c>
      <c r="K81" t="s">
        <v>407</v>
      </c>
      <c r="L81">
        <v>1368</v>
      </c>
      <c r="N81">
        <v>1011</v>
      </c>
      <c r="O81" t="s">
        <v>299</v>
      </c>
      <c r="P81" t="s">
        <v>299</v>
      </c>
      <c r="Q81">
        <v>1</v>
      </c>
      <c r="W81">
        <v>0</v>
      </c>
      <c r="X81">
        <v>587417428</v>
      </c>
      <c r="Y81">
        <v>0.45</v>
      </c>
      <c r="AA81">
        <v>0</v>
      </c>
      <c r="AB81">
        <v>3.75</v>
      </c>
      <c r="AC81">
        <v>2.56</v>
      </c>
      <c r="AD81">
        <v>0</v>
      </c>
      <c r="AE81">
        <v>0</v>
      </c>
      <c r="AF81">
        <v>3.75</v>
      </c>
      <c r="AG81">
        <v>2.56</v>
      </c>
      <c r="AH81">
        <v>0</v>
      </c>
      <c r="AI81">
        <v>1</v>
      </c>
      <c r="AJ81">
        <v>1</v>
      </c>
      <c r="AK81">
        <v>1</v>
      </c>
      <c r="AL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 t="s">
        <v>3</v>
      </c>
      <c r="AT81">
        <v>0.45</v>
      </c>
      <c r="AU81" t="s">
        <v>3</v>
      </c>
      <c r="AV81">
        <v>0</v>
      </c>
      <c r="AW81">
        <v>2</v>
      </c>
      <c r="AX81">
        <v>49709182</v>
      </c>
      <c r="AY81">
        <v>1</v>
      </c>
      <c r="AZ81">
        <v>0</v>
      </c>
      <c r="BA81">
        <v>78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CX81">
        <f>Y81*Source!I134</f>
        <v>0.21060000000000001</v>
      </c>
      <c r="CY81">
        <f>AB81</f>
        <v>3.75</v>
      </c>
      <c r="CZ81">
        <f>AF81</f>
        <v>3.75</v>
      </c>
      <c r="DA81">
        <f>AJ81</f>
        <v>1</v>
      </c>
      <c r="DB81">
        <f t="shared" si="12"/>
        <v>1.69</v>
      </c>
      <c r="DC81">
        <f t="shared" si="13"/>
        <v>1.1499999999999999</v>
      </c>
    </row>
    <row r="82" spans="1:107" x14ac:dyDescent="0.2">
      <c r="A82">
        <f>ROW(Source!A134)</f>
        <v>134</v>
      </c>
      <c r="B82">
        <v>49707740</v>
      </c>
      <c r="C82">
        <v>49709179</v>
      </c>
      <c r="D82">
        <v>48338391</v>
      </c>
      <c r="E82">
        <v>1</v>
      </c>
      <c r="F82">
        <v>1</v>
      </c>
      <c r="G82">
        <v>27</v>
      </c>
      <c r="H82">
        <v>2</v>
      </c>
      <c r="I82" t="s">
        <v>408</v>
      </c>
      <c r="J82" t="s">
        <v>409</v>
      </c>
      <c r="K82" t="s">
        <v>410</v>
      </c>
      <c r="L82">
        <v>1368</v>
      </c>
      <c r="N82">
        <v>1011</v>
      </c>
      <c r="O82" t="s">
        <v>299</v>
      </c>
      <c r="P82" t="s">
        <v>299</v>
      </c>
      <c r="Q82">
        <v>1</v>
      </c>
      <c r="W82">
        <v>0</v>
      </c>
      <c r="X82">
        <v>1004541775</v>
      </c>
      <c r="Y82">
        <v>0.09</v>
      </c>
      <c r="AA82">
        <v>0</v>
      </c>
      <c r="AB82">
        <v>1171.51</v>
      </c>
      <c r="AC82">
        <v>487.24</v>
      </c>
      <c r="AD82">
        <v>0</v>
      </c>
      <c r="AE82">
        <v>0</v>
      </c>
      <c r="AF82">
        <v>1171.51</v>
      </c>
      <c r="AG82">
        <v>487.24</v>
      </c>
      <c r="AH82">
        <v>0</v>
      </c>
      <c r="AI82">
        <v>1</v>
      </c>
      <c r="AJ82">
        <v>1</v>
      </c>
      <c r="AK82">
        <v>1</v>
      </c>
      <c r="AL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 t="s">
        <v>3</v>
      </c>
      <c r="AT82">
        <v>0.09</v>
      </c>
      <c r="AU82" t="s">
        <v>3</v>
      </c>
      <c r="AV82">
        <v>0</v>
      </c>
      <c r="AW82">
        <v>2</v>
      </c>
      <c r="AX82">
        <v>49709183</v>
      </c>
      <c r="AY82">
        <v>1</v>
      </c>
      <c r="AZ82">
        <v>0</v>
      </c>
      <c r="BA82">
        <v>79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CX82">
        <f>Y82*Source!I134</f>
        <v>4.2119999999999998E-2</v>
      </c>
      <c r="CY82">
        <f>AB82</f>
        <v>1171.51</v>
      </c>
      <c r="CZ82">
        <f>AF82</f>
        <v>1171.51</v>
      </c>
      <c r="DA82">
        <f>AJ82</f>
        <v>1</v>
      </c>
      <c r="DB82">
        <f t="shared" si="12"/>
        <v>105.44</v>
      </c>
      <c r="DC82">
        <f t="shared" si="13"/>
        <v>43.85</v>
      </c>
    </row>
    <row r="83" spans="1:107" x14ac:dyDescent="0.2">
      <c r="A83">
        <f>ROW(Source!A134)</f>
        <v>134</v>
      </c>
      <c r="B83">
        <v>49707740</v>
      </c>
      <c r="C83">
        <v>49709179</v>
      </c>
      <c r="D83">
        <v>48340434</v>
      </c>
      <c r="E83">
        <v>1</v>
      </c>
      <c r="F83">
        <v>1</v>
      </c>
      <c r="G83">
        <v>27</v>
      </c>
      <c r="H83">
        <v>3</v>
      </c>
      <c r="I83" t="s">
        <v>411</v>
      </c>
      <c r="J83" t="s">
        <v>412</v>
      </c>
      <c r="K83" t="s">
        <v>413</v>
      </c>
      <c r="L83">
        <v>1339</v>
      </c>
      <c r="N83">
        <v>1007</v>
      </c>
      <c r="O83" t="s">
        <v>46</v>
      </c>
      <c r="P83" t="s">
        <v>46</v>
      </c>
      <c r="Q83">
        <v>1</v>
      </c>
      <c r="W83">
        <v>0</v>
      </c>
      <c r="X83">
        <v>909340900</v>
      </c>
      <c r="Y83">
        <v>1.1000000000000001</v>
      </c>
      <c r="AA83">
        <v>590.78</v>
      </c>
      <c r="AB83">
        <v>0</v>
      </c>
      <c r="AC83">
        <v>0</v>
      </c>
      <c r="AD83">
        <v>0</v>
      </c>
      <c r="AE83">
        <v>590.78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 t="s">
        <v>3</v>
      </c>
      <c r="AT83">
        <v>1.1000000000000001</v>
      </c>
      <c r="AU83" t="s">
        <v>3</v>
      </c>
      <c r="AV83">
        <v>0</v>
      </c>
      <c r="AW83">
        <v>2</v>
      </c>
      <c r="AX83">
        <v>49709184</v>
      </c>
      <c r="AY83">
        <v>1</v>
      </c>
      <c r="AZ83">
        <v>0</v>
      </c>
      <c r="BA83">
        <v>80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CX83">
        <f>Y83*Source!I134</f>
        <v>0.51480000000000004</v>
      </c>
      <c r="CY83">
        <f>AA83</f>
        <v>590.78</v>
      </c>
      <c r="CZ83">
        <f>AE83</f>
        <v>590.78</v>
      </c>
      <c r="DA83">
        <f>AI83</f>
        <v>1</v>
      </c>
      <c r="DB83">
        <f t="shared" si="12"/>
        <v>649.86</v>
      </c>
      <c r="DC83">
        <f t="shared" si="13"/>
        <v>0</v>
      </c>
    </row>
    <row r="84" spans="1:107" x14ac:dyDescent="0.2">
      <c r="A84">
        <f>ROW(Source!A134)</f>
        <v>134</v>
      </c>
      <c r="B84">
        <v>49707740</v>
      </c>
      <c r="C84">
        <v>49709179</v>
      </c>
      <c r="D84">
        <v>48341179</v>
      </c>
      <c r="E84">
        <v>1</v>
      </c>
      <c r="F84">
        <v>1</v>
      </c>
      <c r="G84">
        <v>27</v>
      </c>
      <c r="H84">
        <v>3</v>
      </c>
      <c r="I84" t="s">
        <v>327</v>
      </c>
      <c r="J84" t="s">
        <v>414</v>
      </c>
      <c r="K84" t="s">
        <v>329</v>
      </c>
      <c r="L84">
        <v>1339</v>
      </c>
      <c r="N84">
        <v>1007</v>
      </c>
      <c r="O84" t="s">
        <v>46</v>
      </c>
      <c r="P84" t="s">
        <v>46</v>
      </c>
      <c r="Q84">
        <v>1</v>
      </c>
      <c r="W84">
        <v>0</v>
      </c>
      <c r="X84">
        <v>1927597627</v>
      </c>
      <c r="Y84">
        <v>0.15</v>
      </c>
      <c r="AA84">
        <v>35.25</v>
      </c>
      <c r="AB84">
        <v>0</v>
      </c>
      <c r="AC84">
        <v>0</v>
      </c>
      <c r="AD84">
        <v>0</v>
      </c>
      <c r="AE84">
        <v>35.25</v>
      </c>
      <c r="AF84">
        <v>0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 t="s">
        <v>3</v>
      </c>
      <c r="AT84">
        <v>0.15</v>
      </c>
      <c r="AU84" t="s">
        <v>3</v>
      </c>
      <c r="AV84">
        <v>0</v>
      </c>
      <c r="AW84">
        <v>2</v>
      </c>
      <c r="AX84">
        <v>49709185</v>
      </c>
      <c r="AY84">
        <v>1</v>
      </c>
      <c r="AZ84">
        <v>0</v>
      </c>
      <c r="BA84">
        <v>81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CX84">
        <f>Y84*Source!I134</f>
        <v>7.0199999999999999E-2</v>
      </c>
      <c r="CY84">
        <f>AA84</f>
        <v>35.25</v>
      </c>
      <c r="CZ84">
        <f>AE84</f>
        <v>35.25</v>
      </c>
      <c r="DA84">
        <f>AI84</f>
        <v>1</v>
      </c>
      <c r="DB84">
        <f t="shared" si="12"/>
        <v>5.29</v>
      </c>
      <c r="DC84">
        <f t="shared" si="13"/>
        <v>0</v>
      </c>
    </row>
    <row r="85" spans="1:107" x14ac:dyDescent="0.2">
      <c r="A85">
        <f>ROW(Source!A135)</f>
        <v>135</v>
      </c>
      <c r="B85">
        <v>49707740</v>
      </c>
      <c r="C85">
        <v>49709187</v>
      </c>
      <c r="D85">
        <v>48326108</v>
      </c>
      <c r="E85">
        <v>27</v>
      </c>
      <c r="F85">
        <v>1</v>
      </c>
      <c r="G85">
        <v>27</v>
      </c>
      <c r="H85">
        <v>1</v>
      </c>
      <c r="I85" t="s">
        <v>293</v>
      </c>
      <c r="J85" t="s">
        <v>3</v>
      </c>
      <c r="K85" t="s">
        <v>294</v>
      </c>
      <c r="L85">
        <v>1191</v>
      </c>
      <c r="N85">
        <v>1013</v>
      </c>
      <c r="O85" t="s">
        <v>295</v>
      </c>
      <c r="P85" t="s">
        <v>295</v>
      </c>
      <c r="Q85">
        <v>1</v>
      </c>
      <c r="W85">
        <v>0</v>
      </c>
      <c r="X85">
        <v>476480486</v>
      </c>
      <c r="Y85">
        <v>0.98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1</v>
      </c>
      <c r="AJ85">
        <v>1</v>
      </c>
      <c r="AK85">
        <v>1</v>
      </c>
      <c r="AL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 t="s">
        <v>3</v>
      </c>
      <c r="AT85">
        <v>0.98</v>
      </c>
      <c r="AU85" t="s">
        <v>3</v>
      </c>
      <c r="AV85">
        <v>1</v>
      </c>
      <c r="AW85">
        <v>2</v>
      </c>
      <c r="AX85">
        <v>49709188</v>
      </c>
      <c r="AY85">
        <v>1</v>
      </c>
      <c r="AZ85">
        <v>0</v>
      </c>
      <c r="BA85">
        <v>82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CX85">
        <f>Y85*Source!I135</f>
        <v>0.45863999999999999</v>
      </c>
      <c r="CY85">
        <f>AD85</f>
        <v>0</v>
      </c>
      <c r="CZ85">
        <f>AH85</f>
        <v>0</v>
      </c>
      <c r="DA85">
        <f>AL85</f>
        <v>1</v>
      </c>
      <c r="DB85">
        <f t="shared" si="12"/>
        <v>0</v>
      </c>
      <c r="DC85">
        <f t="shared" si="13"/>
        <v>0</v>
      </c>
    </row>
    <row r="86" spans="1:107" x14ac:dyDescent="0.2">
      <c r="A86">
        <f>ROW(Source!A135)</f>
        <v>135</v>
      </c>
      <c r="B86">
        <v>49707740</v>
      </c>
      <c r="C86">
        <v>49709187</v>
      </c>
      <c r="D86">
        <v>48338634</v>
      </c>
      <c r="E86">
        <v>1</v>
      </c>
      <c r="F86">
        <v>1</v>
      </c>
      <c r="G86">
        <v>27</v>
      </c>
      <c r="H86">
        <v>2</v>
      </c>
      <c r="I86" t="s">
        <v>402</v>
      </c>
      <c r="J86" t="s">
        <v>403</v>
      </c>
      <c r="K86" t="s">
        <v>404</v>
      </c>
      <c r="L86">
        <v>1368</v>
      </c>
      <c r="N86">
        <v>1011</v>
      </c>
      <c r="O86" t="s">
        <v>299</v>
      </c>
      <c r="P86" t="s">
        <v>299</v>
      </c>
      <c r="Q86">
        <v>1</v>
      </c>
      <c r="W86">
        <v>0</v>
      </c>
      <c r="X86">
        <v>830483721</v>
      </c>
      <c r="Y86">
        <v>0.25</v>
      </c>
      <c r="AA86">
        <v>0</v>
      </c>
      <c r="AB86">
        <v>470.71</v>
      </c>
      <c r="AC86">
        <v>359.8</v>
      </c>
      <c r="AD86">
        <v>0</v>
      </c>
      <c r="AE86">
        <v>0</v>
      </c>
      <c r="AF86">
        <v>470.71</v>
      </c>
      <c r="AG86">
        <v>359.8</v>
      </c>
      <c r="AH86">
        <v>0</v>
      </c>
      <c r="AI86">
        <v>1</v>
      </c>
      <c r="AJ86">
        <v>1</v>
      </c>
      <c r="AK86">
        <v>1</v>
      </c>
      <c r="AL86">
        <v>1</v>
      </c>
      <c r="AN86">
        <v>0</v>
      </c>
      <c r="AO86">
        <v>1</v>
      </c>
      <c r="AP86">
        <v>0</v>
      </c>
      <c r="AQ86">
        <v>0</v>
      </c>
      <c r="AR86">
        <v>0</v>
      </c>
      <c r="AS86" t="s">
        <v>3</v>
      </c>
      <c r="AT86">
        <v>0.25</v>
      </c>
      <c r="AU86" t="s">
        <v>3</v>
      </c>
      <c r="AV86">
        <v>0</v>
      </c>
      <c r="AW86">
        <v>2</v>
      </c>
      <c r="AX86">
        <v>49709189</v>
      </c>
      <c r="AY86">
        <v>1</v>
      </c>
      <c r="AZ86">
        <v>0</v>
      </c>
      <c r="BA86">
        <v>83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CX86">
        <f>Y86*Source!I135</f>
        <v>0.11700000000000001</v>
      </c>
      <c r="CY86">
        <f>AB86</f>
        <v>470.71</v>
      </c>
      <c r="CZ86">
        <f>AF86</f>
        <v>470.71</v>
      </c>
      <c r="DA86">
        <f>AJ86</f>
        <v>1</v>
      </c>
      <c r="DB86">
        <f t="shared" si="12"/>
        <v>117.68</v>
      </c>
      <c r="DC86">
        <f t="shared" si="13"/>
        <v>89.95</v>
      </c>
    </row>
    <row r="87" spans="1:107" x14ac:dyDescent="0.2">
      <c r="A87">
        <f>ROW(Source!A135)</f>
        <v>135</v>
      </c>
      <c r="B87">
        <v>49707740</v>
      </c>
      <c r="C87">
        <v>49709187</v>
      </c>
      <c r="D87">
        <v>48339102</v>
      </c>
      <c r="E87">
        <v>1</v>
      </c>
      <c r="F87">
        <v>1</v>
      </c>
      <c r="G87">
        <v>27</v>
      </c>
      <c r="H87">
        <v>2</v>
      </c>
      <c r="I87" t="s">
        <v>405</v>
      </c>
      <c r="J87" t="s">
        <v>406</v>
      </c>
      <c r="K87" t="s">
        <v>407</v>
      </c>
      <c r="L87">
        <v>1368</v>
      </c>
      <c r="N87">
        <v>1011</v>
      </c>
      <c r="O87" t="s">
        <v>299</v>
      </c>
      <c r="P87" t="s">
        <v>299</v>
      </c>
      <c r="Q87">
        <v>1</v>
      </c>
      <c r="W87">
        <v>0</v>
      </c>
      <c r="X87">
        <v>587417428</v>
      </c>
      <c r="Y87">
        <v>0.5</v>
      </c>
      <c r="AA87">
        <v>0</v>
      </c>
      <c r="AB87">
        <v>3.75</v>
      </c>
      <c r="AC87">
        <v>2.56</v>
      </c>
      <c r="AD87">
        <v>0</v>
      </c>
      <c r="AE87">
        <v>0</v>
      </c>
      <c r="AF87">
        <v>3.75</v>
      </c>
      <c r="AG87">
        <v>2.56</v>
      </c>
      <c r="AH87">
        <v>0</v>
      </c>
      <c r="AI87">
        <v>1</v>
      </c>
      <c r="AJ87">
        <v>1</v>
      </c>
      <c r="AK87">
        <v>1</v>
      </c>
      <c r="AL87">
        <v>1</v>
      </c>
      <c r="AN87">
        <v>0</v>
      </c>
      <c r="AO87">
        <v>1</v>
      </c>
      <c r="AP87">
        <v>0</v>
      </c>
      <c r="AQ87">
        <v>0</v>
      </c>
      <c r="AR87">
        <v>0</v>
      </c>
      <c r="AS87" t="s">
        <v>3</v>
      </c>
      <c r="AT87">
        <v>0.5</v>
      </c>
      <c r="AU87" t="s">
        <v>3</v>
      </c>
      <c r="AV87">
        <v>0</v>
      </c>
      <c r="AW87">
        <v>2</v>
      </c>
      <c r="AX87">
        <v>49709190</v>
      </c>
      <c r="AY87">
        <v>1</v>
      </c>
      <c r="AZ87">
        <v>0</v>
      </c>
      <c r="BA87">
        <v>84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CX87">
        <f>Y87*Source!I135</f>
        <v>0.23400000000000001</v>
      </c>
      <c r="CY87">
        <f>AB87</f>
        <v>3.75</v>
      </c>
      <c r="CZ87">
        <f>AF87</f>
        <v>3.75</v>
      </c>
      <c r="DA87">
        <f>AJ87</f>
        <v>1</v>
      </c>
      <c r="DB87">
        <f t="shared" si="12"/>
        <v>1.88</v>
      </c>
      <c r="DC87">
        <f t="shared" si="13"/>
        <v>1.28</v>
      </c>
    </row>
    <row r="88" spans="1:107" x14ac:dyDescent="0.2">
      <c r="A88">
        <f>ROW(Source!A135)</f>
        <v>135</v>
      </c>
      <c r="B88">
        <v>49707740</v>
      </c>
      <c r="C88">
        <v>49709187</v>
      </c>
      <c r="D88">
        <v>48338391</v>
      </c>
      <c r="E88">
        <v>1</v>
      </c>
      <c r="F88">
        <v>1</v>
      </c>
      <c r="G88">
        <v>27</v>
      </c>
      <c r="H88">
        <v>2</v>
      </c>
      <c r="I88" t="s">
        <v>408</v>
      </c>
      <c r="J88" t="s">
        <v>409</v>
      </c>
      <c r="K88" t="s">
        <v>410</v>
      </c>
      <c r="L88">
        <v>1368</v>
      </c>
      <c r="N88">
        <v>1011</v>
      </c>
      <c r="O88" t="s">
        <v>299</v>
      </c>
      <c r="P88" t="s">
        <v>299</v>
      </c>
      <c r="Q88">
        <v>1</v>
      </c>
      <c r="W88">
        <v>0</v>
      </c>
      <c r="X88">
        <v>1004541775</v>
      </c>
      <c r="Y88">
        <v>0.09</v>
      </c>
      <c r="AA88">
        <v>0</v>
      </c>
      <c r="AB88">
        <v>1171.51</v>
      </c>
      <c r="AC88">
        <v>487.24</v>
      </c>
      <c r="AD88">
        <v>0</v>
      </c>
      <c r="AE88">
        <v>0</v>
      </c>
      <c r="AF88">
        <v>1171.51</v>
      </c>
      <c r="AG88">
        <v>487.24</v>
      </c>
      <c r="AH88">
        <v>0</v>
      </c>
      <c r="AI88">
        <v>1</v>
      </c>
      <c r="AJ88">
        <v>1</v>
      </c>
      <c r="AK88">
        <v>1</v>
      </c>
      <c r="AL88">
        <v>1</v>
      </c>
      <c r="AN88">
        <v>0</v>
      </c>
      <c r="AO88">
        <v>1</v>
      </c>
      <c r="AP88">
        <v>0</v>
      </c>
      <c r="AQ88">
        <v>0</v>
      </c>
      <c r="AR88">
        <v>0</v>
      </c>
      <c r="AS88" t="s">
        <v>3</v>
      </c>
      <c r="AT88">
        <v>0.09</v>
      </c>
      <c r="AU88" t="s">
        <v>3</v>
      </c>
      <c r="AV88">
        <v>0</v>
      </c>
      <c r="AW88">
        <v>2</v>
      </c>
      <c r="AX88">
        <v>49709191</v>
      </c>
      <c r="AY88">
        <v>1</v>
      </c>
      <c r="AZ88">
        <v>0</v>
      </c>
      <c r="BA88">
        <v>85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CX88">
        <f>Y88*Source!I135</f>
        <v>4.2119999999999998E-2</v>
      </c>
      <c r="CY88">
        <f>AB88</f>
        <v>1171.51</v>
      </c>
      <c r="CZ88">
        <f>AF88</f>
        <v>1171.51</v>
      </c>
      <c r="DA88">
        <f>AJ88</f>
        <v>1</v>
      </c>
      <c r="DB88">
        <f t="shared" si="12"/>
        <v>105.44</v>
      </c>
      <c r="DC88">
        <f t="shared" si="13"/>
        <v>43.85</v>
      </c>
    </row>
    <row r="89" spans="1:107" x14ac:dyDescent="0.2">
      <c r="A89">
        <f>ROW(Source!A135)</f>
        <v>135</v>
      </c>
      <c r="B89">
        <v>49707740</v>
      </c>
      <c r="C89">
        <v>49709187</v>
      </c>
      <c r="D89">
        <v>48340468</v>
      </c>
      <c r="E89">
        <v>1</v>
      </c>
      <c r="F89">
        <v>1</v>
      </c>
      <c r="G89">
        <v>27</v>
      </c>
      <c r="H89">
        <v>3</v>
      </c>
      <c r="I89" t="s">
        <v>415</v>
      </c>
      <c r="J89" t="s">
        <v>416</v>
      </c>
      <c r="K89" t="s">
        <v>417</v>
      </c>
      <c r="L89">
        <v>1339</v>
      </c>
      <c r="N89">
        <v>1007</v>
      </c>
      <c r="O89" t="s">
        <v>46</v>
      </c>
      <c r="P89" t="s">
        <v>46</v>
      </c>
      <c r="Q89">
        <v>1</v>
      </c>
      <c r="W89">
        <v>0</v>
      </c>
      <c r="X89">
        <v>23642594</v>
      </c>
      <c r="Y89">
        <v>1.1499999999999999</v>
      </c>
      <c r="AA89">
        <v>1436.5</v>
      </c>
      <c r="AB89">
        <v>0</v>
      </c>
      <c r="AC89">
        <v>0</v>
      </c>
      <c r="AD89">
        <v>0</v>
      </c>
      <c r="AE89">
        <v>1436.5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1</v>
      </c>
      <c r="AL89">
        <v>1</v>
      </c>
      <c r="AN89">
        <v>0</v>
      </c>
      <c r="AO89">
        <v>1</v>
      </c>
      <c r="AP89">
        <v>0</v>
      </c>
      <c r="AQ89">
        <v>0</v>
      </c>
      <c r="AR89">
        <v>0</v>
      </c>
      <c r="AS89" t="s">
        <v>3</v>
      </c>
      <c r="AT89">
        <v>1.1499999999999999</v>
      </c>
      <c r="AU89" t="s">
        <v>3</v>
      </c>
      <c r="AV89">
        <v>0</v>
      </c>
      <c r="AW89">
        <v>2</v>
      </c>
      <c r="AX89">
        <v>49709192</v>
      </c>
      <c r="AY89">
        <v>1</v>
      </c>
      <c r="AZ89">
        <v>0</v>
      </c>
      <c r="BA89">
        <v>86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CX89">
        <f>Y89*Source!I135</f>
        <v>0.53820000000000001</v>
      </c>
      <c r="CY89">
        <f>AA89</f>
        <v>1436.5</v>
      </c>
      <c r="CZ89">
        <f>AE89</f>
        <v>1436.5</v>
      </c>
      <c r="DA89">
        <f>AI89</f>
        <v>1</v>
      </c>
      <c r="DB89">
        <f t="shared" si="12"/>
        <v>1651.98</v>
      </c>
      <c r="DC89">
        <f t="shared" si="13"/>
        <v>0</v>
      </c>
    </row>
    <row r="90" spans="1:107" x14ac:dyDescent="0.2">
      <c r="A90">
        <f>ROW(Source!A135)</f>
        <v>135</v>
      </c>
      <c r="B90">
        <v>49707740</v>
      </c>
      <c r="C90">
        <v>49709187</v>
      </c>
      <c r="D90">
        <v>48341179</v>
      </c>
      <c r="E90">
        <v>1</v>
      </c>
      <c r="F90">
        <v>1</v>
      </c>
      <c r="G90">
        <v>27</v>
      </c>
      <c r="H90">
        <v>3</v>
      </c>
      <c r="I90" t="s">
        <v>327</v>
      </c>
      <c r="J90" t="s">
        <v>414</v>
      </c>
      <c r="K90" t="s">
        <v>329</v>
      </c>
      <c r="L90">
        <v>1339</v>
      </c>
      <c r="N90">
        <v>1007</v>
      </c>
      <c r="O90" t="s">
        <v>46</v>
      </c>
      <c r="P90" t="s">
        <v>46</v>
      </c>
      <c r="Q90">
        <v>1</v>
      </c>
      <c r="W90">
        <v>0</v>
      </c>
      <c r="X90">
        <v>1927597627</v>
      </c>
      <c r="Y90">
        <v>0.15</v>
      </c>
      <c r="AA90">
        <v>35.25</v>
      </c>
      <c r="AB90">
        <v>0</v>
      </c>
      <c r="AC90">
        <v>0</v>
      </c>
      <c r="AD90">
        <v>0</v>
      </c>
      <c r="AE90">
        <v>35.25</v>
      </c>
      <c r="AF90">
        <v>0</v>
      </c>
      <c r="AG90">
        <v>0</v>
      </c>
      <c r="AH90">
        <v>0</v>
      </c>
      <c r="AI90">
        <v>1</v>
      </c>
      <c r="AJ90">
        <v>1</v>
      </c>
      <c r="AK90">
        <v>1</v>
      </c>
      <c r="AL90">
        <v>1</v>
      </c>
      <c r="AN90">
        <v>0</v>
      </c>
      <c r="AO90">
        <v>1</v>
      </c>
      <c r="AP90">
        <v>0</v>
      </c>
      <c r="AQ90">
        <v>0</v>
      </c>
      <c r="AR90">
        <v>0</v>
      </c>
      <c r="AS90" t="s">
        <v>3</v>
      </c>
      <c r="AT90">
        <v>0.15</v>
      </c>
      <c r="AU90" t="s">
        <v>3</v>
      </c>
      <c r="AV90">
        <v>0</v>
      </c>
      <c r="AW90">
        <v>2</v>
      </c>
      <c r="AX90">
        <v>49709193</v>
      </c>
      <c r="AY90">
        <v>1</v>
      </c>
      <c r="AZ90">
        <v>0</v>
      </c>
      <c r="BA90">
        <v>87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CX90">
        <f>Y90*Source!I135</f>
        <v>7.0199999999999999E-2</v>
      </c>
      <c r="CY90">
        <f>AA90</f>
        <v>35.25</v>
      </c>
      <c r="CZ90">
        <f>AE90</f>
        <v>35.25</v>
      </c>
      <c r="DA90">
        <f>AI90</f>
        <v>1</v>
      </c>
      <c r="DB90">
        <f t="shared" si="12"/>
        <v>5.29</v>
      </c>
      <c r="DC90">
        <f t="shared" si="13"/>
        <v>0</v>
      </c>
    </row>
    <row r="91" spans="1:107" x14ac:dyDescent="0.2">
      <c r="A91">
        <f>ROW(Source!A136)</f>
        <v>136</v>
      </c>
      <c r="B91">
        <v>49707740</v>
      </c>
      <c r="C91">
        <v>49708467</v>
      </c>
      <c r="D91">
        <v>48326108</v>
      </c>
      <c r="E91">
        <v>27</v>
      </c>
      <c r="F91">
        <v>1</v>
      </c>
      <c r="G91">
        <v>27</v>
      </c>
      <c r="H91">
        <v>1</v>
      </c>
      <c r="I91" t="s">
        <v>293</v>
      </c>
      <c r="J91" t="s">
        <v>3</v>
      </c>
      <c r="K91" t="s">
        <v>294</v>
      </c>
      <c r="L91">
        <v>1191</v>
      </c>
      <c r="N91">
        <v>1013</v>
      </c>
      <c r="O91" t="s">
        <v>295</v>
      </c>
      <c r="P91" t="s">
        <v>295</v>
      </c>
      <c r="Q91">
        <v>1</v>
      </c>
      <c r="W91">
        <v>0</v>
      </c>
      <c r="X91">
        <v>476480486</v>
      </c>
      <c r="Y91">
        <v>155.25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1</v>
      </c>
      <c r="AJ91">
        <v>1</v>
      </c>
      <c r="AK91">
        <v>1</v>
      </c>
      <c r="AL91">
        <v>1</v>
      </c>
      <c r="AN91">
        <v>0</v>
      </c>
      <c r="AO91">
        <v>1</v>
      </c>
      <c r="AP91">
        <v>0</v>
      </c>
      <c r="AQ91">
        <v>0</v>
      </c>
      <c r="AR91">
        <v>0</v>
      </c>
      <c r="AS91" t="s">
        <v>3</v>
      </c>
      <c r="AT91">
        <v>155.25</v>
      </c>
      <c r="AU91" t="s">
        <v>3</v>
      </c>
      <c r="AV91">
        <v>1</v>
      </c>
      <c r="AW91">
        <v>2</v>
      </c>
      <c r="AX91">
        <v>49708473</v>
      </c>
      <c r="AY91">
        <v>1</v>
      </c>
      <c r="AZ91">
        <v>0</v>
      </c>
      <c r="BA91">
        <v>88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CX91">
        <f>Y91*Source!I136</f>
        <v>2.1735000000000002</v>
      </c>
      <c r="CY91">
        <f>AD91</f>
        <v>0</v>
      </c>
      <c r="CZ91">
        <f>AH91</f>
        <v>0</v>
      </c>
      <c r="DA91">
        <f>AL91</f>
        <v>1</v>
      </c>
      <c r="DB91">
        <f t="shared" si="12"/>
        <v>0</v>
      </c>
      <c r="DC91">
        <f t="shared" si="13"/>
        <v>0</v>
      </c>
    </row>
    <row r="92" spans="1:107" x14ac:dyDescent="0.2">
      <c r="A92">
        <f>ROW(Source!A136)</f>
        <v>136</v>
      </c>
      <c r="B92">
        <v>49707740</v>
      </c>
      <c r="C92">
        <v>49708467</v>
      </c>
      <c r="D92">
        <v>48338564</v>
      </c>
      <c r="E92">
        <v>1</v>
      </c>
      <c r="F92">
        <v>1</v>
      </c>
      <c r="G92">
        <v>27</v>
      </c>
      <c r="H92">
        <v>2</v>
      </c>
      <c r="I92" t="s">
        <v>418</v>
      </c>
      <c r="J92" t="s">
        <v>419</v>
      </c>
      <c r="K92" t="s">
        <v>420</v>
      </c>
      <c r="L92">
        <v>1368</v>
      </c>
      <c r="N92">
        <v>1011</v>
      </c>
      <c r="O92" t="s">
        <v>299</v>
      </c>
      <c r="P92" t="s">
        <v>299</v>
      </c>
      <c r="Q92">
        <v>1</v>
      </c>
      <c r="W92">
        <v>0</v>
      </c>
      <c r="X92">
        <v>1288867377</v>
      </c>
      <c r="Y92">
        <v>7.41</v>
      </c>
      <c r="AA92">
        <v>0</v>
      </c>
      <c r="AB92">
        <v>3.84</v>
      </c>
      <c r="AC92">
        <v>0.01</v>
      </c>
      <c r="AD92">
        <v>0</v>
      </c>
      <c r="AE92">
        <v>0</v>
      </c>
      <c r="AF92">
        <v>3.84</v>
      </c>
      <c r="AG92">
        <v>0.01</v>
      </c>
      <c r="AH92">
        <v>0</v>
      </c>
      <c r="AI92">
        <v>1</v>
      </c>
      <c r="AJ92">
        <v>1</v>
      </c>
      <c r="AK92">
        <v>1</v>
      </c>
      <c r="AL92">
        <v>1</v>
      </c>
      <c r="AN92">
        <v>0</v>
      </c>
      <c r="AO92">
        <v>1</v>
      </c>
      <c r="AP92">
        <v>0</v>
      </c>
      <c r="AQ92">
        <v>0</v>
      </c>
      <c r="AR92">
        <v>0</v>
      </c>
      <c r="AS92" t="s">
        <v>3</v>
      </c>
      <c r="AT92">
        <v>7.41</v>
      </c>
      <c r="AU92" t="s">
        <v>3</v>
      </c>
      <c r="AV92">
        <v>0</v>
      </c>
      <c r="AW92">
        <v>2</v>
      </c>
      <c r="AX92">
        <v>49708474</v>
      </c>
      <c r="AY92">
        <v>1</v>
      </c>
      <c r="AZ92">
        <v>0</v>
      </c>
      <c r="BA92">
        <v>89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CX92">
        <f>Y92*Source!I136</f>
        <v>0.10374</v>
      </c>
      <c r="CY92">
        <f>AB92</f>
        <v>3.84</v>
      </c>
      <c r="CZ92">
        <f>AF92</f>
        <v>3.84</v>
      </c>
      <c r="DA92">
        <f>AJ92</f>
        <v>1</v>
      </c>
      <c r="DB92">
        <f t="shared" si="12"/>
        <v>28.45</v>
      </c>
      <c r="DC92">
        <f t="shared" si="13"/>
        <v>7.0000000000000007E-2</v>
      </c>
    </row>
    <row r="93" spans="1:107" x14ac:dyDescent="0.2">
      <c r="A93">
        <f>ROW(Source!A136)</f>
        <v>136</v>
      </c>
      <c r="B93">
        <v>49707740</v>
      </c>
      <c r="C93">
        <v>49708467</v>
      </c>
      <c r="D93">
        <v>48341002</v>
      </c>
      <c r="E93">
        <v>1</v>
      </c>
      <c r="F93">
        <v>1</v>
      </c>
      <c r="G93">
        <v>27</v>
      </c>
      <c r="H93">
        <v>3</v>
      </c>
      <c r="I93" t="s">
        <v>421</v>
      </c>
      <c r="J93" t="s">
        <v>422</v>
      </c>
      <c r="K93" t="s">
        <v>423</v>
      </c>
      <c r="L93">
        <v>1327</v>
      </c>
      <c r="N93">
        <v>1005</v>
      </c>
      <c r="O93" t="s">
        <v>363</v>
      </c>
      <c r="P93" t="s">
        <v>363</v>
      </c>
      <c r="Q93">
        <v>1</v>
      </c>
      <c r="W93">
        <v>0</v>
      </c>
      <c r="X93">
        <v>-2047649341</v>
      </c>
      <c r="Y93">
        <v>250</v>
      </c>
      <c r="AA93">
        <v>91.89</v>
      </c>
      <c r="AB93">
        <v>0</v>
      </c>
      <c r="AC93">
        <v>0</v>
      </c>
      <c r="AD93">
        <v>0</v>
      </c>
      <c r="AE93">
        <v>91.89</v>
      </c>
      <c r="AF93">
        <v>0</v>
      </c>
      <c r="AG93">
        <v>0</v>
      </c>
      <c r="AH93">
        <v>0</v>
      </c>
      <c r="AI93">
        <v>1</v>
      </c>
      <c r="AJ93">
        <v>1</v>
      </c>
      <c r="AK93">
        <v>1</v>
      </c>
      <c r="AL93">
        <v>1</v>
      </c>
      <c r="AN93">
        <v>0</v>
      </c>
      <c r="AO93">
        <v>1</v>
      </c>
      <c r="AP93">
        <v>0</v>
      </c>
      <c r="AQ93">
        <v>0</v>
      </c>
      <c r="AR93">
        <v>0</v>
      </c>
      <c r="AS93" t="s">
        <v>3</v>
      </c>
      <c r="AT93">
        <v>250</v>
      </c>
      <c r="AU93" t="s">
        <v>3</v>
      </c>
      <c r="AV93">
        <v>0</v>
      </c>
      <c r="AW93">
        <v>2</v>
      </c>
      <c r="AX93">
        <v>49708475</v>
      </c>
      <c r="AY93">
        <v>1</v>
      </c>
      <c r="AZ93">
        <v>0</v>
      </c>
      <c r="BA93">
        <v>90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CX93">
        <f>Y93*Source!I136</f>
        <v>3.5</v>
      </c>
      <c r="CY93">
        <f>AA93</f>
        <v>91.89</v>
      </c>
      <c r="CZ93">
        <f>AE93</f>
        <v>91.89</v>
      </c>
      <c r="DA93">
        <f>AI93</f>
        <v>1</v>
      </c>
      <c r="DB93">
        <f t="shared" si="12"/>
        <v>22972.5</v>
      </c>
      <c r="DC93">
        <f t="shared" si="13"/>
        <v>0</v>
      </c>
    </row>
    <row r="94" spans="1:107" x14ac:dyDescent="0.2">
      <c r="A94">
        <f>ROW(Source!A136)</f>
        <v>136</v>
      </c>
      <c r="B94">
        <v>49707740</v>
      </c>
      <c r="C94">
        <v>49708467</v>
      </c>
      <c r="D94">
        <v>48341179</v>
      </c>
      <c r="E94">
        <v>1</v>
      </c>
      <c r="F94">
        <v>1</v>
      </c>
      <c r="G94">
        <v>27</v>
      </c>
      <c r="H94">
        <v>3</v>
      </c>
      <c r="I94" t="s">
        <v>327</v>
      </c>
      <c r="J94" t="s">
        <v>414</v>
      </c>
      <c r="K94" t="s">
        <v>329</v>
      </c>
      <c r="L94">
        <v>1339</v>
      </c>
      <c r="N94">
        <v>1007</v>
      </c>
      <c r="O94" t="s">
        <v>46</v>
      </c>
      <c r="P94" t="s">
        <v>46</v>
      </c>
      <c r="Q94">
        <v>1</v>
      </c>
      <c r="W94">
        <v>0</v>
      </c>
      <c r="X94">
        <v>1927597627</v>
      </c>
      <c r="Y94">
        <v>1.75</v>
      </c>
      <c r="AA94">
        <v>35.25</v>
      </c>
      <c r="AB94">
        <v>0</v>
      </c>
      <c r="AC94">
        <v>0</v>
      </c>
      <c r="AD94">
        <v>0</v>
      </c>
      <c r="AE94">
        <v>35.25</v>
      </c>
      <c r="AF94">
        <v>0</v>
      </c>
      <c r="AG94">
        <v>0</v>
      </c>
      <c r="AH94">
        <v>0</v>
      </c>
      <c r="AI94">
        <v>1</v>
      </c>
      <c r="AJ94">
        <v>1</v>
      </c>
      <c r="AK94">
        <v>1</v>
      </c>
      <c r="AL94">
        <v>1</v>
      </c>
      <c r="AN94">
        <v>0</v>
      </c>
      <c r="AO94">
        <v>1</v>
      </c>
      <c r="AP94">
        <v>0</v>
      </c>
      <c r="AQ94">
        <v>0</v>
      </c>
      <c r="AR94">
        <v>0</v>
      </c>
      <c r="AS94" t="s">
        <v>3</v>
      </c>
      <c r="AT94">
        <v>1.75</v>
      </c>
      <c r="AU94" t="s">
        <v>3</v>
      </c>
      <c r="AV94">
        <v>0</v>
      </c>
      <c r="AW94">
        <v>2</v>
      </c>
      <c r="AX94">
        <v>49708476</v>
      </c>
      <c r="AY94">
        <v>1</v>
      </c>
      <c r="AZ94">
        <v>0</v>
      </c>
      <c r="BA94">
        <v>91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CX94">
        <f>Y94*Source!I136</f>
        <v>2.4500000000000001E-2</v>
      </c>
      <c r="CY94">
        <f>AA94</f>
        <v>35.25</v>
      </c>
      <c r="CZ94">
        <f>AE94</f>
        <v>35.25</v>
      </c>
      <c r="DA94">
        <f>AI94</f>
        <v>1</v>
      </c>
      <c r="DB94">
        <f t="shared" si="12"/>
        <v>61.69</v>
      </c>
      <c r="DC94">
        <f t="shared" si="13"/>
        <v>0</v>
      </c>
    </row>
    <row r="95" spans="1:107" x14ac:dyDescent="0.2">
      <c r="A95">
        <f>ROW(Source!A136)</f>
        <v>136</v>
      </c>
      <c r="B95">
        <v>49707740</v>
      </c>
      <c r="C95">
        <v>49708467</v>
      </c>
      <c r="D95">
        <v>48342143</v>
      </c>
      <c r="E95">
        <v>1</v>
      </c>
      <c r="F95">
        <v>1</v>
      </c>
      <c r="G95">
        <v>27</v>
      </c>
      <c r="H95">
        <v>3</v>
      </c>
      <c r="I95" t="s">
        <v>424</v>
      </c>
      <c r="J95" t="s">
        <v>425</v>
      </c>
      <c r="K95" t="s">
        <v>426</v>
      </c>
      <c r="L95">
        <v>1339</v>
      </c>
      <c r="N95">
        <v>1007</v>
      </c>
      <c r="O95" t="s">
        <v>46</v>
      </c>
      <c r="P95" t="s">
        <v>46</v>
      </c>
      <c r="Q95">
        <v>1</v>
      </c>
      <c r="W95">
        <v>0</v>
      </c>
      <c r="X95">
        <v>1860113861</v>
      </c>
      <c r="Y95">
        <v>102</v>
      </c>
      <c r="AA95">
        <v>3247.23</v>
      </c>
      <c r="AB95">
        <v>0</v>
      </c>
      <c r="AC95">
        <v>0</v>
      </c>
      <c r="AD95">
        <v>0</v>
      </c>
      <c r="AE95">
        <v>3247.23</v>
      </c>
      <c r="AF95">
        <v>0</v>
      </c>
      <c r="AG95">
        <v>0</v>
      </c>
      <c r="AH95">
        <v>0</v>
      </c>
      <c r="AI95">
        <v>1</v>
      </c>
      <c r="AJ95">
        <v>1</v>
      </c>
      <c r="AK95">
        <v>1</v>
      </c>
      <c r="AL95">
        <v>1</v>
      </c>
      <c r="AN95">
        <v>0</v>
      </c>
      <c r="AO95">
        <v>1</v>
      </c>
      <c r="AP95">
        <v>0</v>
      </c>
      <c r="AQ95">
        <v>0</v>
      </c>
      <c r="AR95">
        <v>0</v>
      </c>
      <c r="AS95" t="s">
        <v>3</v>
      </c>
      <c r="AT95">
        <v>102</v>
      </c>
      <c r="AU95" t="s">
        <v>3</v>
      </c>
      <c r="AV95">
        <v>0</v>
      </c>
      <c r="AW95">
        <v>2</v>
      </c>
      <c r="AX95">
        <v>49708477</v>
      </c>
      <c r="AY95">
        <v>1</v>
      </c>
      <c r="AZ95">
        <v>0</v>
      </c>
      <c r="BA95">
        <v>92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CX95">
        <f>Y95*Source!I136</f>
        <v>1.4279999999999999</v>
      </c>
      <c r="CY95">
        <f>AA95</f>
        <v>3247.23</v>
      </c>
      <c r="CZ95">
        <f>AE95</f>
        <v>3247.23</v>
      </c>
      <c r="DA95">
        <f>AI95</f>
        <v>1</v>
      </c>
      <c r="DB95">
        <f t="shared" si="12"/>
        <v>331217.46000000002</v>
      </c>
      <c r="DC95">
        <f t="shared" si="13"/>
        <v>0</v>
      </c>
    </row>
    <row r="96" spans="1:107" x14ac:dyDescent="0.2">
      <c r="A96">
        <f>ROW(Source!A137)</f>
        <v>137</v>
      </c>
      <c r="B96">
        <v>49707740</v>
      </c>
      <c r="C96">
        <v>49708478</v>
      </c>
      <c r="D96">
        <v>48326108</v>
      </c>
      <c r="E96">
        <v>27</v>
      </c>
      <c r="F96">
        <v>1</v>
      </c>
      <c r="G96">
        <v>27</v>
      </c>
      <c r="H96">
        <v>1</v>
      </c>
      <c r="I96" t="s">
        <v>293</v>
      </c>
      <c r="J96" t="s">
        <v>3</v>
      </c>
      <c r="K96" t="s">
        <v>294</v>
      </c>
      <c r="L96">
        <v>1191</v>
      </c>
      <c r="N96">
        <v>1013</v>
      </c>
      <c r="O96" t="s">
        <v>295</v>
      </c>
      <c r="P96" t="s">
        <v>295</v>
      </c>
      <c r="Q96">
        <v>1</v>
      </c>
      <c r="W96">
        <v>0</v>
      </c>
      <c r="X96">
        <v>476480486</v>
      </c>
      <c r="Y96">
        <v>36.11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1</v>
      </c>
      <c r="AK96">
        <v>1</v>
      </c>
      <c r="AL96">
        <v>1</v>
      </c>
      <c r="AN96">
        <v>0</v>
      </c>
      <c r="AO96">
        <v>1</v>
      </c>
      <c r="AP96">
        <v>0</v>
      </c>
      <c r="AQ96">
        <v>0</v>
      </c>
      <c r="AR96">
        <v>0</v>
      </c>
      <c r="AS96" t="s">
        <v>3</v>
      </c>
      <c r="AT96">
        <v>36.11</v>
      </c>
      <c r="AU96" t="s">
        <v>3</v>
      </c>
      <c r="AV96">
        <v>1</v>
      </c>
      <c r="AW96">
        <v>2</v>
      </c>
      <c r="AX96">
        <v>49708484</v>
      </c>
      <c r="AY96">
        <v>1</v>
      </c>
      <c r="AZ96">
        <v>0</v>
      </c>
      <c r="BA96">
        <v>93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CX96">
        <f>Y96*Source!I137</f>
        <v>64.998000000000005</v>
      </c>
      <c r="CY96">
        <f>AD96</f>
        <v>0</v>
      </c>
      <c r="CZ96">
        <f>AH96</f>
        <v>0</v>
      </c>
      <c r="DA96">
        <f>AL96</f>
        <v>1</v>
      </c>
      <c r="DB96">
        <f t="shared" si="12"/>
        <v>0</v>
      </c>
      <c r="DC96">
        <f t="shared" si="13"/>
        <v>0</v>
      </c>
    </row>
    <row r="97" spans="1:107" x14ac:dyDescent="0.2">
      <c r="A97">
        <f>ROW(Source!A137)</f>
        <v>137</v>
      </c>
      <c r="B97">
        <v>49707740</v>
      </c>
      <c r="C97">
        <v>49708478</v>
      </c>
      <c r="D97">
        <v>48338728</v>
      </c>
      <c r="E97">
        <v>1</v>
      </c>
      <c r="F97">
        <v>1</v>
      </c>
      <c r="G97">
        <v>27</v>
      </c>
      <c r="H97">
        <v>2</v>
      </c>
      <c r="I97" t="s">
        <v>427</v>
      </c>
      <c r="J97" t="s">
        <v>428</v>
      </c>
      <c r="K97" t="s">
        <v>429</v>
      </c>
      <c r="L97">
        <v>1368</v>
      </c>
      <c r="N97">
        <v>1011</v>
      </c>
      <c r="O97" t="s">
        <v>299</v>
      </c>
      <c r="P97" t="s">
        <v>299</v>
      </c>
      <c r="Q97">
        <v>1</v>
      </c>
      <c r="W97">
        <v>0</v>
      </c>
      <c r="X97">
        <v>-1754447068</v>
      </c>
      <c r="Y97">
        <v>21.91</v>
      </c>
      <c r="AA97">
        <v>0</v>
      </c>
      <c r="AB97">
        <v>54.65</v>
      </c>
      <c r="AC97">
        <v>0.05</v>
      </c>
      <c r="AD97">
        <v>0</v>
      </c>
      <c r="AE97">
        <v>0</v>
      </c>
      <c r="AF97">
        <v>54.65</v>
      </c>
      <c r="AG97">
        <v>0.05</v>
      </c>
      <c r="AH97">
        <v>0</v>
      </c>
      <c r="AI97">
        <v>1</v>
      </c>
      <c r="AJ97">
        <v>1</v>
      </c>
      <c r="AK97">
        <v>1</v>
      </c>
      <c r="AL97">
        <v>1</v>
      </c>
      <c r="AN97">
        <v>0</v>
      </c>
      <c r="AO97">
        <v>1</v>
      </c>
      <c r="AP97">
        <v>0</v>
      </c>
      <c r="AQ97">
        <v>0</v>
      </c>
      <c r="AR97">
        <v>0</v>
      </c>
      <c r="AS97" t="s">
        <v>3</v>
      </c>
      <c r="AT97">
        <v>21.91</v>
      </c>
      <c r="AU97" t="s">
        <v>3</v>
      </c>
      <c r="AV97">
        <v>0</v>
      </c>
      <c r="AW97">
        <v>2</v>
      </c>
      <c r="AX97">
        <v>49708485</v>
      </c>
      <c r="AY97">
        <v>1</v>
      </c>
      <c r="AZ97">
        <v>0</v>
      </c>
      <c r="BA97">
        <v>94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CX97">
        <f>Y97*Source!I137</f>
        <v>39.438000000000002</v>
      </c>
      <c r="CY97">
        <f>AB97</f>
        <v>54.65</v>
      </c>
      <c r="CZ97">
        <f>AF97</f>
        <v>54.65</v>
      </c>
      <c r="DA97">
        <f>AJ97</f>
        <v>1</v>
      </c>
      <c r="DB97">
        <f t="shared" si="12"/>
        <v>1197.3800000000001</v>
      </c>
      <c r="DC97">
        <f t="shared" si="13"/>
        <v>1.1000000000000001</v>
      </c>
    </row>
    <row r="98" spans="1:107" x14ac:dyDescent="0.2">
      <c r="A98">
        <f>ROW(Source!A137)</f>
        <v>137</v>
      </c>
      <c r="B98">
        <v>49707740</v>
      </c>
      <c r="C98">
        <v>49708478</v>
      </c>
      <c r="D98">
        <v>48341086</v>
      </c>
      <c r="E98">
        <v>1</v>
      </c>
      <c r="F98">
        <v>1</v>
      </c>
      <c r="G98">
        <v>27</v>
      </c>
      <c r="H98">
        <v>3</v>
      </c>
      <c r="I98" t="s">
        <v>386</v>
      </c>
      <c r="J98" t="s">
        <v>430</v>
      </c>
      <c r="K98" t="s">
        <v>388</v>
      </c>
      <c r="L98">
        <v>1348</v>
      </c>
      <c r="N98">
        <v>1009</v>
      </c>
      <c r="O98" t="s">
        <v>57</v>
      </c>
      <c r="P98" t="s">
        <v>57</v>
      </c>
      <c r="Q98">
        <v>1000</v>
      </c>
      <c r="W98">
        <v>0</v>
      </c>
      <c r="X98">
        <v>-672771621</v>
      </c>
      <c r="Y98">
        <v>0.03</v>
      </c>
      <c r="AA98">
        <v>110781.14</v>
      </c>
      <c r="AB98">
        <v>0</v>
      </c>
      <c r="AC98">
        <v>0</v>
      </c>
      <c r="AD98">
        <v>0</v>
      </c>
      <c r="AE98">
        <v>110781.14</v>
      </c>
      <c r="AF98">
        <v>0</v>
      </c>
      <c r="AG98">
        <v>0</v>
      </c>
      <c r="AH98">
        <v>0</v>
      </c>
      <c r="AI98">
        <v>1</v>
      </c>
      <c r="AJ98">
        <v>1</v>
      </c>
      <c r="AK98">
        <v>1</v>
      </c>
      <c r="AL98">
        <v>1</v>
      </c>
      <c r="AN98">
        <v>0</v>
      </c>
      <c r="AO98">
        <v>1</v>
      </c>
      <c r="AP98">
        <v>0</v>
      </c>
      <c r="AQ98">
        <v>0</v>
      </c>
      <c r="AR98">
        <v>0</v>
      </c>
      <c r="AS98" t="s">
        <v>3</v>
      </c>
      <c r="AT98">
        <v>0.03</v>
      </c>
      <c r="AU98" t="s">
        <v>3</v>
      </c>
      <c r="AV98">
        <v>0</v>
      </c>
      <c r="AW98">
        <v>2</v>
      </c>
      <c r="AX98">
        <v>49708486</v>
      </c>
      <c r="AY98">
        <v>1</v>
      </c>
      <c r="AZ98">
        <v>0</v>
      </c>
      <c r="BA98">
        <v>95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CX98">
        <f>Y98*Source!I137</f>
        <v>5.3999999999999999E-2</v>
      </c>
      <c r="CY98">
        <f>AA98</f>
        <v>110781.14</v>
      </c>
      <c r="CZ98">
        <f>AE98</f>
        <v>110781.14</v>
      </c>
      <c r="DA98">
        <f>AI98</f>
        <v>1</v>
      </c>
      <c r="DB98">
        <f t="shared" si="12"/>
        <v>3323.43</v>
      </c>
      <c r="DC98">
        <f t="shared" si="13"/>
        <v>0</v>
      </c>
    </row>
    <row r="99" spans="1:107" x14ac:dyDescent="0.2">
      <c r="A99">
        <f>ROW(Source!A137)</f>
        <v>137</v>
      </c>
      <c r="B99">
        <v>49707740</v>
      </c>
      <c r="C99">
        <v>49708478</v>
      </c>
      <c r="D99">
        <v>48342405</v>
      </c>
      <c r="E99">
        <v>1</v>
      </c>
      <c r="F99">
        <v>1</v>
      </c>
      <c r="G99">
        <v>27</v>
      </c>
      <c r="H99">
        <v>3</v>
      </c>
      <c r="I99" t="s">
        <v>431</v>
      </c>
      <c r="J99" t="s">
        <v>432</v>
      </c>
      <c r="K99" t="s">
        <v>433</v>
      </c>
      <c r="L99">
        <v>1348</v>
      </c>
      <c r="N99">
        <v>1009</v>
      </c>
      <c r="O99" t="s">
        <v>57</v>
      </c>
      <c r="P99" t="s">
        <v>57</v>
      </c>
      <c r="Q99">
        <v>1000</v>
      </c>
      <c r="W99">
        <v>0</v>
      </c>
      <c r="X99">
        <v>-1958973042</v>
      </c>
      <c r="Y99">
        <v>1</v>
      </c>
      <c r="AA99">
        <v>53233.52</v>
      </c>
      <c r="AB99">
        <v>0</v>
      </c>
      <c r="AC99">
        <v>0</v>
      </c>
      <c r="AD99">
        <v>0</v>
      </c>
      <c r="AE99">
        <v>53233.52</v>
      </c>
      <c r="AF99">
        <v>0</v>
      </c>
      <c r="AG99">
        <v>0</v>
      </c>
      <c r="AH99">
        <v>0</v>
      </c>
      <c r="AI99">
        <v>1</v>
      </c>
      <c r="AJ99">
        <v>1</v>
      </c>
      <c r="AK99">
        <v>1</v>
      </c>
      <c r="AL99">
        <v>1</v>
      </c>
      <c r="AN99">
        <v>0</v>
      </c>
      <c r="AO99">
        <v>1</v>
      </c>
      <c r="AP99">
        <v>0</v>
      </c>
      <c r="AQ99">
        <v>0</v>
      </c>
      <c r="AR99">
        <v>0</v>
      </c>
      <c r="AS99" t="s">
        <v>3</v>
      </c>
      <c r="AT99">
        <v>1</v>
      </c>
      <c r="AU99" t="s">
        <v>3</v>
      </c>
      <c r="AV99">
        <v>0</v>
      </c>
      <c r="AW99">
        <v>2</v>
      </c>
      <c r="AX99">
        <v>49708487</v>
      </c>
      <c r="AY99">
        <v>1</v>
      </c>
      <c r="AZ99">
        <v>0</v>
      </c>
      <c r="BA99">
        <v>96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CX99">
        <f>Y99*Source!I137</f>
        <v>1.8</v>
      </c>
      <c r="CY99">
        <f>AA99</f>
        <v>53233.52</v>
      </c>
      <c r="CZ99">
        <f>AE99</f>
        <v>53233.52</v>
      </c>
      <c r="DA99">
        <f>AI99</f>
        <v>1</v>
      </c>
      <c r="DB99">
        <f t="shared" si="12"/>
        <v>53233.52</v>
      </c>
      <c r="DC99">
        <f t="shared" si="13"/>
        <v>0</v>
      </c>
    </row>
    <row r="100" spans="1:107" x14ac:dyDescent="0.2">
      <c r="A100">
        <f>ROW(Source!A137)</f>
        <v>137</v>
      </c>
      <c r="B100">
        <v>49707740</v>
      </c>
      <c r="C100">
        <v>49708478</v>
      </c>
      <c r="D100">
        <v>0</v>
      </c>
      <c r="E100">
        <v>27</v>
      </c>
      <c r="F100">
        <v>1</v>
      </c>
      <c r="G100">
        <v>27</v>
      </c>
      <c r="H100">
        <v>3</v>
      </c>
      <c r="I100" t="s">
        <v>55</v>
      </c>
      <c r="J100" t="s">
        <v>3</v>
      </c>
      <c r="K100" t="s">
        <v>230</v>
      </c>
      <c r="L100">
        <v>1354</v>
      </c>
      <c r="N100">
        <v>1010</v>
      </c>
      <c r="O100" t="s">
        <v>100</v>
      </c>
      <c r="P100" t="s">
        <v>100</v>
      </c>
      <c r="Q100">
        <v>1</v>
      </c>
      <c r="W100">
        <v>0</v>
      </c>
      <c r="X100">
        <v>-821138886</v>
      </c>
      <c r="Y100">
        <v>0.55555600000000005</v>
      </c>
      <c r="AA100">
        <v>419815</v>
      </c>
      <c r="AB100">
        <v>0</v>
      </c>
      <c r="AC100">
        <v>0</v>
      </c>
      <c r="AD100">
        <v>0</v>
      </c>
      <c r="AE100">
        <v>419815</v>
      </c>
      <c r="AF100">
        <v>0</v>
      </c>
      <c r="AG100">
        <v>0</v>
      </c>
      <c r="AH100">
        <v>0</v>
      </c>
      <c r="AI100">
        <v>1</v>
      </c>
      <c r="AJ100">
        <v>1</v>
      </c>
      <c r="AK100">
        <v>1</v>
      </c>
      <c r="AL100">
        <v>1</v>
      </c>
      <c r="AN100">
        <v>0</v>
      </c>
      <c r="AO100">
        <v>0</v>
      </c>
      <c r="AP100">
        <v>0</v>
      </c>
      <c r="AQ100">
        <v>0</v>
      </c>
      <c r="AR100">
        <v>0</v>
      </c>
      <c r="AS100" t="s">
        <v>3</v>
      </c>
      <c r="AT100">
        <v>0.55555600000000005</v>
      </c>
      <c r="AU100" t="s">
        <v>3</v>
      </c>
      <c r="AV100">
        <v>0</v>
      </c>
      <c r="AW100">
        <v>1</v>
      </c>
      <c r="AX100">
        <v>-1</v>
      </c>
      <c r="AY100">
        <v>0</v>
      </c>
      <c r="AZ100">
        <v>0</v>
      </c>
      <c r="BA100" t="s">
        <v>3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CX100">
        <f>Y100*Source!I137</f>
        <v>1.0000008</v>
      </c>
      <c r="CY100">
        <f>AA100</f>
        <v>419815</v>
      </c>
      <c r="CZ100">
        <f>AE100</f>
        <v>419815</v>
      </c>
      <c r="DA100">
        <f>AI100</f>
        <v>1</v>
      </c>
      <c r="DB100">
        <f t="shared" si="12"/>
        <v>233230.74</v>
      </c>
      <c r="DC100">
        <f t="shared" si="13"/>
        <v>0</v>
      </c>
    </row>
    <row r="101" spans="1:107" x14ac:dyDescent="0.2">
      <c r="A101">
        <f>ROW(Source!A177)</f>
        <v>177</v>
      </c>
      <c r="B101">
        <v>49707740</v>
      </c>
      <c r="C101">
        <v>49708489</v>
      </c>
      <c r="D101">
        <v>48326108</v>
      </c>
      <c r="E101">
        <v>27</v>
      </c>
      <c r="F101">
        <v>1</v>
      </c>
      <c r="G101">
        <v>27</v>
      </c>
      <c r="H101">
        <v>1</v>
      </c>
      <c r="I101" t="s">
        <v>293</v>
      </c>
      <c r="J101" t="s">
        <v>3</v>
      </c>
      <c r="K101" t="s">
        <v>294</v>
      </c>
      <c r="L101">
        <v>1191</v>
      </c>
      <c r="N101">
        <v>1013</v>
      </c>
      <c r="O101" t="s">
        <v>295</v>
      </c>
      <c r="P101" t="s">
        <v>295</v>
      </c>
      <c r="Q101">
        <v>1</v>
      </c>
      <c r="W101">
        <v>0</v>
      </c>
      <c r="X101">
        <v>476480486</v>
      </c>
      <c r="Y101">
        <v>260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1</v>
      </c>
      <c r="AK101">
        <v>1</v>
      </c>
      <c r="AL101">
        <v>1</v>
      </c>
      <c r="AN101">
        <v>0</v>
      </c>
      <c r="AO101">
        <v>1</v>
      </c>
      <c r="AP101">
        <v>0</v>
      </c>
      <c r="AQ101">
        <v>0</v>
      </c>
      <c r="AR101">
        <v>0</v>
      </c>
      <c r="AS101" t="s">
        <v>3</v>
      </c>
      <c r="AT101">
        <v>260</v>
      </c>
      <c r="AU101" t="s">
        <v>3</v>
      </c>
      <c r="AV101">
        <v>1</v>
      </c>
      <c r="AW101">
        <v>2</v>
      </c>
      <c r="AX101">
        <v>49708491</v>
      </c>
      <c r="AY101">
        <v>1</v>
      </c>
      <c r="AZ101">
        <v>0</v>
      </c>
      <c r="BA101">
        <v>97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CX101">
        <f>Y101*Source!I177</f>
        <v>10.4</v>
      </c>
      <c r="CY101">
        <f>AD101</f>
        <v>0</v>
      </c>
      <c r="CZ101">
        <f>AH101</f>
        <v>0</v>
      </c>
      <c r="DA101">
        <f>AL101</f>
        <v>1</v>
      </c>
      <c r="DB101">
        <f t="shared" si="12"/>
        <v>0</v>
      </c>
      <c r="DC101">
        <f t="shared" si="13"/>
        <v>0</v>
      </c>
    </row>
    <row r="102" spans="1:107" x14ac:dyDescent="0.2">
      <c r="A102">
        <f>ROW(Source!A178)</f>
        <v>178</v>
      </c>
      <c r="B102">
        <v>49707740</v>
      </c>
      <c r="C102">
        <v>49708492</v>
      </c>
      <c r="D102">
        <v>48326108</v>
      </c>
      <c r="E102">
        <v>27</v>
      </c>
      <c r="F102">
        <v>1</v>
      </c>
      <c r="G102">
        <v>27</v>
      </c>
      <c r="H102">
        <v>1</v>
      </c>
      <c r="I102" t="s">
        <v>293</v>
      </c>
      <c r="J102" t="s">
        <v>3</v>
      </c>
      <c r="K102" t="s">
        <v>294</v>
      </c>
      <c r="L102">
        <v>1191</v>
      </c>
      <c r="N102">
        <v>1013</v>
      </c>
      <c r="O102" t="s">
        <v>295</v>
      </c>
      <c r="P102" t="s">
        <v>295</v>
      </c>
      <c r="Q102">
        <v>1</v>
      </c>
      <c r="W102">
        <v>0</v>
      </c>
      <c r="X102">
        <v>476480486</v>
      </c>
      <c r="Y102">
        <v>582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</v>
      </c>
      <c r="AJ102">
        <v>1</v>
      </c>
      <c r="AK102">
        <v>1</v>
      </c>
      <c r="AL102">
        <v>1</v>
      </c>
      <c r="AN102">
        <v>0</v>
      </c>
      <c r="AO102">
        <v>1</v>
      </c>
      <c r="AP102">
        <v>0</v>
      </c>
      <c r="AQ102">
        <v>0</v>
      </c>
      <c r="AR102">
        <v>0</v>
      </c>
      <c r="AS102" t="s">
        <v>3</v>
      </c>
      <c r="AT102">
        <v>582</v>
      </c>
      <c r="AU102" t="s">
        <v>3</v>
      </c>
      <c r="AV102">
        <v>1</v>
      </c>
      <c r="AW102">
        <v>2</v>
      </c>
      <c r="AX102">
        <v>49708494</v>
      </c>
      <c r="AY102">
        <v>1</v>
      </c>
      <c r="AZ102">
        <v>0</v>
      </c>
      <c r="BA102">
        <v>98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CX102">
        <f>Y102*Source!I178</f>
        <v>34.92</v>
      </c>
      <c r="CY102">
        <f>AD102</f>
        <v>0</v>
      </c>
      <c r="CZ102">
        <f>AH102</f>
        <v>0</v>
      </c>
      <c r="DA102">
        <f>AL102</f>
        <v>1</v>
      </c>
      <c r="DB102">
        <f t="shared" si="12"/>
        <v>0</v>
      </c>
      <c r="DC102">
        <f t="shared" si="13"/>
        <v>0</v>
      </c>
    </row>
    <row r="103" spans="1:107" x14ac:dyDescent="0.2">
      <c r="A103">
        <f>ROW(Source!A179)</f>
        <v>179</v>
      </c>
      <c r="B103">
        <v>49707740</v>
      </c>
      <c r="C103">
        <v>49708495</v>
      </c>
      <c r="D103">
        <v>48326108</v>
      </c>
      <c r="E103">
        <v>27</v>
      </c>
      <c r="F103">
        <v>1</v>
      </c>
      <c r="G103">
        <v>27</v>
      </c>
      <c r="H103">
        <v>1</v>
      </c>
      <c r="I103" t="s">
        <v>293</v>
      </c>
      <c r="J103" t="s">
        <v>3</v>
      </c>
      <c r="K103" t="s">
        <v>294</v>
      </c>
      <c r="L103">
        <v>1191</v>
      </c>
      <c r="N103">
        <v>1013</v>
      </c>
      <c r="O103" t="s">
        <v>295</v>
      </c>
      <c r="P103" t="s">
        <v>295</v>
      </c>
      <c r="Q103">
        <v>1</v>
      </c>
      <c r="W103">
        <v>0</v>
      </c>
      <c r="X103">
        <v>476480486</v>
      </c>
      <c r="Y103">
        <v>83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1</v>
      </c>
      <c r="AK103">
        <v>1</v>
      </c>
      <c r="AL103">
        <v>1</v>
      </c>
      <c r="AN103">
        <v>0</v>
      </c>
      <c r="AO103">
        <v>1</v>
      </c>
      <c r="AP103">
        <v>0</v>
      </c>
      <c r="AQ103">
        <v>0</v>
      </c>
      <c r="AR103">
        <v>0</v>
      </c>
      <c r="AS103" t="s">
        <v>3</v>
      </c>
      <c r="AT103">
        <v>83</v>
      </c>
      <c r="AU103" t="s">
        <v>3</v>
      </c>
      <c r="AV103">
        <v>1</v>
      </c>
      <c r="AW103">
        <v>2</v>
      </c>
      <c r="AX103">
        <v>49708497</v>
      </c>
      <c r="AY103">
        <v>1</v>
      </c>
      <c r="AZ103">
        <v>0</v>
      </c>
      <c r="BA103">
        <v>99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CX103">
        <f>Y103*Source!I179</f>
        <v>0.25729999999999997</v>
      </c>
      <c r="CY103">
        <f>AD103</f>
        <v>0</v>
      </c>
      <c r="CZ103">
        <f>AH103</f>
        <v>0</v>
      </c>
      <c r="DA103">
        <f>AL103</f>
        <v>1</v>
      </c>
      <c r="DB103">
        <f t="shared" si="12"/>
        <v>0</v>
      </c>
      <c r="DC103">
        <f t="shared" si="13"/>
        <v>0</v>
      </c>
    </row>
    <row r="104" spans="1:107" x14ac:dyDescent="0.2">
      <c r="A104">
        <f>ROW(Source!A180)</f>
        <v>180</v>
      </c>
      <c r="B104">
        <v>49707740</v>
      </c>
      <c r="C104">
        <v>49708498</v>
      </c>
      <c r="D104">
        <v>48339078</v>
      </c>
      <c r="E104">
        <v>1</v>
      </c>
      <c r="F104">
        <v>1</v>
      </c>
      <c r="G104">
        <v>27</v>
      </c>
      <c r="H104">
        <v>2</v>
      </c>
      <c r="I104" t="s">
        <v>306</v>
      </c>
      <c r="J104" t="s">
        <v>401</v>
      </c>
      <c r="K104" t="s">
        <v>308</v>
      </c>
      <c r="L104">
        <v>1368</v>
      </c>
      <c r="N104">
        <v>1011</v>
      </c>
      <c r="O104" t="s">
        <v>299</v>
      </c>
      <c r="P104" t="s">
        <v>299</v>
      </c>
      <c r="Q104">
        <v>1</v>
      </c>
      <c r="W104">
        <v>0</v>
      </c>
      <c r="X104">
        <v>486337296</v>
      </c>
      <c r="Y104">
        <v>3.1E-2</v>
      </c>
      <c r="AA104">
        <v>0</v>
      </c>
      <c r="AB104">
        <v>1014.12</v>
      </c>
      <c r="AC104">
        <v>317.13</v>
      </c>
      <c r="AD104">
        <v>0</v>
      </c>
      <c r="AE104">
        <v>0</v>
      </c>
      <c r="AF104">
        <v>1014.12</v>
      </c>
      <c r="AG104">
        <v>317.13</v>
      </c>
      <c r="AH104">
        <v>0</v>
      </c>
      <c r="AI104">
        <v>1</v>
      </c>
      <c r="AJ104">
        <v>1</v>
      </c>
      <c r="AK104">
        <v>1</v>
      </c>
      <c r="AL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 t="s">
        <v>3</v>
      </c>
      <c r="AT104">
        <v>3.1E-2</v>
      </c>
      <c r="AU104" t="s">
        <v>3</v>
      </c>
      <c r="AV104">
        <v>0</v>
      </c>
      <c r="AW104">
        <v>2</v>
      </c>
      <c r="AX104">
        <v>49708500</v>
      </c>
      <c r="AY104">
        <v>1</v>
      </c>
      <c r="AZ104">
        <v>0</v>
      </c>
      <c r="BA104">
        <v>100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CX104">
        <f>Y104*Source!I180</f>
        <v>9.6100000000000005E-3</v>
      </c>
      <c r="CY104">
        <f>AB104</f>
        <v>1014.12</v>
      </c>
      <c r="CZ104">
        <f>AF104</f>
        <v>1014.12</v>
      </c>
      <c r="DA104">
        <f>AJ104</f>
        <v>1</v>
      </c>
      <c r="DB104">
        <f t="shared" si="12"/>
        <v>31.44</v>
      </c>
      <c r="DC104">
        <f t="shared" si="13"/>
        <v>9.83</v>
      </c>
    </row>
    <row r="105" spans="1:107" x14ac:dyDescent="0.2">
      <c r="A105">
        <f>ROW(Source!A181)</f>
        <v>181</v>
      </c>
      <c r="B105">
        <v>49707740</v>
      </c>
      <c r="C105">
        <v>49708501</v>
      </c>
      <c r="D105">
        <v>48339078</v>
      </c>
      <c r="E105">
        <v>1</v>
      </c>
      <c r="F105">
        <v>1</v>
      </c>
      <c r="G105">
        <v>27</v>
      </c>
      <c r="H105">
        <v>2</v>
      </c>
      <c r="I105" t="s">
        <v>306</v>
      </c>
      <c r="J105" t="s">
        <v>401</v>
      </c>
      <c r="K105" t="s">
        <v>308</v>
      </c>
      <c r="L105">
        <v>1368</v>
      </c>
      <c r="N105">
        <v>1011</v>
      </c>
      <c r="O105" t="s">
        <v>299</v>
      </c>
      <c r="P105" t="s">
        <v>299</v>
      </c>
      <c r="Q105">
        <v>1</v>
      </c>
      <c r="W105">
        <v>0</v>
      </c>
      <c r="X105">
        <v>486337296</v>
      </c>
      <c r="Y105">
        <v>0.56000000000000005</v>
      </c>
      <c r="AA105">
        <v>0</v>
      </c>
      <c r="AB105">
        <v>1014.12</v>
      </c>
      <c r="AC105">
        <v>317.13</v>
      </c>
      <c r="AD105">
        <v>0</v>
      </c>
      <c r="AE105">
        <v>0</v>
      </c>
      <c r="AF105">
        <v>1014.12</v>
      </c>
      <c r="AG105">
        <v>317.13</v>
      </c>
      <c r="AH105">
        <v>0</v>
      </c>
      <c r="AI105">
        <v>1</v>
      </c>
      <c r="AJ105">
        <v>1</v>
      </c>
      <c r="AK105">
        <v>1</v>
      </c>
      <c r="AL105">
        <v>1</v>
      </c>
      <c r="AN105">
        <v>0</v>
      </c>
      <c r="AO105">
        <v>1</v>
      </c>
      <c r="AP105">
        <v>1</v>
      </c>
      <c r="AQ105">
        <v>0</v>
      </c>
      <c r="AR105">
        <v>0</v>
      </c>
      <c r="AS105" t="s">
        <v>3</v>
      </c>
      <c r="AT105">
        <v>0.01</v>
      </c>
      <c r="AU105" t="s">
        <v>53</v>
      </c>
      <c r="AV105">
        <v>0</v>
      </c>
      <c r="AW105">
        <v>2</v>
      </c>
      <c r="AX105">
        <v>49708503</v>
      </c>
      <c r="AY105">
        <v>1</v>
      </c>
      <c r="AZ105">
        <v>0</v>
      </c>
      <c r="BA105">
        <v>101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CX105">
        <f>Y105*Source!I181</f>
        <v>0.1736</v>
      </c>
      <c r="CY105">
        <f>AB105</f>
        <v>1014.12</v>
      </c>
      <c r="CZ105">
        <f>AF105</f>
        <v>1014.12</v>
      </c>
      <c r="DA105">
        <f>AJ105</f>
        <v>1</v>
      </c>
      <c r="DB105">
        <f>ROUND((ROUND(AT105*CZ105,2)*56),6)</f>
        <v>567.84</v>
      </c>
      <c r="DC105">
        <f>ROUND((ROUND(AT105*AG105,2)*56),6)</f>
        <v>177.52</v>
      </c>
    </row>
    <row r="106" spans="1:107" x14ac:dyDescent="0.2">
      <c r="A106">
        <f>ROW(Source!A183)</f>
        <v>183</v>
      </c>
      <c r="B106">
        <v>49707740</v>
      </c>
      <c r="C106">
        <v>49709194</v>
      </c>
      <c r="D106">
        <v>48326108</v>
      </c>
      <c r="E106">
        <v>27</v>
      </c>
      <c r="F106">
        <v>1</v>
      </c>
      <c r="G106">
        <v>27</v>
      </c>
      <c r="H106">
        <v>1</v>
      </c>
      <c r="I106" t="s">
        <v>293</v>
      </c>
      <c r="J106" t="s">
        <v>3</v>
      </c>
      <c r="K106" t="s">
        <v>294</v>
      </c>
      <c r="L106">
        <v>1191</v>
      </c>
      <c r="N106">
        <v>1013</v>
      </c>
      <c r="O106" t="s">
        <v>295</v>
      </c>
      <c r="P106" t="s">
        <v>295</v>
      </c>
      <c r="Q106">
        <v>1</v>
      </c>
      <c r="W106">
        <v>0</v>
      </c>
      <c r="X106">
        <v>476480486</v>
      </c>
      <c r="Y106">
        <v>0.9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1</v>
      </c>
      <c r="AK106">
        <v>1</v>
      </c>
      <c r="AL106">
        <v>1</v>
      </c>
      <c r="AN106">
        <v>0</v>
      </c>
      <c r="AO106">
        <v>1</v>
      </c>
      <c r="AP106">
        <v>0</v>
      </c>
      <c r="AQ106">
        <v>0</v>
      </c>
      <c r="AR106">
        <v>0</v>
      </c>
      <c r="AS106" t="s">
        <v>3</v>
      </c>
      <c r="AT106">
        <v>0.9</v>
      </c>
      <c r="AU106" t="s">
        <v>3</v>
      </c>
      <c r="AV106">
        <v>1</v>
      </c>
      <c r="AW106">
        <v>2</v>
      </c>
      <c r="AX106">
        <v>49709201</v>
      </c>
      <c r="AY106">
        <v>1</v>
      </c>
      <c r="AZ106">
        <v>0</v>
      </c>
      <c r="BA106">
        <v>102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CX106">
        <f>Y106*Source!I183</f>
        <v>4.8599999999999997E-2</v>
      </c>
      <c r="CY106">
        <f>AD106</f>
        <v>0</v>
      </c>
      <c r="CZ106">
        <f>AH106</f>
        <v>0</v>
      </c>
      <c r="DA106">
        <f>AL106</f>
        <v>1</v>
      </c>
      <c r="DB106">
        <f t="shared" ref="DB106:DB137" si="14">ROUND(ROUND(AT106*CZ106,2),6)</f>
        <v>0</v>
      </c>
      <c r="DC106">
        <f t="shared" ref="DC106:DC137" si="15">ROUND(ROUND(AT106*AG106,2),6)</f>
        <v>0</v>
      </c>
    </row>
    <row r="107" spans="1:107" x14ac:dyDescent="0.2">
      <c r="A107">
        <f>ROW(Source!A183)</f>
        <v>183</v>
      </c>
      <c r="B107">
        <v>49707740</v>
      </c>
      <c r="C107">
        <v>49709194</v>
      </c>
      <c r="D107">
        <v>48338634</v>
      </c>
      <c r="E107">
        <v>1</v>
      </c>
      <c r="F107">
        <v>1</v>
      </c>
      <c r="G107">
        <v>27</v>
      </c>
      <c r="H107">
        <v>2</v>
      </c>
      <c r="I107" t="s">
        <v>402</v>
      </c>
      <c r="J107" t="s">
        <v>403</v>
      </c>
      <c r="K107" t="s">
        <v>404</v>
      </c>
      <c r="L107">
        <v>1368</v>
      </c>
      <c r="N107">
        <v>1011</v>
      </c>
      <c r="O107" t="s">
        <v>299</v>
      </c>
      <c r="P107" t="s">
        <v>299</v>
      </c>
      <c r="Q107">
        <v>1</v>
      </c>
      <c r="W107">
        <v>0</v>
      </c>
      <c r="X107">
        <v>830483721</v>
      </c>
      <c r="Y107">
        <v>0.22</v>
      </c>
      <c r="AA107">
        <v>0</v>
      </c>
      <c r="AB107">
        <v>470.71</v>
      </c>
      <c r="AC107">
        <v>359.8</v>
      </c>
      <c r="AD107">
        <v>0</v>
      </c>
      <c r="AE107">
        <v>0</v>
      </c>
      <c r="AF107">
        <v>470.71</v>
      </c>
      <c r="AG107">
        <v>359.8</v>
      </c>
      <c r="AH107">
        <v>0</v>
      </c>
      <c r="AI107">
        <v>1</v>
      </c>
      <c r="AJ107">
        <v>1</v>
      </c>
      <c r="AK107">
        <v>1</v>
      </c>
      <c r="AL107">
        <v>1</v>
      </c>
      <c r="AN107">
        <v>0</v>
      </c>
      <c r="AO107">
        <v>1</v>
      </c>
      <c r="AP107">
        <v>0</v>
      </c>
      <c r="AQ107">
        <v>0</v>
      </c>
      <c r="AR107">
        <v>0</v>
      </c>
      <c r="AS107" t="s">
        <v>3</v>
      </c>
      <c r="AT107">
        <v>0.22</v>
      </c>
      <c r="AU107" t="s">
        <v>3</v>
      </c>
      <c r="AV107">
        <v>0</v>
      </c>
      <c r="AW107">
        <v>2</v>
      </c>
      <c r="AX107">
        <v>49709202</v>
      </c>
      <c r="AY107">
        <v>1</v>
      </c>
      <c r="AZ107">
        <v>0</v>
      </c>
      <c r="BA107">
        <v>103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CX107">
        <f>Y107*Source!I183</f>
        <v>1.188E-2</v>
      </c>
      <c r="CY107">
        <f>AB107</f>
        <v>470.71</v>
      </c>
      <c r="CZ107">
        <f>AF107</f>
        <v>470.71</v>
      </c>
      <c r="DA107">
        <f>AJ107</f>
        <v>1</v>
      </c>
      <c r="DB107">
        <f t="shared" si="14"/>
        <v>103.56</v>
      </c>
      <c r="DC107">
        <f t="shared" si="15"/>
        <v>79.16</v>
      </c>
    </row>
    <row r="108" spans="1:107" x14ac:dyDescent="0.2">
      <c r="A108">
        <f>ROW(Source!A183)</f>
        <v>183</v>
      </c>
      <c r="B108">
        <v>49707740</v>
      </c>
      <c r="C108">
        <v>49709194</v>
      </c>
      <c r="D108">
        <v>48339102</v>
      </c>
      <c r="E108">
        <v>1</v>
      </c>
      <c r="F108">
        <v>1</v>
      </c>
      <c r="G108">
        <v>27</v>
      </c>
      <c r="H108">
        <v>2</v>
      </c>
      <c r="I108" t="s">
        <v>405</v>
      </c>
      <c r="J108" t="s">
        <v>406</v>
      </c>
      <c r="K108" t="s">
        <v>407</v>
      </c>
      <c r="L108">
        <v>1368</v>
      </c>
      <c r="N108">
        <v>1011</v>
      </c>
      <c r="O108" t="s">
        <v>299</v>
      </c>
      <c r="P108" t="s">
        <v>299</v>
      </c>
      <c r="Q108">
        <v>1</v>
      </c>
      <c r="W108">
        <v>0</v>
      </c>
      <c r="X108">
        <v>587417428</v>
      </c>
      <c r="Y108">
        <v>0.45</v>
      </c>
      <c r="AA108">
        <v>0</v>
      </c>
      <c r="AB108">
        <v>3.75</v>
      </c>
      <c r="AC108">
        <v>2.56</v>
      </c>
      <c r="AD108">
        <v>0</v>
      </c>
      <c r="AE108">
        <v>0</v>
      </c>
      <c r="AF108">
        <v>3.75</v>
      </c>
      <c r="AG108">
        <v>2.56</v>
      </c>
      <c r="AH108">
        <v>0</v>
      </c>
      <c r="AI108">
        <v>1</v>
      </c>
      <c r="AJ108">
        <v>1</v>
      </c>
      <c r="AK108">
        <v>1</v>
      </c>
      <c r="AL108">
        <v>1</v>
      </c>
      <c r="AN108">
        <v>0</v>
      </c>
      <c r="AO108">
        <v>1</v>
      </c>
      <c r="AP108">
        <v>0</v>
      </c>
      <c r="AQ108">
        <v>0</v>
      </c>
      <c r="AR108">
        <v>0</v>
      </c>
      <c r="AS108" t="s">
        <v>3</v>
      </c>
      <c r="AT108">
        <v>0.45</v>
      </c>
      <c r="AU108" t="s">
        <v>3</v>
      </c>
      <c r="AV108">
        <v>0</v>
      </c>
      <c r="AW108">
        <v>2</v>
      </c>
      <c r="AX108">
        <v>49709203</v>
      </c>
      <c r="AY108">
        <v>1</v>
      </c>
      <c r="AZ108">
        <v>0</v>
      </c>
      <c r="BA108">
        <v>104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CX108">
        <f>Y108*Source!I183</f>
        <v>2.4299999999999999E-2</v>
      </c>
      <c r="CY108">
        <f>AB108</f>
        <v>3.75</v>
      </c>
      <c r="CZ108">
        <f>AF108</f>
        <v>3.75</v>
      </c>
      <c r="DA108">
        <f>AJ108</f>
        <v>1</v>
      </c>
      <c r="DB108">
        <f t="shared" si="14"/>
        <v>1.69</v>
      </c>
      <c r="DC108">
        <f t="shared" si="15"/>
        <v>1.1499999999999999</v>
      </c>
    </row>
    <row r="109" spans="1:107" x14ac:dyDescent="0.2">
      <c r="A109">
        <f>ROW(Source!A183)</f>
        <v>183</v>
      </c>
      <c r="B109">
        <v>49707740</v>
      </c>
      <c r="C109">
        <v>49709194</v>
      </c>
      <c r="D109">
        <v>48338391</v>
      </c>
      <c r="E109">
        <v>1</v>
      </c>
      <c r="F109">
        <v>1</v>
      </c>
      <c r="G109">
        <v>27</v>
      </c>
      <c r="H109">
        <v>2</v>
      </c>
      <c r="I109" t="s">
        <v>408</v>
      </c>
      <c r="J109" t="s">
        <v>409</v>
      </c>
      <c r="K109" t="s">
        <v>410</v>
      </c>
      <c r="L109">
        <v>1368</v>
      </c>
      <c r="N109">
        <v>1011</v>
      </c>
      <c r="O109" t="s">
        <v>299</v>
      </c>
      <c r="P109" t="s">
        <v>299</v>
      </c>
      <c r="Q109">
        <v>1</v>
      </c>
      <c r="W109">
        <v>0</v>
      </c>
      <c r="X109">
        <v>1004541775</v>
      </c>
      <c r="Y109">
        <v>0.09</v>
      </c>
      <c r="AA109">
        <v>0</v>
      </c>
      <c r="AB109">
        <v>1171.51</v>
      </c>
      <c r="AC109">
        <v>487.24</v>
      </c>
      <c r="AD109">
        <v>0</v>
      </c>
      <c r="AE109">
        <v>0</v>
      </c>
      <c r="AF109">
        <v>1171.51</v>
      </c>
      <c r="AG109">
        <v>487.24</v>
      </c>
      <c r="AH109">
        <v>0</v>
      </c>
      <c r="AI109">
        <v>1</v>
      </c>
      <c r="AJ109">
        <v>1</v>
      </c>
      <c r="AK109">
        <v>1</v>
      </c>
      <c r="AL109">
        <v>1</v>
      </c>
      <c r="AN109">
        <v>0</v>
      </c>
      <c r="AO109">
        <v>1</v>
      </c>
      <c r="AP109">
        <v>0</v>
      </c>
      <c r="AQ109">
        <v>0</v>
      </c>
      <c r="AR109">
        <v>0</v>
      </c>
      <c r="AS109" t="s">
        <v>3</v>
      </c>
      <c r="AT109">
        <v>0.09</v>
      </c>
      <c r="AU109" t="s">
        <v>3</v>
      </c>
      <c r="AV109">
        <v>0</v>
      </c>
      <c r="AW109">
        <v>2</v>
      </c>
      <c r="AX109">
        <v>49709204</v>
      </c>
      <c r="AY109">
        <v>1</v>
      </c>
      <c r="AZ109">
        <v>0</v>
      </c>
      <c r="BA109">
        <v>105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CX109">
        <f>Y109*Source!I183</f>
        <v>4.8599999999999997E-3</v>
      </c>
      <c r="CY109">
        <f>AB109</f>
        <v>1171.51</v>
      </c>
      <c r="CZ109">
        <f>AF109</f>
        <v>1171.51</v>
      </c>
      <c r="DA109">
        <f>AJ109</f>
        <v>1</v>
      </c>
      <c r="DB109">
        <f t="shared" si="14"/>
        <v>105.44</v>
      </c>
      <c r="DC109">
        <f t="shared" si="15"/>
        <v>43.85</v>
      </c>
    </row>
    <row r="110" spans="1:107" x14ac:dyDescent="0.2">
      <c r="A110">
        <f>ROW(Source!A183)</f>
        <v>183</v>
      </c>
      <c r="B110">
        <v>49707740</v>
      </c>
      <c r="C110">
        <v>49709194</v>
      </c>
      <c r="D110">
        <v>48340434</v>
      </c>
      <c r="E110">
        <v>1</v>
      </c>
      <c r="F110">
        <v>1</v>
      </c>
      <c r="G110">
        <v>27</v>
      </c>
      <c r="H110">
        <v>3</v>
      </c>
      <c r="I110" t="s">
        <v>411</v>
      </c>
      <c r="J110" t="s">
        <v>412</v>
      </c>
      <c r="K110" t="s">
        <v>413</v>
      </c>
      <c r="L110">
        <v>1339</v>
      </c>
      <c r="N110">
        <v>1007</v>
      </c>
      <c r="O110" t="s">
        <v>46</v>
      </c>
      <c r="P110" t="s">
        <v>46</v>
      </c>
      <c r="Q110">
        <v>1</v>
      </c>
      <c r="W110">
        <v>0</v>
      </c>
      <c r="X110">
        <v>909340900</v>
      </c>
      <c r="Y110">
        <v>1.1000000000000001</v>
      </c>
      <c r="AA110">
        <v>590.78</v>
      </c>
      <c r="AB110">
        <v>0</v>
      </c>
      <c r="AC110">
        <v>0</v>
      </c>
      <c r="AD110">
        <v>0</v>
      </c>
      <c r="AE110">
        <v>590.78</v>
      </c>
      <c r="AF110">
        <v>0</v>
      </c>
      <c r="AG110">
        <v>0</v>
      </c>
      <c r="AH110">
        <v>0</v>
      </c>
      <c r="AI110">
        <v>1</v>
      </c>
      <c r="AJ110">
        <v>1</v>
      </c>
      <c r="AK110">
        <v>1</v>
      </c>
      <c r="AL110">
        <v>1</v>
      </c>
      <c r="AN110">
        <v>0</v>
      </c>
      <c r="AO110">
        <v>1</v>
      </c>
      <c r="AP110">
        <v>0</v>
      </c>
      <c r="AQ110">
        <v>0</v>
      </c>
      <c r="AR110">
        <v>0</v>
      </c>
      <c r="AS110" t="s">
        <v>3</v>
      </c>
      <c r="AT110">
        <v>1.1000000000000001</v>
      </c>
      <c r="AU110" t="s">
        <v>3</v>
      </c>
      <c r="AV110">
        <v>0</v>
      </c>
      <c r="AW110">
        <v>2</v>
      </c>
      <c r="AX110">
        <v>49709205</v>
      </c>
      <c r="AY110">
        <v>1</v>
      </c>
      <c r="AZ110">
        <v>0</v>
      </c>
      <c r="BA110">
        <v>106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CX110">
        <f>Y110*Source!I183</f>
        <v>5.9400000000000001E-2</v>
      </c>
      <c r="CY110">
        <f>AA110</f>
        <v>590.78</v>
      </c>
      <c r="CZ110">
        <f>AE110</f>
        <v>590.78</v>
      </c>
      <c r="DA110">
        <f>AI110</f>
        <v>1</v>
      </c>
      <c r="DB110">
        <f t="shared" si="14"/>
        <v>649.86</v>
      </c>
      <c r="DC110">
        <f t="shared" si="15"/>
        <v>0</v>
      </c>
    </row>
    <row r="111" spans="1:107" x14ac:dyDescent="0.2">
      <c r="A111">
        <f>ROW(Source!A183)</f>
        <v>183</v>
      </c>
      <c r="B111">
        <v>49707740</v>
      </c>
      <c r="C111">
        <v>49709194</v>
      </c>
      <c r="D111">
        <v>48341179</v>
      </c>
      <c r="E111">
        <v>1</v>
      </c>
      <c r="F111">
        <v>1</v>
      </c>
      <c r="G111">
        <v>27</v>
      </c>
      <c r="H111">
        <v>3</v>
      </c>
      <c r="I111" t="s">
        <v>327</v>
      </c>
      <c r="J111" t="s">
        <v>414</v>
      </c>
      <c r="K111" t="s">
        <v>329</v>
      </c>
      <c r="L111">
        <v>1339</v>
      </c>
      <c r="N111">
        <v>1007</v>
      </c>
      <c r="O111" t="s">
        <v>46</v>
      </c>
      <c r="P111" t="s">
        <v>46</v>
      </c>
      <c r="Q111">
        <v>1</v>
      </c>
      <c r="W111">
        <v>0</v>
      </c>
      <c r="X111">
        <v>1927597627</v>
      </c>
      <c r="Y111">
        <v>0.15</v>
      </c>
      <c r="AA111">
        <v>35.25</v>
      </c>
      <c r="AB111">
        <v>0</v>
      </c>
      <c r="AC111">
        <v>0</v>
      </c>
      <c r="AD111">
        <v>0</v>
      </c>
      <c r="AE111">
        <v>35.25</v>
      </c>
      <c r="AF111">
        <v>0</v>
      </c>
      <c r="AG111">
        <v>0</v>
      </c>
      <c r="AH111">
        <v>0</v>
      </c>
      <c r="AI111">
        <v>1</v>
      </c>
      <c r="AJ111">
        <v>1</v>
      </c>
      <c r="AK111">
        <v>1</v>
      </c>
      <c r="AL111">
        <v>1</v>
      </c>
      <c r="AN111">
        <v>0</v>
      </c>
      <c r="AO111">
        <v>1</v>
      </c>
      <c r="AP111">
        <v>0</v>
      </c>
      <c r="AQ111">
        <v>0</v>
      </c>
      <c r="AR111">
        <v>0</v>
      </c>
      <c r="AS111" t="s">
        <v>3</v>
      </c>
      <c r="AT111">
        <v>0.15</v>
      </c>
      <c r="AU111" t="s">
        <v>3</v>
      </c>
      <c r="AV111">
        <v>0</v>
      </c>
      <c r="AW111">
        <v>2</v>
      </c>
      <c r="AX111">
        <v>49709206</v>
      </c>
      <c r="AY111">
        <v>1</v>
      </c>
      <c r="AZ111">
        <v>0</v>
      </c>
      <c r="BA111">
        <v>107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CX111">
        <f>Y111*Source!I183</f>
        <v>8.0999999999999996E-3</v>
      </c>
      <c r="CY111">
        <f>AA111</f>
        <v>35.25</v>
      </c>
      <c r="CZ111">
        <f>AE111</f>
        <v>35.25</v>
      </c>
      <c r="DA111">
        <f>AI111</f>
        <v>1</v>
      </c>
      <c r="DB111">
        <f t="shared" si="14"/>
        <v>5.29</v>
      </c>
      <c r="DC111">
        <f t="shared" si="15"/>
        <v>0</v>
      </c>
    </row>
    <row r="112" spans="1:107" x14ac:dyDescent="0.2">
      <c r="A112">
        <f>ROW(Source!A184)</f>
        <v>184</v>
      </c>
      <c r="B112">
        <v>49707740</v>
      </c>
      <c r="C112">
        <v>49709207</v>
      </c>
      <c r="D112">
        <v>48326108</v>
      </c>
      <c r="E112">
        <v>27</v>
      </c>
      <c r="F112">
        <v>1</v>
      </c>
      <c r="G112">
        <v>27</v>
      </c>
      <c r="H112">
        <v>1</v>
      </c>
      <c r="I112" t="s">
        <v>293</v>
      </c>
      <c r="J112" t="s">
        <v>3</v>
      </c>
      <c r="K112" t="s">
        <v>294</v>
      </c>
      <c r="L112">
        <v>1191</v>
      </c>
      <c r="N112">
        <v>1013</v>
      </c>
      <c r="O112" t="s">
        <v>295</v>
      </c>
      <c r="P112" t="s">
        <v>295</v>
      </c>
      <c r="Q112">
        <v>1</v>
      </c>
      <c r="W112">
        <v>0</v>
      </c>
      <c r="X112">
        <v>476480486</v>
      </c>
      <c r="Y112">
        <v>0.98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1</v>
      </c>
      <c r="AJ112">
        <v>1</v>
      </c>
      <c r="AK112">
        <v>1</v>
      </c>
      <c r="AL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 t="s">
        <v>3</v>
      </c>
      <c r="AT112">
        <v>0.98</v>
      </c>
      <c r="AU112" t="s">
        <v>3</v>
      </c>
      <c r="AV112">
        <v>1</v>
      </c>
      <c r="AW112">
        <v>2</v>
      </c>
      <c r="AX112">
        <v>49709214</v>
      </c>
      <c r="AY112">
        <v>1</v>
      </c>
      <c r="AZ112">
        <v>0</v>
      </c>
      <c r="BA112">
        <v>108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CX112">
        <f>Y112*Source!I184</f>
        <v>5.2920000000000002E-2</v>
      </c>
      <c r="CY112">
        <f>AD112</f>
        <v>0</v>
      </c>
      <c r="CZ112">
        <f>AH112</f>
        <v>0</v>
      </c>
      <c r="DA112">
        <f>AL112</f>
        <v>1</v>
      </c>
      <c r="DB112">
        <f t="shared" si="14"/>
        <v>0</v>
      </c>
      <c r="DC112">
        <f t="shared" si="15"/>
        <v>0</v>
      </c>
    </row>
    <row r="113" spans="1:107" x14ac:dyDescent="0.2">
      <c r="A113">
        <f>ROW(Source!A184)</f>
        <v>184</v>
      </c>
      <c r="B113">
        <v>49707740</v>
      </c>
      <c r="C113">
        <v>49709207</v>
      </c>
      <c r="D113">
        <v>48338634</v>
      </c>
      <c r="E113">
        <v>1</v>
      </c>
      <c r="F113">
        <v>1</v>
      </c>
      <c r="G113">
        <v>27</v>
      </c>
      <c r="H113">
        <v>2</v>
      </c>
      <c r="I113" t="s">
        <v>402</v>
      </c>
      <c r="J113" t="s">
        <v>403</v>
      </c>
      <c r="K113" t="s">
        <v>404</v>
      </c>
      <c r="L113">
        <v>1368</v>
      </c>
      <c r="N113">
        <v>1011</v>
      </c>
      <c r="O113" t="s">
        <v>299</v>
      </c>
      <c r="P113" t="s">
        <v>299</v>
      </c>
      <c r="Q113">
        <v>1</v>
      </c>
      <c r="W113">
        <v>0</v>
      </c>
      <c r="X113">
        <v>830483721</v>
      </c>
      <c r="Y113">
        <v>0.25</v>
      </c>
      <c r="AA113">
        <v>0</v>
      </c>
      <c r="AB113">
        <v>470.71</v>
      </c>
      <c r="AC113">
        <v>359.8</v>
      </c>
      <c r="AD113">
        <v>0</v>
      </c>
      <c r="AE113">
        <v>0</v>
      </c>
      <c r="AF113">
        <v>470.71</v>
      </c>
      <c r="AG113">
        <v>359.8</v>
      </c>
      <c r="AH113">
        <v>0</v>
      </c>
      <c r="AI113">
        <v>1</v>
      </c>
      <c r="AJ113">
        <v>1</v>
      </c>
      <c r="AK113">
        <v>1</v>
      </c>
      <c r="AL113">
        <v>1</v>
      </c>
      <c r="AN113">
        <v>0</v>
      </c>
      <c r="AO113">
        <v>1</v>
      </c>
      <c r="AP113">
        <v>0</v>
      </c>
      <c r="AQ113">
        <v>0</v>
      </c>
      <c r="AR113">
        <v>0</v>
      </c>
      <c r="AS113" t="s">
        <v>3</v>
      </c>
      <c r="AT113">
        <v>0.25</v>
      </c>
      <c r="AU113" t="s">
        <v>3</v>
      </c>
      <c r="AV113">
        <v>0</v>
      </c>
      <c r="AW113">
        <v>2</v>
      </c>
      <c r="AX113">
        <v>49709215</v>
      </c>
      <c r="AY113">
        <v>1</v>
      </c>
      <c r="AZ113">
        <v>0</v>
      </c>
      <c r="BA113">
        <v>109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CX113">
        <f>Y113*Source!I184</f>
        <v>1.35E-2</v>
      </c>
      <c r="CY113">
        <f>AB113</f>
        <v>470.71</v>
      </c>
      <c r="CZ113">
        <f>AF113</f>
        <v>470.71</v>
      </c>
      <c r="DA113">
        <f>AJ113</f>
        <v>1</v>
      </c>
      <c r="DB113">
        <f t="shared" si="14"/>
        <v>117.68</v>
      </c>
      <c r="DC113">
        <f t="shared" si="15"/>
        <v>89.95</v>
      </c>
    </row>
    <row r="114" spans="1:107" x14ac:dyDescent="0.2">
      <c r="A114">
        <f>ROW(Source!A184)</f>
        <v>184</v>
      </c>
      <c r="B114">
        <v>49707740</v>
      </c>
      <c r="C114">
        <v>49709207</v>
      </c>
      <c r="D114">
        <v>48339102</v>
      </c>
      <c r="E114">
        <v>1</v>
      </c>
      <c r="F114">
        <v>1</v>
      </c>
      <c r="G114">
        <v>27</v>
      </c>
      <c r="H114">
        <v>2</v>
      </c>
      <c r="I114" t="s">
        <v>405</v>
      </c>
      <c r="J114" t="s">
        <v>406</v>
      </c>
      <c r="K114" t="s">
        <v>407</v>
      </c>
      <c r="L114">
        <v>1368</v>
      </c>
      <c r="N114">
        <v>1011</v>
      </c>
      <c r="O114" t="s">
        <v>299</v>
      </c>
      <c r="P114" t="s">
        <v>299</v>
      </c>
      <c r="Q114">
        <v>1</v>
      </c>
      <c r="W114">
        <v>0</v>
      </c>
      <c r="X114">
        <v>587417428</v>
      </c>
      <c r="Y114">
        <v>0.5</v>
      </c>
      <c r="AA114">
        <v>0</v>
      </c>
      <c r="AB114">
        <v>3.75</v>
      </c>
      <c r="AC114">
        <v>2.56</v>
      </c>
      <c r="AD114">
        <v>0</v>
      </c>
      <c r="AE114">
        <v>0</v>
      </c>
      <c r="AF114">
        <v>3.75</v>
      </c>
      <c r="AG114">
        <v>2.56</v>
      </c>
      <c r="AH114">
        <v>0</v>
      </c>
      <c r="AI114">
        <v>1</v>
      </c>
      <c r="AJ114">
        <v>1</v>
      </c>
      <c r="AK114">
        <v>1</v>
      </c>
      <c r="AL114">
        <v>1</v>
      </c>
      <c r="AN114">
        <v>0</v>
      </c>
      <c r="AO114">
        <v>1</v>
      </c>
      <c r="AP114">
        <v>0</v>
      </c>
      <c r="AQ114">
        <v>0</v>
      </c>
      <c r="AR114">
        <v>0</v>
      </c>
      <c r="AS114" t="s">
        <v>3</v>
      </c>
      <c r="AT114">
        <v>0.5</v>
      </c>
      <c r="AU114" t="s">
        <v>3</v>
      </c>
      <c r="AV114">
        <v>0</v>
      </c>
      <c r="AW114">
        <v>2</v>
      </c>
      <c r="AX114">
        <v>49709216</v>
      </c>
      <c r="AY114">
        <v>1</v>
      </c>
      <c r="AZ114">
        <v>0</v>
      </c>
      <c r="BA114">
        <v>110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CX114">
        <f>Y114*Source!I184</f>
        <v>2.7E-2</v>
      </c>
      <c r="CY114">
        <f>AB114</f>
        <v>3.75</v>
      </c>
      <c r="CZ114">
        <f>AF114</f>
        <v>3.75</v>
      </c>
      <c r="DA114">
        <f>AJ114</f>
        <v>1</v>
      </c>
      <c r="DB114">
        <f t="shared" si="14"/>
        <v>1.88</v>
      </c>
      <c r="DC114">
        <f t="shared" si="15"/>
        <v>1.28</v>
      </c>
    </row>
    <row r="115" spans="1:107" x14ac:dyDescent="0.2">
      <c r="A115">
        <f>ROW(Source!A184)</f>
        <v>184</v>
      </c>
      <c r="B115">
        <v>49707740</v>
      </c>
      <c r="C115">
        <v>49709207</v>
      </c>
      <c r="D115">
        <v>48338391</v>
      </c>
      <c r="E115">
        <v>1</v>
      </c>
      <c r="F115">
        <v>1</v>
      </c>
      <c r="G115">
        <v>27</v>
      </c>
      <c r="H115">
        <v>2</v>
      </c>
      <c r="I115" t="s">
        <v>408</v>
      </c>
      <c r="J115" t="s">
        <v>409</v>
      </c>
      <c r="K115" t="s">
        <v>410</v>
      </c>
      <c r="L115">
        <v>1368</v>
      </c>
      <c r="N115">
        <v>1011</v>
      </c>
      <c r="O115" t="s">
        <v>299</v>
      </c>
      <c r="P115" t="s">
        <v>299</v>
      </c>
      <c r="Q115">
        <v>1</v>
      </c>
      <c r="W115">
        <v>0</v>
      </c>
      <c r="X115">
        <v>1004541775</v>
      </c>
      <c r="Y115">
        <v>0.09</v>
      </c>
      <c r="AA115">
        <v>0</v>
      </c>
      <c r="AB115">
        <v>1171.51</v>
      </c>
      <c r="AC115">
        <v>487.24</v>
      </c>
      <c r="AD115">
        <v>0</v>
      </c>
      <c r="AE115">
        <v>0</v>
      </c>
      <c r="AF115">
        <v>1171.51</v>
      </c>
      <c r="AG115">
        <v>487.24</v>
      </c>
      <c r="AH115">
        <v>0</v>
      </c>
      <c r="AI115">
        <v>1</v>
      </c>
      <c r="AJ115">
        <v>1</v>
      </c>
      <c r="AK115">
        <v>1</v>
      </c>
      <c r="AL115">
        <v>1</v>
      </c>
      <c r="AN115">
        <v>0</v>
      </c>
      <c r="AO115">
        <v>1</v>
      </c>
      <c r="AP115">
        <v>0</v>
      </c>
      <c r="AQ115">
        <v>0</v>
      </c>
      <c r="AR115">
        <v>0</v>
      </c>
      <c r="AS115" t="s">
        <v>3</v>
      </c>
      <c r="AT115">
        <v>0.09</v>
      </c>
      <c r="AU115" t="s">
        <v>3</v>
      </c>
      <c r="AV115">
        <v>0</v>
      </c>
      <c r="AW115">
        <v>2</v>
      </c>
      <c r="AX115">
        <v>49709217</v>
      </c>
      <c r="AY115">
        <v>1</v>
      </c>
      <c r="AZ115">
        <v>0</v>
      </c>
      <c r="BA115">
        <v>111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CX115">
        <f>Y115*Source!I184</f>
        <v>4.8599999999999997E-3</v>
      </c>
      <c r="CY115">
        <f>AB115</f>
        <v>1171.51</v>
      </c>
      <c r="CZ115">
        <f>AF115</f>
        <v>1171.51</v>
      </c>
      <c r="DA115">
        <f>AJ115</f>
        <v>1</v>
      </c>
      <c r="DB115">
        <f t="shared" si="14"/>
        <v>105.44</v>
      </c>
      <c r="DC115">
        <f t="shared" si="15"/>
        <v>43.85</v>
      </c>
    </row>
    <row r="116" spans="1:107" x14ac:dyDescent="0.2">
      <c r="A116">
        <f>ROW(Source!A184)</f>
        <v>184</v>
      </c>
      <c r="B116">
        <v>49707740</v>
      </c>
      <c r="C116">
        <v>49709207</v>
      </c>
      <c r="D116">
        <v>48340468</v>
      </c>
      <c r="E116">
        <v>1</v>
      </c>
      <c r="F116">
        <v>1</v>
      </c>
      <c r="G116">
        <v>27</v>
      </c>
      <c r="H116">
        <v>3</v>
      </c>
      <c r="I116" t="s">
        <v>415</v>
      </c>
      <c r="J116" t="s">
        <v>416</v>
      </c>
      <c r="K116" t="s">
        <v>417</v>
      </c>
      <c r="L116">
        <v>1339</v>
      </c>
      <c r="N116">
        <v>1007</v>
      </c>
      <c r="O116" t="s">
        <v>46</v>
      </c>
      <c r="P116" t="s">
        <v>46</v>
      </c>
      <c r="Q116">
        <v>1</v>
      </c>
      <c r="W116">
        <v>0</v>
      </c>
      <c r="X116">
        <v>23642594</v>
      </c>
      <c r="Y116">
        <v>1.1499999999999999</v>
      </c>
      <c r="AA116">
        <v>1436.5</v>
      </c>
      <c r="AB116">
        <v>0</v>
      </c>
      <c r="AC116">
        <v>0</v>
      </c>
      <c r="AD116">
        <v>0</v>
      </c>
      <c r="AE116">
        <v>1436.5</v>
      </c>
      <c r="AF116">
        <v>0</v>
      </c>
      <c r="AG116">
        <v>0</v>
      </c>
      <c r="AH116">
        <v>0</v>
      </c>
      <c r="AI116">
        <v>1</v>
      </c>
      <c r="AJ116">
        <v>1</v>
      </c>
      <c r="AK116">
        <v>1</v>
      </c>
      <c r="AL116">
        <v>1</v>
      </c>
      <c r="AN116">
        <v>0</v>
      </c>
      <c r="AO116">
        <v>1</v>
      </c>
      <c r="AP116">
        <v>0</v>
      </c>
      <c r="AQ116">
        <v>0</v>
      </c>
      <c r="AR116">
        <v>0</v>
      </c>
      <c r="AS116" t="s">
        <v>3</v>
      </c>
      <c r="AT116">
        <v>1.1499999999999999</v>
      </c>
      <c r="AU116" t="s">
        <v>3</v>
      </c>
      <c r="AV116">
        <v>0</v>
      </c>
      <c r="AW116">
        <v>2</v>
      </c>
      <c r="AX116">
        <v>49709218</v>
      </c>
      <c r="AY116">
        <v>1</v>
      </c>
      <c r="AZ116">
        <v>0</v>
      </c>
      <c r="BA116">
        <v>112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CX116">
        <f>Y116*Source!I184</f>
        <v>6.2099999999999995E-2</v>
      </c>
      <c r="CY116">
        <f>AA116</f>
        <v>1436.5</v>
      </c>
      <c r="CZ116">
        <f>AE116</f>
        <v>1436.5</v>
      </c>
      <c r="DA116">
        <f>AI116</f>
        <v>1</v>
      </c>
      <c r="DB116">
        <f t="shared" si="14"/>
        <v>1651.98</v>
      </c>
      <c r="DC116">
        <f t="shared" si="15"/>
        <v>0</v>
      </c>
    </row>
    <row r="117" spans="1:107" x14ac:dyDescent="0.2">
      <c r="A117">
        <f>ROW(Source!A184)</f>
        <v>184</v>
      </c>
      <c r="B117">
        <v>49707740</v>
      </c>
      <c r="C117">
        <v>49709207</v>
      </c>
      <c r="D117">
        <v>48341179</v>
      </c>
      <c r="E117">
        <v>1</v>
      </c>
      <c r="F117">
        <v>1</v>
      </c>
      <c r="G117">
        <v>27</v>
      </c>
      <c r="H117">
        <v>3</v>
      </c>
      <c r="I117" t="s">
        <v>327</v>
      </c>
      <c r="J117" t="s">
        <v>414</v>
      </c>
      <c r="K117" t="s">
        <v>329</v>
      </c>
      <c r="L117">
        <v>1339</v>
      </c>
      <c r="N117">
        <v>1007</v>
      </c>
      <c r="O117" t="s">
        <v>46</v>
      </c>
      <c r="P117" t="s">
        <v>46</v>
      </c>
      <c r="Q117">
        <v>1</v>
      </c>
      <c r="W117">
        <v>0</v>
      </c>
      <c r="X117">
        <v>1927597627</v>
      </c>
      <c r="Y117">
        <v>0.15</v>
      </c>
      <c r="AA117">
        <v>35.25</v>
      </c>
      <c r="AB117">
        <v>0</v>
      </c>
      <c r="AC117">
        <v>0</v>
      </c>
      <c r="AD117">
        <v>0</v>
      </c>
      <c r="AE117">
        <v>35.25</v>
      </c>
      <c r="AF117">
        <v>0</v>
      </c>
      <c r="AG117">
        <v>0</v>
      </c>
      <c r="AH117">
        <v>0</v>
      </c>
      <c r="AI117">
        <v>1</v>
      </c>
      <c r="AJ117">
        <v>1</v>
      </c>
      <c r="AK117">
        <v>1</v>
      </c>
      <c r="AL117">
        <v>1</v>
      </c>
      <c r="AN117">
        <v>0</v>
      </c>
      <c r="AO117">
        <v>1</v>
      </c>
      <c r="AP117">
        <v>0</v>
      </c>
      <c r="AQ117">
        <v>0</v>
      </c>
      <c r="AR117">
        <v>0</v>
      </c>
      <c r="AS117" t="s">
        <v>3</v>
      </c>
      <c r="AT117">
        <v>0.15</v>
      </c>
      <c r="AU117" t="s">
        <v>3</v>
      </c>
      <c r="AV117">
        <v>0</v>
      </c>
      <c r="AW117">
        <v>2</v>
      </c>
      <c r="AX117">
        <v>49709219</v>
      </c>
      <c r="AY117">
        <v>1</v>
      </c>
      <c r="AZ117">
        <v>0</v>
      </c>
      <c r="BA117">
        <v>113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CX117">
        <f>Y117*Source!I184</f>
        <v>8.0999999999999996E-3</v>
      </c>
      <c r="CY117">
        <f>AA117</f>
        <v>35.25</v>
      </c>
      <c r="CZ117">
        <f>AE117</f>
        <v>35.25</v>
      </c>
      <c r="DA117">
        <f>AI117</f>
        <v>1</v>
      </c>
      <c r="DB117">
        <f t="shared" si="14"/>
        <v>5.29</v>
      </c>
      <c r="DC117">
        <f t="shared" si="15"/>
        <v>0</v>
      </c>
    </row>
    <row r="118" spans="1:107" x14ac:dyDescent="0.2">
      <c r="A118">
        <f>ROW(Source!A185)</f>
        <v>185</v>
      </c>
      <c r="B118">
        <v>49707740</v>
      </c>
      <c r="C118">
        <v>49708505</v>
      </c>
      <c r="D118">
        <v>48326108</v>
      </c>
      <c r="E118">
        <v>27</v>
      </c>
      <c r="F118">
        <v>1</v>
      </c>
      <c r="G118">
        <v>27</v>
      </c>
      <c r="H118">
        <v>1</v>
      </c>
      <c r="I118" t="s">
        <v>293</v>
      </c>
      <c r="J118" t="s">
        <v>3</v>
      </c>
      <c r="K118" t="s">
        <v>294</v>
      </c>
      <c r="L118">
        <v>1191</v>
      </c>
      <c r="N118">
        <v>1013</v>
      </c>
      <c r="O118" t="s">
        <v>295</v>
      </c>
      <c r="P118" t="s">
        <v>295</v>
      </c>
      <c r="Q118">
        <v>1</v>
      </c>
      <c r="W118">
        <v>0</v>
      </c>
      <c r="X118">
        <v>476480486</v>
      </c>
      <c r="Y118">
        <v>155.25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1</v>
      </c>
      <c r="AL118">
        <v>1</v>
      </c>
      <c r="AN118">
        <v>0</v>
      </c>
      <c r="AO118">
        <v>1</v>
      </c>
      <c r="AP118">
        <v>0</v>
      </c>
      <c r="AQ118">
        <v>0</v>
      </c>
      <c r="AR118">
        <v>0</v>
      </c>
      <c r="AS118" t="s">
        <v>3</v>
      </c>
      <c r="AT118">
        <v>155.25</v>
      </c>
      <c r="AU118" t="s">
        <v>3</v>
      </c>
      <c r="AV118">
        <v>1</v>
      </c>
      <c r="AW118">
        <v>2</v>
      </c>
      <c r="AX118">
        <v>49708511</v>
      </c>
      <c r="AY118">
        <v>1</v>
      </c>
      <c r="AZ118">
        <v>0</v>
      </c>
      <c r="BA118">
        <v>114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CX118">
        <f>Y118*Source!I185</f>
        <v>0.3105</v>
      </c>
      <c r="CY118">
        <f>AD118</f>
        <v>0</v>
      </c>
      <c r="CZ118">
        <f>AH118</f>
        <v>0</v>
      </c>
      <c r="DA118">
        <f>AL118</f>
        <v>1</v>
      </c>
      <c r="DB118">
        <f t="shared" si="14"/>
        <v>0</v>
      </c>
      <c r="DC118">
        <f t="shared" si="15"/>
        <v>0</v>
      </c>
    </row>
    <row r="119" spans="1:107" x14ac:dyDescent="0.2">
      <c r="A119">
        <f>ROW(Source!A185)</f>
        <v>185</v>
      </c>
      <c r="B119">
        <v>49707740</v>
      </c>
      <c r="C119">
        <v>49708505</v>
      </c>
      <c r="D119">
        <v>48338564</v>
      </c>
      <c r="E119">
        <v>1</v>
      </c>
      <c r="F119">
        <v>1</v>
      </c>
      <c r="G119">
        <v>27</v>
      </c>
      <c r="H119">
        <v>2</v>
      </c>
      <c r="I119" t="s">
        <v>418</v>
      </c>
      <c r="J119" t="s">
        <v>419</v>
      </c>
      <c r="K119" t="s">
        <v>420</v>
      </c>
      <c r="L119">
        <v>1368</v>
      </c>
      <c r="N119">
        <v>1011</v>
      </c>
      <c r="O119" t="s">
        <v>299</v>
      </c>
      <c r="P119" t="s">
        <v>299</v>
      </c>
      <c r="Q119">
        <v>1</v>
      </c>
      <c r="W119">
        <v>0</v>
      </c>
      <c r="X119">
        <v>1288867377</v>
      </c>
      <c r="Y119">
        <v>7.41</v>
      </c>
      <c r="AA119">
        <v>0</v>
      </c>
      <c r="AB119">
        <v>3.84</v>
      </c>
      <c r="AC119">
        <v>0.01</v>
      </c>
      <c r="AD119">
        <v>0</v>
      </c>
      <c r="AE119">
        <v>0</v>
      </c>
      <c r="AF119">
        <v>3.84</v>
      </c>
      <c r="AG119">
        <v>0.01</v>
      </c>
      <c r="AH119">
        <v>0</v>
      </c>
      <c r="AI119">
        <v>1</v>
      </c>
      <c r="AJ119">
        <v>1</v>
      </c>
      <c r="AK119">
        <v>1</v>
      </c>
      <c r="AL119">
        <v>1</v>
      </c>
      <c r="AN119">
        <v>0</v>
      </c>
      <c r="AO119">
        <v>1</v>
      </c>
      <c r="AP119">
        <v>0</v>
      </c>
      <c r="AQ119">
        <v>0</v>
      </c>
      <c r="AR119">
        <v>0</v>
      </c>
      <c r="AS119" t="s">
        <v>3</v>
      </c>
      <c r="AT119">
        <v>7.41</v>
      </c>
      <c r="AU119" t="s">
        <v>3</v>
      </c>
      <c r="AV119">
        <v>0</v>
      </c>
      <c r="AW119">
        <v>2</v>
      </c>
      <c r="AX119">
        <v>49708512</v>
      </c>
      <c r="AY119">
        <v>1</v>
      </c>
      <c r="AZ119">
        <v>0</v>
      </c>
      <c r="BA119">
        <v>115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CX119">
        <f>Y119*Source!I185</f>
        <v>1.482E-2</v>
      </c>
      <c r="CY119">
        <f>AB119</f>
        <v>3.84</v>
      </c>
      <c r="CZ119">
        <f>AF119</f>
        <v>3.84</v>
      </c>
      <c r="DA119">
        <f>AJ119</f>
        <v>1</v>
      </c>
      <c r="DB119">
        <f t="shared" si="14"/>
        <v>28.45</v>
      </c>
      <c r="DC119">
        <f t="shared" si="15"/>
        <v>7.0000000000000007E-2</v>
      </c>
    </row>
    <row r="120" spans="1:107" x14ac:dyDescent="0.2">
      <c r="A120">
        <f>ROW(Source!A185)</f>
        <v>185</v>
      </c>
      <c r="B120">
        <v>49707740</v>
      </c>
      <c r="C120">
        <v>49708505</v>
      </c>
      <c r="D120">
        <v>48341002</v>
      </c>
      <c r="E120">
        <v>1</v>
      </c>
      <c r="F120">
        <v>1</v>
      </c>
      <c r="G120">
        <v>27</v>
      </c>
      <c r="H120">
        <v>3</v>
      </c>
      <c r="I120" t="s">
        <v>421</v>
      </c>
      <c r="J120" t="s">
        <v>422</v>
      </c>
      <c r="K120" t="s">
        <v>423</v>
      </c>
      <c r="L120">
        <v>1327</v>
      </c>
      <c r="N120">
        <v>1005</v>
      </c>
      <c r="O120" t="s">
        <v>363</v>
      </c>
      <c r="P120" t="s">
        <v>363</v>
      </c>
      <c r="Q120">
        <v>1</v>
      </c>
      <c r="W120">
        <v>0</v>
      </c>
      <c r="X120">
        <v>-2047649341</v>
      </c>
      <c r="Y120">
        <v>250</v>
      </c>
      <c r="AA120">
        <v>91.89</v>
      </c>
      <c r="AB120">
        <v>0</v>
      </c>
      <c r="AC120">
        <v>0</v>
      </c>
      <c r="AD120">
        <v>0</v>
      </c>
      <c r="AE120">
        <v>91.89</v>
      </c>
      <c r="AF120">
        <v>0</v>
      </c>
      <c r="AG120">
        <v>0</v>
      </c>
      <c r="AH120">
        <v>0</v>
      </c>
      <c r="AI120">
        <v>1</v>
      </c>
      <c r="AJ120">
        <v>1</v>
      </c>
      <c r="AK120">
        <v>1</v>
      </c>
      <c r="AL120">
        <v>1</v>
      </c>
      <c r="AN120">
        <v>0</v>
      </c>
      <c r="AO120">
        <v>1</v>
      </c>
      <c r="AP120">
        <v>0</v>
      </c>
      <c r="AQ120">
        <v>0</v>
      </c>
      <c r="AR120">
        <v>0</v>
      </c>
      <c r="AS120" t="s">
        <v>3</v>
      </c>
      <c r="AT120">
        <v>250</v>
      </c>
      <c r="AU120" t="s">
        <v>3</v>
      </c>
      <c r="AV120">
        <v>0</v>
      </c>
      <c r="AW120">
        <v>2</v>
      </c>
      <c r="AX120">
        <v>49708513</v>
      </c>
      <c r="AY120">
        <v>1</v>
      </c>
      <c r="AZ120">
        <v>0</v>
      </c>
      <c r="BA120">
        <v>116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CX120">
        <f>Y120*Source!I185</f>
        <v>0.5</v>
      </c>
      <c r="CY120">
        <f>AA120</f>
        <v>91.89</v>
      </c>
      <c r="CZ120">
        <f>AE120</f>
        <v>91.89</v>
      </c>
      <c r="DA120">
        <f>AI120</f>
        <v>1</v>
      </c>
      <c r="DB120">
        <f t="shared" si="14"/>
        <v>22972.5</v>
      </c>
      <c r="DC120">
        <f t="shared" si="15"/>
        <v>0</v>
      </c>
    </row>
    <row r="121" spans="1:107" x14ac:dyDescent="0.2">
      <c r="A121">
        <f>ROW(Source!A185)</f>
        <v>185</v>
      </c>
      <c r="B121">
        <v>49707740</v>
      </c>
      <c r="C121">
        <v>49708505</v>
      </c>
      <c r="D121">
        <v>48341179</v>
      </c>
      <c r="E121">
        <v>1</v>
      </c>
      <c r="F121">
        <v>1</v>
      </c>
      <c r="G121">
        <v>27</v>
      </c>
      <c r="H121">
        <v>3</v>
      </c>
      <c r="I121" t="s">
        <v>327</v>
      </c>
      <c r="J121" t="s">
        <v>414</v>
      </c>
      <c r="K121" t="s">
        <v>329</v>
      </c>
      <c r="L121">
        <v>1339</v>
      </c>
      <c r="N121">
        <v>1007</v>
      </c>
      <c r="O121" t="s">
        <v>46</v>
      </c>
      <c r="P121" t="s">
        <v>46</v>
      </c>
      <c r="Q121">
        <v>1</v>
      </c>
      <c r="W121">
        <v>0</v>
      </c>
      <c r="X121">
        <v>1927597627</v>
      </c>
      <c r="Y121">
        <v>1.75</v>
      </c>
      <c r="AA121">
        <v>35.25</v>
      </c>
      <c r="AB121">
        <v>0</v>
      </c>
      <c r="AC121">
        <v>0</v>
      </c>
      <c r="AD121">
        <v>0</v>
      </c>
      <c r="AE121">
        <v>35.25</v>
      </c>
      <c r="AF121">
        <v>0</v>
      </c>
      <c r="AG121">
        <v>0</v>
      </c>
      <c r="AH121">
        <v>0</v>
      </c>
      <c r="AI121">
        <v>1</v>
      </c>
      <c r="AJ121">
        <v>1</v>
      </c>
      <c r="AK121">
        <v>1</v>
      </c>
      <c r="AL121">
        <v>1</v>
      </c>
      <c r="AN121">
        <v>0</v>
      </c>
      <c r="AO121">
        <v>1</v>
      </c>
      <c r="AP121">
        <v>0</v>
      </c>
      <c r="AQ121">
        <v>0</v>
      </c>
      <c r="AR121">
        <v>0</v>
      </c>
      <c r="AS121" t="s">
        <v>3</v>
      </c>
      <c r="AT121">
        <v>1.75</v>
      </c>
      <c r="AU121" t="s">
        <v>3</v>
      </c>
      <c r="AV121">
        <v>0</v>
      </c>
      <c r="AW121">
        <v>2</v>
      </c>
      <c r="AX121">
        <v>49708514</v>
      </c>
      <c r="AY121">
        <v>1</v>
      </c>
      <c r="AZ121">
        <v>0</v>
      </c>
      <c r="BA121">
        <v>117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CX121">
        <f>Y121*Source!I185</f>
        <v>3.5000000000000001E-3</v>
      </c>
      <c r="CY121">
        <f>AA121</f>
        <v>35.25</v>
      </c>
      <c r="CZ121">
        <f>AE121</f>
        <v>35.25</v>
      </c>
      <c r="DA121">
        <f>AI121</f>
        <v>1</v>
      </c>
      <c r="DB121">
        <f t="shared" si="14"/>
        <v>61.69</v>
      </c>
      <c r="DC121">
        <f t="shared" si="15"/>
        <v>0</v>
      </c>
    </row>
    <row r="122" spans="1:107" x14ac:dyDescent="0.2">
      <c r="A122">
        <f>ROW(Source!A185)</f>
        <v>185</v>
      </c>
      <c r="B122">
        <v>49707740</v>
      </c>
      <c r="C122">
        <v>49708505</v>
      </c>
      <c r="D122">
        <v>48342143</v>
      </c>
      <c r="E122">
        <v>1</v>
      </c>
      <c r="F122">
        <v>1</v>
      </c>
      <c r="G122">
        <v>27</v>
      </c>
      <c r="H122">
        <v>3</v>
      </c>
      <c r="I122" t="s">
        <v>424</v>
      </c>
      <c r="J122" t="s">
        <v>425</v>
      </c>
      <c r="K122" t="s">
        <v>426</v>
      </c>
      <c r="L122">
        <v>1339</v>
      </c>
      <c r="N122">
        <v>1007</v>
      </c>
      <c r="O122" t="s">
        <v>46</v>
      </c>
      <c r="P122" t="s">
        <v>46</v>
      </c>
      <c r="Q122">
        <v>1</v>
      </c>
      <c r="W122">
        <v>0</v>
      </c>
      <c r="X122">
        <v>1860113861</v>
      </c>
      <c r="Y122">
        <v>102</v>
      </c>
      <c r="AA122">
        <v>3247.23</v>
      </c>
      <c r="AB122">
        <v>0</v>
      </c>
      <c r="AC122">
        <v>0</v>
      </c>
      <c r="AD122">
        <v>0</v>
      </c>
      <c r="AE122">
        <v>3247.23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1</v>
      </c>
      <c r="AL122">
        <v>1</v>
      </c>
      <c r="AN122">
        <v>0</v>
      </c>
      <c r="AO122">
        <v>1</v>
      </c>
      <c r="AP122">
        <v>0</v>
      </c>
      <c r="AQ122">
        <v>0</v>
      </c>
      <c r="AR122">
        <v>0</v>
      </c>
      <c r="AS122" t="s">
        <v>3</v>
      </c>
      <c r="AT122">
        <v>102</v>
      </c>
      <c r="AU122" t="s">
        <v>3</v>
      </c>
      <c r="AV122">
        <v>0</v>
      </c>
      <c r="AW122">
        <v>2</v>
      </c>
      <c r="AX122">
        <v>49708515</v>
      </c>
      <c r="AY122">
        <v>1</v>
      </c>
      <c r="AZ122">
        <v>0</v>
      </c>
      <c r="BA122">
        <v>118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CX122">
        <f>Y122*Source!I185</f>
        <v>0.20400000000000001</v>
      </c>
      <c r="CY122">
        <f>AA122</f>
        <v>3247.23</v>
      </c>
      <c r="CZ122">
        <f>AE122</f>
        <v>3247.23</v>
      </c>
      <c r="DA122">
        <f>AI122</f>
        <v>1</v>
      </c>
      <c r="DB122">
        <f t="shared" si="14"/>
        <v>331217.46000000002</v>
      </c>
      <c r="DC122">
        <f t="shared" si="15"/>
        <v>0</v>
      </c>
    </row>
    <row r="123" spans="1:107" x14ac:dyDescent="0.2">
      <c r="A123">
        <f>ROW(Source!A186)</f>
        <v>186</v>
      </c>
      <c r="B123">
        <v>49707740</v>
      </c>
      <c r="C123">
        <v>49708521</v>
      </c>
      <c r="D123">
        <v>48326108</v>
      </c>
      <c r="E123">
        <v>27</v>
      </c>
      <c r="F123">
        <v>1</v>
      </c>
      <c r="G123">
        <v>27</v>
      </c>
      <c r="H123">
        <v>1</v>
      </c>
      <c r="I123" t="s">
        <v>293</v>
      </c>
      <c r="J123" t="s">
        <v>3</v>
      </c>
      <c r="K123" t="s">
        <v>294</v>
      </c>
      <c r="L123">
        <v>1191</v>
      </c>
      <c r="N123">
        <v>1013</v>
      </c>
      <c r="O123" t="s">
        <v>295</v>
      </c>
      <c r="P123" t="s">
        <v>295</v>
      </c>
      <c r="Q123">
        <v>1</v>
      </c>
      <c r="W123">
        <v>0</v>
      </c>
      <c r="X123">
        <v>476480486</v>
      </c>
      <c r="Y123">
        <v>36.11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1</v>
      </c>
      <c r="AJ123">
        <v>1</v>
      </c>
      <c r="AK123">
        <v>1</v>
      </c>
      <c r="AL123">
        <v>1</v>
      </c>
      <c r="AN123">
        <v>0</v>
      </c>
      <c r="AO123">
        <v>1</v>
      </c>
      <c r="AP123">
        <v>0</v>
      </c>
      <c r="AQ123">
        <v>0</v>
      </c>
      <c r="AR123">
        <v>0</v>
      </c>
      <c r="AS123" t="s">
        <v>3</v>
      </c>
      <c r="AT123">
        <v>36.11</v>
      </c>
      <c r="AU123" t="s">
        <v>3</v>
      </c>
      <c r="AV123">
        <v>1</v>
      </c>
      <c r="AW123">
        <v>2</v>
      </c>
      <c r="AX123">
        <v>49708528</v>
      </c>
      <c r="AY123">
        <v>1</v>
      </c>
      <c r="AZ123">
        <v>0</v>
      </c>
      <c r="BA123">
        <v>119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CX123">
        <f>Y123*Source!I186</f>
        <v>8.8830600000000004</v>
      </c>
      <c r="CY123">
        <f>AD123</f>
        <v>0</v>
      </c>
      <c r="CZ123">
        <f>AH123</f>
        <v>0</v>
      </c>
      <c r="DA123">
        <f>AL123</f>
        <v>1</v>
      </c>
      <c r="DB123">
        <f t="shared" si="14"/>
        <v>0</v>
      </c>
      <c r="DC123">
        <f t="shared" si="15"/>
        <v>0</v>
      </c>
    </row>
    <row r="124" spans="1:107" x14ac:dyDescent="0.2">
      <c r="A124">
        <f>ROW(Source!A186)</f>
        <v>186</v>
      </c>
      <c r="B124">
        <v>49707740</v>
      </c>
      <c r="C124">
        <v>49708521</v>
      </c>
      <c r="D124">
        <v>48338728</v>
      </c>
      <c r="E124">
        <v>1</v>
      </c>
      <c r="F124">
        <v>1</v>
      </c>
      <c r="G124">
        <v>27</v>
      </c>
      <c r="H124">
        <v>2</v>
      </c>
      <c r="I124" t="s">
        <v>427</v>
      </c>
      <c r="J124" t="s">
        <v>428</v>
      </c>
      <c r="K124" t="s">
        <v>429</v>
      </c>
      <c r="L124">
        <v>1368</v>
      </c>
      <c r="N124">
        <v>1011</v>
      </c>
      <c r="O124" t="s">
        <v>299</v>
      </c>
      <c r="P124" t="s">
        <v>299</v>
      </c>
      <c r="Q124">
        <v>1</v>
      </c>
      <c r="W124">
        <v>0</v>
      </c>
      <c r="X124">
        <v>-1754447068</v>
      </c>
      <c r="Y124">
        <v>21.91</v>
      </c>
      <c r="AA124">
        <v>0</v>
      </c>
      <c r="AB124">
        <v>54.65</v>
      </c>
      <c r="AC124">
        <v>0.05</v>
      </c>
      <c r="AD124">
        <v>0</v>
      </c>
      <c r="AE124">
        <v>0</v>
      </c>
      <c r="AF124">
        <v>54.65</v>
      </c>
      <c r="AG124">
        <v>0.05</v>
      </c>
      <c r="AH124">
        <v>0</v>
      </c>
      <c r="AI124">
        <v>1</v>
      </c>
      <c r="AJ124">
        <v>1</v>
      </c>
      <c r="AK124">
        <v>1</v>
      </c>
      <c r="AL124">
        <v>1</v>
      </c>
      <c r="AN124">
        <v>0</v>
      </c>
      <c r="AO124">
        <v>1</v>
      </c>
      <c r="AP124">
        <v>0</v>
      </c>
      <c r="AQ124">
        <v>0</v>
      </c>
      <c r="AR124">
        <v>0</v>
      </c>
      <c r="AS124" t="s">
        <v>3</v>
      </c>
      <c r="AT124">
        <v>21.91</v>
      </c>
      <c r="AU124" t="s">
        <v>3</v>
      </c>
      <c r="AV124">
        <v>0</v>
      </c>
      <c r="AW124">
        <v>2</v>
      </c>
      <c r="AX124">
        <v>49708529</v>
      </c>
      <c r="AY124">
        <v>1</v>
      </c>
      <c r="AZ124">
        <v>0</v>
      </c>
      <c r="BA124">
        <v>120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CX124">
        <f>Y124*Source!I186</f>
        <v>5.3898599999999997</v>
      </c>
      <c r="CY124">
        <f>AB124</f>
        <v>54.65</v>
      </c>
      <c r="CZ124">
        <f>AF124</f>
        <v>54.65</v>
      </c>
      <c r="DA124">
        <f>AJ124</f>
        <v>1</v>
      </c>
      <c r="DB124">
        <f t="shared" si="14"/>
        <v>1197.3800000000001</v>
      </c>
      <c r="DC124">
        <f t="shared" si="15"/>
        <v>1.1000000000000001</v>
      </c>
    </row>
    <row r="125" spans="1:107" x14ac:dyDescent="0.2">
      <c r="A125">
        <f>ROW(Source!A186)</f>
        <v>186</v>
      </c>
      <c r="B125">
        <v>49707740</v>
      </c>
      <c r="C125">
        <v>49708521</v>
      </c>
      <c r="D125">
        <v>48341086</v>
      </c>
      <c r="E125">
        <v>1</v>
      </c>
      <c r="F125">
        <v>1</v>
      </c>
      <c r="G125">
        <v>27</v>
      </c>
      <c r="H125">
        <v>3</v>
      </c>
      <c r="I125" t="s">
        <v>386</v>
      </c>
      <c r="J125" t="s">
        <v>430</v>
      </c>
      <c r="K125" t="s">
        <v>388</v>
      </c>
      <c r="L125">
        <v>1348</v>
      </c>
      <c r="N125">
        <v>1009</v>
      </c>
      <c r="O125" t="s">
        <v>57</v>
      </c>
      <c r="P125" t="s">
        <v>57</v>
      </c>
      <c r="Q125">
        <v>1000</v>
      </c>
      <c r="W125">
        <v>0</v>
      </c>
      <c r="X125">
        <v>-672771621</v>
      </c>
      <c r="Y125">
        <v>0.03</v>
      </c>
      <c r="AA125">
        <v>110781.14</v>
      </c>
      <c r="AB125">
        <v>0</v>
      </c>
      <c r="AC125">
        <v>0</v>
      </c>
      <c r="AD125">
        <v>0</v>
      </c>
      <c r="AE125">
        <v>110781.14</v>
      </c>
      <c r="AF125">
        <v>0</v>
      </c>
      <c r="AG125">
        <v>0</v>
      </c>
      <c r="AH125">
        <v>0</v>
      </c>
      <c r="AI125">
        <v>1</v>
      </c>
      <c r="AJ125">
        <v>1</v>
      </c>
      <c r="AK125">
        <v>1</v>
      </c>
      <c r="AL125">
        <v>1</v>
      </c>
      <c r="AN125">
        <v>0</v>
      </c>
      <c r="AO125">
        <v>1</v>
      </c>
      <c r="AP125">
        <v>0</v>
      </c>
      <c r="AQ125">
        <v>0</v>
      </c>
      <c r="AR125">
        <v>0</v>
      </c>
      <c r="AS125" t="s">
        <v>3</v>
      </c>
      <c r="AT125">
        <v>0.03</v>
      </c>
      <c r="AU125" t="s">
        <v>3</v>
      </c>
      <c r="AV125">
        <v>0</v>
      </c>
      <c r="AW125">
        <v>2</v>
      </c>
      <c r="AX125">
        <v>49708530</v>
      </c>
      <c r="AY125">
        <v>1</v>
      </c>
      <c r="AZ125">
        <v>0</v>
      </c>
      <c r="BA125">
        <v>121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CX125">
        <f>Y125*Source!I186</f>
        <v>7.3799999999999994E-3</v>
      </c>
      <c r="CY125">
        <f>AA125</f>
        <v>110781.14</v>
      </c>
      <c r="CZ125">
        <f>AE125</f>
        <v>110781.14</v>
      </c>
      <c r="DA125">
        <f>AI125</f>
        <v>1</v>
      </c>
      <c r="DB125">
        <f t="shared" si="14"/>
        <v>3323.43</v>
      </c>
      <c r="DC125">
        <f t="shared" si="15"/>
        <v>0</v>
      </c>
    </row>
    <row r="126" spans="1:107" x14ac:dyDescent="0.2">
      <c r="A126">
        <f>ROW(Source!A186)</f>
        <v>186</v>
      </c>
      <c r="B126">
        <v>49707740</v>
      </c>
      <c r="C126">
        <v>49708521</v>
      </c>
      <c r="D126">
        <v>48342405</v>
      </c>
      <c r="E126">
        <v>1</v>
      </c>
      <c r="F126">
        <v>1</v>
      </c>
      <c r="G126">
        <v>27</v>
      </c>
      <c r="H126">
        <v>3</v>
      </c>
      <c r="I126" t="s">
        <v>431</v>
      </c>
      <c r="J126" t="s">
        <v>432</v>
      </c>
      <c r="K126" t="s">
        <v>433</v>
      </c>
      <c r="L126">
        <v>1348</v>
      </c>
      <c r="N126">
        <v>1009</v>
      </c>
      <c r="O126" t="s">
        <v>57</v>
      </c>
      <c r="P126" t="s">
        <v>57</v>
      </c>
      <c r="Q126">
        <v>1000</v>
      </c>
      <c r="W126">
        <v>0</v>
      </c>
      <c r="X126">
        <v>-1958973042</v>
      </c>
      <c r="Y126">
        <v>1</v>
      </c>
      <c r="AA126">
        <v>53233.52</v>
      </c>
      <c r="AB126">
        <v>0</v>
      </c>
      <c r="AC126">
        <v>0</v>
      </c>
      <c r="AD126">
        <v>0</v>
      </c>
      <c r="AE126">
        <v>53233.52</v>
      </c>
      <c r="AF126">
        <v>0</v>
      </c>
      <c r="AG126">
        <v>0</v>
      </c>
      <c r="AH126">
        <v>0</v>
      </c>
      <c r="AI126">
        <v>1</v>
      </c>
      <c r="AJ126">
        <v>1</v>
      </c>
      <c r="AK126">
        <v>1</v>
      </c>
      <c r="AL126">
        <v>1</v>
      </c>
      <c r="AN126">
        <v>0</v>
      </c>
      <c r="AO126">
        <v>1</v>
      </c>
      <c r="AP126">
        <v>0</v>
      </c>
      <c r="AQ126">
        <v>0</v>
      </c>
      <c r="AR126">
        <v>0</v>
      </c>
      <c r="AS126" t="s">
        <v>3</v>
      </c>
      <c r="AT126">
        <v>1</v>
      </c>
      <c r="AU126" t="s">
        <v>3</v>
      </c>
      <c r="AV126">
        <v>0</v>
      </c>
      <c r="AW126">
        <v>2</v>
      </c>
      <c r="AX126">
        <v>49708531</v>
      </c>
      <c r="AY126">
        <v>1</v>
      </c>
      <c r="AZ126">
        <v>0</v>
      </c>
      <c r="BA126">
        <v>122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CX126">
        <f>Y126*Source!I186</f>
        <v>0.246</v>
      </c>
      <c r="CY126">
        <f>AA126</f>
        <v>53233.52</v>
      </c>
      <c r="CZ126">
        <f>AE126</f>
        <v>53233.52</v>
      </c>
      <c r="DA126">
        <f>AI126</f>
        <v>1</v>
      </c>
      <c r="DB126">
        <f t="shared" si="14"/>
        <v>53233.52</v>
      </c>
      <c r="DC126">
        <f t="shared" si="15"/>
        <v>0</v>
      </c>
    </row>
    <row r="127" spans="1:107" x14ac:dyDescent="0.2">
      <c r="A127">
        <f>ROW(Source!A186)</f>
        <v>186</v>
      </c>
      <c r="B127">
        <v>49707740</v>
      </c>
      <c r="C127">
        <v>49708521</v>
      </c>
      <c r="D127">
        <v>0</v>
      </c>
      <c r="E127">
        <v>33352197</v>
      </c>
      <c r="F127">
        <v>1</v>
      </c>
      <c r="G127">
        <v>27</v>
      </c>
      <c r="H127">
        <v>3</v>
      </c>
      <c r="I127" t="s">
        <v>55</v>
      </c>
      <c r="J127" t="s">
        <v>3</v>
      </c>
      <c r="K127" t="s">
        <v>244</v>
      </c>
      <c r="L127">
        <v>1354</v>
      </c>
      <c r="N127">
        <v>1010</v>
      </c>
      <c r="O127" t="s">
        <v>100</v>
      </c>
      <c r="P127" t="s">
        <v>100</v>
      </c>
      <c r="Q127">
        <v>1</v>
      </c>
      <c r="W127">
        <v>0</v>
      </c>
      <c r="X127">
        <v>1406858603</v>
      </c>
      <c r="Y127">
        <v>8.1300810000000006</v>
      </c>
      <c r="AA127">
        <v>21663.95</v>
      </c>
      <c r="AB127">
        <v>0</v>
      </c>
      <c r="AC127">
        <v>0</v>
      </c>
      <c r="AD127">
        <v>0</v>
      </c>
      <c r="AE127">
        <v>21663.949999999997</v>
      </c>
      <c r="AF127">
        <v>0</v>
      </c>
      <c r="AG127">
        <v>0</v>
      </c>
      <c r="AH127">
        <v>0</v>
      </c>
      <c r="AI127">
        <v>1</v>
      </c>
      <c r="AJ127">
        <v>1</v>
      </c>
      <c r="AK127">
        <v>1</v>
      </c>
      <c r="AL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3</v>
      </c>
      <c r="AT127">
        <v>8.1300810000000006</v>
      </c>
      <c r="AU127" t="s">
        <v>3</v>
      </c>
      <c r="AV127">
        <v>0</v>
      </c>
      <c r="AW127">
        <v>1</v>
      </c>
      <c r="AX127">
        <v>-1</v>
      </c>
      <c r="AY127">
        <v>0</v>
      </c>
      <c r="AZ127">
        <v>0</v>
      </c>
      <c r="BA127" t="s">
        <v>3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CX127">
        <f>Y127*Source!I186</f>
        <v>1.9999999260000001</v>
      </c>
      <c r="CY127">
        <f>AA127</f>
        <v>21663.95</v>
      </c>
      <c r="CZ127">
        <f>AE127</f>
        <v>21663.949999999997</v>
      </c>
      <c r="DA127">
        <f>AI127</f>
        <v>1</v>
      </c>
      <c r="DB127">
        <f t="shared" si="14"/>
        <v>176129.67</v>
      </c>
      <c r="DC127">
        <f t="shared" si="15"/>
        <v>0</v>
      </c>
    </row>
    <row r="128" spans="1:107" x14ac:dyDescent="0.2">
      <c r="A128">
        <f>ROW(Source!A186)</f>
        <v>186</v>
      </c>
      <c r="B128">
        <v>49707740</v>
      </c>
      <c r="C128">
        <v>49708521</v>
      </c>
      <c r="D128">
        <v>0</v>
      </c>
      <c r="E128">
        <v>33352197</v>
      </c>
      <c r="F128">
        <v>1</v>
      </c>
      <c r="G128">
        <v>27</v>
      </c>
      <c r="H128">
        <v>3</v>
      </c>
      <c r="I128" t="s">
        <v>55</v>
      </c>
      <c r="J128" t="s">
        <v>3</v>
      </c>
      <c r="K128" t="s">
        <v>247</v>
      </c>
      <c r="L128">
        <v>1354</v>
      </c>
      <c r="N128">
        <v>1010</v>
      </c>
      <c r="O128" t="s">
        <v>100</v>
      </c>
      <c r="P128" t="s">
        <v>100</v>
      </c>
      <c r="Q128">
        <v>1</v>
      </c>
      <c r="W128">
        <v>0</v>
      </c>
      <c r="X128">
        <v>-2138184854</v>
      </c>
      <c r="Y128">
        <v>8.1300810000000006</v>
      </c>
      <c r="AA128">
        <v>14960</v>
      </c>
      <c r="AB128">
        <v>0</v>
      </c>
      <c r="AC128">
        <v>0</v>
      </c>
      <c r="AD128">
        <v>0</v>
      </c>
      <c r="AE128">
        <v>14960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1</v>
      </c>
      <c r="AL128">
        <v>1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3</v>
      </c>
      <c r="AT128">
        <v>8.1300810000000006</v>
      </c>
      <c r="AU128" t="s">
        <v>3</v>
      </c>
      <c r="AV128">
        <v>0</v>
      </c>
      <c r="AW128">
        <v>1</v>
      </c>
      <c r="AX128">
        <v>-1</v>
      </c>
      <c r="AY128">
        <v>0</v>
      </c>
      <c r="AZ128">
        <v>0</v>
      </c>
      <c r="BA128" t="s">
        <v>3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CX128">
        <f>Y128*Source!I186</f>
        <v>1.9999999260000001</v>
      </c>
      <c r="CY128">
        <f>AA128</f>
        <v>14960</v>
      </c>
      <c r="CZ128">
        <f>AE128</f>
        <v>14960</v>
      </c>
      <c r="DA128">
        <f>AI128</f>
        <v>1</v>
      </c>
      <c r="DB128">
        <f t="shared" si="14"/>
        <v>121626.01</v>
      </c>
      <c r="DC128">
        <f t="shared" si="15"/>
        <v>0</v>
      </c>
    </row>
    <row r="129" spans="1:107" x14ac:dyDescent="0.2">
      <c r="A129">
        <f>ROW(Source!A227)</f>
        <v>227</v>
      </c>
      <c r="B129">
        <v>49707740</v>
      </c>
      <c r="C129">
        <v>49709220</v>
      </c>
      <c r="D129">
        <v>48326108</v>
      </c>
      <c r="E129">
        <v>27</v>
      </c>
      <c r="F129">
        <v>1</v>
      </c>
      <c r="G129">
        <v>27</v>
      </c>
      <c r="H129">
        <v>1</v>
      </c>
      <c r="I129" t="s">
        <v>293</v>
      </c>
      <c r="J129" t="s">
        <v>3</v>
      </c>
      <c r="K129" t="s">
        <v>294</v>
      </c>
      <c r="L129">
        <v>1191</v>
      </c>
      <c r="N129">
        <v>1013</v>
      </c>
      <c r="O129" t="s">
        <v>295</v>
      </c>
      <c r="P129" t="s">
        <v>295</v>
      </c>
      <c r="Q129">
        <v>1</v>
      </c>
      <c r="W129">
        <v>0</v>
      </c>
      <c r="X129">
        <v>476480486</v>
      </c>
      <c r="Y129">
        <v>11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1</v>
      </c>
      <c r="AJ129">
        <v>1</v>
      </c>
      <c r="AK129">
        <v>1</v>
      </c>
      <c r="AL129">
        <v>1</v>
      </c>
      <c r="AN129">
        <v>0</v>
      </c>
      <c r="AO129">
        <v>1</v>
      </c>
      <c r="AP129">
        <v>0</v>
      </c>
      <c r="AQ129">
        <v>0</v>
      </c>
      <c r="AR129">
        <v>0</v>
      </c>
      <c r="AS129" t="s">
        <v>3</v>
      </c>
      <c r="AT129">
        <v>11</v>
      </c>
      <c r="AU129" t="s">
        <v>3</v>
      </c>
      <c r="AV129">
        <v>1</v>
      </c>
      <c r="AW129">
        <v>2</v>
      </c>
      <c r="AX129">
        <v>49709221</v>
      </c>
      <c r="AY129">
        <v>1</v>
      </c>
      <c r="AZ129">
        <v>0</v>
      </c>
      <c r="BA129">
        <v>123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CX129">
        <f>Y129*Source!I227</f>
        <v>0.88</v>
      </c>
      <c r="CY129">
        <f>AD129</f>
        <v>0</v>
      </c>
      <c r="CZ129">
        <f>AH129</f>
        <v>0</v>
      </c>
      <c r="DA129">
        <f>AL129</f>
        <v>1</v>
      </c>
      <c r="DB129">
        <f t="shared" si="14"/>
        <v>0</v>
      </c>
      <c r="DC129">
        <f t="shared" si="15"/>
        <v>0</v>
      </c>
    </row>
    <row r="130" spans="1:107" x14ac:dyDescent="0.2">
      <c r="A130">
        <f>ROW(Source!A227)</f>
        <v>227</v>
      </c>
      <c r="B130">
        <v>49707740</v>
      </c>
      <c r="C130">
        <v>49709220</v>
      </c>
      <c r="D130">
        <v>48339110</v>
      </c>
      <c r="E130">
        <v>1</v>
      </c>
      <c r="F130">
        <v>1</v>
      </c>
      <c r="G130">
        <v>27</v>
      </c>
      <c r="H130">
        <v>2</v>
      </c>
      <c r="I130" t="s">
        <v>434</v>
      </c>
      <c r="J130" t="s">
        <v>435</v>
      </c>
      <c r="K130" t="s">
        <v>436</v>
      </c>
      <c r="L130">
        <v>1368</v>
      </c>
      <c r="N130">
        <v>1011</v>
      </c>
      <c r="O130" t="s">
        <v>299</v>
      </c>
      <c r="P130" t="s">
        <v>299</v>
      </c>
      <c r="Q130">
        <v>1</v>
      </c>
      <c r="W130">
        <v>0</v>
      </c>
      <c r="X130">
        <v>1232811194</v>
      </c>
      <c r="Y130">
        <v>11</v>
      </c>
      <c r="AA130">
        <v>0</v>
      </c>
      <c r="AB130">
        <v>2.76</v>
      </c>
      <c r="AC130">
        <v>0.01</v>
      </c>
      <c r="AD130">
        <v>0</v>
      </c>
      <c r="AE130">
        <v>0</v>
      </c>
      <c r="AF130">
        <v>2.76</v>
      </c>
      <c r="AG130">
        <v>0.01</v>
      </c>
      <c r="AH130">
        <v>0</v>
      </c>
      <c r="AI130">
        <v>1</v>
      </c>
      <c r="AJ130">
        <v>1</v>
      </c>
      <c r="AK130">
        <v>1</v>
      </c>
      <c r="AL130">
        <v>1</v>
      </c>
      <c r="AN130">
        <v>0</v>
      </c>
      <c r="AO130">
        <v>1</v>
      </c>
      <c r="AP130">
        <v>0</v>
      </c>
      <c r="AQ130">
        <v>0</v>
      </c>
      <c r="AR130">
        <v>0</v>
      </c>
      <c r="AS130" t="s">
        <v>3</v>
      </c>
      <c r="AT130">
        <v>11</v>
      </c>
      <c r="AU130" t="s">
        <v>3</v>
      </c>
      <c r="AV130">
        <v>0</v>
      </c>
      <c r="AW130">
        <v>2</v>
      </c>
      <c r="AX130">
        <v>49709222</v>
      </c>
      <c r="AY130">
        <v>1</v>
      </c>
      <c r="AZ130">
        <v>0</v>
      </c>
      <c r="BA130">
        <v>124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CX130">
        <f>Y130*Source!I227</f>
        <v>0.88</v>
      </c>
      <c r="CY130">
        <f>AB130</f>
        <v>2.76</v>
      </c>
      <c r="CZ130">
        <f>AF130</f>
        <v>2.76</v>
      </c>
      <c r="DA130">
        <f>AJ130</f>
        <v>1</v>
      </c>
      <c r="DB130">
        <f t="shared" si="14"/>
        <v>30.36</v>
      </c>
      <c r="DC130">
        <f t="shared" si="15"/>
        <v>0.11</v>
      </c>
    </row>
    <row r="131" spans="1:107" x14ac:dyDescent="0.2">
      <c r="A131">
        <f>ROW(Source!A227)</f>
        <v>227</v>
      </c>
      <c r="B131">
        <v>49707740</v>
      </c>
      <c r="C131">
        <v>49709220</v>
      </c>
      <c r="D131">
        <v>48343453</v>
      </c>
      <c r="E131">
        <v>1</v>
      </c>
      <c r="F131">
        <v>1</v>
      </c>
      <c r="G131">
        <v>27</v>
      </c>
      <c r="H131">
        <v>3</v>
      </c>
      <c r="I131" t="s">
        <v>437</v>
      </c>
      <c r="J131" t="s">
        <v>438</v>
      </c>
      <c r="K131" t="s">
        <v>439</v>
      </c>
      <c r="L131">
        <v>1354</v>
      </c>
      <c r="N131">
        <v>1010</v>
      </c>
      <c r="O131" t="s">
        <v>100</v>
      </c>
      <c r="P131" t="s">
        <v>100</v>
      </c>
      <c r="Q131">
        <v>1</v>
      </c>
      <c r="W131">
        <v>0</v>
      </c>
      <c r="X131">
        <v>1692200663</v>
      </c>
      <c r="Y131">
        <v>10</v>
      </c>
      <c r="AA131">
        <v>2035.41</v>
      </c>
      <c r="AB131">
        <v>0</v>
      </c>
      <c r="AC131">
        <v>0</v>
      </c>
      <c r="AD131">
        <v>0</v>
      </c>
      <c r="AE131">
        <v>2035.41</v>
      </c>
      <c r="AF131">
        <v>0</v>
      </c>
      <c r="AG131">
        <v>0</v>
      </c>
      <c r="AH131">
        <v>0</v>
      </c>
      <c r="AI131">
        <v>1</v>
      </c>
      <c r="AJ131">
        <v>1</v>
      </c>
      <c r="AK131">
        <v>1</v>
      </c>
      <c r="AL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 t="s">
        <v>3</v>
      </c>
      <c r="AT131">
        <v>10</v>
      </c>
      <c r="AU131" t="s">
        <v>3</v>
      </c>
      <c r="AV131">
        <v>0</v>
      </c>
      <c r="AW131">
        <v>2</v>
      </c>
      <c r="AX131">
        <v>49709223</v>
      </c>
      <c r="AY131">
        <v>1</v>
      </c>
      <c r="AZ131">
        <v>0</v>
      </c>
      <c r="BA131">
        <v>125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CX131">
        <f>Y131*Source!I227</f>
        <v>0.8</v>
      </c>
      <c r="CY131">
        <f>AA131</f>
        <v>2035.41</v>
      </c>
      <c r="CZ131">
        <f>AE131</f>
        <v>2035.41</v>
      </c>
      <c r="DA131">
        <f>AI131</f>
        <v>1</v>
      </c>
      <c r="DB131">
        <f t="shared" si="14"/>
        <v>20354.099999999999</v>
      </c>
      <c r="DC131">
        <f t="shared" si="15"/>
        <v>0</v>
      </c>
    </row>
    <row r="132" spans="1:107" x14ac:dyDescent="0.2">
      <c r="A132">
        <f>ROW(Source!A228)</f>
        <v>228</v>
      </c>
      <c r="B132">
        <v>49707740</v>
      </c>
      <c r="C132">
        <v>49709224</v>
      </c>
      <c r="D132">
        <v>48326108</v>
      </c>
      <c r="E132">
        <v>27</v>
      </c>
      <c r="F132">
        <v>1</v>
      </c>
      <c r="G132">
        <v>27</v>
      </c>
      <c r="H132">
        <v>1</v>
      </c>
      <c r="I132" t="s">
        <v>293</v>
      </c>
      <c r="J132" t="s">
        <v>3</v>
      </c>
      <c r="K132" t="s">
        <v>294</v>
      </c>
      <c r="L132">
        <v>1191</v>
      </c>
      <c r="N132">
        <v>1013</v>
      </c>
      <c r="O132" t="s">
        <v>295</v>
      </c>
      <c r="P132" t="s">
        <v>295</v>
      </c>
      <c r="Q132">
        <v>1</v>
      </c>
      <c r="W132">
        <v>0</v>
      </c>
      <c r="X132">
        <v>476480486</v>
      </c>
      <c r="Y132">
        <v>15.41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1</v>
      </c>
      <c r="AK132">
        <v>1</v>
      </c>
      <c r="AL132">
        <v>1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3</v>
      </c>
      <c r="AT132">
        <v>15.41</v>
      </c>
      <c r="AU132" t="s">
        <v>3</v>
      </c>
      <c r="AV132">
        <v>1</v>
      </c>
      <c r="AW132">
        <v>2</v>
      </c>
      <c r="AX132">
        <v>49709225</v>
      </c>
      <c r="AY132">
        <v>1</v>
      </c>
      <c r="AZ132">
        <v>0</v>
      </c>
      <c r="BA132">
        <v>126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CX132">
        <f>Y132*Source!I228</f>
        <v>1.2328000000000001</v>
      </c>
      <c r="CY132">
        <f>AD132</f>
        <v>0</v>
      </c>
      <c r="CZ132">
        <f>AH132</f>
        <v>0</v>
      </c>
      <c r="DA132">
        <f>AL132</f>
        <v>1</v>
      </c>
      <c r="DB132">
        <f t="shared" si="14"/>
        <v>0</v>
      </c>
      <c r="DC132">
        <f t="shared" si="15"/>
        <v>0</v>
      </c>
    </row>
    <row r="133" spans="1:107" x14ac:dyDescent="0.2">
      <c r="A133">
        <f>ROW(Source!A228)</f>
        <v>228</v>
      </c>
      <c r="B133">
        <v>49707740</v>
      </c>
      <c r="C133">
        <v>49709224</v>
      </c>
      <c r="D133">
        <v>48343533</v>
      </c>
      <c r="E133">
        <v>1</v>
      </c>
      <c r="F133">
        <v>1</v>
      </c>
      <c r="G133">
        <v>27</v>
      </c>
      <c r="H133">
        <v>3</v>
      </c>
      <c r="I133" t="s">
        <v>440</v>
      </c>
      <c r="J133" t="s">
        <v>441</v>
      </c>
      <c r="K133" t="s">
        <v>442</v>
      </c>
      <c r="L133">
        <v>1354</v>
      </c>
      <c r="N133">
        <v>1010</v>
      </c>
      <c r="O133" t="s">
        <v>100</v>
      </c>
      <c r="P133" t="s">
        <v>100</v>
      </c>
      <c r="Q133">
        <v>1</v>
      </c>
      <c r="W133">
        <v>0</v>
      </c>
      <c r="X133">
        <v>-1109127227</v>
      </c>
      <c r="Y133">
        <v>33.33</v>
      </c>
      <c r="AA133">
        <v>209.77</v>
      </c>
      <c r="AB133">
        <v>0</v>
      </c>
      <c r="AC133">
        <v>0</v>
      </c>
      <c r="AD133">
        <v>0</v>
      </c>
      <c r="AE133">
        <v>209.77</v>
      </c>
      <c r="AF133">
        <v>0</v>
      </c>
      <c r="AG133">
        <v>0</v>
      </c>
      <c r="AH133">
        <v>0</v>
      </c>
      <c r="AI133">
        <v>1</v>
      </c>
      <c r="AJ133">
        <v>1</v>
      </c>
      <c r="AK133">
        <v>1</v>
      </c>
      <c r="AL133">
        <v>1</v>
      </c>
      <c r="AN133">
        <v>0</v>
      </c>
      <c r="AO133">
        <v>1</v>
      </c>
      <c r="AP133">
        <v>0</v>
      </c>
      <c r="AQ133">
        <v>0</v>
      </c>
      <c r="AR133">
        <v>0</v>
      </c>
      <c r="AS133" t="s">
        <v>3</v>
      </c>
      <c r="AT133">
        <v>33.33</v>
      </c>
      <c r="AU133" t="s">
        <v>3</v>
      </c>
      <c r="AV133">
        <v>0</v>
      </c>
      <c r="AW133">
        <v>2</v>
      </c>
      <c r="AX133">
        <v>49709226</v>
      </c>
      <c r="AY133">
        <v>1</v>
      </c>
      <c r="AZ133">
        <v>0</v>
      </c>
      <c r="BA133">
        <v>127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CX133">
        <f>Y133*Source!I228</f>
        <v>2.6663999999999999</v>
      </c>
      <c r="CY133">
        <f>AA133</f>
        <v>209.77</v>
      </c>
      <c r="CZ133">
        <f>AE133</f>
        <v>209.77</v>
      </c>
      <c r="DA133">
        <f>AI133</f>
        <v>1</v>
      </c>
      <c r="DB133">
        <f t="shared" si="14"/>
        <v>6991.63</v>
      </c>
      <c r="DC133">
        <f t="shared" si="15"/>
        <v>0</v>
      </c>
    </row>
    <row r="134" spans="1:107" x14ac:dyDescent="0.2">
      <c r="A134">
        <f>ROW(Source!A228)</f>
        <v>228</v>
      </c>
      <c r="B134">
        <v>49707740</v>
      </c>
      <c r="C134">
        <v>49709224</v>
      </c>
      <c r="D134">
        <v>48343534</v>
      </c>
      <c r="E134">
        <v>1</v>
      </c>
      <c r="F134">
        <v>1</v>
      </c>
      <c r="G134">
        <v>27</v>
      </c>
      <c r="H134">
        <v>3</v>
      </c>
      <c r="I134" t="s">
        <v>443</v>
      </c>
      <c r="J134" t="s">
        <v>444</v>
      </c>
      <c r="K134" t="s">
        <v>445</v>
      </c>
      <c r="L134">
        <v>1354</v>
      </c>
      <c r="N134">
        <v>1010</v>
      </c>
      <c r="O134" t="s">
        <v>100</v>
      </c>
      <c r="P134" t="s">
        <v>100</v>
      </c>
      <c r="Q134">
        <v>1</v>
      </c>
      <c r="W134">
        <v>0</v>
      </c>
      <c r="X134">
        <v>-902437743</v>
      </c>
      <c r="Y134">
        <v>33.340000000000003</v>
      </c>
      <c r="AA134">
        <v>229.66</v>
      </c>
      <c r="AB134">
        <v>0</v>
      </c>
      <c r="AC134">
        <v>0</v>
      </c>
      <c r="AD134">
        <v>0</v>
      </c>
      <c r="AE134">
        <v>229.66</v>
      </c>
      <c r="AF134">
        <v>0</v>
      </c>
      <c r="AG134">
        <v>0</v>
      </c>
      <c r="AH134">
        <v>0</v>
      </c>
      <c r="AI134">
        <v>1</v>
      </c>
      <c r="AJ134">
        <v>1</v>
      </c>
      <c r="AK134">
        <v>1</v>
      </c>
      <c r="AL134">
        <v>1</v>
      </c>
      <c r="AN134">
        <v>0</v>
      </c>
      <c r="AO134">
        <v>1</v>
      </c>
      <c r="AP134">
        <v>0</v>
      </c>
      <c r="AQ134">
        <v>0</v>
      </c>
      <c r="AR134">
        <v>0</v>
      </c>
      <c r="AS134" t="s">
        <v>3</v>
      </c>
      <c r="AT134">
        <v>33.340000000000003</v>
      </c>
      <c r="AU134" t="s">
        <v>3</v>
      </c>
      <c r="AV134">
        <v>0</v>
      </c>
      <c r="AW134">
        <v>2</v>
      </c>
      <c r="AX134">
        <v>49709227</v>
      </c>
      <c r="AY134">
        <v>1</v>
      </c>
      <c r="AZ134">
        <v>0</v>
      </c>
      <c r="BA134">
        <v>128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CX134">
        <f>Y134*Source!I228</f>
        <v>2.6672000000000002</v>
      </c>
      <c r="CY134">
        <f>AA134</f>
        <v>229.66</v>
      </c>
      <c r="CZ134">
        <f>AE134</f>
        <v>229.66</v>
      </c>
      <c r="DA134">
        <f>AI134</f>
        <v>1</v>
      </c>
      <c r="DB134">
        <f t="shared" si="14"/>
        <v>7656.86</v>
      </c>
      <c r="DC134">
        <f t="shared" si="15"/>
        <v>0</v>
      </c>
    </row>
    <row r="135" spans="1:107" x14ac:dyDescent="0.2">
      <c r="A135">
        <f>ROW(Source!A228)</f>
        <v>228</v>
      </c>
      <c r="B135">
        <v>49707740</v>
      </c>
      <c r="C135">
        <v>49709224</v>
      </c>
      <c r="D135">
        <v>48343535</v>
      </c>
      <c r="E135">
        <v>1</v>
      </c>
      <c r="F135">
        <v>1</v>
      </c>
      <c r="G135">
        <v>27</v>
      </c>
      <c r="H135">
        <v>3</v>
      </c>
      <c r="I135" t="s">
        <v>446</v>
      </c>
      <c r="J135" t="s">
        <v>447</v>
      </c>
      <c r="K135" t="s">
        <v>448</v>
      </c>
      <c r="L135">
        <v>1354</v>
      </c>
      <c r="N135">
        <v>1010</v>
      </c>
      <c r="O135" t="s">
        <v>100</v>
      </c>
      <c r="P135" t="s">
        <v>100</v>
      </c>
      <c r="Q135">
        <v>1</v>
      </c>
      <c r="W135">
        <v>0</v>
      </c>
      <c r="X135">
        <v>-781299594</v>
      </c>
      <c r="Y135">
        <v>33.33</v>
      </c>
      <c r="AA135">
        <v>281.63</v>
      </c>
      <c r="AB135">
        <v>0</v>
      </c>
      <c r="AC135">
        <v>0</v>
      </c>
      <c r="AD135">
        <v>0</v>
      </c>
      <c r="AE135">
        <v>281.63</v>
      </c>
      <c r="AF135">
        <v>0</v>
      </c>
      <c r="AG135">
        <v>0</v>
      </c>
      <c r="AH135">
        <v>0</v>
      </c>
      <c r="AI135">
        <v>1</v>
      </c>
      <c r="AJ135">
        <v>1</v>
      </c>
      <c r="AK135">
        <v>1</v>
      </c>
      <c r="AL135">
        <v>1</v>
      </c>
      <c r="AN135">
        <v>0</v>
      </c>
      <c r="AO135">
        <v>1</v>
      </c>
      <c r="AP135">
        <v>0</v>
      </c>
      <c r="AQ135">
        <v>0</v>
      </c>
      <c r="AR135">
        <v>0</v>
      </c>
      <c r="AS135" t="s">
        <v>3</v>
      </c>
      <c r="AT135">
        <v>33.33</v>
      </c>
      <c r="AU135" t="s">
        <v>3</v>
      </c>
      <c r="AV135">
        <v>0</v>
      </c>
      <c r="AW135">
        <v>2</v>
      </c>
      <c r="AX135">
        <v>49709228</v>
      </c>
      <c r="AY135">
        <v>1</v>
      </c>
      <c r="AZ135">
        <v>0</v>
      </c>
      <c r="BA135">
        <v>129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CX135">
        <f>Y135*Source!I228</f>
        <v>2.6663999999999999</v>
      </c>
      <c r="CY135">
        <f>AA135</f>
        <v>281.63</v>
      </c>
      <c r="CZ135">
        <f>AE135</f>
        <v>281.63</v>
      </c>
      <c r="DA135">
        <f>AI135</f>
        <v>1</v>
      </c>
      <c r="DB135">
        <f t="shared" si="14"/>
        <v>9386.73</v>
      </c>
      <c r="DC135">
        <f t="shared" si="15"/>
        <v>0</v>
      </c>
    </row>
    <row r="136" spans="1:107" x14ac:dyDescent="0.2">
      <c r="A136">
        <f>ROW(Source!A229)</f>
        <v>229</v>
      </c>
      <c r="B136">
        <v>49707740</v>
      </c>
      <c r="C136">
        <v>49708558</v>
      </c>
      <c r="D136">
        <v>48326108</v>
      </c>
      <c r="E136">
        <v>27</v>
      </c>
      <c r="F136">
        <v>1</v>
      </c>
      <c r="G136">
        <v>27</v>
      </c>
      <c r="H136">
        <v>1</v>
      </c>
      <c r="I136" t="s">
        <v>293</v>
      </c>
      <c r="J136" t="s">
        <v>3</v>
      </c>
      <c r="K136" t="s">
        <v>294</v>
      </c>
      <c r="L136">
        <v>1191</v>
      </c>
      <c r="N136">
        <v>1013</v>
      </c>
      <c r="O136" t="s">
        <v>295</v>
      </c>
      <c r="P136" t="s">
        <v>295</v>
      </c>
      <c r="Q136">
        <v>1</v>
      </c>
      <c r="W136">
        <v>0</v>
      </c>
      <c r="X136">
        <v>476480486</v>
      </c>
      <c r="Y136">
        <v>36.11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1</v>
      </c>
      <c r="AK136">
        <v>1</v>
      </c>
      <c r="AL136">
        <v>1</v>
      </c>
      <c r="AN136">
        <v>0</v>
      </c>
      <c r="AO136">
        <v>1</v>
      </c>
      <c r="AP136">
        <v>0</v>
      </c>
      <c r="AQ136">
        <v>0</v>
      </c>
      <c r="AR136">
        <v>0</v>
      </c>
      <c r="AS136" t="s">
        <v>3</v>
      </c>
      <c r="AT136">
        <v>36.11</v>
      </c>
      <c r="AU136" t="s">
        <v>3</v>
      </c>
      <c r="AV136">
        <v>1</v>
      </c>
      <c r="AW136">
        <v>2</v>
      </c>
      <c r="AX136">
        <v>49708564</v>
      </c>
      <c r="AY136">
        <v>1</v>
      </c>
      <c r="AZ136">
        <v>0</v>
      </c>
      <c r="BA136">
        <v>130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CX136">
        <f>Y136*Source!I229</f>
        <v>3.1126819999999999</v>
      </c>
      <c r="CY136">
        <f>AD136</f>
        <v>0</v>
      </c>
      <c r="CZ136">
        <f>AH136</f>
        <v>0</v>
      </c>
      <c r="DA136">
        <f>AL136</f>
        <v>1</v>
      </c>
      <c r="DB136">
        <f t="shared" si="14"/>
        <v>0</v>
      </c>
      <c r="DC136">
        <f t="shared" si="15"/>
        <v>0</v>
      </c>
    </row>
    <row r="137" spans="1:107" x14ac:dyDescent="0.2">
      <c r="A137">
        <f>ROW(Source!A229)</f>
        <v>229</v>
      </c>
      <c r="B137">
        <v>49707740</v>
      </c>
      <c r="C137">
        <v>49708558</v>
      </c>
      <c r="D137">
        <v>48338728</v>
      </c>
      <c r="E137">
        <v>1</v>
      </c>
      <c r="F137">
        <v>1</v>
      </c>
      <c r="G137">
        <v>27</v>
      </c>
      <c r="H137">
        <v>2</v>
      </c>
      <c r="I137" t="s">
        <v>427</v>
      </c>
      <c r="J137" t="s">
        <v>428</v>
      </c>
      <c r="K137" t="s">
        <v>429</v>
      </c>
      <c r="L137">
        <v>1368</v>
      </c>
      <c r="N137">
        <v>1011</v>
      </c>
      <c r="O137" t="s">
        <v>299</v>
      </c>
      <c r="P137" t="s">
        <v>299</v>
      </c>
      <c r="Q137">
        <v>1</v>
      </c>
      <c r="W137">
        <v>0</v>
      </c>
      <c r="X137">
        <v>-1754447068</v>
      </c>
      <c r="Y137">
        <v>21.91</v>
      </c>
      <c r="AA137">
        <v>0</v>
      </c>
      <c r="AB137">
        <v>54.65</v>
      </c>
      <c r="AC137">
        <v>0.05</v>
      </c>
      <c r="AD137">
        <v>0</v>
      </c>
      <c r="AE137">
        <v>0</v>
      </c>
      <c r="AF137">
        <v>54.65</v>
      </c>
      <c r="AG137">
        <v>0.05</v>
      </c>
      <c r="AH137">
        <v>0</v>
      </c>
      <c r="AI137">
        <v>1</v>
      </c>
      <c r="AJ137">
        <v>1</v>
      </c>
      <c r="AK137">
        <v>1</v>
      </c>
      <c r="AL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 t="s">
        <v>3</v>
      </c>
      <c r="AT137">
        <v>21.91</v>
      </c>
      <c r="AU137" t="s">
        <v>3</v>
      </c>
      <c r="AV137">
        <v>0</v>
      </c>
      <c r="AW137">
        <v>2</v>
      </c>
      <c r="AX137">
        <v>49708565</v>
      </c>
      <c r="AY137">
        <v>1</v>
      </c>
      <c r="AZ137">
        <v>0</v>
      </c>
      <c r="BA137">
        <v>131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CX137">
        <f>Y137*Source!I229</f>
        <v>1.8886419999999999</v>
      </c>
      <c r="CY137">
        <f>AB137</f>
        <v>54.65</v>
      </c>
      <c r="CZ137">
        <f>AF137</f>
        <v>54.65</v>
      </c>
      <c r="DA137">
        <f>AJ137</f>
        <v>1</v>
      </c>
      <c r="DB137">
        <f t="shared" si="14"/>
        <v>1197.3800000000001</v>
      </c>
      <c r="DC137">
        <f t="shared" si="15"/>
        <v>1.1000000000000001</v>
      </c>
    </row>
    <row r="138" spans="1:107" x14ac:dyDescent="0.2">
      <c r="A138">
        <f>ROW(Source!A229)</f>
        <v>229</v>
      </c>
      <c r="B138">
        <v>49707740</v>
      </c>
      <c r="C138">
        <v>49708558</v>
      </c>
      <c r="D138">
        <v>48341086</v>
      </c>
      <c r="E138">
        <v>1</v>
      </c>
      <c r="F138">
        <v>1</v>
      </c>
      <c r="G138">
        <v>27</v>
      </c>
      <c r="H138">
        <v>3</v>
      </c>
      <c r="I138" t="s">
        <v>386</v>
      </c>
      <c r="J138" t="s">
        <v>430</v>
      </c>
      <c r="K138" t="s">
        <v>388</v>
      </c>
      <c r="L138">
        <v>1348</v>
      </c>
      <c r="N138">
        <v>1009</v>
      </c>
      <c r="O138" t="s">
        <v>57</v>
      </c>
      <c r="P138" t="s">
        <v>57</v>
      </c>
      <c r="Q138">
        <v>1000</v>
      </c>
      <c r="W138">
        <v>0</v>
      </c>
      <c r="X138">
        <v>-672771621</v>
      </c>
      <c r="Y138">
        <v>0.03</v>
      </c>
      <c r="AA138">
        <v>110781.14</v>
      </c>
      <c r="AB138">
        <v>0</v>
      </c>
      <c r="AC138">
        <v>0</v>
      </c>
      <c r="AD138">
        <v>0</v>
      </c>
      <c r="AE138">
        <v>110781.14</v>
      </c>
      <c r="AF138">
        <v>0</v>
      </c>
      <c r="AG138">
        <v>0</v>
      </c>
      <c r="AH138">
        <v>0</v>
      </c>
      <c r="AI138">
        <v>1</v>
      </c>
      <c r="AJ138">
        <v>1</v>
      </c>
      <c r="AK138">
        <v>1</v>
      </c>
      <c r="AL138">
        <v>1</v>
      </c>
      <c r="AN138">
        <v>0</v>
      </c>
      <c r="AO138">
        <v>1</v>
      </c>
      <c r="AP138">
        <v>0</v>
      </c>
      <c r="AQ138">
        <v>0</v>
      </c>
      <c r="AR138">
        <v>0</v>
      </c>
      <c r="AS138" t="s">
        <v>3</v>
      </c>
      <c r="AT138">
        <v>0.03</v>
      </c>
      <c r="AU138" t="s">
        <v>3</v>
      </c>
      <c r="AV138">
        <v>0</v>
      </c>
      <c r="AW138">
        <v>2</v>
      </c>
      <c r="AX138">
        <v>49708566</v>
      </c>
      <c r="AY138">
        <v>1</v>
      </c>
      <c r="AZ138">
        <v>0</v>
      </c>
      <c r="BA138">
        <v>132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CX138">
        <f>Y138*Source!I229</f>
        <v>2.5859999999999998E-3</v>
      </c>
      <c r="CY138">
        <f>AA138</f>
        <v>110781.14</v>
      </c>
      <c r="CZ138">
        <f>AE138</f>
        <v>110781.14</v>
      </c>
      <c r="DA138">
        <f>AI138</f>
        <v>1</v>
      </c>
      <c r="DB138">
        <f t="shared" ref="DB138:DB171" si="16">ROUND(ROUND(AT138*CZ138,2),6)</f>
        <v>3323.43</v>
      </c>
      <c r="DC138">
        <f t="shared" ref="DC138:DC171" si="17">ROUND(ROUND(AT138*AG138,2),6)</f>
        <v>0</v>
      </c>
    </row>
    <row r="139" spans="1:107" x14ac:dyDescent="0.2">
      <c r="A139">
        <f>ROW(Source!A229)</f>
        <v>229</v>
      </c>
      <c r="B139">
        <v>49707740</v>
      </c>
      <c r="C139">
        <v>49708558</v>
      </c>
      <c r="D139">
        <v>48342405</v>
      </c>
      <c r="E139">
        <v>1</v>
      </c>
      <c r="F139">
        <v>1</v>
      </c>
      <c r="G139">
        <v>27</v>
      </c>
      <c r="H139">
        <v>3</v>
      </c>
      <c r="I139" t="s">
        <v>431</v>
      </c>
      <c r="J139" t="s">
        <v>432</v>
      </c>
      <c r="K139" t="s">
        <v>433</v>
      </c>
      <c r="L139">
        <v>1348</v>
      </c>
      <c r="N139">
        <v>1009</v>
      </c>
      <c r="O139" t="s">
        <v>57</v>
      </c>
      <c r="P139" t="s">
        <v>57</v>
      </c>
      <c r="Q139">
        <v>1000</v>
      </c>
      <c r="W139">
        <v>0</v>
      </c>
      <c r="X139">
        <v>-1958973042</v>
      </c>
      <c r="Y139">
        <v>1</v>
      </c>
      <c r="AA139">
        <v>53233.52</v>
      </c>
      <c r="AB139">
        <v>0</v>
      </c>
      <c r="AC139">
        <v>0</v>
      </c>
      <c r="AD139">
        <v>0</v>
      </c>
      <c r="AE139">
        <v>53233.52</v>
      </c>
      <c r="AF139">
        <v>0</v>
      </c>
      <c r="AG139">
        <v>0</v>
      </c>
      <c r="AH139">
        <v>0</v>
      </c>
      <c r="AI139">
        <v>1</v>
      </c>
      <c r="AJ139">
        <v>1</v>
      </c>
      <c r="AK139">
        <v>1</v>
      </c>
      <c r="AL139">
        <v>1</v>
      </c>
      <c r="AN139">
        <v>0</v>
      </c>
      <c r="AO139">
        <v>1</v>
      </c>
      <c r="AP139">
        <v>0</v>
      </c>
      <c r="AQ139">
        <v>0</v>
      </c>
      <c r="AR139">
        <v>0</v>
      </c>
      <c r="AS139" t="s">
        <v>3</v>
      </c>
      <c r="AT139">
        <v>1</v>
      </c>
      <c r="AU139" t="s">
        <v>3</v>
      </c>
      <c r="AV139">
        <v>0</v>
      </c>
      <c r="AW139">
        <v>2</v>
      </c>
      <c r="AX139">
        <v>49708567</v>
      </c>
      <c r="AY139">
        <v>1</v>
      </c>
      <c r="AZ139">
        <v>0</v>
      </c>
      <c r="BA139">
        <v>133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CX139">
        <f>Y139*Source!I229</f>
        <v>8.6199999999999999E-2</v>
      </c>
      <c r="CY139">
        <f>AA139</f>
        <v>53233.52</v>
      </c>
      <c r="CZ139">
        <f>AE139</f>
        <v>53233.52</v>
      </c>
      <c r="DA139">
        <f>AI139</f>
        <v>1</v>
      </c>
      <c r="DB139">
        <f t="shared" si="16"/>
        <v>53233.52</v>
      </c>
      <c r="DC139">
        <f t="shared" si="17"/>
        <v>0</v>
      </c>
    </row>
    <row r="140" spans="1:107" x14ac:dyDescent="0.2">
      <c r="A140">
        <f>ROW(Source!A229)</f>
        <v>229</v>
      </c>
      <c r="B140">
        <v>49707740</v>
      </c>
      <c r="C140">
        <v>49708558</v>
      </c>
      <c r="D140">
        <v>0</v>
      </c>
      <c r="E140">
        <v>23</v>
      </c>
      <c r="F140">
        <v>1</v>
      </c>
      <c r="G140">
        <v>27</v>
      </c>
      <c r="H140">
        <v>3</v>
      </c>
      <c r="I140" t="s">
        <v>55</v>
      </c>
      <c r="J140" t="s">
        <v>3</v>
      </c>
      <c r="K140" t="s">
        <v>263</v>
      </c>
      <c r="L140">
        <v>1354</v>
      </c>
      <c r="N140">
        <v>1010</v>
      </c>
      <c r="O140" t="s">
        <v>100</v>
      </c>
      <c r="P140" t="s">
        <v>100</v>
      </c>
      <c r="Q140">
        <v>1</v>
      </c>
      <c r="W140">
        <v>0</v>
      </c>
      <c r="X140">
        <v>2096180198</v>
      </c>
      <c r="Y140">
        <v>23.201855999999999</v>
      </c>
      <c r="AA140">
        <v>12835</v>
      </c>
      <c r="AB140">
        <v>0</v>
      </c>
      <c r="AC140">
        <v>0</v>
      </c>
      <c r="AD140">
        <v>0</v>
      </c>
      <c r="AE140">
        <v>12835</v>
      </c>
      <c r="AF140">
        <v>0</v>
      </c>
      <c r="AG140">
        <v>0</v>
      </c>
      <c r="AH140">
        <v>0</v>
      </c>
      <c r="AI140">
        <v>1</v>
      </c>
      <c r="AJ140">
        <v>1</v>
      </c>
      <c r="AK140">
        <v>1</v>
      </c>
      <c r="AL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 t="s">
        <v>3</v>
      </c>
      <c r="AT140">
        <v>23.201855999999999</v>
      </c>
      <c r="AU140" t="s">
        <v>3</v>
      </c>
      <c r="AV140">
        <v>0</v>
      </c>
      <c r="AW140">
        <v>1</v>
      </c>
      <c r="AX140">
        <v>-1</v>
      </c>
      <c r="AY140">
        <v>0</v>
      </c>
      <c r="AZ140">
        <v>0</v>
      </c>
      <c r="BA140" t="s">
        <v>3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CX140">
        <f>Y140*Source!I229</f>
        <v>1.9999999871999998</v>
      </c>
      <c r="CY140">
        <f>AA140</f>
        <v>12835</v>
      </c>
      <c r="CZ140">
        <f>AE140</f>
        <v>12835</v>
      </c>
      <c r="DA140">
        <f>AI140</f>
        <v>1</v>
      </c>
      <c r="DB140">
        <f t="shared" si="16"/>
        <v>297795.82</v>
      </c>
      <c r="DC140">
        <f t="shared" si="17"/>
        <v>0</v>
      </c>
    </row>
    <row r="141" spans="1:107" x14ac:dyDescent="0.2">
      <c r="A141">
        <f>ROW(Source!A269)</f>
        <v>269</v>
      </c>
      <c r="B141">
        <v>49707740</v>
      </c>
      <c r="C141">
        <v>49709229</v>
      </c>
      <c r="D141">
        <v>48326108</v>
      </c>
      <c r="E141">
        <v>27</v>
      </c>
      <c r="F141">
        <v>1</v>
      </c>
      <c r="G141">
        <v>27</v>
      </c>
      <c r="H141">
        <v>1</v>
      </c>
      <c r="I141" t="s">
        <v>293</v>
      </c>
      <c r="J141" t="s">
        <v>3</v>
      </c>
      <c r="K141" t="s">
        <v>294</v>
      </c>
      <c r="L141">
        <v>1191</v>
      </c>
      <c r="N141">
        <v>1013</v>
      </c>
      <c r="O141" t="s">
        <v>295</v>
      </c>
      <c r="P141" t="s">
        <v>295</v>
      </c>
      <c r="Q141">
        <v>1</v>
      </c>
      <c r="W141">
        <v>0</v>
      </c>
      <c r="X141">
        <v>476480486</v>
      </c>
      <c r="Y141">
        <v>11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1</v>
      </c>
      <c r="AJ141">
        <v>1</v>
      </c>
      <c r="AK141">
        <v>1</v>
      </c>
      <c r="AL141">
        <v>1</v>
      </c>
      <c r="AN141">
        <v>0</v>
      </c>
      <c r="AO141">
        <v>1</v>
      </c>
      <c r="AP141">
        <v>0</v>
      </c>
      <c r="AQ141">
        <v>0</v>
      </c>
      <c r="AR141">
        <v>0</v>
      </c>
      <c r="AS141" t="s">
        <v>3</v>
      </c>
      <c r="AT141">
        <v>11</v>
      </c>
      <c r="AU141" t="s">
        <v>3</v>
      </c>
      <c r="AV141">
        <v>1</v>
      </c>
      <c r="AW141">
        <v>2</v>
      </c>
      <c r="AX141">
        <v>49709233</v>
      </c>
      <c r="AY141">
        <v>1</v>
      </c>
      <c r="AZ141">
        <v>0</v>
      </c>
      <c r="BA141">
        <v>134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CX141">
        <f>Y141*Source!I269</f>
        <v>0.44</v>
      </c>
      <c r="CY141">
        <f>AD141</f>
        <v>0</v>
      </c>
      <c r="CZ141">
        <f>AH141</f>
        <v>0</v>
      </c>
      <c r="DA141">
        <f>AL141</f>
        <v>1</v>
      </c>
      <c r="DB141">
        <f t="shared" si="16"/>
        <v>0</v>
      </c>
      <c r="DC141">
        <f t="shared" si="17"/>
        <v>0</v>
      </c>
    </row>
    <row r="142" spans="1:107" x14ac:dyDescent="0.2">
      <c r="A142">
        <f>ROW(Source!A269)</f>
        <v>269</v>
      </c>
      <c r="B142">
        <v>49707740</v>
      </c>
      <c r="C142">
        <v>49709229</v>
      </c>
      <c r="D142">
        <v>48339110</v>
      </c>
      <c r="E142">
        <v>1</v>
      </c>
      <c r="F142">
        <v>1</v>
      </c>
      <c r="G142">
        <v>27</v>
      </c>
      <c r="H142">
        <v>2</v>
      </c>
      <c r="I142" t="s">
        <v>434</v>
      </c>
      <c r="J142" t="s">
        <v>435</v>
      </c>
      <c r="K142" t="s">
        <v>436</v>
      </c>
      <c r="L142">
        <v>1368</v>
      </c>
      <c r="N142">
        <v>1011</v>
      </c>
      <c r="O142" t="s">
        <v>299</v>
      </c>
      <c r="P142" t="s">
        <v>299</v>
      </c>
      <c r="Q142">
        <v>1</v>
      </c>
      <c r="W142">
        <v>0</v>
      </c>
      <c r="X142">
        <v>1232811194</v>
      </c>
      <c r="Y142">
        <v>11</v>
      </c>
      <c r="AA142">
        <v>0</v>
      </c>
      <c r="AB142">
        <v>2.76</v>
      </c>
      <c r="AC142">
        <v>0.01</v>
      </c>
      <c r="AD142">
        <v>0</v>
      </c>
      <c r="AE142">
        <v>0</v>
      </c>
      <c r="AF142">
        <v>2.76</v>
      </c>
      <c r="AG142">
        <v>0.01</v>
      </c>
      <c r="AH142">
        <v>0</v>
      </c>
      <c r="AI142">
        <v>1</v>
      </c>
      <c r="AJ142">
        <v>1</v>
      </c>
      <c r="AK142">
        <v>1</v>
      </c>
      <c r="AL142">
        <v>1</v>
      </c>
      <c r="AN142">
        <v>0</v>
      </c>
      <c r="AO142">
        <v>1</v>
      </c>
      <c r="AP142">
        <v>0</v>
      </c>
      <c r="AQ142">
        <v>0</v>
      </c>
      <c r="AR142">
        <v>0</v>
      </c>
      <c r="AS142" t="s">
        <v>3</v>
      </c>
      <c r="AT142">
        <v>11</v>
      </c>
      <c r="AU142" t="s">
        <v>3</v>
      </c>
      <c r="AV142">
        <v>0</v>
      </c>
      <c r="AW142">
        <v>2</v>
      </c>
      <c r="AX142">
        <v>49709234</v>
      </c>
      <c r="AY142">
        <v>1</v>
      </c>
      <c r="AZ142">
        <v>0</v>
      </c>
      <c r="BA142">
        <v>135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CX142">
        <f>Y142*Source!I269</f>
        <v>0.44</v>
      </c>
      <c r="CY142">
        <f>AB142</f>
        <v>2.76</v>
      </c>
      <c r="CZ142">
        <f>AF142</f>
        <v>2.76</v>
      </c>
      <c r="DA142">
        <f>AJ142</f>
        <v>1</v>
      </c>
      <c r="DB142">
        <f t="shared" si="16"/>
        <v>30.36</v>
      </c>
      <c r="DC142">
        <f t="shared" si="17"/>
        <v>0.11</v>
      </c>
    </row>
    <row r="143" spans="1:107" x14ac:dyDescent="0.2">
      <c r="A143">
        <f>ROW(Source!A269)</f>
        <v>269</v>
      </c>
      <c r="B143">
        <v>49707740</v>
      </c>
      <c r="C143">
        <v>49709229</v>
      </c>
      <c r="D143">
        <v>48343453</v>
      </c>
      <c r="E143">
        <v>1</v>
      </c>
      <c r="F143">
        <v>1</v>
      </c>
      <c r="G143">
        <v>27</v>
      </c>
      <c r="H143">
        <v>3</v>
      </c>
      <c r="I143" t="s">
        <v>437</v>
      </c>
      <c r="J143" t="s">
        <v>438</v>
      </c>
      <c r="K143" t="s">
        <v>439</v>
      </c>
      <c r="L143">
        <v>1354</v>
      </c>
      <c r="N143">
        <v>1010</v>
      </c>
      <c r="O143" t="s">
        <v>100</v>
      </c>
      <c r="P143" t="s">
        <v>100</v>
      </c>
      <c r="Q143">
        <v>1</v>
      </c>
      <c r="W143">
        <v>0</v>
      </c>
      <c r="X143">
        <v>1692200663</v>
      </c>
      <c r="Y143">
        <v>10</v>
      </c>
      <c r="AA143">
        <v>2035.41</v>
      </c>
      <c r="AB143">
        <v>0</v>
      </c>
      <c r="AC143">
        <v>0</v>
      </c>
      <c r="AD143">
        <v>0</v>
      </c>
      <c r="AE143">
        <v>2035.41</v>
      </c>
      <c r="AF143">
        <v>0</v>
      </c>
      <c r="AG143">
        <v>0</v>
      </c>
      <c r="AH143">
        <v>0</v>
      </c>
      <c r="AI143">
        <v>1</v>
      </c>
      <c r="AJ143">
        <v>1</v>
      </c>
      <c r="AK143">
        <v>1</v>
      </c>
      <c r="AL143">
        <v>1</v>
      </c>
      <c r="AN143">
        <v>0</v>
      </c>
      <c r="AO143">
        <v>1</v>
      </c>
      <c r="AP143">
        <v>0</v>
      </c>
      <c r="AQ143">
        <v>0</v>
      </c>
      <c r="AR143">
        <v>0</v>
      </c>
      <c r="AS143" t="s">
        <v>3</v>
      </c>
      <c r="AT143">
        <v>10</v>
      </c>
      <c r="AU143" t="s">
        <v>3</v>
      </c>
      <c r="AV143">
        <v>0</v>
      </c>
      <c r="AW143">
        <v>2</v>
      </c>
      <c r="AX143">
        <v>49709235</v>
      </c>
      <c r="AY143">
        <v>1</v>
      </c>
      <c r="AZ143">
        <v>0</v>
      </c>
      <c r="BA143">
        <v>136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CX143">
        <f>Y143*Source!I269</f>
        <v>0.4</v>
      </c>
      <c r="CY143">
        <f>AA143</f>
        <v>2035.41</v>
      </c>
      <c r="CZ143">
        <f>AE143</f>
        <v>2035.41</v>
      </c>
      <c r="DA143">
        <f>AI143</f>
        <v>1</v>
      </c>
      <c r="DB143">
        <f t="shared" si="16"/>
        <v>20354.099999999999</v>
      </c>
      <c r="DC143">
        <f t="shared" si="17"/>
        <v>0</v>
      </c>
    </row>
    <row r="144" spans="1:107" x14ac:dyDescent="0.2">
      <c r="A144">
        <f>ROW(Source!A270)</f>
        <v>270</v>
      </c>
      <c r="B144">
        <v>49707740</v>
      </c>
      <c r="C144">
        <v>49709236</v>
      </c>
      <c r="D144">
        <v>48326108</v>
      </c>
      <c r="E144">
        <v>27</v>
      </c>
      <c r="F144">
        <v>1</v>
      </c>
      <c r="G144">
        <v>27</v>
      </c>
      <c r="H144">
        <v>1</v>
      </c>
      <c r="I144" t="s">
        <v>293</v>
      </c>
      <c r="J144" t="s">
        <v>3</v>
      </c>
      <c r="K144" t="s">
        <v>294</v>
      </c>
      <c r="L144">
        <v>1191</v>
      </c>
      <c r="N144">
        <v>1013</v>
      </c>
      <c r="O144" t="s">
        <v>295</v>
      </c>
      <c r="P144" t="s">
        <v>295</v>
      </c>
      <c r="Q144">
        <v>1</v>
      </c>
      <c r="W144">
        <v>0</v>
      </c>
      <c r="X144">
        <v>476480486</v>
      </c>
      <c r="Y144">
        <v>15.41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1</v>
      </c>
      <c r="AJ144">
        <v>1</v>
      </c>
      <c r="AK144">
        <v>1</v>
      </c>
      <c r="AL144">
        <v>1</v>
      </c>
      <c r="AN144">
        <v>0</v>
      </c>
      <c r="AO144">
        <v>1</v>
      </c>
      <c r="AP144">
        <v>0</v>
      </c>
      <c r="AQ144">
        <v>0</v>
      </c>
      <c r="AR144">
        <v>0</v>
      </c>
      <c r="AS144" t="s">
        <v>3</v>
      </c>
      <c r="AT144">
        <v>15.41</v>
      </c>
      <c r="AU144" t="s">
        <v>3</v>
      </c>
      <c r="AV144">
        <v>1</v>
      </c>
      <c r="AW144">
        <v>2</v>
      </c>
      <c r="AX144">
        <v>49709241</v>
      </c>
      <c r="AY144">
        <v>1</v>
      </c>
      <c r="AZ144">
        <v>0</v>
      </c>
      <c r="BA144">
        <v>137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CX144">
        <f>Y144*Source!I270</f>
        <v>0.61640000000000006</v>
      </c>
      <c r="CY144">
        <f>AD144</f>
        <v>0</v>
      </c>
      <c r="CZ144">
        <f>AH144</f>
        <v>0</v>
      </c>
      <c r="DA144">
        <f>AL144</f>
        <v>1</v>
      </c>
      <c r="DB144">
        <f t="shared" si="16"/>
        <v>0</v>
      </c>
      <c r="DC144">
        <f t="shared" si="17"/>
        <v>0</v>
      </c>
    </row>
    <row r="145" spans="1:107" x14ac:dyDescent="0.2">
      <c r="A145">
        <f>ROW(Source!A270)</f>
        <v>270</v>
      </c>
      <c r="B145">
        <v>49707740</v>
      </c>
      <c r="C145">
        <v>49709236</v>
      </c>
      <c r="D145">
        <v>48343533</v>
      </c>
      <c r="E145">
        <v>1</v>
      </c>
      <c r="F145">
        <v>1</v>
      </c>
      <c r="G145">
        <v>27</v>
      </c>
      <c r="H145">
        <v>3</v>
      </c>
      <c r="I145" t="s">
        <v>440</v>
      </c>
      <c r="J145" t="s">
        <v>441</v>
      </c>
      <c r="K145" t="s">
        <v>442</v>
      </c>
      <c r="L145">
        <v>1354</v>
      </c>
      <c r="N145">
        <v>1010</v>
      </c>
      <c r="O145" t="s">
        <v>100</v>
      </c>
      <c r="P145" t="s">
        <v>100</v>
      </c>
      <c r="Q145">
        <v>1</v>
      </c>
      <c r="W145">
        <v>0</v>
      </c>
      <c r="X145">
        <v>-1109127227</v>
      </c>
      <c r="Y145">
        <v>33.33</v>
      </c>
      <c r="AA145">
        <v>209.77</v>
      </c>
      <c r="AB145">
        <v>0</v>
      </c>
      <c r="AC145">
        <v>0</v>
      </c>
      <c r="AD145">
        <v>0</v>
      </c>
      <c r="AE145">
        <v>209.77</v>
      </c>
      <c r="AF145">
        <v>0</v>
      </c>
      <c r="AG145">
        <v>0</v>
      </c>
      <c r="AH145">
        <v>0</v>
      </c>
      <c r="AI145">
        <v>1</v>
      </c>
      <c r="AJ145">
        <v>1</v>
      </c>
      <c r="AK145">
        <v>1</v>
      </c>
      <c r="AL145">
        <v>1</v>
      </c>
      <c r="AN145">
        <v>0</v>
      </c>
      <c r="AO145">
        <v>1</v>
      </c>
      <c r="AP145">
        <v>0</v>
      </c>
      <c r="AQ145">
        <v>0</v>
      </c>
      <c r="AR145">
        <v>0</v>
      </c>
      <c r="AS145" t="s">
        <v>3</v>
      </c>
      <c r="AT145">
        <v>33.33</v>
      </c>
      <c r="AU145" t="s">
        <v>3</v>
      </c>
      <c r="AV145">
        <v>0</v>
      </c>
      <c r="AW145">
        <v>2</v>
      </c>
      <c r="AX145">
        <v>49709242</v>
      </c>
      <c r="AY145">
        <v>1</v>
      </c>
      <c r="AZ145">
        <v>0</v>
      </c>
      <c r="BA145">
        <v>138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CX145">
        <f>Y145*Source!I270</f>
        <v>1.3331999999999999</v>
      </c>
      <c r="CY145">
        <f>AA145</f>
        <v>209.77</v>
      </c>
      <c r="CZ145">
        <f>AE145</f>
        <v>209.77</v>
      </c>
      <c r="DA145">
        <f>AI145</f>
        <v>1</v>
      </c>
      <c r="DB145">
        <f t="shared" si="16"/>
        <v>6991.63</v>
      </c>
      <c r="DC145">
        <f t="shared" si="17"/>
        <v>0</v>
      </c>
    </row>
    <row r="146" spans="1:107" x14ac:dyDescent="0.2">
      <c r="A146">
        <f>ROW(Source!A270)</f>
        <v>270</v>
      </c>
      <c r="B146">
        <v>49707740</v>
      </c>
      <c r="C146">
        <v>49709236</v>
      </c>
      <c r="D146">
        <v>48343534</v>
      </c>
      <c r="E146">
        <v>1</v>
      </c>
      <c r="F146">
        <v>1</v>
      </c>
      <c r="G146">
        <v>27</v>
      </c>
      <c r="H146">
        <v>3</v>
      </c>
      <c r="I146" t="s">
        <v>443</v>
      </c>
      <c r="J146" t="s">
        <v>444</v>
      </c>
      <c r="K146" t="s">
        <v>445</v>
      </c>
      <c r="L146">
        <v>1354</v>
      </c>
      <c r="N146">
        <v>1010</v>
      </c>
      <c r="O146" t="s">
        <v>100</v>
      </c>
      <c r="P146" t="s">
        <v>100</v>
      </c>
      <c r="Q146">
        <v>1</v>
      </c>
      <c r="W146">
        <v>0</v>
      </c>
      <c r="X146">
        <v>-902437743</v>
      </c>
      <c r="Y146">
        <v>33.340000000000003</v>
      </c>
      <c r="AA146">
        <v>229.66</v>
      </c>
      <c r="AB146">
        <v>0</v>
      </c>
      <c r="AC146">
        <v>0</v>
      </c>
      <c r="AD146">
        <v>0</v>
      </c>
      <c r="AE146">
        <v>229.66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1</v>
      </c>
      <c r="AN146">
        <v>0</v>
      </c>
      <c r="AO146">
        <v>1</v>
      </c>
      <c r="AP146">
        <v>0</v>
      </c>
      <c r="AQ146">
        <v>0</v>
      </c>
      <c r="AR146">
        <v>0</v>
      </c>
      <c r="AS146" t="s">
        <v>3</v>
      </c>
      <c r="AT146">
        <v>33.340000000000003</v>
      </c>
      <c r="AU146" t="s">
        <v>3</v>
      </c>
      <c r="AV146">
        <v>0</v>
      </c>
      <c r="AW146">
        <v>2</v>
      </c>
      <c r="AX146">
        <v>49709243</v>
      </c>
      <c r="AY146">
        <v>1</v>
      </c>
      <c r="AZ146">
        <v>0</v>
      </c>
      <c r="BA146">
        <v>139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CX146">
        <f>Y146*Source!I270</f>
        <v>1.3336000000000001</v>
      </c>
      <c r="CY146">
        <f>AA146</f>
        <v>229.66</v>
      </c>
      <c r="CZ146">
        <f>AE146</f>
        <v>229.66</v>
      </c>
      <c r="DA146">
        <f>AI146</f>
        <v>1</v>
      </c>
      <c r="DB146">
        <f t="shared" si="16"/>
        <v>7656.86</v>
      </c>
      <c r="DC146">
        <f t="shared" si="17"/>
        <v>0</v>
      </c>
    </row>
    <row r="147" spans="1:107" x14ac:dyDescent="0.2">
      <c r="A147">
        <f>ROW(Source!A270)</f>
        <v>270</v>
      </c>
      <c r="B147">
        <v>49707740</v>
      </c>
      <c r="C147">
        <v>49709236</v>
      </c>
      <c r="D147">
        <v>48343535</v>
      </c>
      <c r="E147">
        <v>1</v>
      </c>
      <c r="F147">
        <v>1</v>
      </c>
      <c r="G147">
        <v>27</v>
      </c>
      <c r="H147">
        <v>3</v>
      </c>
      <c r="I147" t="s">
        <v>446</v>
      </c>
      <c r="J147" t="s">
        <v>447</v>
      </c>
      <c r="K147" t="s">
        <v>448</v>
      </c>
      <c r="L147">
        <v>1354</v>
      </c>
      <c r="N147">
        <v>1010</v>
      </c>
      <c r="O147" t="s">
        <v>100</v>
      </c>
      <c r="P147" t="s">
        <v>100</v>
      </c>
      <c r="Q147">
        <v>1</v>
      </c>
      <c r="W147">
        <v>0</v>
      </c>
      <c r="X147">
        <v>-781299594</v>
      </c>
      <c r="Y147">
        <v>33.33</v>
      </c>
      <c r="AA147">
        <v>281.63</v>
      </c>
      <c r="AB147">
        <v>0</v>
      </c>
      <c r="AC147">
        <v>0</v>
      </c>
      <c r="AD147">
        <v>0</v>
      </c>
      <c r="AE147">
        <v>281.63</v>
      </c>
      <c r="AF147">
        <v>0</v>
      </c>
      <c r="AG147">
        <v>0</v>
      </c>
      <c r="AH147">
        <v>0</v>
      </c>
      <c r="AI147">
        <v>1</v>
      </c>
      <c r="AJ147">
        <v>1</v>
      </c>
      <c r="AK147">
        <v>1</v>
      </c>
      <c r="AL147">
        <v>1</v>
      </c>
      <c r="AN147">
        <v>0</v>
      </c>
      <c r="AO147">
        <v>1</v>
      </c>
      <c r="AP147">
        <v>0</v>
      </c>
      <c r="AQ147">
        <v>0</v>
      </c>
      <c r="AR147">
        <v>0</v>
      </c>
      <c r="AS147" t="s">
        <v>3</v>
      </c>
      <c r="AT147">
        <v>33.33</v>
      </c>
      <c r="AU147" t="s">
        <v>3</v>
      </c>
      <c r="AV147">
        <v>0</v>
      </c>
      <c r="AW147">
        <v>2</v>
      </c>
      <c r="AX147">
        <v>49709244</v>
      </c>
      <c r="AY147">
        <v>1</v>
      </c>
      <c r="AZ147">
        <v>0</v>
      </c>
      <c r="BA147">
        <v>140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CX147">
        <f>Y147*Source!I270</f>
        <v>1.3331999999999999</v>
      </c>
      <c r="CY147">
        <f>AA147</f>
        <v>281.63</v>
      </c>
      <c r="CZ147">
        <f>AE147</f>
        <v>281.63</v>
      </c>
      <c r="DA147">
        <f>AI147</f>
        <v>1</v>
      </c>
      <c r="DB147">
        <f t="shared" si="16"/>
        <v>9386.73</v>
      </c>
      <c r="DC147">
        <f t="shared" si="17"/>
        <v>0</v>
      </c>
    </row>
    <row r="148" spans="1:107" x14ac:dyDescent="0.2">
      <c r="A148">
        <f>ROW(Source!A271)</f>
        <v>271</v>
      </c>
      <c r="B148">
        <v>49707740</v>
      </c>
      <c r="C148">
        <v>49708593</v>
      </c>
      <c r="D148">
        <v>48326108</v>
      </c>
      <c r="E148">
        <v>27</v>
      </c>
      <c r="F148">
        <v>1</v>
      </c>
      <c r="G148">
        <v>27</v>
      </c>
      <c r="H148">
        <v>1</v>
      </c>
      <c r="I148" t="s">
        <v>293</v>
      </c>
      <c r="J148" t="s">
        <v>3</v>
      </c>
      <c r="K148" t="s">
        <v>294</v>
      </c>
      <c r="L148">
        <v>1191</v>
      </c>
      <c r="N148">
        <v>1013</v>
      </c>
      <c r="O148" t="s">
        <v>295</v>
      </c>
      <c r="P148" t="s">
        <v>295</v>
      </c>
      <c r="Q148">
        <v>1</v>
      </c>
      <c r="W148">
        <v>0</v>
      </c>
      <c r="X148">
        <v>476480486</v>
      </c>
      <c r="Y148">
        <v>36.11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1</v>
      </c>
      <c r="AJ148">
        <v>1</v>
      </c>
      <c r="AK148">
        <v>1</v>
      </c>
      <c r="AL148">
        <v>1</v>
      </c>
      <c r="AN148">
        <v>0</v>
      </c>
      <c r="AO148">
        <v>1</v>
      </c>
      <c r="AP148">
        <v>0</v>
      </c>
      <c r="AQ148">
        <v>0</v>
      </c>
      <c r="AR148">
        <v>0</v>
      </c>
      <c r="AS148" t="s">
        <v>3</v>
      </c>
      <c r="AT148">
        <v>36.11</v>
      </c>
      <c r="AU148" t="s">
        <v>3</v>
      </c>
      <c r="AV148">
        <v>1</v>
      </c>
      <c r="AW148">
        <v>2</v>
      </c>
      <c r="AX148">
        <v>49708599</v>
      </c>
      <c r="AY148">
        <v>1</v>
      </c>
      <c r="AZ148">
        <v>0</v>
      </c>
      <c r="BA148">
        <v>141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CX148">
        <f>Y148*Source!I271</f>
        <v>0.80164200000000008</v>
      </c>
      <c r="CY148">
        <f>AD148</f>
        <v>0</v>
      </c>
      <c r="CZ148">
        <f>AH148</f>
        <v>0</v>
      </c>
      <c r="DA148">
        <f>AL148</f>
        <v>1</v>
      </c>
      <c r="DB148">
        <f t="shared" si="16"/>
        <v>0</v>
      </c>
      <c r="DC148">
        <f t="shared" si="17"/>
        <v>0</v>
      </c>
    </row>
    <row r="149" spans="1:107" x14ac:dyDescent="0.2">
      <c r="A149">
        <f>ROW(Source!A271)</f>
        <v>271</v>
      </c>
      <c r="B149">
        <v>49707740</v>
      </c>
      <c r="C149">
        <v>49708593</v>
      </c>
      <c r="D149">
        <v>48338728</v>
      </c>
      <c r="E149">
        <v>1</v>
      </c>
      <c r="F149">
        <v>1</v>
      </c>
      <c r="G149">
        <v>27</v>
      </c>
      <c r="H149">
        <v>2</v>
      </c>
      <c r="I149" t="s">
        <v>427</v>
      </c>
      <c r="J149" t="s">
        <v>428</v>
      </c>
      <c r="K149" t="s">
        <v>429</v>
      </c>
      <c r="L149">
        <v>1368</v>
      </c>
      <c r="N149">
        <v>1011</v>
      </c>
      <c r="O149" t="s">
        <v>299</v>
      </c>
      <c r="P149" t="s">
        <v>299</v>
      </c>
      <c r="Q149">
        <v>1</v>
      </c>
      <c r="W149">
        <v>0</v>
      </c>
      <c r="X149">
        <v>-1754447068</v>
      </c>
      <c r="Y149">
        <v>21.91</v>
      </c>
      <c r="AA149">
        <v>0</v>
      </c>
      <c r="AB149">
        <v>54.65</v>
      </c>
      <c r="AC149">
        <v>0.05</v>
      </c>
      <c r="AD149">
        <v>0</v>
      </c>
      <c r="AE149">
        <v>0</v>
      </c>
      <c r="AF149">
        <v>54.65</v>
      </c>
      <c r="AG149">
        <v>0.05</v>
      </c>
      <c r="AH149">
        <v>0</v>
      </c>
      <c r="AI149">
        <v>1</v>
      </c>
      <c r="AJ149">
        <v>1</v>
      </c>
      <c r="AK149">
        <v>1</v>
      </c>
      <c r="AL149">
        <v>1</v>
      </c>
      <c r="AN149">
        <v>0</v>
      </c>
      <c r="AO149">
        <v>1</v>
      </c>
      <c r="AP149">
        <v>0</v>
      </c>
      <c r="AQ149">
        <v>0</v>
      </c>
      <c r="AR149">
        <v>0</v>
      </c>
      <c r="AS149" t="s">
        <v>3</v>
      </c>
      <c r="AT149">
        <v>21.91</v>
      </c>
      <c r="AU149" t="s">
        <v>3</v>
      </c>
      <c r="AV149">
        <v>0</v>
      </c>
      <c r="AW149">
        <v>2</v>
      </c>
      <c r="AX149">
        <v>49708600</v>
      </c>
      <c r="AY149">
        <v>1</v>
      </c>
      <c r="AZ149">
        <v>0</v>
      </c>
      <c r="BA149">
        <v>142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CX149">
        <f>Y149*Source!I271</f>
        <v>0.486402</v>
      </c>
      <c r="CY149">
        <f>AB149</f>
        <v>54.65</v>
      </c>
      <c r="CZ149">
        <f>AF149</f>
        <v>54.65</v>
      </c>
      <c r="DA149">
        <f>AJ149</f>
        <v>1</v>
      </c>
      <c r="DB149">
        <f t="shared" si="16"/>
        <v>1197.3800000000001</v>
      </c>
      <c r="DC149">
        <f t="shared" si="17"/>
        <v>1.1000000000000001</v>
      </c>
    </row>
    <row r="150" spans="1:107" x14ac:dyDescent="0.2">
      <c r="A150">
        <f>ROW(Source!A271)</f>
        <v>271</v>
      </c>
      <c r="B150">
        <v>49707740</v>
      </c>
      <c r="C150">
        <v>49708593</v>
      </c>
      <c r="D150">
        <v>48341086</v>
      </c>
      <c r="E150">
        <v>1</v>
      </c>
      <c r="F150">
        <v>1</v>
      </c>
      <c r="G150">
        <v>27</v>
      </c>
      <c r="H150">
        <v>3</v>
      </c>
      <c r="I150" t="s">
        <v>386</v>
      </c>
      <c r="J150" t="s">
        <v>430</v>
      </c>
      <c r="K150" t="s">
        <v>388</v>
      </c>
      <c r="L150">
        <v>1348</v>
      </c>
      <c r="N150">
        <v>1009</v>
      </c>
      <c r="O150" t="s">
        <v>57</v>
      </c>
      <c r="P150" t="s">
        <v>57</v>
      </c>
      <c r="Q150">
        <v>1000</v>
      </c>
      <c r="W150">
        <v>0</v>
      </c>
      <c r="X150">
        <v>-672771621</v>
      </c>
      <c r="Y150">
        <v>0.03</v>
      </c>
      <c r="AA150">
        <v>110781.14</v>
      </c>
      <c r="AB150">
        <v>0</v>
      </c>
      <c r="AC150">
        <v>0</v>
      </c>
      <c r="AD150">
        <v>0</v>
      </c>
      <c r="AE150">
        <v>110781.14</v>
      </c>
      <c r="AF150">
        <v>0</v>
      </c>
      <c r="AG150">
        <v>0</v>
      </c>
      <c r="AH150">
        <v>0</v>
      </c>
      <c r="AI150">
        <v>1</v>
      </c>
      <c r="AJ150">
        <v>1</v>
      </c>
      <c r="AK150">
        <v>1</v>
      </c>
      <c r="AL150">
        <v>1</v>
      </c>
      <c r="AN150">
        <v>0</v>
      </c>
      <c r="AO150">
        <v>1</v>
      </c>
      <c r="AP150">
        <v>0</v>
      </c>
      <c r="AQ150">
        <v>0</v>
      </c>
      <c r="AR150">
        <v>0</v>
      </c>
      <c r="AS150" t="s">
        <v>3</v>
      </c>
      <c r="AT150">
        <v>0.03</v>
      </c>
      <c r="AU150" t="s">
        <v>3</v>
      </c>
      <c r="AV150">
        <v>0</v>
      </c>
      <c r="AW150">
        <v>2</v>
      </c>
      <c r="AX150">
        <v>49708601</v>
      </c>
      <c r="AY150">
        <v>1</v>
      </c>
      <c r="AZ150">
        <v>0</v>
      </c>
      <c r="BA150">
        <v>143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CX150">
        <f>Y150*Source!I271</f>
        <v>6.6600000000000003E-4</v>
      </c>
      <c r="CY150">
        <f>AA150</f>
        <v>110781.14</v>
      </c>
      <c r="CZ150">
        <f>AE150</f>
        <v>110781.14</v>
      </c>
      <c r="DA150">
        <f>AI150</f>
        <v>1</v>
      </c>
      <c r="DB150">
        <f t="shared" si="16"/>
        <v>3323.43</v>
      </c>
      <c r="DC150">
        <f t="shared" si="17"/>
        <v>0</v>
      </c>
    </row>
    <row r="151" spans="1:107" x14ac:dyDescent="0.2">
      <c r="A151">
        <f>ROW(Source!A271)</f>
        <v>271</v>
      </c>
      <c r="B151">
        <v>49707740</v>
      </c>
      <c r="C151">
        <v>49708593</v>
      </c>
      <c r="D151">
        <v>48342405</v>
      </c>
      <c r="E151">
        <v>1</v>
      </c>
      <c r="F151">
        <v>1</v>
      </c>
      <c r="G151">
        <v>27</v>
      </c>
      <c r="H151">
        <v>3</v>
      </c>
      <c r="I151" t="s">
        <v>431</v>
      </c>
      <c r="J151" t="s">
        <v>432</v>
      </c>
      <c r="K151" t="s">
        <v>433</v>
      </c>
      <c r="L151">
        <v>1348</v>
      </c>
      <c r="N151">
        <v>1009</v>
      </c>
      <c r="O151" t="s">
        <v>57</v>
      </c>
      <c r="P151" t="s">
        <v>57</v>
      </c>
      <c r="Q151">
        <v>1000</v>
      </c>
      <c r="W151">
        <v>0</v>
      </c>
      <c r="X151">
        <v>-1958973042</v>
      </c>
      <c r="Y151">
        <v>1</v>
      </c>
      <c r="AA151">
        <v>53233.52</v>
      </c>
      <c r="AB151">
        <v>0</v>
      </c>
      <c r="AC151">
        <v>0</v>
      </c>
      <c r="AD151">
        <v>0</v>
      </c>
      <c r="AE151">
        <v>53233.52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N151">
        <v>0</v>
      </c>
      <c r="AO151">
        <v>1</v>
      </c>
      <c r="AP151">
        <v>0</v>
      </c>
      <c r="AQ151">
        <v>0</v>
      </c>
      <c r="AR151">
        <v>0</v>
      </c>
      <c r="AS151" t="s">
        <v>3</v>
      </c>
      <c r="AT151">
        <v>1</v>
      </c>
      <c r="AU151" t="s">
        <v>3</v>
      </c>
      <c r="AV151">
        <v>0</v>
      </c>
      <c r="AW151">
        <v>2</v>
      </c>
      <c r="AX151">
        <v>49708602</v>
      </c>
      <c r="AY151">
        <v>1</v>
      </c>
      <c r="AZ151">
        <v>0</v>
      </c>
      <c r="BA151">
        <v>144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CX151">
        <f>Y151*Source!I271</f>
        <v>2.2200000000000001E-2</v>
      </c>
      <c r="CY151">
        <f>AA151</f>
        <v>53233.52</v>
      </c>
      <c r="CZ151">
        <f>AE151</f>
        <v>53233.52</v>
      </c>
      <c r="DA151">
        <f>AI151</f>
        <v>1</v>
      </c>
      <c r="DB151">
        <f t="shared" si="16"/>
        <v>53233.52</v>
      </c>
      <c r="DC151">
        <f t="shared" si="17"/>
        <v>0</v>
      </c>
    </row>
    <row r="152" spans="1:107" x14ac:dyDescent="0.2">
      <c r="A152">
        <f>ROW(Source!A271)</f>
        <v>271</v>
      </c>
      <c r="B152">
        <v>49707740</v>
      </c>
      <c r="C152">
        <v>49708593</v>
      </c>
      <c r="D152">
        <v>0</v>
      </c>
      <c r="E152">
        <v>23</v>
      </c>
      <c r="F152">
        <v>1</v>
      </c>
      <c r="G152">
        <v>27</v>
      </c>
      <c r="H152">
        <v>3</v>
      </c>
      <c r="I152" t="s">
        <v>55</v>
      </c>
      <c r="J152" t="s">
        <v>3</v>
      </c>
      <c r="K152" t="s">
        <v>271</v>
      </c>
      <c r="L152">
        <v>1354</v>
      </c>
      <c r="N152">
        <v>1010</v>
      </c>
      <c r="O152" t="s">
        <v>100</v>
      </c>
      <c r="P152" t="s">
        <v>100</v>
      </c>
      <c r="Q152">
        <v>1</v>
      </c>
      <c r="W152">
        <v>0</v>
      </c>
      <c r="X152">
        <v>-2028074538</v>
      </c>
      <c r="Y152">
        <v>90.090090000000004</v>
      </c>
      <c r="AA152">
        <v>3570</v>
      </c>
      <c r="AB152">
        <v>0</v>
      </c>
      <c r="AC152">
        <v>0</v>
      </c>
      <c r="AD152">
        <v>0</v>
      </c>
      <c r="AE152">
        <v>3570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1</v>
      </c>
      <c r="AL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3</v>
      </c>
      <c r="AT152">
        <v>90.090090000000004</v>
      </c>
      <c r="AU152" t="s">
        <v>3</v>
      </c>
      <c r="AV152">
        <v>0</v>
      </c>
      <c r="AW152">
        <v>1</v>
      </c>
      <c r="AX152">
        <v>-1</v>
      </c>
      <c r="AY152">
        <v>0</v>
      </c>
      <c r="AZ152">
        <v>0</v>
      </c>
      <c r="BA152" t="s">
        <v>3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CX152">
        <f>Y152*Source!I271</f>
        <v>1.9999999980000001</v>
      </c>
      <c r="CY152">
        <f>AA152</f>
        <v>3570</v>
      </c>
      <c r="CZ152">
        <f>AE152</f>
        <v>3570</v>
      </c>
      <c r="DA152">
        <f>AI152</f>
        <v>1</v>
      </c>
      <c r="DB152">
        <f t="shared" si="16"/>
        <v>321621.62</v>
      </c>
      <c r="DC152">
        <f t="shared" si="17"/>
        <v>0</v>
      </c>
    </row>
    <row r="153" spans="1:107" x14ac:dyDescent="0.2">
      <c r="A153">
        <f>ROW(Source!A311)</f>
        <v>311</v>
      </c>
      <c r="B153">
        <v>49707740</v>
      </c>
      <c r="C153">
        <v>49708604</v>
      </c>
      <c r="D153">
        <v>48326108</v>
      </c>
      <c r="E153">
        <v>27</v>
      </c>
      <c r="F153">
        <v>1</v>
      </c>
      <c r="G153">
        <v>27</v>
      </c>
      <c r="H153">
        <v>1</v>
      </c>
      <c r="I153" t="s">
        <v>293</v>
      </c>
      <c r="J153" t="s">
        <v>3</v>
      </c>
      <c r="K153" t="s">
        <v>294</v>
      </c>
      <c r="L153">
        <v>1191</v>
      </c>
      <c r="N153">
        <v>1013</v>
      </c>
      <c r="O153" t="s">
        <v>295</v>
      </c>
      <c r="P153" t="s">
        <v>295</v>
      </c>
      <c r="Q153">
        <v>1</v>
      </c>
      <c r="W153">
        <v>0</v>
      </c>
      <c r="X153">
        <v>476480486</v>
      </c>
      <c r="Y153">
        <v>18.21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1</v>
      </c>
      <c r="AL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 t="s">
        <v>3</v>
      </c>
      <c r="AT153">
        <v>18.21</v>
      </c>
      <c r="AU153" t="s">
        <v>3</v>
      </c>
      <c r="AV153">
        <v>1</v>
      </c>
      <c r="AW153">
        <v>2</v>
      </c>
      <c r="AX153">
        <v>49708612</v>
      </c>
      <c r="AY153">
        <v>1</v>
      </c>
      <c r="AZ153">
        <v>0</v>
      </c>
      <c r="BA153">
        <v>145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CX153">
        <f>Y153*Source!I311</f>
        <v>98.334000000000017</v>
      </c>
      <c r="CY153">
        <f>AD153</f>
        <v>0</v>
      </c>
      <c r="CZ153">
        <f>AH153</f>
        <v>0</v>
      </c>
      <c r="DA153">
        <f>AL153</f>
        <v>1</v>
      </c>
      <c r="DB153">
        <f t="shared" si="16"/>
        <v>0</v>
      </c>
      <c r="DC153">
        <f t="shared" si="17"/>
        <v>0</v>
      </c>
    </row>
    <row r="154" spans="1:107" x14ac:dyDescent="0.2">
      <c r="A154">
        <f>ROW(Source!A311)</f>
        <v>311</v>
      </c>
      <c r="B154">
        <v>49707740</v>
      </c>
      <c r="C154">
        <v>49708604</v>
      </c>
      <c r="D154">
        <v>48339191</v>
      </c>
      <c r="E154">
        <v>1</v>
      </c>
      <c r="F154">
        <v>1</v>
      </c>
      <c r="G154">
        <v>27</v>
      </c>
      <c r="H154">
        <v>2</v>
      </c>
      <c r="I154" t="s">
        <v>449</v>
      </c>
      <c r="J154" t="s">
        <v>450</v>
      </c>
      <c r="K154" t="s">
        <v>451</v>
      </c>
      <c r="L154">
        <v>1368</v>
      </c>
      <c r="N154">
        <v>1011</v>
      </c>
      <c r="O154" t="s">
        <v>299</v>
      </c>
      <c r="P154" t="s">
        <v>299</v>
      </c>
      <c r="Q154">
        <v>1</v>
      </c>
      <c r="W154">
        <v>0</v>
      </c>
      <c r="X154">
        <v>-1657311756</v>
      </c>
      <c r="Y154">
        <v>5.39</v>
      </c>
      <c r="AA154">
        <v>0</v>
      </c>
      <c r="AB154">
        <v>7.88</v>
      </c>
      <c r="AC154">
        <v>0.98</v>
      </c>
      <c r="AD154">
        <v>0</v>
      </c>
      <c r="AE154">
        <v>0</v>
      </c>
      <c r="AF154">
        <v>7.88</v>
      </c>
      <c r="AG154">
        <v>0.98</v>
      </c>
      <c r="AH154">
        <v>0</v>
      </c>
      <c r="AI154">
        <v>1</v>
      </c>
      <c r="AJ154">
        <v>1</v>
      </c>
      <c r="AK154">
        <v>1</v>
      </c>
      <c r="AL154">
        <v>1</v>
      </c>
      <c r="AN154">
        <v>0</v>
      </c>
      <c r="AO154">
        <v>1</v>
      </c>
      <c r="AP154">
        <v>0</v>
      </c>
      <c r="AQ154">
        <v>0</v>
      </c>
      <c r="AR154">
        <v>0</v>
      </c>
      <c r="AS154" t="s">
        <v>3</v>
      </c>
      <c r="AT154">
        <v>5.39</v>
      </c>
      <c r="AU154" t="s">
        <v>3</v>
      </c>
      <c r="AV154">
        <v>0</v>
      </c>
      <c r="AW154">
        <v>2</v>
      </c>
      <c r="AX154">
        <v>49708613</v>
      </c>
      <c r="AY154">
        <v>1</v>
      </c>
      <c r="AZ154">
        <v>0</v>
      </c>
      <c r="BA154">
        <v>146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CX154">
        <f>Y154*Source!I311</f>
        <v>29.106000000000002</v>
      </c>
      <c r="CY154">
        <f>AB154</f>
        <v>7.88</v>
      </c>
      <c r="CZ154">
        <f>AF154</f>
        <v>7.88</v>
      </c>
      <c r="DA154">
        <f>AJ154</f>
        <v>1</v>
      </c>
      <c r="DB154">
        <f t="shared" si="16"/>
        <v>42.47</v>
      </c>
      <c r="DC154">
        <f t="shared" si="17"/>
        <v>5.28</v>
      </c>
    </row>
    <row r="155" spans="1:107" x14ac:dyDescent="0.2">
      <c r="A155">
        <f>ROW(Source!A311)</f>
        <v>311</v>
      </c>
      <c r="B155">
        <v>49707740</v>
      </c>
      <c r="C155">
        <v>49708604</v>
      </c>
      <c r="D155">
        <v>48339152</v>
      </c>
      <c r="E155">
        <v>1</v>
      </c>
      <c r="F155">
        <v>1</v>
      </c>
      <c r="G155">
        <v>27</v>
      </c>
      <c r="H155">
        <v>2</v>
      </c>
      <c r="I155" t="s">
        <v>452</v>
      </c>
      <c r="J155" t="s">
        <v>453</v>
      </c>
      <c r="K155" t="s">
        <v>454</v>
      </c>
      <c r="L155">
        <v>1368</v>
      </c>
      <c r="N155">
        <v>1011</v>
      </c>
      <c r="O155" t="s">
        <v>299</v>
      </c>
      <c r="P155" t="s">
        <v>299</v>
      </c>
      <c r="Q155">
        <v>1</v>
      </c>
      <c r="W155">
        <v>0</v>
      </c>
      <c r="X155">
        <v>-1816839109</v>
      </c>
      <c r="Y155">
        <v>1.35</v>
      </c>
      <c r="AA155">
        <v>0</v>
      </c>
      <c r="AB155">
        <v>5.08</v>
      </c>
      <c r="AC155">
        <v>0.01</v>
      </c>
      <c r="AD155">
        <v>0</v>
      </c>
      <c r="AE155">
        <v>0</v>
      </c>
      <c r="AF155">
        <v>5.08</v>
      </c>
      <c r="AG155">
        <v>0.01</v>
      </c>
      <c r="AH155">
        <v>0</v>
      </c>
      <c r="AI155">
        <v>1</v>
      </c>
      <c r="AJ155">
        <v>1</v>
      </c>
      <c r="AK155">
        <v>1</v>
      </c>
      <c r="AL155">
        <v>1</v>
      </c>
      <c r="AN155">
        <v>0</v>
      </c>
      <c r="AO155">
        <v>1</v>
      </c>
      <c r="AP155">
        <v>0</v>
      </c>
      <c r="AQ155">
        <v>0</v>
      </c>
      <c r="AR155">
        <v>0</v>
      </c>
      <c r="AS155" t="s">
        <v>3</v>
      </c>
      <c r="AT155">
        <v>1.35</v>
      </c>
      <c r="AU155" t="s">
        <v>3</v>
      </c>
      <c r="AV155">
        <v>0</v>
      </c>
      <c r="AW155">
        <v>2</v>
      </c>
      <c r="AX155">
        <v>49708614</v>
      </c>
      <c r="AY155">
        <v>1</v>
      </c>
      <c r="AZ155">
        <v>0</v>
      </c>
      <c r="BA155">
        <v>147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CX155">
        <f>Y155*Source!I311</f>
        <v>7.2900000000000009</v>
      </c>
      <c r="CY155">
        <f>AB155</f>
        <v>5.08</v>
      </c>
      <c r="CZ155">
        <f>AF155</f>
        <v>5.08</v>
      </c>
      <c r="DA155">
        <f>AJ155</f>
        <v>1</v>
      </c>
      <c r="DB155">
        <f t="shared" si="16"/>
        <v>6.86</v>
      </c>
      <c r="DC155">
        <f t="shared" si="17"/>
        <v>0.01</v>
      </c>
    </row>
    <row r="156" spans="1:107" x14ac:dyDescent="0.2">
      <c r="A156">
        <f>ROW(Source!A311)</f>
        <v>311</v>
      </c>
      <c r="B156">
        <v>49707740</v>
      </c>
      <c r="C156">
        <v>49708604</v>
      </c>
      <c r="D156">
        <v>48341981</v>
      </c>
      <c r="E156">
        <v>1</v>
      </c>
      <c r="F156">
        <v>1</v>
      </c>
      <c r="G156">
        <v>27</v>
      </c>
      <c r="H156">
        <v>3</v>
      </c>
      <c r="I156" t="s">
        <v>455</v>
      </c>
      <c r="J156" t="s">
        <v>456</v>
      </c>
      <c r="K156" t="s">
        <v>457</v>
      </c>
      <c r="L156">
        <v>1354</v>
      </c>
      <c r="N156">
        <v>1010</v>
      </c>
      <c r="O156" t="s">
        <v>100</v>
      </c>
      <c r="P156" t="s">
        <v>100</v>
      </c>
      <c r="Q156">
        <v>1</v>
      </c>
      <c r="W156">
        <v>0</v>
      </c>
      <c r="X156">
        <v>-1468002338</v>
      </c>
      <c r="Y156">
        <v>10</v>
      </c>
      <c r="AA156">
        <v>779.48</v>
      </c>
      <c r="AB156">
        <v>0</v>
      </c>
      <c r="AC156">
        <v>0</v>
      </c>
      <c r="AD156">
        <v>0</v>
      </c>
      <c r="AE156">
        <v>779.48</v>
      </c>
      <c r="AF156">
        <v>0</v>
      </c>
      <c r="AG156">
        <v>0</v>
      </c>
      <c r="AH156">
        <v>0</v>
      </c>
      <c r="AI156">
        <v>1</v>
      </c>
      <c r="AJ156">
        <v>1</v>
      </c>
      <c r="AK156">
        <v>1</v>
      </c>
      <c r="AL156">
        <v>1</v>
      </c>
      <c r="AN156">
        <v>0</v>
      </c>
      <c r="AO156">
        <v>1</v>
      </c>
      <c r="AP156">
        <v>0</v>
      </c>
      <c r="AQ156">
        <v>0</v>
      </c>
      <c r="AR156">
        <v>0</v>
      </c>
      <c r="AS156" t="s">
        <v>3</v>
      </c>
      <c r="AT156">
        <v>10</v>
      </c>
      <c r="AU156" t="s">
        <v>3</v>
      </c>
      <c r="AV156">
        <v>0</v>
      </c>
      <c r="AW156">
        <v>2</v>
      </c>
      <c r="AX156">
        <v>49708615</v>
      </c>
      <c r="AY156">
        <v>1</v>
      </c>
      <c r="AZ156">
        <v>0</v>
      </c>
      <c r="BA156">
        <v>148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CX156">
        <f>Y156*Source!I311</f>
        <v>54</v>
      </c>
      <c r="CY156">
        <f>AA156</f>
        <v>779.48</v>
      </c>
      <c r="CZ156">
        <f>AE156</f>
        <v>779.48</v>
      </c>
      <c r="DA156">
        <f>AI156</f>
        <v>1</v>
      </c>
      <c r="DB156">
        <f t="shared" si="16"/>
        <v>7794.8</v>
      </c>
      <c r="DC156">
        <f t="shared" si="17"/>
        <v>0</v>
      </c>
    </row>
    <row r="157" spans="1:107" x14ac:dyDescent="0.2">
      <c r="A157">
        <f>ROW(Source!A311)</f>
        <v>311</v>
      </c>
      <c r="B157">
        <v>49707740</v>
      </c>
      <c r="C157">
        <v>49708604</v>
      </c>
      <c r="D157">
        <v>48341686</v>
      </c>
      <c r="E157">
        <v>1</v>
      </c>
      <c r="F157">
        <v>1</v>
      </c>
      <c r="G157">
        <v>27</v>
      </c>
      <c r="H157">
        <v>3</v>
      </c>
      <c r="I157" t="s">
        <v>458</v>
      </c>
      <c r="J157" t="s">
        <v>459</v>
      </c>
      <c r="K157" t="s">
        <v>460</v>
      </c>
      <c r="L157">
        <v>1346</v>
      </c>
      <c r="N157">
        <v>1009</v>
      </c>
      <c r="O157" t="s">
        <v>370</v>
      </c>
      <c r="P157" t="s">
        <v>370</v>
      </c>
      <c r="Q157">
        <v>1</v>
      </c>
      <c r="W157">
        <v>0</v>
      </c>
      <c r="X157">
        <v>-2070786500</v>
      </c>
      <c r="Y157">
        <v>3.9</v>
      </c>
      <c r="AA157">
        <v>534.36</v>
      </c>
      <c r="AB157">
        <v>0</v>
      </c>
      <c r="AC157">
        <v>0</v>
      </c>
      <c r="AD157">
        <v>0</v>
      </c>
      <c r="AE157">
        <v>534.36</v>
      </c>
      <c r="AF157">
        <v>0</v>
      </c>
      <c r="AG157">
        <v>0</v>
      </c>
      <c r="AH157">
        <v>0</v>
      </c>
      <c r="AI157">
        <v>1</v>
      </c>
      <c r="AJ157">
        <v>1</v>
      </c>
      <c r="AK157">
        <v>1</v>
      </c>
      <c r="AL157">
        <v>1</v>
      </c>
      <c r="AN157">
        <v>0</v>
      </c>
      <c r="AO157">
        <v>1</v>
      </c>
      <c r="AP157">
        <v>0</v>
      </c>
      <c r="AQ157">
        <v>0</v>
      </c>
      <c r="AR157">
        <v>0</v>
      </c>
      <c r="AS157" t="s">
        <v>3</v>
      </c>
      <c r="AT157">
        <v>3.9</v>
      </c>
      <c r="AU157" t="s">
        <v>3</v>
      </c>
      <c r="AV157">
        <v>0</v>
      </c>
      <c r="AW157">
        <v>2</v>
      </c>
      <c r="AX157">
        <v>49708616</v>
      </c>
      <c r="AY157">
        <v>1</v>
      </c>
      <c r="AZ157">
        <v>0</v>
      </c>
      <c r="BA157">
        <v>149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CX157">
        <f>Y157*Source!I311</f>
        <v>21.060000000000002</v>
      </c>
      <c r="CY157">
        <f>AA157</f>
        <v>534.36</v>
      </c>
      <c r="CZ157">
        <f>AE157</f>
        <v>534.36</v>
      </c>
      <c r="DA157">
        <f>AI157</f>
        <v>1</v>
      </c>
      <c r="DB157">
        <f t="shared" si="16"/>
        <v>2084</v>
      </c>
      <c r="DC157">
        <f t="shared" si="17"/>
        <v>0</v>
      </c>
    </row>
    <row r="158" spans="1:107" x14ac:dyDescent="0.2">
      <c r="A158">
        <f>ROW(Source!A311)</f>
        <v>311</v>
      </c>
      <c r="B158">
        <v>49707740</v>
      </c>
      <c r="C158">
        <v>49708604</v>
      </c>
      <c r="D158">
        <v>48343404</v>
      </c>
      <c r="E158">
        <v>1</v>
      </c>
      <c r="F158">
        <v>1</v>
      </c>
      <c r="G158">
        <v>27</v>
      </c>
      <c r="H158">
        <v>3</v>
      </c>
      <c r="I158" t="s">
        <v>461</v>
      </c>
      <c r="J158" t="s">
        <v>462</v>
      </c>
      <c r="K158" t="s">
        <v>463</v>
      </c>
      <c r="L158">
        <v>1354</v>
      </c>
      <c r="N158">
        <v>1010</v>
      </c>
      <c r="O158" t="s">
        <v>100</v>
      </c>
      <c r="P158" t="s">
        <v>100</v>
      </c>
      <c r="Q158">
        <v>1</v>
      </c>
      <c r="W158">
        <v>0</v>
      </c>
      <c r="X158">
        <v>-1967693514</v>
      </c>
      <c r="Y158">
        <v>4</v>
      </c>
      <c r="AA158">
        <v>1999.67</v>
      </c>
      <c r="AB158">
        <v>0</v>
      </c>
      <c r="AC158">
        <v>0</v>
      </c>
      <c r="AD158">
        <v>0</v>
      </c>
      <c r="AE158">
        <v>1999.67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1</v>
      </c>
      <c r="AL158">
        <v>1</v>
      </c>
      <c r="AN158">
        <v>0</v>
      </c>
      <c r="AO158">
        <v>1</v>
      </c>
      <c r="AP158">
        <v>0</v>
      </c>
      <c r="AQ158">
        <v>0</v>
      </c>
      <c r="AR158">
        <v>0</v>
      </c>
      <c r="AS158" t="s">
        <v>3</v>
      </c>
      <c r="AT158">
        <v>4</v>
      </c>
      <c r="AU158" t="s">
        <v>3</v>
      </c>
      <c r="AV158">
        <v>0</v>
      </c>
      <c r="AW158">
        <v>2</v>
      </c>
      <c r="AX158">
        <v>49708617</v>
      </c>
      <c r="AY158">
        <v>1</v>
      </c>
      <c r="AZ158">
        <v>0</v>
      </c>
      <c r="BA158">
        <v>150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CX158">
        <f>Y158*Source!I311</f>
        <v>21.6</v>
      </c>
      <c r="CY158">
        <f>AA158</f>
        <v>1999.67</v>
      </c>
      <c r="CZ158">
        <f>AE158</f>
        <v>1999.67</v>
      </c>
      <c r="DA158">
        <f>AI158</f>
        <v>1</v>
      </c>
      <c r="DB158">
        <f t="shared" si="16"/>
        <v>7998.68</v>
      </c>
      <c r="DC158">
        <f t="shared" si="17"/>
        <v>0</v>
      </c>
    </row>
    <row r="159" spans="1:107" x14ac:dyDescent="0.2">
      <c r="A159">
        <f>ROW(Source!A311)</f>
        <v>311</v>
      </c>
      <c r="B159">
        <v>49707740</v>
      </c>
      <c r="C159">
        <v>49708604</v>
      </c>
      <c r="D159">
        <v>48343519</v>
      </c>
      <c r="E159">
        <v>1</v>
      </c>
      <c r="F159">
        <v>1</v>
      </c>
      <c r="G159">
        <v>27</v>
      </c>
      <c r="H159">
        <v>3</v>
      </c>
      <c r="I159" t="s">
        <v>464</v>
      </c>
      <c r="J159" t="s">
        <v>465</v>
      </c>
      <c r="K159" t="s">
        <v>466</v>
      </c>
      <c r="L159">
        <v>1354</v>
      </c>
      <c r="N159">
        <v>1010</v>
      </c>
      <c r="O159" t="s">
        <v>100</v>
      </c>
      <c r="P159" t="s">
        <v>100</v>
      </c>
      <c r="Q159">
        <v>1</v>
      </c>
      <c r="W159">
        <v>0</v>
      </c>
      <c r="X159">
        <v>1946893366</v>
      </c>
      <c r="Y159">
        <v>60</v>
      </c>
      <c r="AA159">
        <v>30.72</v>
      </c>
      <c r="AB159">
        <v>0</v>
      </c>
      <c r="AC159">
        <v>0</v>
      </c>
      <c r="AD159">
        <v>0</v>
      </c>
      <c r="AE159">
        <v>30.72</v>
      </c>
      <c r="AF159">
        <v>0</v>
      </c>
      <c r="AG159">
        <v>0</v>
      </c>
      <c r="AH159">
        <v>0</v>
      </c>
      <c r="AI159">
        <v>1</v>
      </c>
      <c r="AJ159">
        <v>1</v>
      </c>
      <c r="AK159">
        <v>1</v>
      </c>
      <c r="AL159">
        <v>1</v>
      </c>
      <c r="AN159">
        <v>0</v>
      </c>
      <c r="AO159">
        <v>1</v>
      </c>
      <c r="AP159">
        <v>0</v>
      </c>
      <c r="AQ159">
        <v>0</v>
      </c>
      <c r="AR159">
        <v>0</v>
      </c>
      <c r="AS159" t="s">
        <v>3</v>
      </c>
      <c r="AT159">
        <v>60</v>
      </c>
      <c r="AU159" t="s">
        <v>3</v>
      </c>
      <c r="AV159">
        <v>0</v>
      </c>
      <c r="AW159">
        <v>2</v>
      </c>
      <c r="AX159">
        <v>49708618</v>
      </c>
      <c r="AY159">
        <v>1</v>
      </c>
      <c r="AZ159">
        <v>0</v>
      </c>
      <c r="BA159">
        <v>151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CX159">
        <f>Y159*Source!I311</f>
        <v>324</v>
      </c>
      <c r="CY159">
        <f>AA159</f>
        <v>30.72</v>
      </c>
      <c r="CZ159">
        <f>AE159</f>
        <v>30.72</v>
      </c>
      <c r="DA159">
        <f>AI159</f>
        <v>1</v>
      </c>
      <c r="DB159">
        <f t="shared" si="16"/>
        <v>1843.2</v>
      </c>
      <c r="DC159">
        <f t="shared" si="17"/>
        <v>0</v>
      </c>
    </row>
    <row r="160" spans="1:107" x14ac:dyDescent="0.2">
      <c r="A160">
        <f>ROW(Source!A312)</f>
        <v>312</v>
      </c>
      <c r="B160">
        <v>49707740</v>
      </c>
      <c r="C160">
        <v>49708619</v>
      </c>
      <c r="D160">
        <v>48326108</v>
      </c>
      <c r="E160">
        <v>27</v>
      </c>
      <c r="F160">
        <v>1</v>
      </c>
      <c r="G160">
        <v>27</v>
      </c>
      <c r="H160">
        <v>1</v>
      </c>
      <c r="I160" t="s">
        <v>293</v>
      </c>
      <c r="J160" t="s">
        <v>3</v>
      </c>
      <c r="K160" t="s">
        <v>294</v>
      </c>
      <c r="L160">
        <v>1191</v>
      </c>
      <c r="N160">
        <v>1013</v>
      </c>
      <c r="O160" t="s">
        <v>295</v>
      </c>
      <c r="P160" t="s">
        <v>295</v>
      </c>
      <c r="Q160">
        <v>1</v>
      </c>
      <c r="W160">
        <v>0</v>
      </c>
      <c r="X160">
        <v>476480486</v>
      </c>
      <c r="Y160">
        <v>12.15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1</v>
      </c>
      <c r="AJ160">
        <v>1</v>
      </c>
      <c r="AK160">
        <v>1</v>
      </c>
      <c r="AL160">
        <v>1</v>
      </c>
      <c r="AN160">
        <v>0</v>
      </c>
      <c r="AO160">
        <v>1</v>
      </c>
      <c r="AP160">
        <v>0</v>
      </c>
      <c r="AQ160">
        <v>0</v>
      </c>
      <c r="AR160">
        <v>0</v>
      </c>
      <c r="AS160" t="s">
        <v>3</v>
      </c>
      <c r="AT160">
        <v>12.15</v>
      </c>
      <c r="AU160" t="s">
        <v>3</v>
      </c>
      <c r="AV160">
        <v>1</v>
      </c>
      <c r="AW160">
        <v>2</v>
      </c>
      <c r="AX160">
        <v>49708627</v>
      </c>
      <c r="AY160">
        <v>1</v>
      </c>
      <c r="AZ160">
        <v>0</v>
      </c>
      <c r="BA160">
        <v>152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CX160">
        <f>Y160*Source!I312</f>
        <v>14.58</v>
      </c>
      <c r="CY160">
        <f>AD160</f>
        <v>0</v>
      </c>
      <c r="CZ160">
        <f>AH160</f>
        <v>0</v>
      </c>
      <c r="DA160">
        <f>AL160</f>
        <v>1</v>
      </c>
      <c r="DB160">
        <f t="shared" si="16"/>
        <v>0</v>
      </c>
      <c r="DC160">
        <f t="shared" si="17"/>
        <v>0</v>
      </c>
    </row>
    <row r="161" spans="1:107" x14ac:dyDescent="0.2">
      <c r="A161">
        <f>ROW(Source!A312)</f>
        <v>312</v>
      </c>
      <c r="B161">
        <v>49707740</v>
      </c>
      <c r="C161">
        <v>49708619</v>
      </c>
      <c r="D161">
        <v>48339191</v>
      </c>
      <c r="E161">
        <v>1</v>
      </c>
      <c r="F161">
        <v>1</v>
      </c>
      <c r="G161">
        <v>27</v>
      </c>
      <c r="H161">
        <v>2</v>
      </c>
      <c r="I161" t="s">
        <v>449</v>
      </c>
      <c r="J161" t="s">
        <v>450</v>
      </c>
      <c r="K161" t="s">
        <v>451</v>
      </c>
      <c r="L161">
        <v>1368</v>
      </c>
      <c r="N161">
        <v>1011</v>
      </c>
      <c r="O161" t="s">
        <v>299</v>
      </c>
      <c r="P161" t="s">
        <v>299</v>
      </c>
      <c r="Q161">
        <v>1</v>
      </c>
      <c r="W161">
        <v>0</v>
      </c>
      <c r="X161">
        <v>-1657311756</v>
      </c>
      <c r="Y161">
        <v>3.59</v>
      </c>
      <c r="AA161">
        <v>0</v>
      </c>
      <c r="AB161">
        <v>7.88</v>
      </c>
      <c r="AC161">
        <v>0.98</v>
      </c>
      <c r="AD161">
        <v>0</v>
      </c>
      <c r="AE161">
        <v>0</v>
      </c>
      <c r="AF161">
        <v>7.88</v>
      </c>
      <c r="AG161">
        <v>0.98</v>
      </c>
      <c r="AH161">
        <v>0</v>
      </c>
      <c r="AI161">
        <v>1</v>
      </c>
      <c r="AJ161">
        <v>1</v>
      </c>
      <c r="AK161">
        <v>1</v>
      </c>
      <c r="AL161">
        <v>1</v>
      </c>
      <c r="AN161">
        <v>0</v>
      </c>
      <c r="AO161">
        <v>1</v>
      </c>
      <c r="AP161">
        <v>0</v>
      </c>
      <c r="AQ161">
        <v>0</v>
      </c>
      <c r="AR161">
        <v>0</v>
      </c>
      <c r="AS161" t="s">
        <v>3</v>
      </c>
      <c r="AT161">
        <v>3.59</v>
      </c>
      <c r="AU161" t="s">
        <v>3</v>
      </c>
      <c r="AV161">
        <v>0</v>
      </c>
      <c r="AW161">
        <v>2</v>
      </c>
      <c r="AX161">
        <v>49708628</v>
      </c>
      <c r="AY161">
        <v>1</v>
      </c>
      <c r="AZ161">
        <v>0</v>
      </c>
      <c r="BA161">
        <v>153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CX161">
        <f>Y161*Source!I312</f>
        <v>4.3079999999999998</v>
      </c>
      <c r="CY161">
        <f>AB161</f>
        <v>7.88</v>
      </c>
      <c r="CZ161">
        <f>AF161</f>
        <v>7.88</v>
      </c>
      <c r="DA161">
        <f>AJ161</f>
        <v>1</v>
      </c>
      <c r="DB161">
        <f t="shared" si="16"/>
        <v>28.29</v>
      </c>
      <c r="DC161">
        <f t="shared" si="17"/>
        <v>3.52</v>
      </c>
    </row>
    <row r="162" spans="1:107" x14ac:dyDescent="0.2">
      <c r="A162">
        <f>ROW(Source!A312)</f>
        <v>312</v>
      </c>
      <c r="B162">
        <v>49707740</v>
      </c>
      <c r="C162">
        <v>49708619</v>
      </c>
      <c r="D162">
        <v>48339152</v>
      </c>
      <c r="E162">
        <v>1</v>
      </c>
      <c r="F162">
        <v>1</v>
      </c>
      <c r="G162">
        <v>27</v>
      </c>
      <c r="H162">
        <v>2</v>
      </c>
      <c r="I162" t="s">
        <v>452</v>
      </c>
      <c r="J162" t="s">
        <v>453</v>
      </c>
      <c r="K162" t="s">
        <v>454</v>
      </c>
      <c r="L162">
        <v>1368</v>
      </c>
      <c r="N162">
        <v>1011</v>
      </c>
      <c r="O162" t="s">
        <v>299</v>
      </c>
      <c r="P162" t="s">
        <v>299</v>
      </c>
      <c r="Q162">
        <v>1</v>
      </c>
      <c r="W162">
        <v>0</v>
      </c>
      <c r="X162">
        <v>-1816839109</v>
      </c>
      <c r="Y162">
        <v>0.9</v>
      </c>
      <c r="AA162">
        <v>0</v>
      </c>
      <c r="AB162">
        <v>5.08</v>
      </c>
      <c r="AC162">
        <v>0.01</v>
      </c>
      <c r="AD162">
        <v>0</v>
      </c>
      <c r="AE162">
        <v>0</v>
      </c>
      <c r="AF162">
        <v>5.08</v>
      </c>
      <c r="AG162">
        <v>0.01</v>
      </c>
      <c r="AH162">
        <v>0</v>
      </c>
      <c r="AI162">
        <v>1</v>
      </c>
      <c r="AJ162">
        <v>1</v>
      </c>
      <c r="AK162">
        <v>1</v>
      </c>
      <c r="AL162">
        <v>1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3</v>
      </c>
      <c r="AT162">
        <v>0.9</v>
      </c>
      <c r="AU162" t="s">
        <v>3</v>
      </c>
      <c r="AV162">
        <v>0</v>
      </c>
      <c r="AW162">
        <v>2</v>
      </c>
      <c r="AX162">
        <v>49708629</v>
      </c>
      <c r="AY162">
        <v>1</v>
      </c>
      <c r="AZ162">
        <v>0</v>
      </c>
      <c r="BA162">
        <v>154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CX162">
        <f>Y162*Source!I312</f>
        <v>1.08</v>
      </c>
      <c r="CY162">
        <f>AB162</f>
        <v>5.08</v>
      </c>
      <c r="CZ162">
        <f>AF162</f>
        <v>5.08</v>
      </c>
      <c r="DA162">
        <f>AJ162</f>
        <v>1</v>
      </c>
      <c r="DB162">
        <f t="shared" si="16"/>
        <v>4.57</v>
      </c>
      <c r="DC162">
        <f t="shared" si="17"/>
        <v>0.01</v>
      </c>
    </row>
    <row r="163" spans="1:107" x14ac:dyDescent="0.2">
      <c r="A163">
        <f>ROW(Source!A312)</f>
        <v>312</v>
      </c>
      <c r="B163">
        <v>49707740</v>
      </c>
      <c r="C163">
        <v>49708619</v>
      </c>
      <c r="D163">
        <v>48341982</v>
      </c>
      <c r="E163">
        <v>1</v>
      </c>
      <c r="F163">
        <v>1</v>
      </c>
      <c r="G163">
        <v>27</v>
      </c>
      <c r="H163">
        <v>3</v>
      </c>
      <c r="I163" t="s">
        <v>467</v>
      </c>
      <c r="J163" t="s">
        <v>468</v>
      </c>
      <c r="K163" t="s">
        <v>469</v>
      </c>
      <c r="L163">
        <v>1354</v>
      </c>
      <c r="N163">
        <v>1010</v>
      </c>
      <c r="O163" t="s">
        <v>100</v>
      </c>
      <c r="P163" t="s">
        <v>100</v>
      </c>
      <c r="Q163">
        <v>1</v>
      </c>
      <c r="W163">
        <v>0</v>
      </c>
      <c r="X163">
        <v>615831013</v>
      </c>
      <c r="Y163">
        <v>10</v>
      </c>
      <c r="AA163">
        <v>385.19</v>
      </c>
      <c r="AB163">
        <v>0</v>
      </c>
      <c r="AC163">
        <v>0</v>
      </c>
      <c r="AD163">
        <v>0</v>
      </c>
      <c r="AE163">
        <v>385.19</v>
      </c>
      <c r="AF163">
        <v>0</v>
      </c>
      <c r="AG163">
        <v>0</v>
      </c>
      <c r="AH163">
        <v>0</v>
      </c>
      <c r="AI163">
        <v>1</v>
      </c>
      <c r="AJ163">
        <v>1</v>
      </c>
      <c r="AK163">
        <v>1</v>
      </c>
      <c r="AL163">
        <v>1</v>
      </c>
      <c r="AN163">
        <v>0</v>
      </c>
      <c r="AO163">
        <v>1</v>
      </c>
      <c r="AP163">
        <v>0</v>
      </c>
      <c r="AQ163">
        <v>0</v>
      </c>
      <c r="AR163">
        <v>0</v>
      </c>
      <c r="AS163" t="s">
        <v>3</v>
      </c>
      <c r="AT163">
        <v>10</v>
      </c>
      <c r="AU163" t="s">
        <v>3</v>
      </c>
      <c r="AV163">
        <v>0</v>
      </c>
      <c r="AW163">
        <v>2</v>
      </c>
      <c r="AX163">
        <v>49708630</v>
      </c>
      <c r="AY163">
        <v>1</v>
      </c>
      <c r="AZ163">
        <v>0</v>
      </c>
      <c r="BA163">
        <v>155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CX163">
        <f>Y163*Source!I312</f>
        <v>12</v>
      </c>
      <c r="CY163">
        <f>AA163</f>
        <v>385.19</v>
      </c>
      <c r="CZ163">
        <f>AE163</f>
        <v>385.19</v>
      </c>
      <c r="DA163">
        <f>AI163</f>
        <v>1</v>
      </c>
      <c r="DB163">
        <f t="shared" si="16"/>
        <v>3851.9</v>
      </c>
      <c r="DC163">
        <f t="shared" si="17"/>
        <v>0</v>
      </c>
    </row>
    <row r="164" spans="1:107" x14ac:dyDescent="0.2">
      <c r="A164">
        <f>ROW(Source!A312)</f>
        <v>312</v>
      </c>
      <c r="B164">
        <v>49707740</v>
      </c>
      <c r="C164">
        <v>49708619</v>
      </c>
      <c r="D164">
        <v>48341686</v>
      </c>
      <c r="E164">
        <v>1</v>
      </c>
      <c r="F164">
        <v>1</v>
      </c>
      <c r="G164">
        <v>27</v>
      </c>
      <c r="H164">
        <v>3</v>
      </c>
      <c r="I164" t="s">
        <v>458</v>
      </c>
      <c r="J164" t="s">
        <v>459</v>
      </c>
      <c r="K164" t="s">
        <v>460</v>
      </c>
      <c r="L164">
        <v>1346</v>
      </c>
      <c r="N164">
        <v>1009</v>
      </c>
      <c r="O164" t="s">
        <v>370</v>
      </c>
      <c r="P164" t="s">
        <v>370</v>
      </c>
      <c r="Q164">
        <v>1</v>
      </c>
      <c r="W164">
        <v>0</v>
      </c>
      <c r="X164">
        <v>-2070786500</v>
      </c>
      <c r="Y164">
        <v>2.6</v>
      </c>
      <c r="AA164">
        <v>534.36</v>
      </c>
      <c r="AB164">
        <v>0</v>
      </c>
      <c r="AC164">
        <v>0</v>
      </c>
      <c r="AD164">
        <v>0</v>
      </c>
      <c r="AE164">
        <v>534.36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N164">
        <v>0</v>
      </c>
      <c r="AO164">
        <v>1</v>
      </c>
      <c r="AP164">
        <v>0</v>
      </c>
      <c r="AQ164">
        <v>0</v>
      </c>
      <c r="AR164">
        <v>0</v>
      </c>
      <c r="AS164" t="s">
        <v>3</v>
      </c>
      <c r="AT164">
        <v>2.6</v>
      </c>
      <c r="AU164" t="s">
        <v>3</v>
      </c>
      <c r="AV164">
        <v>0</v>
      </c>
      <c r="AW164">
        <v>2</v>
      </c>
      <c r="AX164">
        <v>49708631</v>
      </c>
      <c r="AY164">
        <v>1</v>
      </c>
      <c r="AZ164">
        <v>0</v>
      </c>
      <c r="BA164">
        <v>156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CX164">
        <f>Y164*Source!I312</f>
        <v>3.12</v>
      </c>
      <c r="CY164">
        <f>AA164</f>
        <v>534.36</v>
      </c>
      <c r="CZ164">
        <f>AE164</f>
        <v>534.36</v>
      </c>
      <c r="DA164">
        <f>AI164</f>
        <v>1</v>
      </c>
      <c r="DB164">
        <f t="shared" si="16"/>
        <v>1389.34</v>
      </c>
      <c r="DC164">
        <f t="shared" si="17"/>
        <v>0</v>
      </c>
    </row>
    <row r="165" spans="1:107" x14ac:dyDescent="0.2">
      <c r="A165">
        <f>ROW(Source!A312)</f>
        <v>312</v>
      </c>
      <c r="B165">
        <v>49707740</v>
      </c>
      <c r="C165">
        <v>49708619</v>
      </c>
      <c r="D165">
        <v>48343404</v>
      </c>
      <c r="E165">
        <v>1</v>
      </c>
      <c r="F165">
        <v>1</v>
      </c>
      <c r="G165">
        <v>27</v>
      </c>
      <c r="H165">
        <v>3</v>
      </c>
      <c r="I165" t="s">
        <v>461</v>
      </c>
      <c r="J165" t="s">
        <v>462</v>
      </c>
      <c r="K165" t="s">
        <v>463</v>
      </c>
      <c r="L165">
        <v>1354</v>
      </c>
      <c r="N165">
        <v>1010</v>
      </c>
      <c r="O165" t="s">
        <v>100</v>
      </c>
      <c r="P165" t="s">
        <v>100</v>
      </c>
      <c r="Q165">
        <v>1</v>
      </c>
      <c r="W165">
        <v>0</v>
      </c>
      <c r="X165">
        <v>-1967693514</v>
      </c>
      <c r="Y165">
        <v>2.7</v>
      </c>
      <c r="AA165">
        <v>1999.67</v>
      </c>
      <c r="AB165">
        <v>0</v>
      </c>
      <c r="AC165">
        <v>0</v>
      </c>
      <c r="AD165">
        <v>0</v>
      </c>
      <c r="AE165">
        <v>1999.67</v>
      </c>
      <c r="AF165">
        <v>0</v>
      </c>
      <c r="AG165">
        <v>0</v>
      </c>
      <c r="AH165">
        <v>0</v>
      </c>
      <c r="AI165">
        <v>1</v>
      </c>
      <c r="AJ165">
        <v>1</v>
      </c>
      <c r="AK165">
        <v>1</v>
      </c>
      <c r="AL165">
        <v>1</v>
      </c>
      <c r="AN165">
        <v>0</v>
      </c>
      <c r="AO165">
        <v>1</v>
      </c>
      <c r="AP165">
        <v>0</v>
      </c>
      <c r="AQ165">
        <v>0</v>
      </c>
      <c r="AR165">
        <v>0</v>
      </c>
      <c r="AS165" t="s">
        <v>3</v>
      </c>
      <c r="AT165">
        <v>2.7</v>
      </c>
      <c r="AU165" t="s">
        <v>3</v>
      </c>
      <c r="AV165">
        <v>0</v>
      </c>
      <c r="AW165">
        <v>2</v>
      </c>
      <c r="AX165">
        <v>49708632</v>
      </c>
      <c r="AY165">
        <v>1</v>
      </c>
      <c r="AZ165">
        <v>0</v>
      </c>
      <c r="BA165">
        <v>157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CX165">
        <f>Y165*Source!I312</f>
        <v>3.24</v>
      </c>
      <c r="CY165">
        <f>AA165</f>
        <v>1999.67</v>
      </c>
      <c r="CZ165">
        <f>AE165</f>
        <v>1999.67</v>
      </c>
      <c r="DA165">
        <f>AI165</f>
        <v>1</v>
      </c>
      <c r="DB165">
        <f t="shared" si="16"/>
        <v>5399.11</v>
      </c>
      <c r="DC165">
        <f t="shared" si="17"/>
        <v>0</v>
      </c>
    </row>
    <row r="166" spans="1:107" x14ac:dyDescent="0.2">
      <c r="A166">
        <f>ROW(Source!A312)</f>
        <v>312</v>
      </c>
      <c r="B166">
        <v>49707740</v>
      </c>
      <c r="C166">
        <v>49708619</v>
      </c>
      <c r="D166">
        <v>48343519</v>
      </c>
      <c r="E166">
        <v>1</v>
      </c>
      <c r="F166">
        <v>1</v>
      </c>
      <c r="G166">
        <v>27</v>
      </c>
      <c r="H166">
        <v>3</v>
      </c>
      <c r="I166" t="s">
        <v>464</v>
      </c>
      <c r="J166" t="s">
        <v>465</v>
      </c>
      <c r="K166" t="s">
        <v>466</v>
      </c>
      <c r="L166">
        <v>1354</v>
      </c>
      <c r="N166">
        <v>1010</v>
      </c>
      <c r="O166" t="s">
        <v>100</v>
      </c>
      <c r="P166" t="s">
        <v>100</v>
      </c>
      <c r="Q166">
        <v>1</v>
      </c>
      <c r="W166">
        <v>0</v>
      </c>
      <c r="X166">
        <v>1946893366</v>
      </c>
      <c r="Y166">
        <v>40</v>
      </c>
      <c r="AA166">
        <v>30.72</v>
      </c>
      <c r="AB166">
        <v>0</v>
      </c>
      <c r="AC166">
        <v>0</v>
      </c>
      <c r="AD166">
        <v>0</v>
      </c>
      <c r="AE166">
        <v>30.72</v>
      </c>
      <c r="AF166">
        <v>0</v>
      </c>
      <c r="AG166">
        <v>0</v>
      </c>
      <c r="AH166">
        <v>0</v>
      </c>
      <c r="AI166">
        <v>1</v>
      </c>
      <c r="AJ166">
        <v>1</v>
      </c>
      <c r="AK166">
        <v>1</v>
      </c>
      <c r="AL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 t="s">
        <v>3</v>
      </c>
      <c r="AT166">
        <v>40</v>
      </c>
      <c r="AU166" t="s">
        <v>3</v>
      </c>
      <c r="AV166">
        <v>0</v>
      </c>
      <c r="AW166">
        <v>2</v>
      </c>
      <c r="AX166">
        <v>49708633</v>
      </c>
      <c r="AY166">
        <v>1</v>
      </c>
      <c r="AZ166">
        <v>0</v>
      </c>
      <c r="BA166">
        <v>158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CX166">
        <f>Y166*Source!I312</f>
        <v>48</v>
      </c>
      <c r="CY166">
        <f>AA166</f>
        <v>30.72</v>
      </c>
      <c r="CZ166">
        <f>AE166</f>
        <v>30.72</v>
      </c>
      <c r="DA166">
        <f>AI166</f>
        <v>1</v>
      </c>
      <c r="DB166">
        <f t="shared" si="16"/>
        <v>1228.8</v>
      </c>
      <c r="DC166">
        <f t="shared" si="17"/>
        <v>0</v>
      </c>
    </row>
    <row r="167" spans="1:107" x14ac:dyDescent="0.2">
      <c r="A167">
        <f>ROW(Source!A313)</f>
        <v>313</v>
      </c>
      <c r="B167">
        <v>49707740</v>
      </c>
      <c r="C167">
        <v>49708634</v>
      </c>
      <c r="D167">
        <v>48326108</v>
      </c>
      <c r="E167">
        <v>27</v>
      </c>
      <c r="F167">
        <v>1</v>
      </c>
      <c r="G167">
        <v>27</v>
      </c>
      <c r="H167">
        <v>1</v>
      </c>
      <c r="I167" t="s">
        <v>293</v>
      </c>
      <c r="J167" t="s">
        <v>3</v>
      </c>
      <c r="K167" t="s">
        <v>294</v>
      </c>
      <c r="L167">
        <v>1191</v>
      </c>
      <c r="N167">
        <v>1013</v>
      </c>
      <c r="O167" t="s">
        <v>295</v>
      </c>
      <c r="P167" t="s">
        <v>295</v>
      </c>
      <c r="Q167">
        <v>1</v>
      </c>
      <c r="W167">
        <v>0</v>
      </c>
      <c r="X167">
        <v>476480486</v>
      </c>
      <c r="Y167">
        <v>342.54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N167">
        <v>0</v>
      </c>
      <c r="AO167">
        <v>1</v>
      </c>
      <c r="AP167">
        <v>0</v>
      </c>
      <c r="AQ167">
        <v>0</v>
      </c>
      <c r="AR167">
        <v>0</v>
      </c>
      <c r="AS167" t="s">
        <v>3</v>
      </c>
      <c r="AT167">
        <v>342.54</v>
      </c>
      <c r="AU167" t="s">
        <v>3</v>
      </c>
      <c r="AV167">
        <v>1</v>
      </c>
      <c r="AW167">
        <v>2</v>
      </c>
      <c r="AX167">
        <v>49708640</v>
      </c>
      <c r="AY167">
        <v>1</v>
      </c>
      <c r="AZ167">
        <v>0</v>
      </c>
      <c r="BA167">
        <v>159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CX167">
        <f>Y167*Source!I313</f>
        <v>41.104800000000004</v>
      </c>
      <c r="CY167">
        <f>AD167</f>
        <v>0</v>
      </c>
      <c r="CZ167">
        <f>AH167</f>
        <v>0</v>
      </c>
      <c r="DA167">
        <f>AL167</f>
        <v>1</v>
      </c>
      <c r="DB167">
        <f t="shared" si="16"/>
        <v>0</v>
      </c>
      <c r="DC167">
        <f t="shared" si="17"/>
        <v>0</v>
      </c>
    </row>
    <row r="168" spans="1:107" x14ac:dyDescent="0.2">
      <c r="A168">
        <f>ROW(Source!A313)</f>
        <v>313</v>
      </c>
      <c r="B168">
        <v>49707740</v>
      </c>
      <c r="C168">
        <v>49708634</v>
      </c>
      <c r="D168">
        <v>48338602</v>
      </c>
      <c r="E168">
        <v>1</v>
      </c>
      <c r="F168">
        <v>1</v>
      </c>
      <c r="G168">
        <v>27</v>
      </c>
      <c r="H168">
        <v>2</v>
      </c>
      <c r="I168" t="s">
        <v>470</v>
      </c>
      <c r="J168" t="s">
        <v>471</v>
      </c>
      <c r="K168" t="s">
        <v>472</v>
      </c>
      <c r="L168">
        <v>1368</v>
      </c>
      <c r="N168">
        <v>1011</v>
      </c>
      <c r="O168" t="s">
        <v>299</v>
      </c>
      <c r="P168" t="s">
        <v>299</v>
      </c>
      <c r="Q168">
        <v>1</v>
      </c>
      <c r="W168">
        <v>0</v>
      </c>
      <c r="X168">
        <v>-1749865602</v>
      </c>
      <c r="Y168">
        <v>13.75</v>
      </c>
      <c r="AA168">
        <v>0</v>
      </c>
      <c r="AB168">
        <v>1289.26</v>
      </c>
      <c r="AC168">
        <v>637.17999999999995</v>
      </c>
      <c r="AD168">
        <v>0</v>
      </c>
      <c r="AE168">
        <v>0</v>
      </c>
      <c r="AF168">
        <v>1289.26</v>
      </c>
      <c r="AG168">
        <v>637.17999999999995</v>
      </c>
      <c r="AH168">
        <v>0</v>
      </c>
      <c r="AI168">
        <v>1</v>
      </c>
      <c r="AJ168">
        <v>1</v>
      </c>
      <c r="AK168">
        <v>1</v>
      </c>
      <c r="AL168">
        <v>1</v>
      </c>
      <c r="AN168">
        <v>0</v>
      </c>
      <c r="AO168">
        <v>1</v>
      </c>
      <c r="AP168">
        <v>0</v>
      </c>
      <c r="AQ168">
        <v>0</v>
      </c>
      <c r="AR168">
        <v>0</v>
      </c>
      <c r="AS168" t="s">
        <v>3</v>
      </c>
      <c r="AT168">
        <v>13.75</v>
      </c>
      <c r="AU168" t="s">
        <v>3</v>
      </c>
      <c r="AV168">
        <v>0</v>
      </c>
      <c r="AW168">
        <v>2</v>
      </c>
      <c r="AX168">
        <v>49708641</v>
      </c>
      <c r="AY168">
        <v>1</v>
      </c>
      <c r="AZ168">
        <v>0</v>
      </c>
      <c r="BA168">
        <v>160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CX168">
        <f>Y168*Source!I313</f>
        <v>1.65</v>
      </c>
      <c r="CY168">
        <f>AB168</f>
        <v>1289.26</v>
      </c>
      <c r="CZ168">
        <f>AF168</f>
        <v>1289.26</v>
      </c>
      <c r="DA168">
        <f>AJ168</f>
        <v>1</v>
      </c>
      <c r="DB168">
        <f t="shared" si="16"/>
        <v>17727.330000000002</v>
      </c>
      <c r="DC168">
        <f t="shared" si="17"/>
        <v>8761.23</v>
      </c>
    </row>
    <row r="169" spans="1:107" x14ac:dyDescent="0.2">
      <c r="A169">
        <f>ROW(Source!A313)</f>
        <v>313</v>
      </c>
      <c r="B169">
        <v>49707740</v>
      </c>
      <c r="C169">
        <v>49708634</v>
      </c>
      <c r="D169">
        <v>48340222</v>
      </c>
      <c r="E169">
        <v>1</v>
      </c>
      <c r="F169">
        <v>1</v>
      </c>
      <c r="G169">
        <v>27</v>
      </c>
      <c r="H169">
        <v>3</v>
      </c>
      <c r="I169" t="s">
        <v>473</v>
      </c>
      <c r="J169" t="s">
        <v>474</v>
      </c>
      <c r="K169" t="s">
        <v>475</v>
      </c>
      <c r="L169">
        <v>1348</v>
      </c>
      <c r="N169">
        <v>1009</v>
      </c>
      <c r="O169" t="s">
        <v>57</v>
      </c>
      <c r="P169" t="s">
        <v>57</v>
      </c>
      <c r="Q169">
        <v>1000</v>
      </c>
      <c r="W169">
        <v>0</v>
      </c>
      <c r="X169">
        <v>-1651770909</v>
      </c>
      <c r="Y169">
        <v>4.8000000000000001E-2</v>
      </c>
      <c r="AA169">
        <v>116855.43</v>
      </c>
      <c r="AB169">
        <v>0</v>
      </c>
      <c r="AC169">
        <v>0</v>
      </c>
      <c r="AD169">
        <v>0</v>
      </c>
      <c r="AE169">
        <v>116855.43</v>
      </c>
      <c r="AF169">
        <v>0</v>
      </c>
      <c r="AG169">
        <v>0</v>
      </c>
      <c r="AH169">
        <v>0</v>
      </c>
      <c r="AI169">
        <v>1</v>
      </c>
      <c r="AJ169">
        <v>1</v>
      </c>
      <c r="AK169">
        <v>1</v>
      </c>
      <c r="AL169">
        <v>1</v>
      </c>
      <c r="AN169">
        <v>0</v>
      </c>
      <c r="AO169">
        <v>1</v>
      </c>
      <c r="AP169">
        <v>0</v>
      </c>
      <c r="AQ169">
        <v>0</v>
      </c>
      <c r="AR169">
        <v>0</v>
      </c>
      <c r="AS169" t="s">
        <v>3</v>
      </c>
      <c r="AT169">
        <v>4.8000000000000001E-2</v>
      </c>
      <c r="AU169" t="s">
        <v>3</v>
      </c>
      <c r="AV169">
        <v>0</v>
      </c>
      <c r="AW169">
        <v>2</v>
      </c>
      <c r="AX169">
        <v>49708642</v>
      </c>
      <c r="AY169">
        <v>1</v>
      </c>
      <c r="AZ169">
        <v>0</v>
      </c>
      <c r="BA169">
        <v>161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CX169">
        <f>Y169*Source!I313</f>
        <v>5.7599999999999995E-3</v>
      </c>
      <c r="CY169">
        <f>AA169</f>
        <v>116855.43</v>
      </c>
      <c r="CZ169">
        <f>AE169</f>
        <v>116855.43</v>
      </c>
      <c r="DA169">
        <f>AI169</f>
        <v>1</v>
      </c>
      <c r="DB169">
        <f t="shared" si="16"/>
        <v>5609.06</v>
      </c>
      <c r="DC169">
        <f t="shared" si="17"/>
        <v>0</v>
      </c>
    </row>
    <row r="170" spans="1:107" x14ac:dyDescent="0.2">
      <c r="A170">
        <f>ROW(Source!A313)</f>
        <v>313</v>
      </c>
      <c r="B170">
        <v>49707740</v>
      </c>
      <c r="C170">
        <v>49708634</v>
      </c>
      <c r="D170">
        <v>48343951</v>
      </c>
      <c r="E170">
        <v>1</v>
      </c>
      <c r="F170">
        <v>1</v>
      </c>
      <c r="G170">
        <v>27</v>
      </c>
      <c r="H170">
        <v>3</v>
      </c>
      <c r="I170" t="s">
        <v>476</v>
      </c>
      <c r="J170" t="s">
        <v>477</v>
      </c>
      <c r="K170" t="s">
        <v>478</v>
      </c>
      <c r="L170">
        <v>1354</v>
      </c>
      <c r="N170">
        <v>1010</v>
      </c>
      <c r="O170" t="s">
        <v>100</v>
      </c>
      <c r="P170" t="s">
        <v>100</v>
      </c>
      <c r="Q170">
        <v>1</v>
      </c>
      <c r="W170">
        <v>0</v>
      </c>
      <c r="X170">
        <v>611244235</v>
      </c>
      <c r="Y170">
        <v>100</v>
      </c>
      <c r="AA170">
        <v>1800.41</v>
      </c>
      <c r="AB170">
        <v>0</v>
      </c>
      <c r="AC170">
        <v>0</v>
      </c>
      <c r="AD170">
        <v>0</v>
      </c>
      <c r="AE170">
        <v>1800.41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1</v>
      </c>
      <c r="AL170">
        <v>1</v>
      </c>
      <c r="AN170">
        <v>0</v>
      </c>
      <c r="AO170">
        <v>1</v>
      </c>
      <c r="AP170">
        <v>0</v>
      </c>
      <c r="AQ170">
        <v>0</v>
      </c>
      <c r="AR170">
        <v>0</v>
      </c>
      <c r="AS170" t="s">
        <v>3</v>
      </c>
      <c r="AT170">
        <v>100</v>
      </c>
      <c r="AU170" t="s">
        <v>3</v>
      </c>
      <c r="AV170">
        <v>0</v>
      </c>
      <c r="AW170">
        <v>2</v>
      </c>
      <c r="AX170">
        <v>49708643</v>
      </c>
      <c r="AY170">
        <v>1</v>
      </c>
      <c r="AZ170">
        <v>0</v>
      </c>
      <c r="BA170">
        <v>162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CX170">
        <f>Y170*Source!I313</f>
        <v>12</v>
      </c>
      <c r="CY170">
        <f>AA170</f>
        <v>1800.41</v>
      </c>
      <c r="CZ170">
        <f>AE170</f>
        <v>1800.41</v>
      </c>
      <c r="DA170">
        <f>AI170</f>
        <v>1</v>
      </c>
      <c r="DB170">
        <f t="shared" si="16"/>
        <v>180041</v>
      </c>
      <c r="DC170">
        <f t="shared" si="17"/>
        <v>0</v>
      </c>
    </row>
    <row r="171" spans="1:107" x14ac:dyDescent="0.2">
      <c r="A171">
        <f>ROW(Source!A313)</f>
        <v>313</v>
      </c>
      <c r="B171">
        <v>49707740</v>
      </c>
      <c r="C171">
        <v>49708634</v>
      </c>
      <c r="D171">
        <v>0</v>
      </c>
      <c r="E171">
        <v>23</v>
      </c>
      <c r="F171">
        <v>1</v>
      </c>
      <c r="G171">
        <v>27</v>
      </c>
      <c r="H171">
        <v>3</v>
      </c>
      <c r="I171" t="s">
        <v>55</v>
      </c>
      <c r="J171" t="s">
        <v>3</v>
      </c>
      <c r="K171" t="s">
        <v>289</v>
      </c>
      <c r="L171">
        <v>1354</v>
      </c>
      <c r="N171">
        <v>1010</v>
      </c>
      <c r="O171" t="s">
        <v>100</v>
      </c>
      <c r="P171" t="s">
        <v>100</v>
      </c>
      <c r="Q171">
        <v>1</v>
      </c>
      <c r="W171">
        <v>0</v>
      </c>
      <c r="X171">
        <v>2083447218</v>
      </c>
      <c r="Y171">
        <v>100</v>
      </c>
      <c r="AA171">
        <v>518.5</v>
      </c>
      <c r="AB171">
        <v>0</v>
      </c>
      <c r="AC171">
        <v>0</v>
      </c>
      <c r="AD171">
        <v>0</v>
      </c>
      <c r="AE171">
        <v>518.5</v>
      </c>
      <c r="AF171">
        <v>0</v>
      </c>
      <c r="AG171">
        <v>0</v>
      </c>
      <c r="AH171">
        <v>0</v>
      </c>
      <c r="AI171">
        <v>1</v>
      </c>
      <c r="AJ171">
        <v>1</v>
      </c>
      <c r="AK171">
        <v>1</v>
      </c>
      <c r="AL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3</v>
      </c>
      <c r="AT171">
        <v>100</v>
      </c>
      <c r="AU171" t="s">
        <v>3</v>
      </c>
      <c r="AV171">
        <v>0</v>
      </c>
      <c r="AW171">
        <v>1</v>
      </c>
      <c r="AX171">
        <v>-1</v>
      </c>
      <c r="AY171">
        <v>0</v>
      </c>
      <c r="AZ171">
        <v>0</v>
      </c>
      <c r="BA171" t="s">
        <v>3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CX171">
        <f>Y171*Source!I313</f>
        <v>12</v>
      </c>
      <c r="CY171">
        <f>AA171</f>
        <v>518.5</v>
      </c>
      <c r="CZ171">
        <f>AE171</f>
        <v>518.5</v>
      </c>
      <c r="DA171">
        <f>AI171</f>
        <v>1</v>
      </c>
      <c r="DB171">
        <f t="shared" si="16"/>
        <v>51850</v>
      </c>
      <c r="DC171">
        <f t="shared" si="17"/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3"/>
  <sheetViews>
    <sheetView workbookViewId="0"/>
  </sheetViews>
  <sheetFormatPr defaultColWidth="9.140625" defaultRowHeight="12.75" x14ac:dyDescent="0.2"/>
  <cols>
    <col min="1" max="256" width="9.140625" customWidth="1"/>
  </cols>
  <sheetData>
    <row r="1" spans="1:44" x14ac:dyDescent="0.2">
      <c r="A1">
        <f>ROW(Source!A28)</f>
        <v>28</v>
      </c>
      <c r="B1">
        <v>49708219</v>
      </c>
      <c r="C1">
        <v>49708209</v>
      </c>
      <c r="D1">
        <v>48326108</v>
      </c>
      <c r="E1">
        <v>27</v>
      </c>
      <c r="F1">
        <v>1</v>
      </c>
      <c r="G1">
        <v>27</v>
      </c>
      <c r="H1">
        <v>1</v>
      </c>
      <c r="I1" t="s">
        <v>293</v>
      </c>
      <c r="J1" t="s">
        <v>3</v>
      </c>
      <c r="K1" t="s">
        <v>294</v>
      </c>
      <c r="L1">
        <v>1191</v>
      </c>
      <c r="N1">
        <v>1013</v>
      </c>
      <c r="O1" t="s">
        <v>295</v>
      </c>
      <c r="P1" t="s">
        <v>295</v>
      </c>
      <c r="Q1">
        <v>1</v>
      </c>
      <c r="X1">
        <v>1.59</v>
      </c>
      <c r="Y1">
        <v>0</v>
      </c>
      <c r="Z1">
        <v>0</v>
      </c>
      <c r="AA1">
        <v>0</v>
      </c>
      <c r="AB1">
        <v>0</v>
      </c>
      <c r="AC1">
        <v>0</v>
      </c>
      <c r="AD1">
        <v>1</v>
      </c>
      <c r="AE1">
        <v>1</v>
      </c>
      <c r="AF1" t="s">
        <v>3</v>
      </c>
      <c r="AG1">
        <v>1.59</v>
      </c>
      <c r="AH1">
        <v>2</v>
      </c>
      <c r="AI1">
        <v>49708213</v>
      </c>
      <c r="AJ1">
        <v>1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</row>
    <row r="2" spans="1:44" x14ac:dyDescent="0.2">
      <c r="A2">
        <f>ROW(Source!A28)</f>
        <v>28</v>
      </c>
      <c r="B2">
        <v>49708220</v>
      </c>
      <c r="C2">
        <v>49708209</v>
      </c>
      <c r="D2">
        <v>48338278</v>
      </c>
      <c r="E2">
        <v>1</v>
      </c>
      <c r="F2">
        <v>1</v>
      </c>
      <c r="G2">
        <v>27</v>
      </c>
      <c r="H2">
        <v>2</v>
      </c>
      <c r="I2" t="s">
        <v>296</v>
      </c>
      <c r="J2" t="s">
        <v>297</v>
      </c>
      <c r="K2" t="s">
        <v>298</v>
      </c>
      <c r="L2">
        <v>1368</v>
      </c>
      <c r="N2">
        <v>1011</v>
      </c>
      <c r="O2" t="s">
        <v>299</v>
      </c>
      <c r="P2" t="s">
        <v>299</v>
      </c>
      <c r="Q2">
        <v>1</v>
      </c>
      <c r="X2">
        <v>4.9800000000000004</v>
      </c>
      <c r="Y2">
        <v>0</v>
      </c>
      <c r="Z2">
        <v>1493.72</v>
      </c>
      <c r="AA2">
        <v>566.86</v>
      </c>
      <c r="AB2">
        <v>0</v>
      </c>
      <c r="AC2">
        <v>0</v>
      </c>
      <c r="AD2">
        <v>1</v>
      </c>
      <c r="AE2">
        <v>0</v>
      </c>
      <c r="AF2" t="s">
        <v>3</v>
      </c>
      <c r="AG2">
        <v>4.9800000000000004</v>
      </c>
      <c r="AH2">
        <v>2</v>
      </c>
      <c r="AI2">
        <v>49708214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</row>
    <row r="3" spans="1:44" x14ac:dyDescent="0.2">
      <c r="A3">
        <f>ROW(Source!A28)</f>
        <v>28</v>
      </c>
      <c r="B3">
        <v>49708221</v>
      </c>
      <c r="C3">
        <v>49708209</v>
      </c>
      <c r="D3">
        <v>48338301</v>
      </c>
      <c r="E3">
        <v>1</v>
      </c>
      <c r="F3">
        <v>1</v>
      </c>
      <c r="G3">
        <v>27</v>
      </c>
      <c r="H3">
        <v>2</v>
      </c>
      <c r="I3" t="s">
        <v>300</v>
      </c>
      <c r="J3" t="s">
        <v>301</v>
      </c>
      <c r="K3" t="s">
        <v>302</v>
      </c>
      <c r="L3">
        <v>1368</v>
      </c>
      <c r="N3">
        <v>1011</v>
      </c>
      <c r="O3" t="s">
        <v>299</v>
      </c>
      <c r="P3" t="s">
        <v>299</v>
      </c>
      <c r="Q3">
        <v>1</v>
      </c>
      <c r="X3">
        <v>1.25</v>
      </c>
      <c r="Y3">
        <v>0</v>
      </c>
      <c r="Z3">
        <v>1072.23</v>
      </c>
      <c r="AA3">
        <v>488.73</v>
      </c>
      <c r="AB3">
        <v>0</v>
      </c>
      <c r="AC3">
        <v>0</v>
      </c>
      <c r="AD3">
        <v>1</v>
      </c>
      <c r="AE3">
        <v>0</v>
      </c>
      <c r="AF3" t="s">
        <v>3</v>
      </c>
      <c r="AG3">
        <v>1.25</v>
      </c>
      <c r="AH3">
        <v>2</v>
      </c>
      <c r="AI3">
        <v>49708215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">
      <c r="A4">
        <f>ROW(Source!A29)</f>
        <v>29</v>
      </c>
      <c r="B4">
        <v>49708226</v>
      </c>
      <c r="C4">
        <v>49708222</v>
      </c>
      <c r="D4">
        <v>48326108</v>
      </c>
      <c r="E4">
        <v>27</v>
      </c>
      <c r="F4">
        <v>1</v>
      </c>
      <c r="G4">
        <v>27</v>
      </c>
      <c r="H4">
        <v>1</v>
      </c>
      <c r="I4" t="s">
        <v>293</v>
      </c>
      <c r="J4" t="s">
        <v>3</v>
      </c>
      <c r="K4" t="s">
        <v>294</v>
      </c>
      <c r="L4">
        <v>1191</v>
      </c>
      <c r="N4">
        <v>1013</v>
      </c>
      <c r="O4" t="s">
        <v>295</v>
      </c>
      <c r="P4" t="s">
        <v>295</v>
      </c>
      <c r="Q4">
        <v>1</v>
      </c>
      <c r="X4">
        <v>221.6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 t="s">
        <v>3</v>
      </c>
      <c r="AG4">
        <v>221.6</v>
      </c>
      <c r="AH4">
        <v>2</v>
      </c>
      <c r="AI4">
        <v>49708224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</row>
    <row r="5" spans="1:44" x14ac:dyDescent="0.2">
      <c r="A5">
        <f>ROW(Source!A30)</f>
        <v>30</v>
      </c>
      <c r="B5">
        <v>49708230</v>
      </c>
      <c r="C5">
        <v>49708227</v>
      </c>
      <c r="D5">
        <v>48326108</v>
      </c>
      <c r="E5">
        <v>27</v>
      </c>
      <c r="F5">
        <v>1</v>
      </c>
      <c r="G5">
        <v>27</v>
      </c>
      <c r="H5">
        <v>1</v>
      </c>
      <c r="I5" t="s">
        <v>293</v>
      </c>
      <c r="J5" t="s">
        <v>3</v>
      </c>
      <c r="K5" t="s">
        <v>294</v>
      </c>
      <c r="L5">
        <v>1191</v>
      </c>
      <c r="N5">
        <v>1013</v>
      </c>
      <c r="O5" t="s">
        <v>295</v>
      </c>
      <c r="P5" t="s">
        <v>295</v>
      </c>
      <c r="Q5">
        <v>1</v>
      </c>
      <c r="X5">
        <v>83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 t="s">
        <v>3</v>
      </c>
      <c r="AG5">
        <v>83</v>
      </c>
      <c r="AH5">
        <v>2</v>
      </c>
      <c r="AI5">
        <v>49708228</v>
      </c>
      <c r="AJ5">
        <v>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</row>
    <row r="6" spans="1:44" x14ac:dyDescent="0.2">
      <c r="A6">
        <f>ROW(Source!A31)</f>
        <v>31</v>
      </c>
      <c r="B6">
        <v>49708235</v>
      </c>
      <c r="C6">
        <v>49708231</v>
      </c>
      <c r="D6">
        <v>48339078</v>
      </c>
      <c r="E6">
        <v>1</v>
      </c>
      <c r="F6">
        <v>1</v>
      </c>
      <c r="G6">
        <v>27</v>
      </c>
      <c r="H6">
        <v>2</v>
      </c>
      <c r="I6" t="s">
        <v>306</v>
      </c>
      <c r="J6" t="s">
        <v>307</v>
      </c>
      <c r="K6" t="s">
        <v>308</v>
      </c>
      <c r="L6">
        <v>1368</v>
      </c>
      <c r="N6">
        <v>1011</v>
      </c>
      <c r="O6" t="s">
        <v>299</v>
      </c>
      <c r="P6" t="s">
        <v>299</v>
      </c>
      <c r="Q6">
        <v>1</v>
      </c>
      <c r="X6">
        <v>3.1E-2</v>
      </c>
      <c r="Y6">
        <v>0</v>
      </c>
      <c r="Z6">
        <v>1014.12</v>
      </c>
      <c r="AA6">
        <v>317.13</v>
      </c>
      <c r="AB6">
        <v>0</v>
      </c>
      <c r="AC6">
        <v>0</v>
      </c>
      <c r="AD6">
        <v>1</v>
      </c>
      <c r="AE6">
        <v>0</v>
      </c>
      <c r="AF6" t="s">
        <v>3</v>
      </c>
      <c r="AG6">
        <v>3.1E-2</v>
      </c>
      <c r="AH6">
        <v>2</v>
      </c>
      <c r="AI6">
        <v>49708233</v>
      </c>
      <c r="AJ6">
        <v>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</row>
    <row r="7" spans="1:44" x14ac:dyDescent="0.2">
      <c r="A7">
        <f>ROW(Source!A32)</f>
        <v>32</v>
      </c>
      <c r="B7">
        <v>49708238</v>
      </c>
      <c r="C7">
        <v>49708236</v>
      </c>
      <c r="D7">
        <v>48339078</v>
      </c>
      <c r="E7">
        <v>1</v>
      </c>
      <c r="F7">
        <v>1</v>
      </c>
      <c r="G7">
        <v>27</v>
      </c>
      <c r="H7">
        <v>2</v>
      </c>
      <c r="I7" t="s">
        <v>306</v>
      </c>
      <c r="J7" t="s">
        <v>307</v>
      </c>
      <c r="K7" t="s">
        <v>308</v>
      </c>
      <c r="L7">
        <v>1368</v>
      </c>
      <c r="N7">
        <v>1011</v>
      </c>
      <c r="O7" t="s">
        <v>299</v>
      </c>
      <c r="P7" t="s">
        <v>299</v>
      </c>
      <c r="Q7">
        <v>1</v>
      </c>
      <c r="X7">
        <v>0.01</v>
      </c>
      <c r="Y7">
        <v>0</v>
      </c>
      <c r="Z7">
        <v>1014.12</v>
      </c>
      <c r="AA7">
        <v>317.13</v>
      </c>
      <c r="AB7">
        <v>0</v>
      </c>
      <c r="AC7">
        <v>0</v>
      </c>
      <c r="AD7">
        <v>1</v>
      </c>
      <c r="AE7">
        <v>0</v>
      </c>
      <c r="AF7" t="s">
        <v>53</v>
      </c>
      <c r="AG7">
        <v>0.56000000000000005</v>
      </c>
      <c r="AH7">
        <v>2</v>
      </c>
      <c r="AI7">
        <v>49708237</v>
      </c>
      <c r="AJ7">
        <v>8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</row>
    <row r="8" spans="1:44" x14ac:dyDescent="0.2">
      <c r="A8">
        <f>ROW(Source!A34)</f>
        <v>34</v>
      </c>
      <c r="B8">
        <v>49708265</v>
      </c>
      <c r="C8">
        <v>49708240</v>
      </c>
      <c r="D8">
        <v>48326108</v>
      </c>
      <c r="E8">
        <v>27</v>
      </c>
      <c r="F8">
        <v>1</v>
      </c>
      <c r="G8">
        <v>27</v>
      </c>
      <c r="H8">
        <v>1</v>
      </c>
      <c r="I8" t="s">
        <v>293</v>
      </c>
      <c r="J8" t="s">
        <v>3</v>
      </c>
      <c r="K8" t="s">
        <v>294</v>
      </c>
      <c r="L8">
        <v>1191</v>
      </c>
      <c r="N8">
        <v>1013</v>
      </c>
      <c r="O8" t="s">
        <v>295</v>
      </c>
      <c r="P8" t="s">
        <v>295</v>
      </c>
      <c r="Q8">
        <v>1</v>
      </c>
      <c r="X8">
        <v>16.559999999999999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1</v>
      </c>
      <c r="AF8" t="s">
        <v>3</v>
      </c>
      <c r="AG8">
        <v>16.559999999999999</v>
      </c>
      <c r="AH8">
        <v>2</v>
      </c>
      <c r="AI8">
        <v>49708249</v>
      </c>
      <c r="AJ8">
        <v>9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44" x14ac:dyDescent="0.2">
      <c r="A9">
        <f>ROW(Source!A34)</f>
        <v>34</v>
      </c>
      <c r="B9">
        <v>49708266</v>
      </c>
      <c r="C9">
        <v>49708240</v>
      </c>
      <c r="D9">
        <v>48338323</v>
      </c>
      <c r="E9">
        <v>1</v>
      </c>
      <c r="F9">
        <v>1</v>
      </c>
      <c r="G9">
        <v>27</v>
      </c>
      <c r="H9">
        <v>2</v>
      </c>
      <c r="I9" t="s">
        <v>309</v>
      </c>
      <c r="J9" t="s">
        <v>310</v>
      </c>
      <c r="K9" t="s">
        <v>311</v>
      </c>
      <c r="L9">
        <v>1368</v>
      </c>
      <c r="N9">
        <v>1011</v>
      </c>
      <c r="O9" t="s">
        <v>299</v>
      </c>
      <c r="P9" t="s">
        <v>299</v>
      </c>
      <c r="Q9">
        <v>1</v>
      </c>
      <c r="X9">
        <v>2.08</v>
      </c>
      <c r="Y9">
        <v>0</v>
      </c>
      <c r="Z9">
        <v>740.94</v>
      </c>
      <c r="AA9">
        <v>413.22</v>
      </c>
      <c r="AB9">
        <v>0</v>
      </c>
      <c r="AC9">
        <v>0</v>
      </c>
      <c r="AD9">
        <v>1</v>
      </c>
      <c r="AE9">
        <v>0</v>
      </c>
      <c r="AF9" t="s">
        <v>3</v>
      </c>
      <c r="AG9">
        <v>2.08</v>
      </c>
      <c r="AH9">
        <v>2</v>
      </c>
      <c r="AI9">
        <v>49708250</v>
      </c>
      <c r="AJ9">
        <v>10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44" x14ac:dyDescent="0.2">
      <c r="A10">
        <f>ROW(Source!A34)</f>
        <v>34</v>
      </c>
      <c r="B10">
        <v>49708267</v>
      </c>
      <c r="C10">
        <v>49708240</v>
      </c>
      <c r="D10">
        <v>48338478</v>
      </c>
      <c r="E10">
        <v>1</v>
      </c>
      <c r="F10">
        <v>1</v>
      </c>
      <c r="G10">
        <v>27</v>
      </c>
      <c r="H10">
        <v>2</v>
      </c>
      <c r="I10" t="s">
        <v>312</v>
      </c>
      <c r="J10" t="s">
        <v>313</v>
      </c>
      <c r="K10" t="s">
        <v>314</v>
      </c>
      <c r="L10">
        <v>1368</v>
      </c>
      <c r="N10">
        <v>1011</v>
      </c>
      <c r="O10" t="s">
        <v>299</v>
      </c>
      <c r="P10" t="s">
        <v>299</v>
      </c>
      <c r="Q10">
        <v>1</v>
      </c>
      <c r="X10">
        <v>2.08</v>
      </c>
      <c r="Y10">
        <v>0</v>
      </c>
      <c r="Z10">
        <v>430.32</v>
      </c>
      <c r="AA10">
        <v>215.31</v>
      </c>
      <c r="AB10">
        <v>0</v>
      </c>
      <c r="AC10">
        <v>0</v>
      </c>
      <c r="AD10">
        <v>1</v>
      </c>
      <c r="AE10">
        <v>0</v>
      </c>
      <c r="AF10" t="s">
        <v>3</v>
      </c>
      <c r="AG10">
        <v>2.08</v>
      </c>
      <c r="AH10">
        <v>2</v>
      </c>
      <c r="AI10">
        <v>49708251</v>
      </c>
      <c r="AJ10">
        <v>11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</row>
    <row r="11" spans="1:44" x14ac:dyDescent="0.2">
      <c r="A11">
        <f>ROW(Source!A34)</f>
        <v>34</v>
      </c>
      <c r="B11">
        <v>49708268</v>
      </c>
      <c r="C11">
        <v>49708240</v>
      </c>
      <c r="D11">
        <v>48338481</v>
      </c>
      <c r="E11">
        <v>1</v>
      </c>
      <c r="F11">
        <v>1</v>
      </c>
      <c r="G11">
        <v>27</v>
      </c>
      <c r="H11">
        <v>2</v>
      </c>
      <c r="I11" t="s">
        <v>315</v>
      </c>
      <c r="J11" t="s">
        <v>316</v>
      </c>
      <c r="K11" t="s">
        <v>317</v>
      </c>
      <c r="L11">
        <v>1368</v>
      </c>
      <c r="N11">
        <v>1011</v>
      </c>
      <c r="O11" t="s">
        <v>299</v>
      </c>
      <c r="P11" t="s">
        <v>299</v>
      </c>
      <c r="Q11">
        <v>1</v>
      </c>
      <c r="X11">
        <v>0.81</v>
      </c>
      <c r="Y11">
        <v>0</v>
      </c>
      <c r="Z11">
        <v>2020.59</v>
      </c>
      <c r="AA11">
        <v>458.56</v>
      </c>
      <c r="AB11">
        <v>0</v>
      </c>
      <c r="AC11">
        <v>0</v>
      </c>
      <c r="AD11">
        <v>1</v>
      </c>
      <c r="AE11">
        <v>0</v>
      </c>
      <c r="AF11" t="s">
        <v>3</v>
      </c>
      <c r="AG11">
        <v>0.81</v>
      </c>
      <c r="AH11">
        <v>2</v>
      </c>
      <c r="AI11">
        <v>49708252</v>
      </c>
      <c r="AJ11">
        <v>12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44" x14ac:dyDescent="0.2">
      <c r="A12">
        <f>ROW(Source!A34)</f>
        <v>34</v>
      </c>
      <c r="B12">
        <v>49708269</v>
      </c>
      <c r="C12">
        <v>49708240</v>
      </c>
      <c r="D12">
        <v>48338505</v>
      </c>
      <c r="E12">
        <v>1</v>
      </c>
      <c r="F12">
        <v>1</v>
      </c>
      <c r="G12">
        <v>27</v>
      </c>
      <c r="H12">
        <v>2</v>
      </c>
      <c r="I12" t="s">
        <v>318</v>
      </c>
      <c r="J12" t="s">
        <v>319</v>
      </c>
      <c r="K12" t="s">
        <v>320</v>
      </c>
      <c r="L12">
        <v>1368</v>
      </c>
      <c r="N12">
        <v>1011</v>
      </c>
      <c r="O12" t="s">
        <v>299</v>
      </c>
      <c r="P12" t="s">
        <v>299</v>
      </c>
      <c r="Q12">
        <v>1</v>
      </c>
      <c r="X12">
        <v>1.94</v>
      </c>
      <c r="Y12">
        <v>0</v>
      </c>
      <c r="Z12">
        <v>1412.71</v>
      </c>
      <c r="AA12">
        <v>641.32000000000005</v>
      </c>
      <c r="AB12">
        <v>0</v>
      </c>
      <c r="AC12">
        <v>0</v>
      </c>
      <c r="AD12">
        <v>1</v>
      </c>
      <c r="AE12">
        <v>0</v>
      </c>
      <c r="AF12" t="s">
        <v>3</v>
      </c>
      <c r="AG12">
        <v>1.94</v>
      </c>
      <c r="AH12">
        <v>2</v>
      </c>
      <c r="AI12">
        <v>49708253</v>
      </c>
      <c r="AJ12">
        <v>13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44" x14ac:dyDescent="0.2">
      <c r="A13">
        <f>ROW(Source!A34)</f>
        <v>34</v>
      </c>
      <c r="B13">
        <v>49708270</v>
      </c>
      <c r="C13">
        <v>49708240</v>
      </c>
      <c r="D13">
        <v>48338471</v>
      </c>
      <c r="E13">
        <v>1</v>
      </c>
      <c r="F13">
        <v>1</v>
      </c>
      <c r="G13">
        <v>27</v>
      </c>
      <c r="H13">
        <v>2</v>
      </c>
      <c r="I13" t="s">
        <v>321</v>
      </c>
      <c r="J13" t="s">
        <v>322</v>
      </c>
      <c r="K13" t="s">
        <v>323</v>
      </c>
      <c r="L13">
        <v>1368</v>
      </c>
      <c r="N13">
        <v>1011</v>
      </c>
      <c r="O13" t="s">
        <v>299</v>
      </c>
      <c r="P13" t="s">
        <v>299</v>
      </c>
      <c r="Q13">
        <v>1</v>
      </c>
      <c r="X13">
        <v>0.65</v>
      </c>
      <c r="Y13">
        <v>0</v>
      </c>
      <c r="Z13">
        <v>1213.3399999999999</v>
      </c>
      <c r="AA13">
        <v>461.6</v>
      </c>
      <c r="AB13">
        <v>0</v>
      </c>
      <c r="AC13">
        <v>0</v>
      </c>
      <c r="AD13">
        <v>1</v>
      </c>
      <c r="AE13">
        <v>0</v>
      </c>
      <c r="AF13" t="s">
        <v>3</v>
      </c>
      <c r="AG13">
        <v>0.65</v>
      </c>
      <c r="AH13">
        <v>2</v>
      </c>
      <c r="AI13">
        <v>49708254</v>
      </c>
      <c r="AJ13">
        <v>14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">
      <c r="A14">
        <f>ROW(Source!A34)</f>
        <v>34</v>
      </c>
      <c r="B14">
        <v>49708271</v>
      </c>
      <c r="C14">
        <v>49708240</v>
      </c>
      <c r="D14">
        <v>48340433</v>
      </c>
      <c r="E14">
        <v>1</v>
      </c>
      <c r="F14">
        <v>1</v>
      </c>
      <c r="G14">
        <v>27</v>
      </c>
      <c r="H14">
        <v>3</v>
      </c>
      <c r="I14" t="s">
        <v>324</v>
      </c>
      <c r="J14" t="s">
        <v>325</v>
      </c>
      <c r="K14" t="s">
        <v>326</v>
      </c>
      <c r="L14">
        <v>1339</v>
      </c>
      <c r="N14">
        <v>1007</v>
      </c>
      <c r="O14" t="s">
        <v>46</v>
      </c>
      <c r="P14" t="s">
        <v>46</v>
      </c>
      <c r="Q14">
        <v>1</v>
      </c>
      <c r="X14">
        <v>110</v>
      </c>
      <c r="Y14">
        <v>590.78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 t="s">
        <v>3</v>
      </c>
      <c r="AG14">
        <v>110</v>
      </c>
      <c r="AH14">
        <v>2</v>
      </c>
      <c r="AI14">
        <v>49708255</v>
      </c>
      <c r="AJ14">
        <v>15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">
      <c r="A15">
        <f>ROW(Source!A34)</f>
        <v>34</v>
      </c>
      <c r="B15">
        <v>49708272</v>
      </c>
      <c r="C15">
        <v>49708240</v>
      </c>
      <c r="D15">
        <v>48341179</v>
      </c>
      <c r="E15">
        <v>1</v>
      </c>
      <c r="F15">
        <v>1</v>
      </c>
      <c r="G15">
        <v>27</v>
      </c>
      <c r="H15">
        <v>3</v>
      </c>
      <c r="I15" t="s">
        <v>327</v>
      </c>
      <c r="J15" t="s">
        <v>328</v>
      </c>
      <c r="K15" t="s">
        <v>329</v>
      </c>
      <c r="L15">
        <v>1339</v>
      </c>
      <c r="N15">
        <v>1007</v>
      </c>
      <c r="O15" t="s">
        <v>46</v>
      </c>
      <c r="P15" t="s">
        <v>46</v>
      </c>
      <c r="Q15">
        <v>1</v>
      </c>
      <c r="X15">
        <v>5</v>
      </c>
      <c r="Y15">
        <v>35.25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  <c r="AF15" t="s">
        <v>3</v>
      </c>
      <c r="AG15">
        <v>5</v>
      </c>
      <c r="AH15">
        <v>2</v>
      </c>
      <c r="AI15">
        <v>49708256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">
      <c r="A16">
        <f>ROW(Source!A35)</f>
        <v>35</v>
      </c>
      <c r="B16">
        <v>49708301</v>
      </c>
      <c r="C16">
        <v>49708273</v>
      </c>
      <c r="D16">
        <v>48326108</v>
      </c>
      <c r="E16">
        <v>27</v>
      </c>
      <c r="F16">
        <v>1</v>
      </c>
      <c r="G16">
        <v>27</v>
      </c>
      <c r="H16">
        <v>1</v>
      </c>
      <c r="I16" t="s">
        <v>293</v>
      </c>
      <c r="J16" t="s">
        <v>3</v>
      </c>
      <c r="K16" t="s">
        <v>294</v>
      </c>
      <c r="L16">
        <v>1191</v>
      </c>
      <c r="N16">
        <v>1013</v>
      </c>
      <c r="O16" t="s">
        <v>295</v>
      </c>
      <c r="P16" t="s">
        <v>295</v>
      </c>
      <c r="Q16">
        <v>1</v>
      </c>
      <c r="X16">
        <v>24.84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1</v>
      </c>
      <c r="AF16" t="s">
        <v>3</v>
      </c>
      <c r="AG16">
        <v>24.84</v>
      </c>
      <c r="AH16">
        <v>2</v>
      </c>
      <c r="AI16">
        <v>49708283</v>
      </c>
      <c r="AJ16">
        <v>17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">
      <c r="A17">
        <f>ROW(Source!A35)</f>
        <v>35</v>
      </c>
      <c r="B17">
        <v>49708302</v>
      </c>
      <c r="C17">
        <v>49708273</v>
      </c>
      <c r="D17">
        <v>48338300</v>
      </c>
      <c r="E17">
        <v>1</v>
      </c>
      <c r="F17">
        <v>1</v>
      </c>
      <c r="G17">
        <v>27</v>
      </c>
      <c r="H17">
        <v>2</v>
      </c>
      <c r="I17" t="s">
        <v>330</v>
      </c>
      <c r="J17" t="s">
        <v>331</v>
      </c>
      <c r="K17" t="s">
        <v>332</v>
      </c>
      <c r="L17">
        <v>1368</v>
      </c>
      <c r="N17">
        <v>1011</v>
      </c>
      <c r="O17" t="s">
        <v>299</v>
      </c>
      <c r="P17" t="s">
        <v>299</v>
      </c>
      <c r="Q17">
        <v>1</v>
      </c>
      <c r="X17">
        <v>2.94</v>
      </c>
      <c r="Y17">
        <v>0</v>
      </c>
      <c r="Z17">
        <v>956.79</v>
      </c>
      <c r="AA17">
        <v>359.44</v>
      </c>
      <c r="AB17">
        <v>0</v>
      </c>
      <c r="AC17">
        <v>0</v>
      </c>
      <c r="AD17">
        <v>1</v>
      </c>
      <c r="AE17">
        <v>0</v>
      </c>
      <c r="AF17" t="s">
        <v>3</v>
      </c>
      <c r="AG17">
        <v>2.94</v>
      </c>
      <c r="AH17">
        <v>2</v>
      </c>
      <c r="AI17">
        <v>49708284</v>
      </c>
      <c r="AJ17">
        <v>18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">
      <c r="A18">
        <f>ROW(Source!A35)</f>
        <v>35</v>
      </c>
      <c r="B18">
        <v>49708303</v>
      </c>
      <c r="C18">
        <v>49708273</v>
      </c>
      <c r="D18">
        <v>48338481</v>
      </c>
      <c r="E18">
        <v>1</v>
      </c>
      <c r="F18">
        <v>1</v>
      </c>
      <c r="G18">
        <v>27</v>
      </c>
      <c r="H18">
        <v>2</v>
      </c>
      <c r="I18" t="s">
        <v>315</v>
      </c>
      <c r="J18" t="s">
        <v>316</v>
      </c>
      <c r="K18" t="s">
        <v>317</v>
      </c>
      <c r="L18">
        <v>1368</v>
      </c>
      <c r="N18">
        <v>1011</v>
      </c>
      <c r="O18" t="s">
        <v>299</v>
      </c>
      <c r="P18" t="s">
        <v>299</v>
      </c>
      <c r="Q18">
        <v>1</v>
      </c>
      <c r="X18">
        <v>1.1399999999999999</v>
      </c>
      <c r="Y18">
        <v>0</v>
      </c>
      <c r="Z18">
        <v>2020.59</v>
      </c>
      <c r="AA18">
        <v>458.56</v>
      </c>
      <c r="AB18">
        <v>0</v>
      </c>
      <c r="AC18">
        <v>0</v>
      </c>
      <c r="AD18">
        <v>1</v>
      </c>
      <c r="AE18">
        <v>0</v>
      </c>
      <c r="AF18" t="s">
        <v>3</v>
      </c>
      <c r="AG18">
        <v>1.1399999999999999</v>
      </c>
      <c r="AH18">
        <v>2</v>
      </c>
      <c r="AI18">
        <v>49708285</v>
      </c>
      <c r="AJ18">
        <v>19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</row>
    <row r="19" spans="1:44" x14ac:dyDescent="0.2">
      <c r="A19">
        <f>ROW(Source!A35)</f>
        <v>35</v>
      </c>
      <c r="B19">
        <v>49708304</v>
      </c>
      <c r="C19">
        <v>49708273</v>
      </c>
      <c r="D19">
        <v>48338466</v>
      </c>
      <c r="E19">
        <v>1</v>
      </c>
      <c r="F19">
        <v>1</v>
      </c>
      <c r="G19">
        <v>27</v>
      </c>
      <c r="H19">
        <v>2</v>
      </c>
      <c r="I19" t="s">
        <v>333</v>
      </c>
      <c r="J19" t="s">
        <v>334</v>
      </c>
      <c r="K19" t="s">
        <v>335</v>
      </c>
      <c r="L19">
        <v>1368</v>
      </c>
      <c r="N19">
        <v>1011</v>
      </c>
      <c r="O19" t="s">
        <v>299</v>
      </c>
      <c r="P19" t="s">
        <v>299</v>
      </c>
      <c r="Q19">
        <v>1</v>
      </c>
      <c r="X19">
        <v>8.9600000000000009</v>
      </c>
      <c r="Y19">
        <v>0</v>
      </c>
      <c r="Z19">
        <v>1261.8699999999999</v>
      </c>
      <c r="AA19">
        <v>530.02</v>
      </c>
      <c r="AB19">
        <v>0</v>
      </c>
      <c r="AC19">
        <v>0</v>
      </c>
      <c r="AD19">
        <v>1</v>
      </c>
      <c r="AE19">
        <v>0</v>
      </c>
      <c r="AF19" t="s">
        <v>3</v>
      </c>
      <c r="AG19">
        <v>8.9600000000000009</v>
      </c>
      <c r="AH19">
        <v>2</v>
      </c>
      <c r="AI19">
        <v>49708286</v>
      </c>
      <c r="AJ19">
        <v>20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">
      <c r="A20">
        <f>ROW(Source!A35)</f>
        <v>35</v>
      </c>
      <c r="B20">
        <v>49708305</v>
      </c>
      <c r="C20">
        <v>49708273</v>
      </c>
      <c r="D20">
        <v>48338467</v>
      </c>
      <c r="E20">
        <v>1</v>
      </c>
      <c r="F20">
        <v>1</v>
      </c>
      <c r="G20">
        <v>27</v>
      </c>
      <c r="H20">
        <v>2</v>
      </c>
      <c r="I20" t="s">
        <v>336</v>
      </c>
      <c r="J20" t="s">
        <v>337</v>
      </c>
      <c r="K20" t="s">
        <v>338</v>
      </c>
      <c r="L20">
        <v>1368</v>
      </c>
      <c r="N20">
        <v>1011</v>
      </c>
      <c r="O20" t="s">
        <v>299</v>
      </c>
      <c r="P20" t="s">
        <v>299</v>
      </c>
      <c r="Q20">
        <v>1</v>
      </c>
      <c r="X20">
        <v>18.25</v>
      </c>
      <c r="Y20">
        <v>0</v>
      </c>
      <c r="Z20">
        <v>1827.95</v>
      </c>
      <c r="AA20">
        <v>720.55</v>
      </c>
      <c r="AB20">
        <v>0</v>
      </c>
      <c r="AC20">
        <v>0</v>
      </c>
      <c r="AD20">
        <v>1</v>
      </c>
      <c r="AE20">
        <v>0</v>
      </c>
      <c r="AF20" t="s">
        <v>3</v>
      </c>
      <c r="AG20">
        <v>18.25</v>
      </c>
      <c r="AH20">
        <v>2</v>
      </c>
      <c r="AI20">
        <v>49708287</v>
      </c>
      <c r="AJ20">
        <v>21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44" x14ac:dyDescent="0.2">
      <c r="A21">
        <f>ROW(Source!A35)</f>
        <v>35</v>
      </c>
      <c r="B21">
        <v>49708306</v>
      </c>
      <c r="C21">
        <v>49708273</v>
      </c>
      <c r="D21">
        <v>48338505</v>
      </c>
      <c r="E21">
        <v>1</v>
      </c>
      <c r="F21">
        <v>1</v>
      </c>
      <c r="G21">
        <v>27</v>
      </c>
      <c r="H21">
        <v>2</v>
      </c>
      <c r="I21" t="s">
        <v>318</v>
      </c>
      <c r="J21" t="s">
        <v>319</v>
      </c>
      <c r="K21" t="s">
        <v>320</v>
      </c>
      <c r="L21">
        <v>1368</v>
      </c>
      <c r="N21">
        <v>1011</v>
      </c>
      <c r="O21" t="s">
        <v>299</v>
      </c>
      <c r="P21" t="s">
        <v>299</v>
      </c>
      <c r="Q21">
        <v>1</v>
      </c>
      <c r="X21">
        <v>2.2400000000000002</v>
      </c>
      <c r="Y21">
        <v>0</v>
      </c>
      <c r="Z21">
        <v>1412.71</v>
      </c>
      <c r="AA21">
        <v>641.32000000000005</v>
      </c>
      <c r="AB21">
        <v>0</v>
      </c>
      <c r="AC21">
        <v>0</v>
      </c>
      <c r="AD21">
        <v>1</v>
      </c>
      <c r="AE21">
        <v>0</v>
      </c>
      <c r="AF21" t="s">
        <v>3</v>
      </c>
      <c r="AG21">
        <v>2.2400000000000002</v>
      </c>
      <c r="AH21">
        <v>2</v>
      </c>
      <c r="AI21">
        <v>49708288</v>
      </c>
      <c r="AJ21">
        <v>22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">
      <c r="A22">
        <f>ROW(Source!A35)</f>
        <v>35</v>
      </c>
      <c r="B22">
        <v>49708307</v>
      </c>
      <c r="C22">
        <v>49708273</v>
      </c>
      <c r="D22">
        <v>48338471</v>
      </c>
      <c r="E22">
        <v>1</v>
      </c>
      <c r="F22">
        <v>1</v>
      </c>
      <c r="G22">
        <v>27</v>
      </c>
      <c r="H22">
        <v>2</v>
      </c>
      <c r="I22" t="s">
        <v>321</v>
      </c>
      <c r="J22" t="s">
        <v>322</v>
      </c>
      <c r="K22" t="s">
        <v>323</v>
      </c>
      <c r="L22">
        <v>1368</v>
      </c>
      <c r="N22">
        <v>1011</v>
      </c>
      <c r="O22" t="s">
        <v>299</v>
      </c>
      <c r="P22" t="s">
        <v>299</v>
      </c>
      <c r="Q22">
        <v>1</v>
      </c>
      <c r="X22">
        <v>0.65</v>
      </c>
      <c r="Y22">
        <v>0</v>
      </c>
      <c r="Z22">
        <v>1213.3399999999999</v>
      </c>
      <c r="AA22">
        <v>461.6</v>
      </c>
      <c r="AB22">
        <v>0</v>
      </c>
      <c r="AC22">
        <v>0</v>
      </c>
      <c r="AD22">
        <v>1</v>
      </c>
      <c r="AE22">
        <v>0</v>
      </c>
      <c r="AF22" t="s">
        <v>3</v>
      </c>
      <c r="AG22">
        <v>0.65</v>
      </c>
      <c r="AH22">
        <v>2</v>
      </c>
      <c r="AI22">
        <v>49708289</v>
      </c>
      <c r="AJ22">
        <v>23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44" x14ac:dyDescent="0.2">
      <c r="A23">
        <f>ROW(Source!A35)</f>
        <v>35</v>
      </c>
      <c r="B23">
        <v>49708308</v>
      </c>
      <c r="C23">
        <v>49708273</v>
      </c>
      <c r="D23">
        <v>48340459</v>
      </c>
      <c r="E23">
        <v>1</v>
      </c>
      <c r="F23">
        <v>1</v>
      </c>
      <c r="G23">
        <v>27</v>
      </c>
      <c r="H23">
        <v>3</v>
      </c>
      <c r="I23" t="s">
        <v>339</v>
      </c>
      <c r="J23" t="s">
        <v>340</v>
      </c>
      <c r="K23" t="s">
        <v>341</v>
      </c>
      <c r="L23">
        <v>1339</v>
      </c>
      <c r="N23">
        <v>1007</v>
      </c>
      <c r="O23" t="s">
        <v>46</v>
      </c>
      <c r="P23" t="s">
        <v>46</v>
      </c>
      <c r="Q23">
        <v>1</v>
      </c>
      <c r="X23">
        <v>126</v>
      </c>
      <c r="Y23">
        <v>1763.75</v>
      </c>
      <c r="Z23">
        <v>0</v>
      </c>
      <c r="AA23">
        <v>0</v>
      </c>
      <c r="AB23">
        <v>0</v>
      </c>
      <c r="AC23">
        <v>0</v>
      </c>
      <c r="AD23">
        <v>1</v>
      </c>
      <c r="AE23">
        <v>0</v>
      </c>
      <c r="AF23" t="s">
        <v>3</v>
      </c>
      <c r="AG23">
        <v>126</v>
      </c>
      <c r="AH23">
        <v>2</v>
      </c>
      <c r="AI23">
        <v>49708290</v>
      </c>
      <c r="AJ23">
        <v>24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44" x14ac:dyDescent="0.2">
      <c r="A24">
        <f>ROW(Source!A35)</f>
        <v>35</v>
      </c>
      <c r="B24">
        <v>49708309</v>
      </c>
      <c r="C24">
        <v>49708273</v>
      </c>
      <c r="D24">
        <v>48341179</v>
      </c>
      <c r="E24">
        <v>1</v>
      </c>
      <c r="F24">
        <v>1</v>
      </c>
      <c r="G24">
        <v>27</v>
      </c>
      <c r="H24">
        <v>3</v>
      </c>
      <c r="I24" t="s">
        <v>327</v>
      </c>
      <c r="J24" t="s">
        <v>328</v>
      </c>
      <c r="K24" t="s">
        <v>329</v>
      </c>
      <c r="L24">
        <v>1339</v>
      </c>
      <c r="N24">
        <v>1007</v>
      </c>
      <c r="O24" t="s">
        <v>46</v>
      </c>
      <c r="P24" t="s">
        <v>46</v>
      </c>
      <c r="Q24">
        <v>1</v>
      </c>
      <c r="X24">
        <v>7</v>
      </c>
      <c r="Y24">
        <v>35.25</v>
      </c>
      <c r="Z24">
        <v>0</v>
      </c>
      <c r="AA24">
        <v>0</v>
      </c>
      <c r="AB24">
        <v>0</v>
      </c>
      <c r="AC24">
        <v>0</v>
      </c>
      <c r="AD24">
        <v>1</v>
      </c>
      <c r="AE24">
        <v>0</v>
      </c>
      <c r="AF24" t="s">
        <v>3</v>
      </c>
      <c r="AG24">
        <v>7</v>
      </c>
      <c r="AH24">
        <v>2</v>
      </c>
      <c r="AI24">
        <v>49708291</v>
      </c>
      <c r="AJ24">
        <v>25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</row>
    <row r="25" spans="1:44" x14ac:dyDescent="0.2">
      <c r="A25">
        <f>ROW(Source!A36)</f>
        <v>36</v>
      </c>
      <c r="B25">
        <v>49708323</v>
      </c>
      <c r="C25">
        <v>49708310</v>
      </c>
      <c r="D25">
        <v>48326108</v>
      </c>
      <c r="E25">
        <v>27</v>
      </c>
      <c r="F25">
        <v>1</v>
      </c>
      <c r="G25">
        <v>27</v>
      </c>
      <c r="H25">
        <v>1</v>
      </c>
      <c r="I25" t="s">
        <v>293</v>
      </c>
      <c r="J25" t="s">
        <v>3</v>
      </c>
      <c r="K25" t="s">
        <v>294</v>
      </c>
      <c r="L25">
        <v>1191</v>
      </c>
      <c r="N25">
        <v>1013</v>
      </c>
      <c r="O25" t="s">
        <v>295</v>
      </c>
      <c r="P25" t="s">
        <v>295</v>
      </c>
      <c r="Q25">
        <v>1</v>
      </c>
      <c r="X25">
        <v>13.57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1</v>
      </c>
      <c r="AF25" t="s">
        <v>3</v>
      </c>
      <c r="AG25">
        <v>13.57</v>
      </c>
      <c r="AH25">
        <v>2</v>
      </c>
      <c r="AI25">
        <v>49708314</v>
      </c>
      <c r="AJ25">
        <v>26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</row>
    <row r="26" spans="1:44" x14ac:dyDescent="0.2">
      <c r="A26">
        <f>ROW(Source!A36)</f>
        <v>36</v>
      </c>
      <c r="B26">
        <v>49708324</v>
      </c>
      <c r="C26">
        <v>49708310</v>
      </c>
      <c r="D26">
        <v>48338468</v>
      </c>
      <c r="E26">
        <v>1</v>
      </c>
      <c r="F26">
        <v>1</v>
      </c>
      <c r="G26">
        <v>27</v>
      </c>
      <c r="H26">
        <v>2</v>
      </c>
      <c r="I26" t="s">
        <v>342</v>
      </c>
      <c r="J26" t="s">
        <v>343</v>
      </c>
      <c r="K26" t="s">
        <v>344</v>
      </c>
      <c r="L26">
        <v>1368</v>
      </c>
      <c r="N26">
        <v>1011</v>
      </c>
      <c r="O26" t="s">
        <v>299</v>
      </c>
      <c r="P26" t="s">
        <v>299</v>
      </c>
      <c r="Q26">
        <v>1</v>
      </c>
      <c r="X26">
        <v>0.46</v>
      </c>
      <c r="Y26">
        <v>0</v>
      </c>
      <c r="Z26">
        <v>888.61</v>
      </c>
      <c r="AA26">
        <v>396.74</v>
      </c>
      <c r="AB26">
        <v>0</v>
      </c>
      <c r="AC26">
        <v>0</v>
      </c>
      <c r="AD26">
        <v>1</v>
      </c>
      <c r="AE26">
        <v>0</v>
      </c>
      <c r="AF26" t="s">
        <v>3</v>
      </c>
      <c r="AG26">
        <v>0.46</v>
      </c>
      <c r="AH26">
        <v>2</v>
      </c>
      <c r="AI26">
        <v>49708315</v>
      </c>
      <c r="AJ26">
        <v>27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44" x14ac:dyDescent="0.2">
      <c r="A27">
        <f>ROW(Source!A36)</f>
        <v>36</v>
      </c>
      <c r="B27">
        <v>49708325</v>
      </c>
      <c r="C27">
        <v>49708310</v>
      </c>
      <c r="D27">
        <v>48338469</v>
      </c>
      <c r="E27">
        <v>1</v>
      </c>
      <c r="F27">
        <v>1</v>
      </c>
      <c r="G27">
        <v>27</v>
      </c>
      <c r="H27">
        <v>2</v>
      </c>
      <c r="I27" t="s">
        <v>345</v>
      </c>
      <c r="J27" t="s">
        <v>346</v>
      </c>
      <c r="K27" t="s">
        <v>347</v>
      </c>
      <c r="L27">
        <v>1368</v>
      </c>
      <c r="N27">
        <v>1011</v>
      </c>
      <c r="O27" t="s">
        <v>299</v>
      </c>
      <c r="P27" t="s">
        <v>299</v>
      </c>
      <c r="Q27">
        <v>1</v>
      </c>
      <c r="X27">
        <v>1.39</v>
      </c>
      <c r="Y27">
        <v>0</v>
      </c>
      <c r="Z27">
        <v>880.59</v>
      </c>
      <c r="AA27">
        <v>534.02</v>
      </c>
      <c r="AB27">
        <v>0</v>
      </c>
      <c r="AC27">
        <v>0</v>
      </c>
      <c r="AD27">
        <v>1</v>
      </c>
      <c r="AE27">
        <v>0</v>
      </c>
      <c r="AF27" t="s">
        <v>3</v>
      </c>
      <c r="AG27">
        <v>1.39</v>
      </c>
      <c r="AH27">
        <v>2</v>
      </c>
      <c r="AI27">
        <v>49708316</v>
      </c>
      <c r="AJ27">
        <v>28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</row>
    <row r="28" spans="1:44" x14ac:dyDescent="0.2">
      <c r="A28">
        <f>ROW(Source!A36)</f>
        <v>36</v>
      </c>
      <c r="B28">
        <v>49708326</v>
      </c>
      <c r="C28">
        <v>49708310</v>
      </c>
      <c r="D28">
        <v>48342361</v>
      </c>
      <c r="E28">
        <v>1</v>
      </c>
      <c r="F28">
        <v>1</v>
      </c>
      <c r="G28">
        <v>27</v>
      </c>
      <c r="H28">
        <v>3</v>
      </c>
      <c r="I28" t="s">
        <v>76</v>
      </c>
      <c r="J28" t="s">
        <v>78</v>
      </c>
      <c r="K28" t="s">
        <v>77</v>
      </c>
      <c r="L28">
        <v>1348</v>
      </c>
      <c r="N28">
        <v>1009</v>
      </c>
      <c r="O28" t="s">
        <v>57</v>
      </c>
      <c r="P28" t="s">
        <v>57</v>
      </c>
      <c r="Q28">
        <v>1000</v>
      </c>
      <c r="X28">
        <v>9.58</v>
      </c>
      <c r="Y28">
        <v>2690.29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 t="s">
        <v>3</v>
      </c>
      <c r="AG28">
        <v>9.58</v>
      </c>
      <c r="AH28">
        <v>2</v>
      </c>
      <c r="AI28">
        <v>49708317</v>
      </c>
      <c r="AJ28">
        <v>29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44" x14ac:dyDescent="0.2">
      <c r="A29">
        <f>ROW(Source!A39)</f>
        <v>39</v>
      </c>
      <c r="B29">
        <v>49708360</v>
      </c>
      <c r="C29">
        <v>49708329</v>
      </c>
      <c r="D29">
        <v>48326108</v>
      </c>
      <c r="E29">
        <v>27</v>
      </c>
      <c r="F29">
        <v>1</v>
      </c>
      <c r="G29">
        <v>27</v>
      </c>
      <c r="H29">
        <v>1</v>
      </c>
      <c r="I29" t="s">
        <v>293</v>
      </c>
      <c r="J29" t="s">
        <v>3</v>
      </c>
      <c r="K29" t="s">
        <v>294</v>
      </c>
      <c r="L29">
        <v>1191</v>
      </c>
      <c r="N29">
        <v>1013</v>
      </c>
      <c r="O29" t="s">
        <v>295</v>
      </c>
      <c r="P29" t="s">
        <v>295</v>
      </c>
      <c r="Q29">
        <v>1</v>
      </c>
      <c r="X29">
        <v>18.440000000000001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1</v>
      </c>
      <c r="AF29" t="s">
        <v>3</v>
      </c>
      <c r="AG29">
        <v>18.440000000000001</v>
      </c>
      <c r="AH29">
        <v>2</v>
      </c>
      <c r="AI29">
        <v>49708340</v>
      </c>
      <c r="AJ29">
        <v>31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44" x14ac:dyDescent="0.2">
      <c r="A30">
        <f>ROW(Source!A39)</f>
        <v>39</v>
      </c>
      <c r="B30">
        <v>49708361</v>
      </c>
      <c r="C30">
        <v>49708329</v>
      </c>
      <c r="D30">
        <v>48338967</v>
      </c>
      <c r="E30">
        <v>1</v>
      </c>
      <c r="F30">
        <v>1</v>
      </c>
      <c r="G30">
        <v>27</v>
      </c>
      <c r="H30">
        <v>2</v>
      </c>
      <c r="I30" t="s">
        <v>348</v>
      </c>
      <c r="J30" t="s">
        <v>349</v>
      </c>
      <c r="K30" t="s">
        <v>350</v>
      </c>
      <c r="L30">
        <v>1368</v>
      </c>
      <c r="N30">
        <v>1011</v>
      </c>
      <c r="O30" t="s">
        <v>299</v>
      </c>
      <c r="P30" t="s">
        <v>299</v>
      </c>
      <c r="Q30">
        <v>1</v>
      </c>
      <c r="X30">
        <v>2.64</v>
      </c>
      <c r="Y30">
        <v>0</v>
      </c>
      <c r="Z30">
        <v>531.41</v>
      </c>
      <c r="AA30">
        <v>373.56</v>
      </c>
      <c r="AB30">
        <v>0</v>
      </c>
      <c r="AC30">
        <v>0</v>
      </c>
      <c r="AD30">
        <v>1</v>
      </c>
      <c r="AE30">
        <v>0</v>
      </c>
      <c r="AF30" t="s">
        <v>3</v>
      </c>
      <c r="AG30">
        <v>2.64</v>
      </c>
      <c r="AH30">
        <v>2</v>
      </c>
      <c r="AI30">
        <v>49708341</v>
      </c>
      <c r="AJ30">
        <v>32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44" x14ac:dyDescent="0.2">
      <c r="A31">
        <f>ROW(Source!A39)</f>
        <v>39</v>
      </c>
      <c r="B31">
        <v>49708362</v>
      </c>
      <c r="C31">
        <v>49708329</v>
      </c>
      <c r="D31">
        <v>48339190</v>
      </c>
      <c r="E31">
        <v>1</v>
      </c>
      <c r="F31">
        <v>1</v>
      </c>
      <c r="G31">
        <v>27</v>
      </c>
      <c r="H31">
        <v>2</v>
      </c>
      <c r="I31" t="s">
        <v>351</v>
      </c>
      <c r="J31" t="s">
        <v>352</v>
      </c>
      <c r="K31" t="s">
        <v>353</v>
      </c>
      <c r="L31">
        <v>1368</v>
      </c>
      <c r="N31">
        <v>1011</v>
      </c>
      <c r="O31" t="s">
        <v>299</v>
      </c>
      <c r="P31" t="s">
        <v>299</v>
      </c>
      <c r="Q31">
        <v>1</v>
      </c>
      <c r="X31">
        <v>1.18</v>
      </c>
      <c r="Y31">
        <v>0</v>
      </c>
      <c r="Z31">
        <v>7.44</v>
      </c>
      <c r="AA31">
        <v>0.98</v>
      </c>
      <c r="AB31">
        <v>0</v>
      </c>
      <c r="AC31">
        <v>0</v>
      </c>
      <c r="AD31">
        <v>1</v>
      </c>
      <c r="AE31">
        <v>0</v>
      </c>
      <c r="AF31" t="s">
        <v>3</v>
      </c>
      <c r="AG31">
        <v>1.18</v>
      </c>
      <c r="AH31">
        <v>2</v>
      </c>
      <c r="AI31">
        <v>49708342</v>
      </c>
      <c r="AJ31">
        <v>33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44" x14ac:dyDescent="0.2">
      <c r="A32">
        <f>ROW(Source!A39)</f>
        <v>39</v>
      </c>
      <c r="B32">
        <v>49708363</v>
      </c>
      <c r="C32">
        <v>49708329</v>
      </c>
      <c r="D32">
        <v>48338392</v>
      </c>
      <c r="E32">
        <v>1</v>
      </c>
      <c r="F32">
        <v>1</v>
      </c>
      <c r="G32">
        <v>27</v>
      </c>
      <c r="H32">
        <v>2</v>
      </c>
      <c r="I32" t="s">
        <v>354</v>
      </c>
      <c r="J32" t="s">
        <v>355</v>
      </c>
      <c r="K32" t="s">
        <v>356</v>
      </c>
      <c r="L32">
        <v>1368</v>
      </c>
      <c r="N32">
        <v>1011</v>
      </c>
      <c r="O32" t="s">
        <v>299</v>
      </c>
      <c r="P32" t="s">
        <v>299</v>
      </c>
      <c r="Q32">
        <v>1</v>
      </c>
      <c r="X32">
        <v>0.01</v>
      </c>
      <c r="Y32">
        <v>0</v>
      </c>
      <c r="Z32">
        <v>616.73</v>
      </c>
      <c r="AA32">
        <v>511.29</v>
      </c>
      <c r="AB32">
        <v>0</v>
      </c>
      <c r="AC32">
        <v>0</v>
      </c>
      <c r="AD32">
        <v>1</v>
      </c>
      <c r="AE32">
        <v>0</v>
      </c>
      <c r="AF32" t="s">
        <v>3</v>
      </c>
      <c r="AG32">
        <v>0.01</v>
      </c>
      <c r="AH32">
        <v>2</v>
      </c>
      <c r="AI32">
        <v>49708343</v>
      </c>
      <c r="AJ32">
        <v>34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">
      <c r="A33">
        <f>ROW(Source!A39)</f>
        <v>39</v>
      </c>
      <c r="B33">
        <v>49708364</v>
      </c>
      <c r="C33">
        <v>49708329</v>
      </c>
      <c r="D33">
        <v>48338576</v>
      </c>
      <c r="E33">
        <v>1</v>
      </c>
      <c r="F33">
        <v>1</v>
      </c>
      <c r="G33">
        <v>27</v>
      </c>
      <c r="H33">
        <v>2</v>
      </c>
      <c r="I33" t="s">
        <v>357</v>
      </c>
      <c r="J33" t="s">
        <v>358</v>
      </c>
      <c r="K33" t="s">
        <v>359</v>
      </c>
      <c r="L33">
        <v>1368</v>
      </c>
      <c r="N33">
        <v>1011</v>
      </c>
      <c r="O33" t="s">
        <v>299</v>
      </c>
      <c r="P33" t="s">
        <v>299</v>
      </c>
      <c r="Q33">
        <v>1</v>
      </c>
      <c r="X33">
        <v>2.64</v>
      </c>
      <c r="Y33">
        <v>0</v>
      </c>
      <c r="Z33">
        <v>454.31</v>
      </c>
      <c r="AA33">
        <v>405.68</v>
      </c>
      <c r="AB33">
        <v>0</v>
      </c>
      <c r="AC33">
        <v>0</v>
      </c>
      <c r="AD33">
        <v>1</v>
      </c>
      <c r="AE33">
        <v>0</v>
      </c>
      <c r="AF33" t="s">
        <v>3</v>
      </c>
      <c r="AG33">
        <v>2.64</v>
      </c>
      <c r="AH33">
        <v>2</v>
      </c>
      <c r="AI33">
        <v>49708344</v>
      </c>
      <c r="AJ33">
        <v>35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">
      <c r="A34">
        <f>ROW(Source!A39)</f>
        <v>39</v>
      </c>
      <c r="B34">
        <v>49708365</v>
      </c>
      <c r="C34">
        <v>49708329</v>
      </c>
      <c r="D34">
        <v>48341400</v>
      </c>
      <c r="E34">
        <v>1</v>
      </c>
      <c r="F34">
        <v>1</v>
      </c>
      <c r="G34">
        <v>27</v>
      </c>
      <c r="H34">
        <v>3</v>
      </c>
      <c r="I34" t="s">
        <v>360</v>
      </c>
      <c r="J34" t="s">
        <v>361</v>
      </c>
      <c r="K34" t="s">
        <v>362</v>
      </c>
      <c r="L34">
        <v>1327</v>
      </c>
      <c r="N34">
        <v>1005</v>
      </c>
      <c r="O34" t="s">
        <v>363</v>
      </c>
      <c r="P34" t="s">
        <v>363</v>
      </c>
      <c r="Q34">
        <v>1</v>
      </c>
      <c r="X34">
        <v>5.6</v>
      </c>
      <c r="Y34">
        <v>12.02</v>
      </c>
      <c r="Z34">
        <v>0</v>
      </c>
      <c r="AA34">
        <v>0</v>
      </c>
      <c r="AB34">
        <v>0</v>
      </c>
      <c r="AC34">
        <v>0</v>
      </c>
      <c r="AD34">
        <v>1</v>
      </c>
      <c r="AE34">
        <v>0</v>
      </c>
      <c r="AF34" t="s">
        <v>3</v>
      </c>
      <c r="AG34">
        <v>5.6</v>
      </c>
      <c r="AH34">
        <v>2</v>
      </c>
      <c r="AI34">
        <v>49708345</v>
      </c>
      <c r="AJ34">
        <v>36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">
      <c r="A35">
        <f>ROW(Source!A39)</f>
        <v>39</v>
      </c>
      <c r="B35">
        <v>49708366</v>
      </c>
      <c r="C35">
        <v>49708329</v>
      </c>
      <c r="D35">
        <v>48341487</v>
      </c>
      <c r="E35">
        <v>1</v>
      </c>
      <c r="F35">
        <v>1</v>
      </c>
      <c r="G35">
        <v>27</v>
      </c>
      <c r="H35">
        <v>3</v>
      </c>
      <c r="I35" t="s">
        <v>364</v>
      </c>
      <c r="J35" t="s">
        <v>365</v>
      </c>
      <c r="K35" t="s">
        <v>366</v>
      </c>
      <c r="L35">
        <v>1348</v>
      </c>
      <c r="N35">
        <v>1009</v>
      </c>
      <c r="O35" t="s">
        <v>57</v>
      </c>
      <c r="P35" t="s">
        <v>57</v>
      </c>
      <c r="Q35">
        <v>1000</v>
      </c>
      <c r="X35">
        <v>3.15E-3</v>
      </c>
      <c r="Y35">
        <v>343020.03</v>
      </c>
      <c r="Z35">
        <v>0</v>
      </c>
      <c r="AA35">
        <v>0</v>
      </c>
      <c r="AB35">
        <v>0</v>
      </c>
      <c r="AC35">
        <v>0</v>
      </c>
      <c r="AD35">
        <v>1</v>
      </c>
      <c r="AE35">
        <v>0</v>
      </c>
      <c r="AF35" t="s">
        <v>3</v>
      </c>
      <c r="AG35">
        <v>3.15E-3</v>
      </c>
      <c r="AH35">
        <v>2</v>
      </c>
      <c r="AI35">
        <v>49708346</v>
      </c>
      <c r="AJ35">
        <v>37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44" x14ac:dyDescent="0.2">
      <c r="A36">
        <f>ROW(Source!A39)</f>
        <v>39</v>
      </c>
      <c r="B36">
        <v>49708367</v>
      </c>
      <c r="C36">
        <v>49708329</v>
      </c>
      <c r="D36">
        <v>48341704</v>
      </c>
      <c r="E36">
        <v>1</v>
      </c>
      <c r="F36">
        <v>1</v>
      </c>
      <c r="G36">
        <v>27</v>
      </c>
      <c r="H36">
        <v>3</v>
      </c>
      <c r="I36" t="s">
        <v>367</v>
      </c>
      <c r="J36" t="s">
        <v>368</v>
      </c>
      <c r="K36" t="s">
        <v>369</v>
      </c>
      <c r="L36">
        <v>1346</v>
      </c>
      <c r="N36">
        <v>1009</v>
      </c>
      <c r="O36" t="s">
        <v>370</v>
      </c>
      <c r="P36" t="s">
        <v>370</v>
      </c>
      <c r="Q36">
        <v>1</v>
      </c>
      <c r="X36">
        <v>735</v>
      </c>
      <c r="Y36">
        <v>17.77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 t="s">
        <v>3</v>
      </c>
      <c r="AG36">
        <v>735</v>
      </c>
      <c r="AH36">
        <v>2</v>
      </c>
      <c r="AI36">
        <v>49708347</v>
      </c>
      <c r="AJ36">
        <v>38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">
      <c r="A37">
        <f>ROW(Source!A39)</f>
        <v>39</v>
      </c>
      <c r="B37">
        <v>49708368</v>
      </c>
      <c r="C37">
        <v>49708329</v>
      </c>
      <c r="D37">
        <v>48341711</v>
      </c>
      <c r="E37">
        <v>1</v>
      </c>
      <c r="F37">
        <v>1</v>
      </c>
      <c r="G37">
        <v>27</v>
      </c>
      <c r="H37">
        <v>3</v>
      </c>
      <c r="I37" t="s">
        <v>371</v>
      </c>
      <c r="J37" t="s">
        <v>372</v>
      </c>
      <c r="K37" t="s">
        <v>373</v>
      </c>
      <c r="L37">
        <v>1346</v>
      </c>
      <c r="N37">
        <v>1009</v>
      </c>
      <c r="O37" t="s">
        <v>370</v>
      </c>
      <c r="P37" t="s">
        <v>370</v>
      </c>
      <c r="Q37">
        <v>1</v>
      </c>
      <c r="X37">
        <v>241.5</v>
      </c>
      <c r="Y37">
        <v>202.34</v>
      </c>
      <c r="Z37">
        <v>0</v>
      </c>
      <c r="AA37">
        <v>0</v>
      </c>
      <c r="AB37">
        <v>0</v>
      </c>
      <c r="AC37">
        <v>0</v>
      </c>
      <c r="AD37">
        <v>1</v>
      </c>
      <c r="AE37">
        <v>0</v>
      </c>
      <c r="AF37" t="s">
        <v>3</v>
      </c>
      <c r="AG37">
        <v>241.5</v>
      </c>
      <c r="AH37">
        <v>2</v>
      </c>
      <c r="AI37">
        <v>49708348</v>
      </c>
      <c r="AJ37">
        <v>39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</row>
    <row r="38" spans="1:44" x14ac:dyDescent="0.2">
      <c r="A38">
        <f>ROW(Source!A39)</f>
        <v>39</v>
      </c>
      <c r="B38">
        <v>49708369</v>
      </c>
      <c r="C38">
        <v>49708329</v>
      </c>
      <c r="D38">
        <v>48339678</v>
      </c>
      <c r="E38">
        <v>1</v>
      </c>
      <c r="F38">
        <v>1</v>
      </c>
      <c r="G38">
        <v>27</v>
      </c>
      <c r="H38">
        <v>3</v>
      </c>
      <c r="I38" t="s">
        <v>88</v>
      </c>
      <c r="J38" t="s">
        <v>90</v>
      </c>
      <c r="K38" t="s">
        <v>89</v>
      </c>
      <c r="L38">
        <v>1348</v>
      </c>
      <c r="N38">
        <v>1009</v>
      </c>
      <c r="O38" t="s">
        <v>57</v>
      </c>
      <c r="P38" t="s">
        <v>57</v>
      </c>
      <c r="Q38">
        <v>1000</v>
      </c>
      <c r="X38">
        <v>5.2499999999999998E-2</v>
      </c>
      <c r="Y38">
        <v>748299.67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 t="s">
        <v>3</v>
      </c>
      <c r="AG38">
        <v>5.2499999999999998E-2</v>
      </c>
      <c r="AH38">
        <v>2</v>
      </c>
      <c r="AI38">
        <v>49708349</v>
      </c>
      <c r="AJ38">
        <v>40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</row>
    <row r="39" spans="1:44" x14ac:dyDescent="0.2">
      <c r="A39">
        <f>ROW(Source!A41)</f>
        <v>41</v>
      </c>
      <c r="B39">
        <v>49708382</v>
      </c>
      <c r="C39">
        <v>49708371</v>
      </c>
      <c r="D39">
        <v>48326108</v>
      </c>
      <c r="E39">
        <v>27</v>
      </c>
      <c r="F39">
        <v>1</v>
      </c>
      <c r="G39">
        <v>27</v>
      </c>
      <c r="H39">
        <v>1</v>
      </c>
      <c r="I39" t="s">
        <v>293</v>
      </c>
      <c r="J39" t="s">
        <v>3</v>
      </c>
      <c r="K39" t="s">
        <v>294</v>
      </c>
      <c r="L39">
        <v>1191</v>
      </c>
      <c r="N39">
        <v>1013</v>
      </c>
      <c r="O39" t="s">
        <v>295</v>
      </c>
      <c r="P39" t="s">
        <v>295</v>
      </c>
      <c r="Q39">
        <v>1</v>
      </c>
      <c r="X39">
        <v>18.440000000000001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1</v>
      </c>
      <c r="AF39" t="s">
        <v>3</v>
      </c>
      <c r="AG39">
        <v>18.440000000000001</v>
      </c>
      <c r="AH39">
        <v>2</v>
      </c>
      <c r="AI39">
        <v>49708372</v>
      </c>
      <c r="AJ39">
        <v>41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</row>
    <row r="40" spans="1:44" x14ac:dyDescent="0.2">
      <c r="A40">
        <f>ROW(Source!A41)</f>
        <v>41</v>
      </c>
      <c r="B40">
        <v>49708383</v>
      </c>
      <c r="C40">
        <v>49708371</v>
      </c>
      <c r="D40">
        <v>48338967</v>
      </c>
      <c r="E40">
        <v>1</v>
      </c>
      <c r="F40">
        <v>1</v>
      </c>
      <c r="G40">
        <v>27</v>
      </c>
      <c r="H40">
        <v>2</v>
      </c>
      <c r="I40" t="s">
        <v>348</v>
      </c>
      <c r="J40" t="s">
        <v>349</v>
      </c>
      <c r="K40" t="s">
        <v>350</v>
      </c>
      <c r="L40">
        <v>1368</v>
      </c>
      <c r="N40">
        <v>1011</v>
      </c>
      <c r="O40" t="s">
        <v>299</v>
      </c>
      <c r="P40" t="s">
        <v>299</v>
      </c>
      <c r="Q40">
        <v>1</v>
      </c>
      <c r="X40">
        <v>2.64</v>
      </c>
      <c r="Y40">
        <v>0</v>
      </c>
      <c r="Z40">
        <v>531.41</v>
      </c>
      <c r="AA40">
        <v>373.56</v>
      </c>
      <c r="AB40">
        <v>0</v>
      </c>
      <c r="AC40">
        <v>0</v>
      </c>
      <c r="AD40">
        <v>1</v>
      </c>
      <c r="AE40">
        <v>0</v>
      </c>
      <c r="AF40" t="s">
        <v>3</v>
      </c>
      <c r="AG40">
        <v>2.64</v>
      </c>
      <c r="AH40">
        <v>2</v>
      </c>
      <c r="AI40">
        <v>49708373</v>
      </c>
      <c r="AJ40">
        <v>42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</row>
    <row r="41" spans="1:44" x14ac:dyDescent="0.2">
      <c r="A41">
        <f>ROW(Source!A41)</f>
        <v>41</v>
      </c>
      <c r="B41">
        <v>49708384</v>
      </c>
      <c r="C41">
        <v>49708371</v>
      </c>
      <c r="D41">
        <v>48339190</v>
      </c>
      <c r="E41">
        <v>1</v>
      </c>
      <c r="F41">
        <v>1</v>
      </c>
      <c r="G41">
        <v>27</v>
      </c>
      <c r="H41">
        <v>2</v>
      </c>
      <c r="I41" t="s">
        <v>351</v>
      </c>
      <c r="J41" t="s">
        <v>352</v>
      </c>
      <c r="K41" t="s">
        <v>353</v>
      </c>
      <c r="L41">
        <v>1368</v>
      </c>
      <c r="N41">
        <v>1011</v>
      </c>
      <c r="O41" t="s">
        <v>299</v>
      </c>
      <c r="P41" t="s">
        <v>299</v>
      </c>
      <c r="Q41">
        <v>1</v>
      </c>
      <c r="X41">
        <v>1.18</v>
      </c>
      <c r="Y41">
        <v>0</v>
      </c>
      <c r="Z41">
        <v>7.44</v>
      </c>
      <c r="AA41">
        <v>0.98</v>
      </c>
      <c r="AB41">
        <v>0</v>
      </c>
      <c r="AC41">
        <v>0</v>
      </c>
      <c r="AD41">
        <v>1</v>
      </c>
      <c r="AE41">
        <v>0</v>
      </c>
      <c r="AF41" t="s">
        <v>3</v>
      </c>
      <c r="AG41">
        <v>1.18</v>
      </c>
      <c r="AH41">
        <v>2</v>
      </c>
      <c r="AI41">
        <v>49708374</v>
      </c>
      <c r="AJ41">
        <v>43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</row>
    <row r="42" spans="1:44" x14ac:dyDescent="0.2">
      <c r="A42">
        <f>ROW(Source!A41)</f>
        <v>41</v>
      </c>
      <c r="B42">
        <v>49708385</v>
      </c>
      <c r="C42">
        <v>49708371</v>
      </c>
      <c r="D42">
        <v>48338392</v>
      </c>
      <c r="E42">
        <v>1</v>
      </c>
      <c r="F42">
        <v>1</v>
      </c>
      <c r="G42">
        <v>27</v>
      </c>
      <c r="H42">
        <v>2</v>
      </c>
      <c r="I42" t="s">
        <v>354</v>
      </c>
      <c r="J42" t="s">
        <v>355</v>
      </c>
      <c r="K42" t="s">
        <v>356</v>
      </c>
      <c r="L42">
        <v>1368</v>
      </c>
      <c r="N42">
        <v>1011</v>
      </c>
      <c r="O42" t="s">
        <v>299</v>
      </c>
      <c r="P42" t="s">
        <v>299</v>
      </c>
      <c r="Q42">
        <v>1</v>
      </c>
      <c r="X42">
        <v>0.01</v>
      </c>
      <c r="Y42">
        <v>0</v>
      </c>
      <c r="Z42">
        <v>616.73</v>
      </c>
      <c r="AA42">
        <v>511.29</v>
      </c>
      <c r="AB42">
        <v>0</v>
      </c>
      <c r="AC42">
        <v>0</v>
      </c>
      <c r="AD42">
        <v>1</v>
      </c>
      <c r="AE42">
        <v>0</v>
      </c>
      <c r="AF42" t="s">
        <v>3</v>
      </c>
      <c r="AG42">
        <v>0.01</v>
      </c>
      <c r="AH42">
        <v>2</v>
      </c>
      <c r="AI42">
        <v>49708375</v>
      </c>
      <c r="AJ42">
        <v>44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</row>
    <row r="43" spans="1:44" x14ac:dyDescent="0.2">
      <c r="A43">
        <f>ROW(Source!A41)</f>
        <v>41</v>
      </c>
      <c r="B43">
        <v>49708386</v>
      </c>
      <c r="C43">
        <v>49708371</v>
      </c>
      <c r="D43">
        <v>48338576</v>
      </c>
      <c r="E43">
        <v>1</v>
      </c>
      <c r="F43">
        <v>1</v>
      </c>
      <c r="G43">
        <v>27</v>
      </c>
      <c r="H43">
        <v>2</v>
      </c>
      <c r="I43" t="s">
        <v>357</v>
      </c>
      <c r="J43" t="s">
        <v>358</v>
      </c>
      <c r="K43" t="s">
        <v>359</v>
      </c>
      <c r="L43">
        <v>1368</v>
      </c>
      <c r="N43">
        <v>1011</v>
      </c>
      <c r="O43" t="s">
        <v>299</v>
      </c>
      <c r="P43" t="s">
        <v>299</v>
      </c>
      <c r="Q43">
        <v>1</v>
      </c>
      <c r="X43">
        <v>2.64</v>
      </c>
      <c r="Y43">
        <v>0</v>
      </c>
      <c r="Z43">
        <v>454.31</v>
      </c>
      <c r="AA43">
        <v>405.68</v>
      </c>
      <c r="AB43">
        <v>0</v>
      </c>
      <c r="AC43">
        <v>0</v>
      </c>
      <c r="AD43">
        <v>1</v>
      </c>
      <c r="AE43">
        <v>0</v>
      </c>
      <c r="AF43" t="s">
        <v>3</v>
      </c>
      <c r="AG43">
        <v>2.64</v>
      </c>
      <c r="AH43">
        <v>2</v>
      </c>
      <c r="AI43">
        <v>49708376</v>
      </c>
      <c r="AJ43">
        <v>45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</row>
    <row r="44" spans="1:44" x14ac:dyDescent="0.2">
      <c r="A44">
        <f>ROW(Source!A41)</f>
        <v>41</v>
      </c>
      <c r="B44">
        <v>49708387</v>
      </c>
      <c r="C44">
        <v>49708371</v>
      </c>
      <c r="D44">
        <v>48341400</v>
      </c>
      <c r="E44">
        <v>1</v>
      </c>
      <c r="F44">
        <v>1</v>
      </c>
      <c r="G44">
        <v>27</v>
      </c>
      <c r="H44">
        <v>3</v>
      </c>
      <c r="I44" t="s">
        <v>360</v>
      </c>
      <c r="J44" t="s">
        <v>361</v>
      </c>
      <c r="K44" t="s">
        <v>362</v>
      </c>
      <c r="L44">
        <v>1327</v>
      </c>
      <c r="N44">
        <v>1005</v>
      </c>
      <c r="O44" t="s">
        <v>363</v>
      </c>
      <c r="P44" t="s">
        <v>363</v>
      </c>
      <c r="Q44">
        <v>1</v>
      </c>
      <c r="X44">
        <v>5.6</v>
      </c>
      <c r="Y44">
        <v>12.02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 t="s">
        <v>3</v>
      </c>
      <c r="AG44">
        <v>5.6</v>
      </c>
      <c r="AH44">
        <v>2</v>
      </c>
      <c r="AI44">
        <v>49708377</v>
      </c>
      <c r="AJ44">
        <v>46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</row>
    <row r="45" spans="1:44" x14ac:dyDescent="0.2">
      <c r="A45">
        <f>ROW(Source!A41)</f>
        <v>41</v>
      </c>
      <c r="B45">
        <v>49708388</v>
      </c>
      <c r="C45">
        <v>49708371</v>
      </c>
      <c r="D45">
        <v>48341487</v>
      </c>
      <c r="E45">
        <v>1</v>
      </c>
      <c r="F45">
        <v>1</v>
      </c>
      <c r="G45">
        <v>27</v>
      </c>
      <c r="H45">
        <v>3</v>
      </c>
      <c r="I45" t="s">
        <v>364</v>
      </c>
      <c r="J45" t="s">
        <v>365</v>
      </c>
      <c r="K45" t="s">
        <v>366</v>
      </c>
      <c r="L45">
        <v>1348</v>
      </c>
      <c r="N45">
        <v>1009</v>
      </c>
      <c r="O45" t="s">
        <v>57</v>
      </c>
      <c r="P45" t="s">
        <v>57</v>
      </c>
      <c r="Q45">
        <v>1000</v>
      </c>
      <c r="X45">
        <v>3.15E-3</v>
      </c>
      <c r="Y45">
        <v>343020.03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 t="s">
        <v>3</v>
      </c>
      <c r="AG45">
        <v>3.15E-3</v>
      </c>
      <c r="AH45">
        <v>2</v>
      </c>
      <c r="AI45">
        <v>49708378</v>
      </c>
      <c r="AJ45">
        <v>47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</row>
    <row r="46" spans="1:44" x14ac:dyDescent="0.2">
      <c r="A46">
        <f>ROW(Source!A41)</f>
        <v>41</v>
      </c>
      <c r="B46">
        <v>49708389</v>
      </c>
      <c r="C46">
        <v>49708371</v>
      </c>
      <c r="D46">
        <v>48341704</v>
      </c>
      <c r="E46">
        <v>1</v>
      </c>
      <c r="F46">
        <v>1</v>
      </c>
      <c r="G46">
        <v>27</v>
      </c>
      <c r="H46">
        <v>3</v>
      </c>
      <c r="I46" t="s">
        <v>367</v>
      </c>
      <c r="J46" t="s">
        <v>368</v>
      </c>
      <c r="K46" t="s">
        <v>369</v>
      </c>
      <c r="L46">
        <v>1346</v>
      </c>
      <c r="N46">
        <v>1009</v>
      </c>
      <c r="O46" t="s">
        <v>370</v>
      </c>
      <c r="P46" t="s">
        <v>370</v>
      </c>
      <c r="Q46">
        <v>1</v>
      </c>
      <c r="X46">
        <v>735</v>
      </c>
      <c r="Y46">
        <v>17.77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 t="s">
        <v>3</v>
      </c>
      <c r="AG46">
        <v>735</v>
      </c>
      <c r="AH46">
        <v>2</v>
      </c>
      <c r="AI46">
        <v>49708379</v>
      </c>
      <c r="AJ46">
        <v>48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</row>
    <row r="47" spans="1:44" x14ac:dyDescent="0.2">
      <c r="A47">
        <f>ROW(Source!A41)</f>
        <v>41</v>
      </c>
      <c r="B47">
        <v>49708390</v>
      </c>
      <c r="C47">
        <v>49708371</v>
      </c>
      <c r="D47">
        <v>48341711</v>
      </c>
      <c r="E47">
        <v>1</v>
      </c>
      <c r="F47">
        <v>1</v>
      </c>
      <c r="G47">
        <v>27</v>
      </c>
      <c r="H47">
        <v>3</v>
      </c>
      <c r="I47" t="s">
        <v>371</v>
      </c>
      <c r="J47" t="s">
        <v>372</v>
      </c>
      <c r="K47" t="s">
        <v>373</v>
      </c>
      <c r="L47">
        <v>1346</v>
      </c>
      <c r="N47">
        <v>1009</v>
      </c>
      <c r="O47" t="s">
        <v>370</v>
      </c>
      <c r="P47" t="s">
        <v>370</v>
      </c>
      <c r="Q47">
        <v>1</v>
      </c>
      <c r="X47">
        <v>241.5</v>
      </c>
      <c r="Y47">
        <v>202.34</v>
      </c>
      <c r="Z47">
        <v>0</v>
      </c>
      <c r="AA47">
        <v>0</v>
      </c>
      <c r="AB47">
        <v>0</v>
      </c>
      <c r="AC47">
        <v>0</v>
      </c>
      <c r="AD47">
        <v>1</v>
      </c>
      <c r="AE47">
        <v>0</v>
      </c>
      <c r="AF47" t="s">
        <v>3</v>
      </c>
      <c r="AG47">
        <v>241.5</v>
      </c>
      <c r="AH47">
        <v>2</v>
      </c>
      <c r="AI47">
        <v>49708380</v>
      </c>
      <c r="AJ47">
        <v>49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</row>
    <row r="48" spans="1:44" x14ac:dyDescent="0.2">
      <c r="A48">
        <f>ROW(Source!A41)</f>
        <v>41</v>
      </c>
      <c r="B48">
        <v>49708391</v>
      </c>
      <c r="C48">
        <v>49708371</v>
      </c>
      <c r="D48">
        <v>48339678</v>
      </c>
      <c r="E48">
        <v>1</v>
      </c>
      <c r="F48">
        <v>1</v>
      </c>
      <c r="G48">
        <v>27</v>
      </c>
      <c r="H48">
        <v>3</v>
      </c>
      <c r="I48" t="s">
        <v>88</v>
      </c>
      <c r="J48" t="s">
        <v>90</v>
      </c>
      <c r="K48" t="s">
        <v>89</v>
      </c>
      <c r="L48">
        <v>1348</v>
      </c>
      <c r="N48">
        <v>1009</v>
      </c>
      <c r="O48" t="s">
        <v>57</v>
      </c>
      <c r="P48" t="s">
        <v>57</v>
      </c>
      <c r="Q48">
        <v>1000</v>
      </c>
      <c r="X48">
        <v>5.2499999999999998E-2</v>
      </c>
      <c r="Y48">
        <v>748299.67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 t="s">
        <v>3</v>
      </c>
      <c r="AG48">
        <v>5.2499999999999998E-2</v>
      </c>
      <c r="AH48">
        <v>2</v>
      </c>
      <c r="AI48">
        <v>49708381</v>
      </c>
      <c r="AJ48">
        <v>50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</row>
    <row r="49" spans="1:44" x14ac:dyDescent="0.2">
      <c r="A49">
        <f>ROW(Source!A42)</f>
        <v>42</v>
      </c>
      <c r="B49">
        <v>49708405</v>
      </c>
      <c r="C49">
        <v>49708392</v>
      </c>
      <c r="D49">
        <v>48326108</v>
      </c>
      <c r="E49">
        <v>27</v>
      </c>
      <c r="F49">
        <v>1</v>
      </c>
      <c r="G49">
        <v>27</v>
      </c>
      <c r="H49">
        <v>1</v>
      </c>
      <c r="I49" t="s">
        <v>293</v>
      </c>
      <c r="J49" t="s">
        <v>3</v>
      </c>
      <c r="K49" t="s">
        <v>294</v>
      </c>
      <c r="L49">
        <v>1191</v>
      </c>
      <c r="N49">
        <v>1013</v>
      </c>
      <c r="O49" t="s">
        <v>295</v>
      </c>
      <c r="P49" t="s">
        <v>295</v>
      </c>
      <c r="Q49">
        <v>1</v>
      </c>
      <c r="X49">
        <v>80.27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1</v>
      </c>
      <c r="AF49" t="s">
        <v>3</v>
      </c>
      <c r="AG49">
        <v>80.27</v>
      </c>
      <c r="AH49">
        <v>2</v>
      </c>
      <c r="AI49">
        <v>49708396</v>
      </c>
      <c r="AJ49">
        <v>51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</row>
    <row r="50" spans="1:44" x14ac:dyDescent="0.2">
      <c r="A50">
        <f>ROW(Source!A42)</f>
        <v>42</v>
      </c>
      <c r="B50">
        <v>49708406</v>
      </c>
      <c r="C50">
        <v>49708392</v>
      </c>
      <c r="D50">
        <v>48342148</v>
      </c>
      <c r="E50">
        <v>1</v>
      </c>
      <c r="F50">
        <v>1</v>
      </c>
      <c r="G50">
        <v>27</v>
      </c>
      <c r="H50">
        <v>3</v>
      </c>
      <c r="I50" t="s">
        <v>374</v>
      </c>
      <c r="J50" t="s">
        <v>375</v>
      </c>
      <c r="K50" t="s">
        <v>376</v>
      </c>
      <c r="L50">
        <v>1339</v>
      </c>
      <c r="N50">
        <v>1007</v>
      </c>
      <c r="O50" t="s">
        <v>46</v>
      </c>
      <c r="P50" t="s">
        <v>46</v>
      </c>
      <c r="Q50">
        <v>1</v>
      </c>
      <c r="X50">
        <v>5.9</v>
      </c>
      <c r="Y50">
        <v>3714.73</v>
      </c>
      <c r="Z50">
        <v>0</v>
      </c>
      <c r="AA50">
        <v>0</v>
      </c>
      <c r="AB50">
        <v>0</v>
      </c>
      <c r="AC50">
        <v>0</v>
      </c>
      <c r="AD50">
        <v>1</v>
      </c>
      <c r="AE50">
        <v>0</v>
      </c>
      <c r="AF50" t="s">
        <v>3</v>
      </c>
      <c r="AG50">
        <v>5.9</v>
      </c>
      <c r="AH50">
        <v>2</v>
      </c>
      <c r="AI50">
        <v>49708397</v>
      </c>
      <c r="AJ50">
        <v>52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</row>
    <row r="51" spans="1:44" x14ac:dyDescent="0.2">
      <c r="A51">
        <f>ROW(Source!A42)</f>
        <v>42</v>
      </c>
      <c r="B51">
        <v>49708407</v>
      </c>
      <c r="C51">
        <v>49708392</v>
      </c>
      <c r="D51">
        <v>48342224</v>
      </c>
      <c r="E51">
        <v>1</v>
      </c>
      <c r="F51">
        <v>1</v>
      </c>
      <c r="G51">
        <v>27</v>
      </c>
      <c r="H51">
        <v>3</v>
      </c>
      <c r="I51" t="s">
        <v>377</v>
      </c>
      <c r="J51" t="s">
        <v>378</v>
      </c>
      <c r="K51" t="s">
        <v>379</v>
      </c>
      <c r="L51">
        <v>1339</v>
      </c>
      <c r="N51">
        <v>1007</v>
      </c>
      <c r="O51" t="s">
        <v>46</v>
      </c>
      <c r="P51" t="s">
        <v>46</v>
      </c>
      <c r="Q51">
        <v>1</v>
      </c>
      <c r="X51">
        <v>0.06</v>
      </c>
      <c r="Y51">
        <v>3392.59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 t="s">
        <v>3</v>
      </c>
      <c r="AG51">
        <v>0.06</v>
      </c>
      <c r="AH51">
        <v>2</v>
      </c>
      <c r="AI51">
        <v>49708398</v>
      </c>
      <c r="AJ51">
        <v>53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44" x14ac:dyDescent="0.2">
      <c r="A52">
        <f>ROW(Source!A42)</f>
        <v>42</v>
      </c>
      <c r="B52">
        <v>49708408</v>
      </c>
      <c r="C52">
        <v>49708392</v>
      </c>
      <c r="D52">
        <v>48342962</v>
      </c>
      <c r="E52">
        <v>1</v>
      </c>
      <c r="F52">
        <v>1</v>
      </c>
      <c r="G52">
        <v>27</v>
      </c>
      <c r="H52">
        <v>3</v>
      </c>
      <c r="I52" t="s">
        <v>103</v>
      </c>
      <c r="J52" t="s">
        <v>105</v>
      </c>
      <c r="K52" t="s">
        <v>104</v>
      </c>
      <c r="L52">
        <v>1339</v>
      </c>
      <c r="N52">
        <v>1007</v>
      </c>
      <c r="O52" t="s">
        <v>46</v>
      </c>
      <c r="P52" t="s">
        <v>46</v>
      </c>
      <c r="Q52">
        <v>1</v>
      </c>
      <c r="X52">
        <v>4.3</v>
      </c>
      <c r="Y52">
        <v>7833.01</v>
      </c>
      <c r="Z52">
        <v>0</v>
      </c>
      <c r="AA52">
        <v>0</v>
      </c>
      <c r="AB52">
        <v>0</v>
      </c>
      <c r="AC52">
        <v>0</v>
      </c>
      <c r="AD52">
        <v>1</v>
      </c>
      <c r="AE52">
        <v>0</v>
      </c>
      <c r="AF52" t="s">
        <v>3</v>
      </c>
      <c r="AG52">
        <v>4.3</v>
      </c>
      <c r="AH52">
        <v>2</v>
      </c>
      <c r="AI52">
        <v>49708399</v>
      </c>
      <c r="AJ52">
        <v>54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44" x14ac:dyDescent="0.2">
      <c r="A53">
        <f>ROW(Source!A83)</f>
        <v>83</v>
      </c>
      <c r="B53">
        <v>49708417</v>
      </c>
      <c r="C53">
        <v>49708411</v>
      </c>
      <c r="D53">
        <v>48326108</v>
      </c>
      <c r="E53">
        <v>27</v>
      </c>
      <c r="F53">
        <v>1</v>
      </c>
      <c r="G53">
        <v>27</v>
      </c>
      <c r="H53">
        <v>1</v>
      </c>
      <c r="I53" t="s">
        <v>293</v>
      </c>
      <c r="J53" t="s">
        <v>3</v>
      </c>
      <c r="K53" t="s">
        <v>294</v>
      </c>
      <c r="L53">
        <v>1191</v>
      </c>
      <c r="N53">
        <v>1013</v>
      </c>
      <c r="O53" t="s">
        <v>295</v>
      </c>
      <c r="P53" t="s">
        <v>295</v>
      </c>
      <c r="Q53">
        <v>1</v>
      </c>
      <c r="X53">
        <v>87.4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1</v>
      </c>
      <c r="AF53" t="s">
        <v>170</v>
      </c>
      <c r="AG53">
        <v>17.48</v>
      </c>
      <c r="AH53">
        <v>2</v>
      </c>
      <c r="AI53">
        <v>49708412</v>
      </c>
      <c r="AJ53">
        <v>56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</row>
    <row r="54" spans="1:44" x14ac:dyDescent="0.2">
      <c r="A54">
        <f>ROW(Source!A83)</f>
        <v>83</v>
      </c>
      <c r="B54">
        <v>49708418</v>
      </c>
      <c r="C54">
        <v>49708411</v>
      </c>
      <c r="D54">
        <v>48338410</v>
      </c>
      <c r="E54">
        <v>1</v>
      </c>
      <c r="F54">
        <v>1</v>
      </c>
      <c r="G54">
        <v>27</v>
      </c>
      <c r="H54">
        <v>2</v>
      </c>
      <c r="I54" t="s">
        <v>380</v>
      </c>
      <c r="J54" t="s">
        <v>381</v>
      </c>
      <c r="K54" t="s">
        <v>382</v>
      </c>
      <c r="L54">
        <v>1368</v>
      </c>
      <c r="N54">
        <v>1011</v>
      </c>
      <c r="O54" t="s">
        <v>299</v>
      </c>
      <c r="P54" t="s">
        <v>299</v>
      </c>
      <c r="Q54">
        <v>1</v>
      </c>
      <c r="X54">
        <v>19</v>
      </c>
      <c r="Y54">
        <v>0</v>
      </c>
      <c r="Z54">
        <v>31</v>
      </c>
      <c r="AA54">
        <v>1.35</v>
      </c>
      <c r="AB54">
        <v>0</v>
      </c>
      <c r="AC54">
        <v>0</v>
      </c>
      <c r="AD54">
        <v>1</v>
      </c>
      <c r="AE54">
        <v>0</v>
      </c>
      <c r="AF54" t="s">
        <v>170</v>
      </c>
      <c r="AG54">
        <v>3.8</v>
      </c>
      <c r="AH54">
        <v>2</v>
      </c>
      <c r="AI54">
        <v>49708413</v>
      </c>
      <c r="AJ54">
        <v>57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">
      <c r="A55">
        <f>ROW(Source!A83)</f>
        <v>83</v>
      </c>
      <c r="B55">
        <v>49708419</v>
      </c>
      <c r="C55">
        <v>49708411</v>
      </c>
      <c r="D55">
        <v>48340229</v>
      </c>
      <c r="E55">
        <v>1</v>
      </c>
      <c r="F55">
        <v>1</v>
      </c>
      <c r="G55">
        <v>27</v>
      </c>
      <c r="H55">
        <v>3</v>
      </c>
      <c r="I55" t="s">
        <v>383</v>
      </c>
      <c r="J55" t="s">
        <v>384</v>
      </c>
      <c r="K55" t="s">
        <v>385</v>
      </c>
      <c r="L55">
        <v>1348</v>
      </c>
      <c r="N55">
        <v>1009</v>
      </c>
      <c r="O55" t="s">
        <v>57</v>
      </c>
      <c r="P55" t="s">
        <v>57</v>
      </c>
      <c r="Q55">
        <v>1000</v>
      </c>
      <c r="X55">
        <v>3.3E-3</v>
      </c>
      <c r="Y55">
        <v>105084.63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 t="s">
        <v>169</v>
      </c>
      <c r="AG55">
        <v>0</v>
      </c>
      <c r="AH55">
        <v>2</v>
      </c>
      <c r="AI55">
        <v>49708414</v>
      </c>
      <c r="AJ55">
        <v>58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">
      <c r="A56">
        <f>ROW(Source!A83)</f>
        <v>83</v>
      </c>
      <c r="B56">
        <v>49708420</v>
      </c>
      <c r="C56">
        <v>49708411</v>
      </c>
      <c r="D56">
        <v>48341086</v>
      </c>
      <c r="E56">
        <v>1</v>
      </c>
      <c r="F56">
        <v>1</v>
      </c>
      <c r="G56">
        <v>27</v>
      </c>
      <c r="H56">
        <v>3</v>
      </c>
      <c r="I56" t="s">
        <v>386</v>
      </c>
      <c r="J56" t="s">
        <v>387</v>
      </c>
      <c r="K56" t="s">
        <v>388</v>
      </c>
      <c r="L56">
        <v>1348</v>
      </c>
      <c r="N56">
        <v>1009</v>
      </c>
      <c r="O56" t="s">
        <v>57</v>
      </c>
      <c r="P56" t="s">
        <v>57</v>
      </c>
      <c r="Q56">
        <v>1000</v>
      </c>
      <c r="X56">
        <v>1.4E-3</v>
      </c>
      <c r="Y56">
        <v>110781.14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 t="s">
        <v>169</v>
      </c>
      <c r="AG56">
        <v>0</v>
      </c>
      <c r="AH56">
        <v>2</v>
      </c>
      <c r="AI56">
        <v>49708415</v>
      </c>
      <c r="AJ56">
        <v>59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">
      <c r="A57">
        <f>ROW(Source!A83)</f>
        <v>83</v>
      </c>
      <c r="B57">
        <v>49708421</v>
      </c>
      <c r="C57">
        <v>49708411</v>
      </c>
      <c r="D57">
        <v>48343201</v>
      </c>
      <c r="E57">
        <v>1</v>
      </c>
      <c r="F57">
        <v>1</v>
      </c>
      <c r="G57">
        <v>27</v>
      </c>
      <c r="H57">
        <v>3</v>
      </c>
      <c r="I57" t="s">
        <v>389</v>
      </c>
      <c r="J57" t="s">
        <v>390</v>
      </c>
      <c r="K57" t="s">
        <v>391</v>
      </c>
      <c r="L57">
        <v>1348</v>
      </c>
      <c r="N57">
        <v>1009</v>
      </c>
      <c r="O57" t="s">
        <v>57</v>
      </c>
      <c r="P57" t="s">
        <v>57</v>
      </c>
      <c r="Q57">
        <v>1000</v>
      </c>
      <c r="X57">
        <v>1</v>
      </c>
      <c r="Y57">
        <v>75026.559999999998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 t="s">
        <v>169</v>
      </c>
      <c r="AG57">
        <v>0</v>
      </c>
      <c r="AH57">
        <v>2</v>
      </c>
      <c r="AI57">
        <v>49708416</v>
      </c>
      <c r="AJ57">
        <v>60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">
      <c r="A58">
        <f>ROW(Source!A84)</f>
        <v>84</v>
      </c>
      <c r="B58">
        <v>49708428</v>
      </c>
      <c r="C58">
        <v>49708422</v>
      </c>
      <c r="D58">
        <v>48326108</v>
      </c>
      <c r="E58">
        <v>27</v>
      </c>
      <c r="F58">
        <v>1</v>
      </c>
      <c r="G58">
        <v>27</v>
      </c>
      <c r="H58">
        <v>1</v>
      </c>
      <c r="I58" t="s">
        <v>293</v>
      </c>
      <c r="J58" t="s">
        <v>3</v>
      </c>
      <c r="K58" t="s">
        <v>294</v>
      </c>
      <c r="L58">
        <v>1191</v>
      </c>
      <c r="N58">
        <v>1013</v>
      </c>
      <c r="O58" t="s">
        <v>295</v>
      </c>
      <c r="P58" t="s">
        <v>295</v>
      </c>
      <c r="Q58">
        <v>1</v>
      </c>
      <c r="X58">
        <v>110.4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1</v>
      </c>
      <c r="AF58" t="s">
        <v>170</v>
      </c>
      <c r="AG58">
        <v>22.08</v>
      </c>
      <c r="AH58">
        <v>2</v>
      </c>
      <c r="AI58">
        <v>49708423</v>
      </c>
      <c r="AJ58">
        <v>61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">
      <c r="A59">
        <f>ROW(Source!A84)</f>
        <v>84</v>
      </c>
      <c r="B59">
        <v>49708429</v>
      </c>
      <c r="C59">
        <v>49708422</v>
      </c>
      <c r="D59">
        <v>48338410</v>
      </c>
      <c r="E59">
        <v>1</v>
      </c>
      <c r="F59">
        <v>1</v>
      </c>
      <c r="G59">
        <v>27</v>
      </c>
      <c r="H59">
        <v>2</v>
      </c>
      <c r="I59" t="s">
        <v>380</v>
      </c>
      <c r="J59" t="s">
        <v>381</v>
      </c>
      <c r="K59" t="s">
        <v>382</v>
      </c>
      <c r="L59">
        <v>1368</v>
      </c>
      <c r="N59">
        <v>1011</v>
      </c>
      <c r="O59" t="s">
        <v>299</v>
      </c>
      <c r="P59" t="s">
        <v>299</v>
      </c>
      <c r="Q59">
        <v>1</v>
      </c>
      <c r="X59">
        <v>24</v>
      </c>
      <c r="Y59">
        <v>0</v>
      </c>
      <c r="Z59">
        <v>31</v>
      </c>
      <c r="AA59">
        <v>1.35</v>
      </c>
      <c r="AB59">
        <v>0</v>
      </c>
      <c r="AC59">
        <v>0</v>
      </c>
      <c r="AD59">
        <v>1</v>
      </c>
      <c r="AE59">
        <v>0</v>
      </c>
      <c r="AF59" t="s">
        <v>170</v>
      </c>
      <c r="AG59">
        <v>4.8</v>
      </c>
      <c r="AH59">
        <v>2</v>
      </c>
      <c r="AI59">
        <v>49708424</v>
      </c>
      <c r="AJ59">
        <v>62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</row>
    <row r="60" spans="1:44" x14ac:dyDescent="0.2">
      <c r="A60">
        <f>ROW(Source!A84)</f>
        <v>84</v>
      </c>
      <c r="B60">
        <v>49708430</v>
      </c>
      <c r="C60">
        <v>49708422</v>
      </c>
      <c r="D60">
        <v>48340229</v>
      </c>
      <c r="E60">
        <v>1</v>
      </c>
      <c r="F60">
        <v>1</v>
      </c>
      <c r="G60">
        <v>27</v>
      </c>
      <c r="H60">
        <v>3</v>
      </c>
      <c r="I60" t="s">
        <v>383</v>
      </c>
      <c r="J60" t="s">
        <v>384</v>
      </c>
      <c r="K60" t="s">
        <v>385</v>
      </c>
      <c r="L60">
        <v>1348</v>
      </c>
      <c r="N60">
        <v>1009</v>
      </c>
      <c r="O60" t="s">
        <v>57</v>
      </c>
      <c r="P60" t="s">
        <v>57</v>
      </c>
      <c r="Q60">
        <v>1000</v>
      </c>
      <c r="X60">
        <v>5.0000000000000001E-3</v>
      </c>
      <c r="Y60">
        <v>105084.63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 t="s">
        <v>169</v>
      </c>
      <c r="AG60">
        <v>0</v>
      </c>
      <c r="AH60">
        <v>2</v>
      </c>
      <c r="AI60">
        <v>49708425</v>
      </c>
      <c r="AJ60">
        <v>63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</row>
    <row r="61" spans="1:44" x14ac:dyDescent="0.2">
      <c r="A61">
        <f>ROW(Source!A84)</f>
        <v>84</v>
      </c>
      <c r="B61">
        <v>49708431</v>
      </c>
      <c r="C61">
        <v>49708422</v>
      </c>
      <c r="D61">
        <v>48341086</v>
      </c>
      <c r="E61">
        <v>1</v>
      </c>
      <c r="F61">
        <v>1</v>
      </c>
      <c r="G61">
        <v>27</v>
      </c>
      <c r="H61">
        <v>3</v>
      </c>
      <c r="I61" t="s">
        <v>386</v>
      </c>
      <c r="J61" t="s">
        <v>387</v>
      </c>
      <c r="K61" t="s">
        <v>388</v>
      </c>
      <c r="L61">
        <v>1348</v>
      </c>
      <c r="N61">
        <v>1009</v>
      </c>
      <c r="O61" t="s">
        <v>57</v>
      </c>
      <c r="P61" t="s">
        <v>57</v>
      </c>
      <c r="Q61">
        <v>1000</v>
      </c>
      <c r="X61">
        <v>2E-3</v>
      </c>
      <c r="Y61">
        <v>110781.14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 t="s">
        <v>169</v>
      </c>
      <c r="AG61">
        <v>0</v>
      </c>
      <c r="AH61">
        <v>2</v>
      </c>
      <c r="AI61">
        <v>49708426</v>
      </c>
      <c r="AJ61">
        <v>64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</row>
    <row r="62" spans="1:44" x14ac:dyDescent="0.2">
      <c r="A62">
        <f>ROW(Source!A84)</f>
        <v>84</v>
      </c>
      <c r="B62">
        <v>49708432</v>
      </c>
      <c r="C62">
        <v>49708422</v>
      </c>
      <c r="D62">
        <v>48343198</v>
      </c>
      <c r="E62">
        <v>1</v>
      </c>
      <c r="F62">
        <v>1</v>
      </c>
      <c r="G62">
        <v>27</v>
      </c>
      <c r="H62">
        <v>3</v>
      </c>
      <c r="I62" t="s">
        <v>392</v>
      </c>
      <c r="J62" t="s">
        <v>393</v>
      </c>
      <c r="K62" t="s">
        <v>394</v>
      </c>
      <c r="L62">
        <v>1348</v>
      </c>
      <c r="N62">
        <v>1009</v>
      </c>
      <c r="O62" t="s">
        <v>57</v>
      </c>
      <c r="P62" t="s">
        <v>57</v>
      </c>
      <c r="Q62">
        <v>1000</v>
      </c>
      <c r="X62">
        <v>1</v>
      </c>
      <c r="Y62">
        <v>79722.539999999994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 t="s">
        <v>169</v>
      </c>
      <c r="AG62">
        <v>0</v>
      </c>
      <c r="AH62">
        <v>2</v>
      </c>
      <c r="AI62">
        <v>49708427</v>
      </c>
      <c r="AJ62">
        <v>65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">
      <c r="A63">
        <f>ROW(Source!A85)</f>
        <v>85</v>
      </c>
      <c r="B63">
        <v>49708435</v>
      </c>
      <c r="C63">
        <v>49708433</v>
      </c>
      <c r="D63">
        <v>48338279</v>
      </c>
      <c r="E63">
        <v>1</v>
      </c>
      <c r="F63">
        <v>1</v>
      </c>
      <c r="G63">
        <v>27</v>
      </c>
      <c r="H63">
        <v>2</v>
      </c>
      <c r="I63" t="s">
        <v>395</v>
      </c>
      <c r="J63" t="s">
        <v>396</v>
      </c>
      <c r="K63" t="s">
        <v>397</v>
      </c>
      <c r="L63">
        <v>1368</v>
      </c>
      <c r="N63">
        <v>1011</v>
      </c>
      <c r="O63" t="s">
        <v>299</v>
      </c>
      <c r="P63" t="s">
        <v>299</v>
      </c>
      <c r="Q63">
        <v>1</v>
      </c>
      <c r="X63">
        <v>5.3699999999999998E-2</v>
      </c>
      <c r="Y63">
        <v>0</v>
      </c>
      <c r="Z63">
        <v>1494.43</v>
      </c>
      <c r="AA63">
        <v>481.21</v>
      </c>
      <c r="AB63">
        <v>0</v>
      </c>
      <c r="AC63">
        <v>0</v>
      </c>
      <c r="AD63">
        <v>1</v>
      </c>
      <c r="AE63">
        <v>0</v>
      </c>
      <c r="AF63" t="s">
        <v>3</v>
      </c>
      <c r="AG63">
        <v>5.3699999999999998E-2</v>
      </c>
      <c r="AH63">
        <v>2</v>
      </c>
      <c r="AI63">
        <v>49708434</v>
      </c>
      <c r="AJ63">
        <v>66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">
      <c r="A64">
        <f>ROW(Source!A86)</f>
        <v>86</v>
      </c>
      <c r="B64">
        <v>49708438</v>
      </c>
      <c r="C64">
        <v>49708436</v>
      </c>
      <c r="D64">
        <v>48326108</v>
      </c>
      <c r="E64">
        <v>27</v>
      </c>
      <c r="F64">
        <v>1</v>
      </c>
      <c r="G64">
        <v>27</v>
      </c>
      <c r="H64">
        <v>1</v>
      </c>
      <c r="I64" t="s">
        <v>293</v>
      </c>
      <c r="J64" t="s">
        <v>3</v>
      </c>
      <c r="K64" t="s">
        <v>294</v>
      </c>
      <c r="L64">
        <v>1191</v>
      </c>
      <c r="N64">
        <v>1013</v>
      </c>
      <c r="O64" t="s">
        <v>295</v>
      </c>
      <c r="P64" t="s">
        <v>295</v>
      </c>
      <c r="Q64">
        <v>1</v>
      </c>
      <c r="X64">
        <v>1.02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</v>
      </c>
      <c r="AE64">
        <v>1</v>
      </c>
      <c r="AF64" t="s">
        <v>3</v>
      </c>
      <c r="AG64">
        <v>1.02</v>
      </c>
      <c r="AH64">
        <v>2</v>
      </c>
      <c r="AI64">
        <v>49708437</v>
      </c>
      <c r="AJ64">
        <v>67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">
      <c r="A65">
        <f>ROW(Source!A87)</f>
        <v>87</v>
      </c>
      <c r="B65">
        <v>49708442</v>
      </c>
      <c r="C65">
        <v>49708439</v>
      </c>
      <c r="D65">
        <v>48339077</v>
      </c>
      <c r="E65">
        <v>1</v>
      </c>
      <c r="F65">
        <v>1</v>
      </c>
      <c r="G65">
        <v>27</v>
      </c>
      <c r="H65">
        <v>2</v>
      </c>
      <c r="I65" t="s">
        <v>398</v>
      </c>
      <c r="J65" t="s">
        <v>399</v>
      </c>
      <c r="K65" t="s">
        <v>400</v>
      </c>
      <c r="L65">
        <v>1368</v>
      </c>
      <c r="N65">
        <v>1011</v>
      </c>
      <c r="O65" t="s">
        <v>299</v>
      </c>
      <c r="P65" t="s">
        <v>299</v>
      </c>
      <c r="Q65">
        <v>1</v>
      </c>
      <c r="X65">
        <v>5.3999999999999999E-2</v>
      </c>
      <c r="Y65">
        <v>0</v>
      </c>
      <c r="Z65">
        <v>1009.4</v>
      </c>
      <c r="AA65">
        <v>316.82</v>
      </c>
      <c r="AB65">
        <v>0</v>
      </c>
      <c r="AC65">
        <v>0</v>
      </c>
      <c r="AD65">
        <v>1</v>
      </c>
      <c r="AE65">
        <v>0</v>
      </c>
      <c r="AF65" t="s">
        <v>3</v>
      </c>
      <c r="AG65">
        <v>5.3999999999999999E-2</v>
      </c>
      <c r="AH65">
        <v>2</v>
      </c>
      <c r="AI65">
        <v>49708440</v>
      </c>
      <c r="AJ65">
        <v>68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">
      <c r="A66">
        <f>ROW(Source!A87)</f>
        <v>87</v>
      </c>
      <c r="B66">
        <v>49708443</v>
      </c>
      <c r="C66">
        <v>49708439</v>
      </c>
      <c r="D66">
        <v>48339078</v>
      </c>
      <c r="E66">
        <v>1</v>
      </c>
      <c r="F66">
        <v>1</v>
      </c>
      <c r="G66">
        <v>27</v>
      </c>
      <c r="H66">
        <v>2</v>
      </c>
      <c r="I66" t="s">
        <v>306</v>
      </c>
      <c r="J66" t="s">
        <v>307</v>
      </c>
      <c r="K66" t="s">
        <v>308</v>
      </c>
      <c r="L66">
        <v>1368</v>
      </c>
      <c r="N66">
        <v>1011</v>
      </c>
      <c r="O66" t="s">
        <v>299</v>
      </c>
      <c r="P66" t="s">
        <v>299</v>
      </c>
      <c r="Q66">
        <v>1</v>
      </c>
      <c r="X66">
        <v>5.5E-2</v>
      </c>
      <c r="Y66">
        <v>0</v>
      </c>
      <c r="Z66">
        <v>1014.12</v>
      </c>
      <c r="AA66">
        <v>317.13</v>
      </c>
      <c r="AB66">
        <v>0</v>
      </c>
      <c r="AC66">
        <v>0</v>
      </c>
      <c r="AD66">
        <v>1</v>
      </c>
      <c r="AE66">
        <v>0</v>
      </c>
      <c r="AF66" t="s">
        <v>3</v>
      </c>
      <c r="AG66">
        <v>5.5E-2</v>
      </c>
      <c r="AH66">
        <v>2</v>
      </c>
      <c r="AI66">
        <v>49708441</v>
      </c>
      <c r="AJ66">
        <v>69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">
      <c r="A67">
        <f>ROW(Source!A88)</f>
        <v>88</v>
      </c>
      <c r="B67">
        <v>49708447</v>
      </c>
      <c r="C67">
        <v>49708444</v>
      </c>
      <c r="D67">
        <v>48339077</v>
      </c>
      <c r="E67">
        <v>1</v>
      </c>
      <c r="F67">
        <v>1</v>
      </c>
      <c r="G67">
        <v>27</v>
      </c>
      <c r="H67">
        <v>2</v>
      </c>
      <c r="I67" t="s">
        <v>398</v>
      </c>
      <c r="J67" t="s">
        <v>399</v>
      </c>
      <c r="K67" t="s">
        <v>400</v>
      </c>
      <c r="L67">
        <v>1368</v>
      </c>
      <c r="N67">
        <v>1011</v>
      </c>
      <c r="O67" t="s">
        <v>299</v>
      </c>
      <c r="P67" t="s">
        <v>299</v>
      </c>
      <c r="Q67">
        <v>1</v>
      </c>
      <c r="X67">
        <v>0.02</v>
      </c>
      <c r="Y67">
        <v>0</v>
      </c>
      <c r="Z67">
        <v>1009.4</v>
      </c>
      <c r="AA67">
        <v>316.82</v>
      </c>
      <c r="AB67">
        <v>0</v>
      </c>
      <c r="AC67">
        <v>0</v>
      </c>
      <c r="AD67">
        <v>1</v>
      </c>
      <c r="AE67">
        <v>0</v>
      </c>
      <c r="AF67" t="s">
        <v>3</v>
      </c>
      <c r="AG67">
        <v>0.02</v>
      </c>
      <c r="AH67">
        <v>2</v>
      </c>
      <c r="AI67">
        <v>49708445</v>
      </c>
      <c r="AJ67">
        <v>70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">
      <c r="A68">
        <f>ROW(Source!A88)</f>
        <v>88</v>
      </c>
      <c r="B68">
        <v>49708448</v>
      </c>
      <c r="C68">
        <v>49708444</v>
      </c>
      <c r="D68">
        <v>48339078</v>
      </c>
      <c r="E68">
        <v>1</v>
      </c>
      <c r="F68">
        <v>1</v>
      </c>
      <c r="G68">
        <v>27</v>
      </c>
      <c r="H68">
        <v>2</v>
      </c>
      <c r="I68" t="s">
        <v>306</v>
      </c>
      <c r="J68" t="s">
        <v>307</v>
      </c>
      <c r="K68" t="s">
        <v>308</v>
      </c>
      <c r="L68">
        <v>1368</v>
      </c>
      <c r="N68">
        <v>1011</v>
      </c>
      <c r="O68" t="s">
        <v>299</v>
      </c>
      <c r="P68" t="s">
        <v>299</v>
      </c>
      <c r="Q68">
        <v>1</v>
      </c>
      <c r="X68">
        <v>1.7999999999999999E-2</v>
      </c>
      <c r="Y68">
        <v>0</v>
      </c>
      <c r="Z68">
        <v>1014.12</v>
      </c>
      <c r="AA68">
        <v>317.13</v>
      </c>
      <c r="AB68">
        <v>0</v>
      </c>
      <c r="AC68">
        <v>0</v>
      </c>
      <c r="AD68">
        <v>1</v>
      </c>
      <c r="AE68">
        <v>0</v>
      </c>
      <c r="AF68" t="s">
        <v>3</v>
      </c>
      <c r="AG68">
        <v>1.7999999999999999E-2</v>
      </c>
      <c r="AH68">
        <v>2</v>
      </c>
      <c r="AI68">
        <v>49708446</v>
      </c>
      <c r="AJ68">
        <v>71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">
      <c r="A69">
        <f>ROW(Source!A89)</f>
        <v>89</v>
      </c>
      <c r="B69">
        <v>49708452</v>
      </c>
      <c r="C69">
        <v>49708449</v>
      </c>
      <c r="D69">
        <v>48339077</v>
      </c>
      <c r="E69">
        <v>1</v>
      </c>
      <c r="F69">
        <v>1</v>
      </c>
      <c r="G69">
        <v>27</v>
      </c>
      <c r="H69">
        <v>2</v>
      </c>
      <c r="I69" t="s">
        <v>398</v>
      </c>
      <c r="J69" t="s">
        <v>399</v>
      </c>
      <c r="K69" t="s">
        <v>400</v>
      </c>
      <c r="L69">
        <v>1368</v>
      </c>
      <c r="N69">
        <v>1011</v>
      </c>
      <c r="O69" t="s">
        <v>299</v>
      </c>
      <c r="P69" t="s">
        <v>299</v>
      </c>
      <c r="Q69">
        <v>1</v>
      </c>
      <c r="X69">
        <v>0.01</v>
      </c>
      <c r="Y69">
        <v>0</v>
      </c>
      <c r="Z69">
        <v>1009.4</v>
      </c>
      <c r="AA69">
        <v>316.82</v>
      </c>
      <c r="AB69">
        <v>0</v>
      </c>
      <c r="AC69">
        <v>0</v>
      </c>
      <c r="AD69">
        <v>1</v>
      </c>
      <c r="AE69">
        <v>0</v>
      </c>
      <c r="AF69" t="s">
        <v>196</v>
      </c>
      <c r="AG69">
        <v>0.04</v>
      </c>
      <c r="AH69">
        <v>2</v>
      </c>
      <c r="AI69">
        <v>49708450</v>
      </c>
      <c r="AJ69">
        <v>72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">
      <c r="A70">
        <f>ROW(Source!A89)</f>
        <v>89</v>
      </c>
      <c r="B70">
        <v>49708453</v>
      </c>
      <c r="C70">
        <v>49708449</v>
      </c>
      <c r="D70">
        <v>48339078</v>
      </c>
      <c r="E70">
        <v>1</v>
      </c>
      <c r="F70">
        <v>1</v>
      </c>
      <c r="G70">
        <v>27</v>
      </c>
      <c r="H70">
        <v>2</v>
      </c>
      <c r="I70" t="s">
        <v>306</v>
      </c>
      <c r="J70" t="s">
        <v>307</v>
      </c>
      <c r="K70" t="s">
        <v>308</v>
      </c>
      <c r="L70">
        <v>1368</v>
      </c>
      <c r="N70">
        <v>1011</v>
      </c>
      <c r="O70" t="s">
        <v>299</v>
      </c>
      <c r="P70" t="s">
        <v>299</v>
      </c>
      <c r="Q70">
        <v>1</v>
      </c>
      <c r="X70">
        <v>8.0000000000000002E-3</v>
      </c>
      <c r="Y70">
        <v>0</v>
      </c>
      <c r="Z70">
        <v>1014.12</v>
      </c>
      <c r="AA70">
        <v>317.13</v>
      </c>
      <c r="AB70">
        <v>0</v>
      </c>
      <c r="AC70">
        <v>0</v>
      </c>
      <c r="AD70">
        <v>1</v>
      </c>
      <c r="AE70">
        <v>0</v>
      </c>
      <c r="AF70" t="s">
        <v>196</v>
      </c>
      <c r="AG70">
        <v>3.2000000000000001E-2</v>
      </c>
      <c r="AH70">
        <v>2</v>
      </c>
      <c r="AI70">
        <v>49708451</v>
      </c>
      <c r="AJ70">
        <v>73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">
      <c r="A71">
        <f>ROW(Source!A128)</f>
        <v>128</v>
      </c>
      <c r="B71">
        <v>49708456</v>
      </c>
      <c r="C71">
        <v>49708454</v>
      </c>
      <c r="D71">
        <v>48326108</v>
      </c>
      <c r="E71">
        <v>27</v>
      </c>
      <c r="F71">
        <v>1</v>
      </c>
      <c r="G71">
        <v>27</v>
      </c>
      <c r="H71">
        <v>1</v>
      </c>
      <c r="I71" t="s">
        <v>293</v>
      </c>
      <c r="J71" t="s">
        <v>3</v>
      </c>
      <c r="K71" t="s">
        <v>294</v>
      </c>
      <c r="L71">
        <v>1191</v>
      </c>
      <c r="N71">
        <v>1013</v>
      </c>
      <c r="O71" t="s">
        <v>295</v>
      </c>
      <c r="P71" t="s">
        <v>295</v>
      </c>
      <c r="Q71">
        <v>1</v>
      </c>
      <c r="X71">
        <v>260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 t="s">
        <v>3</v>
      </c>
      <c r="AG71">
        <v>260</v>
      </c>
      <c r="AH71">
        <v>2</v>
      </c>
      <c r="AI71">
        <v>49708455</v>
      </c>
      <c r="AJ71">
        <v>74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">
      <c r="A72">
        <f>ROW(Source!A129)</f>
        <v>129</v>
      </c>
      <c r="B72">
        <v>49709177</v>
      </c>
      <c r="C72">
        <v>49709176</v>
      </c>
      <c r="D72">
        <v>48326108</v>
      </c>
      <c r="E72">
        <v>27</v>
      </c>
      <c r="F72">
        <v>1</v>
      </c>
      <c r="G72">
        <v>27</v>
      </c>
      <c r="H72">
        <v>1</v>
      </c>
      <c r="I72" t="s">
        <v>293</v>
      </c>
      <c r="J72" t="s">
        <v>3</v>
      </c>
      <c r="K72" t="s">
        <v>294</v>
      </c>
      <c r="L72">
        <v>1191</v>
      </c>
      <c r="N72">
        <v>1013</v>
      </c>
      <c r="O72" t="s">
        <v>295</v>
      </c>
      <c r="P72" t="s">
        <v>295</v>
      </c>
      <c r="Q72">
        <v>1</v>
      </c>
      <c r="X72">
        <v>582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1</v>
      </c>
      <c r="AF72" t="s">
        <v>3</v>
      </c>
      <c r="AG72">
        <v>582</v>
      </c>
      <c r="AH72">
        <v>2</v>
      </c>
      <c r="AI72">
        <v>49709177</v>
      </c>
      <c r="AJ72">
        <v>75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">
      <c r="A73">
        <f>ROW(Source!A130)</f>
        <v>130</v>
      </c>
      <c r="B73">
        <v>49708459</v>
      </c>
      <c r="C73">
        <v>49708457</v>
      </c>
      <c r="D73">
        <v>48326108</v>
      </c>
      <c r="E73">
        <v>27</v>
      </c>
      <c r="F73">
        <v>1</v>
      </c>
      <c r="G73">
        <v>27</v>
      </c>
      <c r="H73">
        <v>1</v>
      </c>
      <c r="I73" t="s">
        <v>293</v>
      </c>
      <c r="J73" t="s">
        <v>3</v>
      </c>
      <c r="K73" t="s">
        <v>294</v>
      </c>
      <c r="L73">
        <v>1191</v>
      </c>
      <c r="N73">
        <v>1013</v>
      </c>
      <c r="O73" t="s">
        <v>295</v>
      </c>
      <c r="P73" t="s">
        <v>295</v>
      </c>
      <c r="Q73">
        <v>1</v>
      </c>
      <c r="X73">
        <v>83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 t="s">
        <v>3</v>
      </c>
      <c r="AG73">
        <v>83</v>
      </c>
      <c r="AH73">
        <v>2</v>
      </c>
      <c r="AI73">
        <v>49708458</v>
      </c>
      <c r="AJ73">
        <v>76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">
      <c r="A74">
        <f>ROW(Source!A131)</f>
        <v>131</v>
      </c>
      <c r="B74">
        <v>49708462</v>
      </c>
      <c r="C74">
        <v>49708460</v>
      </c>
      <c r="D74">
        <v>48339078</v>
      </c>
      <c r="E74">
        <v>1</v>
      </c>
      <c r="F74">
        <v>1</v>
      </c>
      <c r="G74">
        <v>27</v>
      </c>
      <c r="H74">
        <v>2</v>
      </c>
      <c r="I74" t="s">
        <v>306</v>
      </c>
      <c r="J74" t="s">
        <v>401</v>
      </c>
      <c r="K74" t="s">
        <v>308</v>
      </c>
      <c r="L74">
        <v>1368</v>
      </c>
      <c r="N74">
        <v>1011</v>
      </c>
      <c r="O74" t="s">
        <v>299</v>
      </c>
      <c r="P74" t="s">
        <v>299</v>
      </c>
      <c r="Q74">
        <v>1</v>
      </c>
      <c r="X74">
        <v>3.1E-2</v>
      </c>
      <c r="Y74">
        <v>0</v>
      </c>
      <c r="Z74">
        <v>1014.12</v>
      </c>
      <c r="AA74">
        <v>317.13</v>
      </c>
      <c r="AB74">
        <v>0</v>
      </c>
      <c r="AC74">
        <v>0</v>
      </c>
      <c r="AD74">
        <v>1</v>
      </c>
      <c r="AE74">
        <v>0</v>
      </c>
      <c r="AF74" t="s">
        <v>3</v>
      </c>
      <c r="AG74">
        <v>3.1E-2</v>
      </c>
      <c r="AH74">
        <v>2</v>
      </c>
      <c r="AI74">
        <v>49708461</v>
      </c>
      <c r="AJ74">
        <v>77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">
      <c r="A75">
        <f>ROW(Source!A132)</f>
        <v>132</v>
      </c>
      <c r="B75">
        <v>49708465</v>
      </c>
      <c r="C75">
        <v>49708463</v>
      </c>
      <c r="D75">
        <v>48339078</v>
      </c>
      <c r="E75">
        <v>1</v>
      </c>
      <c r="F75">
        <v>1</v>
      </c>
      <c r="G75">
        <v>27</v>
      </c>
      <c r="H75">
        <v>2</v>
      </c>
      <c r="I75" t="s">
        <v>306</v>
      </c>
      <c r="J75" t="s">
        <v>401</v>
      </c>
      <c r="K75" t="s">
        <v>308</v>
      </c>
      <c r="L75">
        <v>1368</v>
      </c>
      <c r="N75">
        <v>1011</v>
      </c>
      <c r="O75" t="s">
        <v>299</v>
      </c>
      <c r="P75" t="s">
        <v>299</v>
      </c>
      <c r="Q75">
        <v>1</v>
      </c>
      <c r="X75">
        <v>0.01</v>
      </c>
      <c r="Y75">
        <v>0</v>
      </c>
      <c r="Z75">
        <v>1014.12</v>
      </c>
      <c r="AA75">
        <v>317.13</v>
      </c>
      <c r="AB75">
        <v>0</v>
      </c>
      <c r="AC75">
        <v>0</v>
      </c>
      <c r="AD75">
        <v>1</v>
      </c>
      <c r="AE75">
        <v>0</v>
      </c>
      <c r="AF75" t="s">
        <v>53</v>
      </c>
      <c r="AG75">
        <v>0.56000000000000005</v>
      </c>
      <c r="AH75">
        <v>2</v>
      </c>
      <c r="AI75">
        <v>49708464</v>
      </c>
      <c r="AJ75">
        <v>78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">
      <c r="A76">
        <f>ROW(Source!A134)</f>
        <v>134</v>
      </c>
      <c r="B76">
        <v>49709180</v>
      </c>
      <c r="C76">
        <v>49709179</v>
      </c>
      <c r="D76">
        <v>48326108</v>
      </c>
      <c r="E76">
        <v>27</v>
      </c>
      <c r="F76">
        <v>1</v>
      </c>
      <c r="G76">
        <v>27</v>
      </c>
      <c r="H76">
        <v>1</v>
      </c>
      <c r="I76" t="s">
        <v>293</v>
      </c>
      <c r="J76" t="s">
        <v>3</v>
      </c>
      <c r="K76" t="s">
        <v>294</v>
      </c>
      <c r="L76">
        <v>1191</v>
      </c>
      <c r="N76">
        <v>1013</v>
      </c>
      <c r="O76" t="s">
        <v>295</v>
      </c>
      <c r="P76" t="s">
        <v>295</v>
      </c>
      <c r="Q76">
        <v>1</v>
      </c>
      <c r="X76">
        <v>0.9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1</v>
      </c>
      <c r="AF76" t="s">
        <v>3</v>
      </c>
      <c r="AG76">
        <v>0.9</v>
      </c>
      <c r="AH76">
        <v>2</v>
      </c>
      <c r="AI76">
        <v>49709180</v>
      </c>
      <c r="AJ76">
        <v>79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">
      <c r="A77">
        <f>ROW(Source!A134)</f>
        <v>134</v>
      </c>
      <c r="B77">
        <v>49709181</v>
      </c>
      <c r="C77">
        <v>49709179</v>
      </c>
      <c r="D77">
        <v>48338634</v>
      </c>
      <c r="E77">
        <v>1</v>
      </c>
      <c r="F77">
        <v>1</v>
      </c>
      <c r="G77">
        <v>27</v>
      </c>
      <c r="H77">
        <v>2</v>
      </c>
      <c r="I77" t="s">
        <v>402</v>
      </c>
      <c r="J77" t="s">
        <v>403</v>
      </c>
      <c r="K77" t="s">
        <v>404</v>
      </c>
      <c r="L77">
        <v>1368</v>
      </c>
      <c r="N77">
        <v>1011</v>
      </c>
      <c r="O77" t="s">
        <v>299</v>
      </c>
      <c r="P77" t="s">
        <v>299</v>
      </c>
      <c r="Q77">
        <v>1</v>
      </c>
      <c r="X77">
        <v>0.22</v>
      </c>
      <c r="Y77">
        <v>0</v>
      </c>
      <c r="Z77">
        <v>470.71</v>
      </c>
      <c r="AA77">
        <v>359.8</v>
      </c>
      <c r="AB77">
        <v>0</v>
      </c>
      <c r="AC77">
        <v>0</v>
      </c>
      <c r="AD77">
        <v>1</v>
      </c>
      <c r="AE77">
        <v>0</v>
      </c>
      <c r="AF77" t="s">
        <v>3</v>
      </c>
      <c r="AG77">
        <v>0.22</v>
      </c>
      <c r="AH77">
        <v>2</v>
      </c>
      <c r="AI77">
        <v>49709181</v>
      </c>
      <c r="AJ77">
        <v>80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">
      <c r="A78">
        <f>ROW(Source!A134)</f>
        <v>134</v>
      </c>
      <c r="B78">
        <v>49709182</v>
      </c>
      <c r="C78">
        <v>49709179</v>
      </c>
      <c r="D78">
        <v>48339102</v>
      </c>
      <c r="E78">
        <v>1</v>
      </c>
      <c r="F78">
        <v>1</v>
      </c>
      <c r="G78">
        <v>27</v>
      </c>
      <c r="H78">
        <v>2</v>
      </c>
      <c r="I78" t="s">
        <v>405</v>
      </c>
      <c r="J78" t="s">
        <v>406</v>
      </c>
      <c r="K78" t="s">
        <v>407</v>
      </c>
      <c r="L78">
        <v>1368</v>
      </c>
      <c r="N78">
        <v>1011</v>
      </c>
      <c r="O78" t="s">
        <v>299</v>
      </c>
      <c r="P78" t="s">
        <v>299</v>
      </c>
      <c r="Q78">
        <v>1</v>
      </c>
      <c r="X78">
        <v>0.45</v>
      </c>
      <c r="Y78">
        <v>0</v>
      </c>
      <c r="Z78">
        <v>3.75</v>
      </c>
      <c r="AA78">
        <v>2.56</v>
      </c>
      <c r="AB78">
        <v>0</v>
      </c>
      <c r="AC78">
        <v>0</v>
      </c>
      <c r="AD78">
        <v>1</v>
      </c>
      <c r="AE78">
        <v>0</v>
      </c>
      <c r="AF78" t="s">
        <v>3</v>
      </c>
      <c r="AG78">
        <v>0.45</v>
      </c>
      <c r="AH78">
        <v>2</v>
      </c>
      <c r="AI78">
        <v>49709182</v>
      </c>
      <c r="AJ78">
        <v>81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">
      <c r="A79">
        <f>ROW(Source!A134)</f>
        <v>134</v>
      </c>
      <c r="B79">
        <v>49709183</v>
      </c>
      <c r="C79">
        <v>49709179</v>
      </c>
      <c r="D79">
        <v>48338391</v>
      </c>
      <c r="E79">
        <v>1</v>
      </c>
      <c r="F79">
        <v>1</v>
      </c>
      <c r="G79">
        <v>27</v>
      </c>
      <c r="H79">
        <v>2</v>
      </c>
      <c r="I79" t="s">
        <v>408</v>
      </c>
      <c r="J79" t="s">
        <v>409</v>
      </c>
      <c r="K79" t="s">
        <v>410</v>
      </c>
      <c r="L79">
        <v>1368</v>
      </c>
      <c r="N79">
        <v>1011</v>
      </c>
      <c r="O79" t="s">
        <v>299</v>
      </c>
      <c r="P79" t="s">
        <v>299</v>
      </c>
      <c r="Q79">
        <v>1</v>
      </c>
      <c r="X79">
        <v>0.09</v>
      </c>
      <c r="Y79">
        <v>0</v>
      </c>
      <c r="Z79">
        <v>1171.51</v>
      </c>
      <c r="AA79">
        <v>487.24</v>
      </c>
      <c r="AB79">
        <v>0</v>
      </c>
      <c r="AC79">
        <v>0</v>
      </c>
      <c r="AD79">
        <v>1</v>
      </c>
      <c r="AE79">
        <v>0</v>
      </c>
      <c r="AF79" t="s">
        <v>3</v>
      </c>
      <c r="AG79">
        <v>0.09</v>
      </c>
      <c r="AH79">
        <v>2</v>
      </c>
      <c r="AI79">
        <v>49709183</v>
      </c>
      <c r="AJ79">
        <v>82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">
      <c r="A80">
        <f>ROW(Source!A134)</f>
        <v>134</v>
      </c>
      <c r="B80">
        <v>49709184</v>
      </c>
      <c r="C80">
        <v>49709179</v>
      </c>
      <c r="D80">
        <v>48340434</v>
      </c>
      <c r="E80">
        <v>1</v>
      </c>
      <c r="F80">
        <v>1</v>
      </c>
      <c r="G80">
        <v>27</v>
      </c>
      <c r="H80">
        <v>3</v>
      </c>
      <c r="I80" t="s">
        <v>411</v>
      </c>
      <c r="J80" t="s">
        <v>412</v>
      </c>
      <c r="K80" t="s">
        <v>413</v>
      </c>
      <c r="L80">
        <v>1339</v>
      </c>
      <c r="N80">
        <v>1007</v>
      </c>
      <c r="O80" t="s">
        <v>46</v>
      </c>
      <c r="P80" t="s">
        <v>46</v>
      </c>
      <c r="Q80">
        <v>1</v>
      </c>
      <c r="X80">
        <v>1.1000000000000001</v>
      </c>
      <c r="Y80">
        <v>590.78</v>
      </c>
      <c r="Z80">
        <v>0</v>
      </c>
      <c r="AA80">
        <v>0</v>
      </c>
      <c r="AB80">
        <v>0</v>
      </c>
      <c r="AC80">
        <v>0</v>
      </c>
      <c r="AD80">
        <v>1</v>
      </c>
      <c r="AE80">
        <v>0</v>
      </c>
      <c r="AF80" t="s">
        <v>3</v>
      </c>
      <c r="AG80">
        <v>1.1000000000000001</v>
      </c>
      <c r="AH80">
        <v>2</v>
      </c>
      <c r="AI80">
        <v>49709184</v>
      </c>
      <c r="AJ80">
        <v>83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">
      <c r="A81">
        <f>ROW(Source!A134)</f>
        <v>134</v>
      </c>
      <c r="B81">
        <v>49709185</v>
      </c>
      <c r="C81">
        <v>49709179</v>
      </c>
      <c r="D81">
        <v>48341179</v>
      </c>
      <c r="E81">
        <v>1</v>
      </c>
      <c r="F81">
        <v>1</v>
      </c>
      <c r="G81">
        <v>27</v>
      </c>
      <c r="H81">
        <v>3</v>
      </c>
      <c r="I81" t="s">
        <v>327</v>
      </c>
      <c r="J81" t="s">
        <v>414</v>
      </c>
      <c r="K81" t="s">
        <v>329</v>
      </c>
      <c r="L81">
        <v>1339</v>
      </c>
      <c r="N81">
        <v>1007</v>
      </c>
      <c r="O81" t="s">
        <v>46</v>
      </c>
      <c r="P81" t="s">
        <v>46</v>
      </c>
      <c r="Q81">
        <v>1</v>
      </c>
      <c r="X81">
        <v>0.15</v>
      </c>
      <c r="Y81">
        <v>35.25</v>
      </c>
      <c r="Z81">
        <v>0</v>
      </c>
      <c r="AA81">
        <v>0</v>
      </c>
      <c r="AB81">
        <v>0</v>
      </c>
      <c r="AC81">
        <v>0</v>
      </c>
      <c r="AD81">
        <v>1</v>
      </c>
      <c r="AE81">
        <v>0</v>
      </c>
      <c r="AF81" t="s">
        <v>3</v>
      </c>
      <c r="AG81">
        <v>0.15</v>
      </c>
      <c r="AH81">
        <v>2</v>
      </c>
      <c r="AI81">
        <v>49709185</v>
      </c>
      <c r="AJ81">
        <v>84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">
      <c r="A82">
        <f>ROW(Source!A135)</f>
        <v>135</v>
      </c>
      <c r="B82">
        <v>49709188</v>
      </c>
      <c r="C82">
        <v>49709187</v>
      </c>
      <c r="D82">
        <v>48326108</v>
      </c>
      <c r="E82">
        <v>27</v>
      </c>
      <c r="F82">
        <v>1</v>
      </c>
      <c r="G82">
        <v>27</v>
      </c>
      <c r="H82">
        <v>1</v>
      </c>
      <c r="I82" t="s">
        <v>293</v>
      </c>
      <c r="J82" t="s">
        <v>3</v>
      </c>
      <c r="K82" t="s">
        <v>294</v>
      </c>
      <c r="L82">
        <v>1191</v>
      </c>
      <c r="N82">
        <v>1013</v>
      </c>
      <c r="O82" t="s">
        <v>295</v>
      </c>
      <c r="P82" t="s">
        <v>295</v>
      </c>
      <c r="Q82">
        <v>1</v>
      </c>
      <c r="X82">
        <v>0.98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 t="s">
        <v>3</v>
      </c>
      <c r="AG82">
        <v>0.98</v>
      </c>
      <c r="AH82">
        <v>2</v>
      </c>
      <c r="AI82">
        <v>49709188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">
      <c r="A83">
        <f>ROW(Source!A135)</f>
        <v>135</v>
      </c>
      <c r="B83">
        <v>49709189</v>
      </c>
      <c r="C83">
        <v>49709187</v>
      </c>
      <c r="D83">
        <v>48338634</v>
      </c>
      <c r="E83">
        <v>1</v>
      </c>
      <c r="F83">
        <v>1</v>
      </c>
      <c r="G83">
        <v>27</v>
      </c>
      <c r="H83">
        <v>2</v>
      </c>
      <c r="I83" t="s">
        <v>402</v>
      </c>
      <c r="J83" t="s">
        <v>403</v>
      </c>
      <c r="K83" t="s">
        <v>404</v>
      </c>
      <c r="L83">
        <v>1368</v>
      </c>
      <c r="N83">
        <v>1011</v>
      </c>
      <c r="O83" t="s">
        <v>299</v>
      </c>
      <c r="P83" t="s">
        <v>299</v>
      </c>
      <c r="Q83">
        <v>1</v>
      </c>
      <c r="X83">
        <v>0.25</v>
      </c>
      <c r="Y83">
        <v>0</v>
      </c>
      <c r="Z83">
        <v>470.71</v>
      </c>
      <c r="AA83">
        <v>359.8</v>
      </c>
      <c r="AB83">
        <v>0</v>
      </c>
      <c r="AC83">
        <v>0</v>
      </c>
      <c r="AD83">
        <v>1</v>
      </c>
      <c r="AE83">
        <v>0</v>
      </c>
      <c r="AF83" t="s">
        <v>3</v>
      </c>
      <c r="AG83">
        <v>0.25</v>
      </c>
      <c r="AH83">
        <v>2</v>
      </c>
      <c r="AI83">
        <v>49709189</v>
      </c>
      <c r="AJ83">
        <v>86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">
      <c r="A84">
        <f>ROW(Source!A135)</f>
        <v>135</v>
      </c>
      <c r="B84">
        <v>49709190</v>
      </c>
      <c r="C84">
        <v>49709187</v>
      </c>
      <c r="D84">
        <v>48339102</v>
      </c>
      <c r="E84">
        <v>1</v>
      </c>
      <c r="F84">
        <v>1</v>
      </c>
      <c r="G84">
        <v>27</v>
      </c>
      <c r="H84">
        <v>2</v>
      </c>
      <c r="I84" t="s">
        <v>405</v>
      </c>
      <c r="J84" t="s">
        <v>406</v>
      </c>
      <c r="K84" t="s">
        <v>407</v>
      </c>
      <c r="L84">
        <v>1368</v>
      </c>
      <c r="N84">
        <v>1011</v>
      </c>
      <c r="O84" t="s">
        <v>299</v>
      </c>
      <c r="P84" t="s">
        <v>299</v>
      </c>
      <c r="Q84">
        <v>1</v>
      </c>
      <c r="X84">
        <v>0.5</v>
      </c>
      <c r="Y84">
        <v>0</v>
      </c>
      <c r="Z84">
        <v>3.75</v>
      </c>
      <c r="AA84">
        <v>2.56</v>
      </c>
      <c r="AB84">
        <v>0</v>
      </c>
      <c r="AC84">
        <v>0</v>
      </c>
      <c r="AD84">
        <v>1</v>
      </c>
      <c r="AE84">
        <v>0</v>
      </c>
      <c r="AF84" t="s">
        <v>3</v>
      </c>
      <c r="AG84">
        <v>0.5</v>
      </c>
      <c r="AH84">
        <v>2</v>
      </c>
      <c r="AI84">
        <v>49709190</v>
      </c>
      <c r="AJ84">
        <v>87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">
      <c r="A85">
        <f>ROW(Source!A135)</f>
        <v>135</v>
      </c>
      <c r="B85">
        <v>49709191</v>
      </c>
      <c r="C85">
        <v>49709187</v>
      </c>
      <c r="D85">
        <v>48338391</v>
      </c>
      <c r="E85">
        <v>1</v>
      </c>
      <c r="F85">
        <v>1</v>
      </c>
      <c r="G85">
        <v>27</v>
      </c>
      <c r="H85">
        <v>2</v>
      </c>
      <c r="I85" t="s">
        <v>408</v>
      </c>
      <c r="J85" t="s">
        <v>409</v>
      </c>
      <c r="K85" t="s">
        <v>410</v>
      </c>
      <c r="L85">
        <v>1368</v>
      </c>
      <c r="N85">
        <v>1011</v>
      </c>
      <c r="O85" t="s">
        <v>299</v>
      </c>
      <c r="P85" t="s">
        <v>299</v>
      </c>
      <c r="Q85">
        <v>1</v>
      </c>
      <c r="X85">
        <v>0.09</v>
      </c>
      <c r="Y85">
        <v>0</v>
      </c>
      <c r="Z85">
        <v>1171.51</v>
      </c>
      <c r="AA85">
        <v>487.24</v>
      </c>
      <c r="AB85">
        <v>0</v>
      </c>
      <c r="AC85">
        <v>0</v>
      </c>
      <c r="AD85">
        <v>1</v>
      </c>
      <c r="AE85">
        <v>0</v>
      </c>
      <c r="AF85" t="s">
        <v>3</v>
      </c>
      <c r="AG85">
        <v>0.09</v>
      </c>
      <c r="AH85">
        <v>2</v>
      </c>
      <c r="AI85">
        <v>49709191</v>
      </c>
      <c r="AJ85">
        <v>88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">
      <c r="A86">
        <f>ROW(Source!A135)</f>
        <v>135</v>
      </c>
      <c r="B86">
        <v>49709192</v>
      </c>
      <c r="C86">
        <v>49709187</v>
      </c>
      <c r="D86">
        <v>48340468</v>
      </c>
      <c r="E86">
        <v>1</v>
      </c>
      <c r="F86">
        <v>1</v>
      </c>
      <c r="G86">
        <v>27</v>
      </c>
      <c r="H86">
        <v>3</v>
      </c>
      <c r="I86" t="s">
        <v>415</v>
      </c>
      <c r="J86" t="s">
        <v>416</v>
      </c>
      <c r="K86" t="s">
        <v>417</v>
      </c>
      <c r="L86">
        <v>1339</v>
      </c>
      <c r="N86">
        <v>1007</v>
      </c>
      <c r="O86" t="s">
        <v>46</v>
      </c>
      <c r="P86" t="s">
        <v>46</v>
      </c>
      <c r="Q86">
        <v>1</v>
      </c>
      <c r="X86">
        <v>1.1499999999999999</v>
      </c>
      <c r="Y86">
        <v>1436.5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0</v>
      </c>
      <c r="AF86" t="s">
        <v>3</v>
      </c>
      <c r="AG86">
        <v>1.1499999999999999</v>
      </c>
      <c r="AH86">
        <v>2</v>
      </c>
      <c r="AI86">
        <v>49709192</v>
      </c>
      <c r="AJ86">
        <v>89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">
      <c r="A87">
        <f>ROW(Source!A135)</f>
        <v>135</v>
      </c>
      <c r="B87">
        <v>49709193</v>
      </c>
      <c r="C87">
        <v>49709187</v>
      </c>
      <c r="D87">
        <v>48341179</v>
      </c>
      <c r="E87">
        <v>1</v>
      </c>
      <c r="F87">
        <v>1</v>
      </c>
      <c r="G87">
        <v>27</v>
      </c>
      <c r="H87">
        <v>3</v>
      </c>
      <c r="I87" t="s">
        <v>327</v>
      </c>
      <c r="J87" t="s">
        <v>414</v>
      </c>
      <c r="K87" t="s">
        <v>329</v>
      </c>
      <c r="L87">
        <v>1339</v>
      </c>
      <c r="N87">
        <v>1007</v>
      </c>
      <c r="O87" t="s">
        <v>46</v>
      </c>
      <c r="P87" t="s">
        <v>46</v>
      </c>
      <c r="Q87">
        <v>1</v>
      </c>
      <c r="X87">
        <v>0.15</v>
      </c>
      <c r="Y87">
        <v>35.25</v>
      </c>
      <c r="Z87">
        <v>0</v>
      </c>
      <c r="AA87">
        <v>0</v>
      </c>
      <c r="AB87">
        <v>0</v>
      </c>
      <c r="AC87">
        <v>0</v>
      </c>
      <c r="AD87">
        <v>1</v>
      </c>
      <c r="AE87">
        <v>0</v>
      </c>
      <c r="AF87" t="s">
        <v>3</v>
      </c>
      <c r="AG87">
        <v>0.15</v>
      </c>
      <c r="AH87">
        <v>2</v>
      </c>
      <c r="AI87">
        <v>49709193</v>
      </c>
      <c r="AJ87">
        <v>90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</row>
    <row r="88" spans="1:44" x14ac:dyDescent="0.2">
      <c r="A88">
        <f>ROW(Source!A136)</f>
        <v>136</v>
      </c>
      <c r="B88">
        <v>49708473</v>
      </c>
      <c r="C88">
        <v>49708467</v>
      </c>
      <c r="D88">
        <v>48326108</v>
      </c>
      <c r="E88">
        <v>27</v>
      </c>
      <c r="F88">
        <v>1</v>
      </c>
      <c r="G88">
        <v>27</v>
      </c>
      <c r="H88">
        <v>1</v>
      </c>
      <c r="I88" t="s">
        <v>293</v>
      </c>
      <c r="J88" t="s">
        <v>3</v>
      </c>
      <c r="K88" t="s">
        <v>294</v>
      </c>
      <c r="L88">
        <v>1191</v>
      </c>
      <c r="N88">
        <v>1013</v>
      </c>
      <c r="O88" t="s">
        <v>295</v>
      </c>
      <c r="P88" t="s">
        <v>295</v>
      </c>
      <c r="Q88">
        <v>1</v>
      </c>
      <c r="X88">
        <v>155.25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1</v>
      </c>
      <c r="AF88" t="s">
        <v>3</v>
      </c>
      <c r="AG88">
        <v>155.25</v>
      </c>
      <c r="AH88">
        <v>2</v>
      </c>
      <c r="AI88">
        <v>49708468</v>
      </c>
      <c r="AJ88">
        <v>91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</row>
    <row r="89" spans="1:44" x14ac:dyDescent="0.2">
      <c r="A89">
        <f>ROW(Source!A136)</f>
        <v>136</v>
      </c>
      <c r="B89">
        <v>49708474</v>
      </c>
      <c r="C89">
        <v>49708467</v>
      </c>
      <c r="D89">
        <v>48338564</v>
      </c>
      <c r="E89">
        <v>1</v>
      </c>
      <c r="F89">
        <v>1</v>
      </c>
      <c r="G89">
        <v>27</v>
      </c>
      <c r="H89">
        <v>2</v>
      </c>
      <c r="I89" t="s">
        <v>418</v>
      </c>
      <c r="J89" t="s">
        <v>419</v>
      </c>
      <c r="K89" t="s">
        <v>420</v>
      </c>
      <c r="L89">
        <v>1368</v>
      </c>
      <c r="N89">
        <v>1011</v>
      </c>
      <c r="O89" t="s">
        <v>299</v>
      </c>
      <c r="P89" t="s">
        <v>299</v>
      </c>
      <c r="Q89">
        <v>1</v>
      </c>
      <c r="X89">
        <v>7.41</v>
      </c>
      <c r="Y89">
        <v>0</v>
      </c>
      <c r="Z89">
        <v>3.84</v>
      </c>
      <c r="AA89">
        <v>0.01</v>
      </c>
      <c r="AB89">
        <v>0</v>
      </c>
      <c r="AC89">
        <v>0</v>
      </c>
      <c r="AD89">
        <v>1</v>
      </c>
      <c r="AE89">
        <v>0</v>
      </c>
      <c r="AF89" t="s">
        <v>3</v>
      </c>
      <c r="AG89">
        <v>7.41</v>
      </c>
      <c r="AH89">
        <v>2</v>
      </c>
      <c r="AI89">
        <v>49708469</v>
      </c>
      <c r="AJ89">
        <v>92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">
      <c r="A90">
        <f>ROW(Source!A136)</f>
        <v>136</v>
      </c>
      <c r="B90">
        <v>49708475</v>
      </c>
      <c r="C90">
        <v>49708467</v>
      </c>
      <c r="D90">
        <v>48341002</v>
      </c>
      <c r="E90">
        <v>1</v>
      </c>
      <c r="F90">
        <v>1</v>
      </c>
      <c r="G90">
        <v>27</v>
      </c>
      <c r="H90">
        <v>3</v>
      </c>
      <c r="I90" t="s">
        <v>421</v>
      </c>
      <c r="J90" t="s">
        <v>422</v>
      </c>
      <c r="K90" t="s">
        <v>423</v>
      </c>
      <c r="L90">
        <v>1327</v>
      </c>
      <c r="N90">
        <v>1005</v>
      </c>
      <c r="O90" t="s">
        <v>363</v>
      </c>
      <c r="P90" t="s">
        <v>363</v>
      </c>
      <c r="Q90">
        <v>1</v>
      </c>
      <c r="X90">
        <v>250</v>
      </c>
      <c r="Y90">
        <v>91.89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0</v>
      </c>
      <c r="AF90" t="s">
        <v>3</v>
      </c>
      <c r="AG90">
        <v>250</v>
      </c>
      <c r="AH90">
        <v>2</v>
      </c>
      <c r="AI90">
        <v>49708470</v>
      </c>
      <c r="AJ90">
        <v>93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">
      <c r="A91">
        <f>ROW(Source!A136)</f>
        <v>136</v>
      </c>
      <c r="B91">
        <v>49708476</v>
      </c>
      <c r="C91">
        <v>49708467</v>
      </c>
      <c r="D91">
        <v>48341179</v>
      </c>
      <c r="E91">
        <v>1</v>
      </c>
      <c r="F91">
        <v>1</v>
      </c>
      <c r="G91">
        <v>27</v>
      </c>
      <c r="H91">
        <v>3</v>
      </c>
      <c r="I91" t="s">
        <v>327</v>
      </c>
      <c r="J91" t="s">
        <v>414</v>
      </c>
      <c r="K91" t="s">
        <v>329</v>
      </c>
      <c r="L91">
        <v>1339</v>
      </c>
      <c r="N91">
        <v>1007</v>
      </c>
      <c r="O91" t="s">
        <v>46</v>
      </c>
      <c r="P91" t="s">
        <v>46</v>
      </c>
      <c r="Q91">
        <v>1</v>
      </c>
      <c r="X91">
        <v>1.75</v>
      </c>
      <c r="Y91">
        <v>35.25</v>
      </c>
      <c r="Z91">
        <v>0</v>
      </c>
      <c r="AA91">
        <v>0</v>
      </c>
      <c r="AB91">
        <v>0</v>
      </c>
      <c r="AC91">
        <v>0</v>
      </c>
      <c r="AD91">
        <v>1</v>
      </c>
      <c r="AE91">
        <v>0</v>
      </c>
      <c r="AF91" t="s">
        <v>3</v>
      </c>
      <c r="AG91">
        <v>1.75</v>
      </c>
      <c r="AH91">
        <v>2</v>
      </c>
      <c r="AI91">
        <v>49708471</v>
      </c>
      <c r="AJ91">
        <v>94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">
      <c r="A92">
        <f>ROW(Source!A136)</f>
        <v>136</v>
      </c>
      <c r="B92">
        <v>49708477</v>
      </c>
      <c r="C92">
        <v>49708467</v>
      </c>
      <c r="D92">
        <v>48342143</v>
      </c>
      <c r="E92">
        <v>1</v>
      </c>
      <c r="F92">
        <v>1</v>
      </c>
      <c r="G92">
        <v>27</v>
      </c>
      <c r="H92">
        <v>3</v>
      </c>
      <c r="I92" t="s">
        <v>424</v>
      </c>
      <c r="J92" t="s">
        <v>425</v>
      </c>
      <c r="K92" t="s">
        <v>426</v>
      </c>
      <c r="L92">
        <v>1339</v>
      </c>
      <c r="N92">
        <v>1007</v>
      </c>
      <c r="O92" t="s">
        <v>46</v>
      </c>
      <c r="P92" t="s">
        <v>46</v>
      </c>
      <c r="Q92">
        <v>1</v>
      </c>
      <c r="X92">
        <v>102</v>
      </c>
      <c r="Y92">
        <v>3247.23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 t="s">
        <v>3</v>
      </c>
      <c r="AG92">
        <v>102</v>
      </c>
      <c r="AH92">
        <v>2</v>
      </c>
      <c r="AI92">
        <v>49708472</v>
      </c>
      <c r="AJ92">
        <v>95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</row>
    <row r="93" spans="1:44" x14ac:dyDescent="0.2">
      <c r="A93">
        <f>ROW(Source!A137)</f>
        <v>137</v>
      </c>
      <c r="B93">
        <v>49708484</v>
      </c>
      <c r="C93">
        <v>49708478</v>
      </c>
      <c r="D93">
        <v>48326108</v>
      </c>
      <c r="E93">
        <v>27</v>
      </c>
      <c r="F93">
        <v>1</v>
      </c>
      <c r="G93">
        <v>27</v>
      </c>
      <c r="H93">
        <v>1</v>
      </c>
      <c r="I93" t="s">
        <v>293</v>
      </c>
      <c r="J93" t="s">
        <v>3</v>
      </c>
      <c r="K93" t="s">
        <v>294</v>
      </c>
      <c r="L93">
        <v>1191</v>
      </c>
      <c r="N93">
        <v>1013</v>
      </c>
      <c r="O93" t="s">
        <v>295</v>
      </c>
      <c r="P93" t="s">
        <v>295</v>
      </c>
      <c r="Q93">
        <v>1</v>
      </c>
      <c r="X93">
        <v>36.11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1</v>
      </c>
      <c r="AF93" t="s">
        <v>3</v>
      </c>
      <c r="AG93">
        <v>36.11</v>
      </c>
      <c r="AH93">
        <v>2</v>
      </c>
      <c r="AI93">
        <v>49708479</v>
      </c>
      <c r="AJ93">
        <v>96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">
      <c r="A94">
        <f>ROW(Source!A137)</f>
        <v>137</v>
      </c>
      <c r="B94">
        <v>49708485</v>
      </c>
      <c r="C94">
        <v>49708478</v>
      </c>
      <c r="D94">
        <v>48338728</v>
      </c>
      <c r="E94">
        <v>1</v>
      </c>
      <c r="F94">
        <v>1</v>
      </c>
      <c r="G94">
        <v>27</v>
      </c>
      <c r="H94">
        <v>2</v>
      </c>
      <c r="I94" t="s">
        <v>427</v>
      </c>
      <c r="J94" t="s">
        <v>428</v>
      </c>
      <c r="K94" t="s">
        <v>429</v>
      </c>
      <c r="L94">
        <v>1368</v>
      </c>
      <c r="N94">
        <v>1011</v>
      </c>
      <c r="O94" t="s">
        <v>299</v>
      </c>
      <c r="P94" t="s">
        <v>299</v>
      </c>
      <c r="Q94">
        <v>1</v>
      </c>
      <c r="X94">
        <v>21.91</v>
      </c>
      <c r="Y94">
        <v>0</v>
      </c>
      <c r="Z94">
        <v>54.65</v>
      </c>
      <c r="AA94">
        <v>0.05</v>
      </c>
      <c r="AB94">
        <v>0</v>
      </c>
      <c r="AC94">
        <v>0</v>
      </c>
      <c r="AD94">
        <v>1</v>
      </c>
      <c r="AE94">
        <v>0</v>
      </c>
      <c r="AF94" t="s">
        <v>3</v>
      </c>
      <c r="AG94">
        <v>21.91</v>
      </c>
      <c r="AH94">
        <v>2</v>
      </c>
      <c r="AI94">
        <v>49708480</v>
      </c>
      <c r="AJ94">
        <v>97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">
      <c r="A95">
        <f>ROW(Source!A137)</f>
        <v>137</v>
      </c>
      <c r="B95">
        <v>49708486</v>
      </c>
      <c r="C95">
        <v>49708478</v>
      </c>
      <c r="D95">
        <v>48341086</v>
      </c>
      <c r="E95">
        <v>1</v>
      </c>
      <c r="F95">
        <v>1</v>
      </c>
      <c r="G95">
        <v>27</v>
      </c>
      <c r="H95">
        <v>3</v>
      </c>
      <c r="I95" t="s">
        <v>386</v>
      </c>
      <c r="J95" t="s">
        <v>430</v>
      </c>
      <c r="K95" t="s">
        <v>388</v>
      </c>
      <c r="L95">
        <v>1348</v>
      </c>
      <c r="N95">
        <v>1009</v>
      </c>
      <c r="O95" t="s">
        <v>57</v>
      </c>
      <c r="P95" t="s">
        <v>57</v>
      </c>
      <c r="Q95">
        <v>1000</v>
      </c>
      <c r="X95">
        <v>0.03</v>
      </c>
      <c r="Y95">
        <v>110781.14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 t="s">
        <v>3</v>
      </c>
      <c r="AG95">
        <v>0.03</v>
      </c>
      <c r="AH95">
        <v>2</v>
      </c>
      <c r="AI95">
        <v>49708481</v>
      </c>
      <c r="AJ95">
        <v>98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">
      <c r="A96">
        <f>ROW(Source!A137)</f>
        <v>137</v>
      </c>
      <c r="B96">
        <v>49708487</v>
      </c>
      <c r="C96">
        <v>49708478</v>
      </c>
      <c r="D96">
        <v>48342405</v>
      </c>
      <c r="E96">
        <v>1</v>
      </c>
      <c r="F96">
        <v>1</v>
      </c>
      <c r="G96">
        <v>27</v>
      </c>
      <c r="H96">
        <v>3</v>
      </c>
      <c r="I96" t="s">
        <v>431</v>
      </c>
      <c r="J96" t="s">
        <v>432</v>
      </c>
      <c r="K96" t="s">
        <v>433</v>
      </c>
      <c r="L96">
        <v>1348</v>
      </c>
      <c r="N96">
        <v>1009</v>
      </c>
      <c r="O96" t="s">
        <v>57</v>
      </c>
      <c r="P96" t="s">
        <v>57</v>
      </c>
      <c r="Q96">
        <v>1000</v>
      </c>
      <c r="X96">
        <v>1</v>
      </c>
      <c r="Y96">
        <v>53233.52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0</v>
      </c>
      <c r="AF96" t="s">
        <v>3</v>
      </c>
      <c r="AG96">
        <v>1</v>
      </c>
      <c r="AH96">
        <v>2</v>
      </c>
      <c r="AI96">
        <v>49708482</v>
      </c>
      <c r="AJ96">
        <v>99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">
      <c r="A97">
        <f>ROW(Source!A177)</f>
        <v>177</v>
      </c>
      <c r="B97">
        <v>49708491</v>
      </c>
      <c r="C97">
        <v>49708489</v>
      </c>
      <c r="D97">
        <v>48326108</v>
      </c>
      <c r="E97">
        <v>27</v>
      </c>
      <c r="F97">
        <v>1</v>
      </c>
      <c r="G97">
        <v>27</v>
      </c>
      <c r="H97">
        <v>1</v>
      </c>
      <c r="I97" t="s">
        <v>293</v>
      </c>
      <c r="J97" t="s">
        <v>3</v>
      </c>
      <c r="K97" t="s">
        <v>294</v>
      </c>
      <c r="L97">
        <v>1191</v>
      </c>
      <c r="N97">
        <v>1013</v>
      </c>
      <c r="O97" t="s">
        <v>295</v>
      </c>
      <c r="P97" t="s">
        <v>295</v>
      </c>
      <c r="Q97">
        <v>1</v>
      </c>
      <c r="X97">
        <v>260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1</v>
      </c>
      <c r="AF97" t="s">
        <v>3</v>
      </c>
      <c r="AG97">
        <v>260</v>
      </c>
      <c r="AH97">
        <v>2</v>
      </c>
      <c r="AI97">
        <v>49708490</v>
      </c>
      <c r="AJ97">
        <v>101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">
      <c r="A98">
        <f>ROW(Source!A178)</f>
        <v>178</v>
      </c>
      <c r="B98">
        <v>49708494</v>
      </c>
      <c r="C98">
        <v>49708492</v>
      </c>
      <c r="D98">
        <v>48326108</v>
      </c>
      <c r="E98">
        <v>27</v>
      </c>
      <c r="F98">
        <v>1</v>
      </c>
      <c r="G98">
        <v>27</v>
      </c>
      <c r="H98">
        <v>1</v>
      </c>
      <c r="I98" t="s">
        <v>293</v>
      </c>
      <c r="J98" t="s">
        <v>3</v>
      </c>
      <c r="K98" t="s">
        <v>294</v>
      </c>
      <c r="L98">
        <v>1191</v>
      </c>
      <c r="N98">
        <v>1013</v>
      </c>
      <c r="O98" t="s">
        <v>295</v>
      </c>
      <c r="P98" t="s">
        <v>295</v>
      </c>
      <c r="Q98">
        <v>1</v>
      </c>
      <c r="X98">
        <v>582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</v>
      </c>
      <c r="AE98">
        <v>1</v>
      </c>
      <c r="AF98" t="s">
        <v>3</v>
      </c>
      <c r="AG98">
        <v>582</v>
      </c>
      <c r="AH98">
        <v>2</v>
      </c>
      <c r="AI98">
        <v>49708493</v>
      </c>
      <c r="AJ98">
        <v>102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">
      <c r="A99">
        <f>ROW(Source!A179)</f>
        <v>179</v>
      </c>
      <c r="B99">
        <v>49708497</v>
      </c>
      <c r="C99">
        <v>49708495</v>
      </c>
      <c r="D99">
        <v>48326108</v>
      </c>
      <c r="E99">
        <v>27</v>
      </c>
      <c r="F99">
        <v>1</v>
      </c>
      <c r="G99">
        <v>27</v>
      </c>
      <c r="H99">
        <v>1</v>
      </c>
      <c r="I99" t="s">
        <v>293</v>
      </c>
      <c r="J99" t="s">
        <v>3</v>
      </c>
      <c r="K99" t="s">
        <v>294</v>
      </c>
      <c r="L99">
        <v>1191</v>
      </c>
      <c r="N99">
        <v>1013</v>
      </c>
      <c r="O99" t="s">
        <v>295</v>
      </c>
      <c r="P99" t="s">
        <v>295</v>
      </c>
      <c r="Q99">
        <v>1</v>
      </c>
      <c r="X99">
        <v>83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1</v>
      </c>
      <c r="AF99" t="s">
        <v>3</v>
      </c>
      <c r="AG99">
        <v>83</v>
      </c>
      <c r="AH99">
        <v>2</v>
      </c>
      <c r="AI99">
        <v>49708496</v>
      </c>
      <c r="AJ99">
        <v>103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</row>
    <row r="100" spans="1:44" x14ac:dyDescent="0.2">
      <c r="A100">
        <f>ROW(Source!A180)</f>
        <v>180</v>
      </c>
      <c r="B100">
        <v>49708500</v>
      </c>
      <c r="C100">
        <v>49708498</v>
      </c>
      <c r="D100">
        <v>48339078</v>
      </c>
      <c r="E100">
        <v>1</v>
      </c>
      <c r="F100">
        <v>1</v>
      </c>
      <c r="G100">
        <v>27</v>
      </c>
      <c r="H100">
        <v>2</v>
      </c>
      <c r="I100" t="s">
        <v>306</v>
      </c>
      <c r="J100" t="s">
        <v>401</v>
      </c>
      <c r="K100" t="s">
        <v>308</v>
      </c>
      <c r="L100">
        <v>1368</v>
      </c>
      <c r="N100">
        <v>1011</v>
      </c>
      <c r="O100" t="s">
        <v>299</v>
      </c>
      <c r="P100" t="s">
        <v>299</v>
      </c>
      <c r="Q100">
        <v>1</v>
      </c>
      <c r="X100">
        <v>3.1E-2</v>
      </c>
      <c r="Y100">
        <v>0</v>
      </c>
      <c r="Z100">
        <v>1014.12</v>
      </c>
      <c r="AA100">
        <v>317.13</v>
      </c>
      <c r="AB100">
        <v>0</v>
      </c>
      <c r="AC100">
        <v>0</v>
      </c>
      <c r="AD100">
        <v>1</v>
      </c>
      <c r="AE100">
        <v>0</v>
      </c>
      <c r="AF100" t="s">
        <v>3</v>
      </c>
      <c r="AG100">
        <v>3.1E-2</v>
      </c>
      <c r="AH100">
        <v>2</v>
      </c>
      <c r="AI100">
        <v>49708499</v>
      </c>
      <c r="AJ100">
        <v>104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</row>
    <row r="101" spans="1:44" x14ac:dyDescent="0.2">
      <c r="A101">
        <f>ROW(Source!A181)</f>
        <v>181</v>
      </c>
      <c r="B101">
        <v>49708503</v>
      </c>
      <c r="C101">
        <v>49708501</v>
      </c>
      <c r="D101">
        <v>48339078</v>
      </c>
      <c r="E101">
        <v>1</v>
      </c>
      <c r="F101">
        <v>1</v>
      </c>
      <c r="G101">
        <v>27</v>
      </c>
      <c r="H101">
        <v>2</v>
      </c>
      <c r="I101" t="s">
        <v>306</v>
      </c>
      <c r="J101" t="s">
        <v>401</v>
      </c>
      <c r="K101" t="s">
        <v>308</v>
      </c>
      <c r="L101">
        <v>1368</v>
      </c>
      <c r="N101">
        <v>1011</v>
      </c>
      <c r="O101" t="s">
        <v>299</v>
      </c>
      <c r="P101" t="s">
        <v>299</v>
      </c>
      <c r="Q101">
        <v>1</v>
      </c>
      <c r="X101">
        <v>0.01</v>
      </c>
      <c r="Y101">
        <v>0</v>
      </c>
      <c r="Z101">
        <v>1014.12</v>
      </c>
      <c r="AA101">
        <v>317.13</v>
      </c>
      <c r="AB101">
        <v>0</v>
      </c>
      <c r="AC101">
        <v>0</v>
      </c>
      <c r="AD101">
        <v>1</v>
      </c>
      <c r="AE101">
        <v>0</v>
      </c>
      <c r="AF101" t="s">
        <v>53</v>
      </c>
      <c r="AG101">
        <v>0.56000000000000005</v>
      </c>
      <c r="AH101">
        <v>2</v>
      </c>
      <c r="AI101">
        <v>49708502</v>
      </c>
      <c r="AJ101">
        <v>105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</row>
    <row r="102" spans="1:44" x14ac:dyDescent="0.2">
      <c r="A102">
        <f>ROW(Source!A183)</f>
        <v>183</v>
      </c>
      <c r="B102">
        <v>49709201</v>
      </c>
      <c r="C102">
        <v>49709194</v>
      </c>
      <c r="D102">
        <v>48326108</v>
      </c>
      <c r="E102">
        <v>27</v>
      </c>
      <c r="F102">
        <v>1</v>
      </c>
      <c r="G102">
        <v>27</v>
      </c>
      <c r="H102">
        <v>1</v>
      </c>
      <c r="I102" t="s">
        <v>293</v>
      </c>
      <c r="J102" t="s">
        <v>3</v>
      </c>
      <c r="K102" t="s">
        <v>294</v>
      </c>
      <c r="L102">
        <v>1191</v>
      </c>
      <c r="N102">
        <v>1013</v>
      </c>
      <c r="O102" t="s">
        <v>295</v>
      </c>
      <c r="P102" t="s">
        <v>295</v>
      </c>
      <c r="Q102">
        <v>1</v>
      </c>
      <c r="X102">
        <v>0.9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1</v>
      </c>
      <c r="AE102">
        <v>1</v>
      </c>
      <c r="AF102" t="s">
        <v>3</v>
      </c>
      <c r="AG102">
        <v>0.9</v>
      </c>
      <c r="AH102">
        <v>2</v>
      </c>
      <c r="AI102">
        <v>49709195</v>
      </c>
      <c r="AJ102">
        <v>106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</row>
    <row r="103" spans="1:44" x14ac:dyDescent="0.2">
      <c r="A103">
        <f>ROW(Source!A183)</f>
        <v>183</v>
      </c>
      <c r="B103">
        <v>49709202</v>
      </c>
      <c r="C103">
        <v>49709194</v>
      </c>
      <c r="D103">
        <v>48338634</v>
      </c>
      <c r="E103">
        <v>1</v>
      </c>
      <c r="F103">
        <v>1</v>
      </c>
      <c r="G103">
        <v>27</v>
      </c>
      <c r="H103">
        <v>2</v>
      </c>
      <c r="I103" t="s">
        <v>402</v>
      </c>
      <c r="J103" t="s">
        <v>403</v>
      </c>
      <c r="K103" t="s">
        <v>404</v>
      </c>
      <c r="L103">
        <v>1368</v>
      </c>
      <c r="N103">
        <v>1011</v>
      </c>
      <c r="O103" t="s">
        <v>299</v>
      </c>
      <c r="P103" t="s">
        <v>299</v>
      </c>
      <c r="Q103">
        <v>1</v>
      </c>
      <c r="X103">
        <v>0.22</v>
      </c>
      <c r="Y103">
        <v>0</v>
      </c>
      <c r="Z103">
        <v>470.71</v>
      </c>
      <c r="AA103">
        <v>359.8</v>
      </c>
      <c r="AB103">
        <v>0</v>
      </c>
      <c r="AC103">
        <v>0</v>
      </c>
      <c r="AD103">
        <v>1</v>
      </c>
      <c r="AE103">
        <v>0</v>
      </c>
      <c r="AF103" t="s">
        <v>3</v>
      </c>
      <c r="AG103">
        <v>0.22</v>
      </c>
      <c r="AH103">
        <v>2</v>
      </c>
      <c r="AI103">
        <v>49709196</v>
      </c>
      <c r="AJ103">
        <v>107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</row>
    <row r="104" spans="1:44" x14ac:dyDescent="0.2">
      <c r="A104">
        <f>ROW(Source!A183)</f>
        <v>183</v>
      </c>
      <c r="B104">
        <v>49709203</v>
      </c>
      <c r="C104">
        <v>49709194</v>
      </c>
      <c r="D104">
        <v>48339102</v>
      </c>
      <c r="E104">
        <v>1</v>
      </c>
      <c r="F104">
        <v>1</v>
      </c>
      <c r="G104">
        <v>27</v>
      </c>
      <c r="H104">
        <v>2</v>
      </c>
      <c r="I104" t="s">
        <v>405</v>
      </c>
      <c r="J104" t="s">
        <v>406</v>
      </c>
      <c r="K104" t="s">
        <v>407</v>
      </c>
      <c r="L104">
        <v>1368</v>
      </c>
      <c r="N104">
        <v>1011</v>
      </c>
      <c r="O104" t="s">
        <v>299</v>
      </c>
      <c r="P104" t="s">
        <v>299</v>
      </c>
      <c r="Q104">
        <v>1</v>
      </c>
      <c r="X104">
        <v>0.45</v>
      </c>
      <c r="Y104">
        <v>0</v>
      </c>
      <c r="Z104">
        <v>3.75</v>
      </c>
      <c r="AA104">
        <v>2.56</v>
      </c>
      <c r="AB104">
        <v>0</v>
      </c>
      <c r="AC104">
        <v>0</v>
      </c>
      <c r="AD104">
        <v>1</v>
      </c>
      <c r="AE104">
        <v>0</v>
      </c>
      <c r="AF104" t="s">
        <v>3</v>
      </c>
      <c r="AG104">
        <v>0.45</v>
      </c>
      <c r="AH104">
        <v>2</v>
      </c>
      <c r="AI104">
        <v>49709197</v>
      </c>
      <c r="AJ104">
        <v>108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</row>
    <row r="105" spans="1:44" x14ac:dyDescent="0.2">
      <c r="A105">
        <f>ROW(Source!A183)</f>
        <v>183</v>
      </c>
      <c r="B105">
        <v>49709204</v>
      </c>
      <c r="C105">
        <v>49709194</v>
      </c>
      <c r="D105">
        <v>48338391</v>
      </c>
      <c r="E105">
        <v>1</v>
      </c>
      <c r="F105">
        <v>1</v>
      </c>
      <c r="G105">
        <v>27</v>
      </c>
      <c r="H105">
        <v>2</v>
      </c>
      <c r="I105" t="s">
        <v>408</v>
      </c>
      <c r="J105" t="s">
        <v>409</v>
      </c>
      <c r="K105" t="s">
        <v>410</v>
      </c>
      <c r="L105">
        <v>1368</v>
      </c>
      <c r="N105">
        <v>1011</v>
      </c>
      <c r="O105" t="s">
        <v>299</v>
      </c>
      <c r="P105" t="s">
        <v>299</v>
      </c>
      <c r="Q105">
        <v>1</v>
      </c>
      <c r="X105">
        <v>0.09</v>
      </c>
      <c r="Y105">
        <v>0</v>
      </c>
      <c r="Z105">
        <v>1171.51</v>
      </c>
      <c r="AA105">
        <v>487.24</v>
      </c>
      <c r="AB105">
        <v>0</v>
      </c>
      <c r="AC105">
        <v>0</v>
      </c>
      <c r="AD105">
        <v>1</v>
      </c>
      <c r="AE105">
        <v>0</v>
      </c>
      <c r="AF105" t="s">
        <v>3</v>
      </c>
      <c r="AG105">
        <v>0.09</v>
      </c>
      <c r="AH105">
        <v>2</v>
      </c>
      <c r="AI105">
        <v>49709198</v>
      </c>
      <c r="AJ105">
        <v>109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</row>
    <row r="106" spans="1:44" x14ac:dyDescent="0.2">
      <c r="A106">
        <f>ROW(Source!A183)</f>
        <v>183</v>
      </c>
      <c r="B106">
        <v>49709205</v>
      </c>
      <c r="C106">
        <v>49709194</v>
      </c>
      <c r="D106">
        <v>48340434</v>
      </c>
      <c r="E106">
        <v>1</v>
      </c>
      <c r="F106">
        <v>1</v>
      </c>
      <c r="G106">
        <v>27</v>
      </c>
      <c r="H106">
        <v>3</v>
      </c>
      <c r="I106" t="s">
        <v>411</v>
      </c>
      <c r="J106" t="s">
        <v>412</v>
      </c>
      <c r="K106" t="s">
        <v>413</v>
      </c>
      <c r="L106">
        <v>1339</v>
      </c>
      <c r="N106">
        <v>1007</v>
      </c>
      <c r="O106" t="s">
        <v>46</v>
      </c>
      <c r="P106" t="s">
        <v>46</v>
      </c>
      <c r="Q106">
        <v>1</v>
      </c>
      <c r="X106">
        <v>1.1000000000000001</v>
      </c>
      <c r="Y106">
        <v>590.78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 t="s">
        <v>3</v>
      </c>
      <c r="AG106">
        <v>1.1000000000000001</v>
      </c>
      <c r="AH106">
        <v>2</v>
      </c>
      <c r="AI106">
        <v>49709199</v>
      </c>
      <c r="AJ106">
        <v>110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44" x14ac:dyDescent="0.2">
      <c r="A107">
        <f>ROW(Source!A183)</f>
        <v>183</v>
      </c>
      <c r="B107">
        <v>49709206</v>
      </c>
      <c r="C107">
        <v>49709194</v>
      </c>
      <c r="D107">
        <v>48341179</v>
      </c>
      <c r="E107">
        <v>1</v>
      </c>
      <c r="F107">
        <v>1</v>
      </c>
      <c r="G107">
        <v>27</v>
      </c>
      <c r="H107">
        <v>3</v>
      </c>
      <c r="I107" t="s">
        <v>327</v>
      </c>
      <c r="J107" t="s">
        <v>414</v>
      </c>
      <c r="K107" t="s">
        <v>329</v>
      </c>
      <c r="L107">
        <v>1339</v>
      </c>
      <c r="N107">
        <v>1007</v>
      </c>
      <c r="O107" t="s">
        <v>46</v>
      </c>
      <c r="P107" t="s">
        <v>46</v>
      </c>
      <c r="Q107">
        <v>1</v>
      </c>
      <c r="X107">
        <v>0.15</v>
      </c>
      <c r="Y107">
        <v>35.25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0</v>
      </c>
      <c r="AF107" t="s">
        <v>3</v>
      </c>
      <c r="AG107">
        <v>0.15</v>
      </c>
      <c r="AH107">
        <v>2</v>
      </c>
      <c r="AI107">
        <v>49709200</v>
      </c>
      <c r="AJ107">
        <v>111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</row>
    <row r="108" spans="1:44" x14ac:dyDescent="0.2">
      <c r="A108">
        <f>ROW(Source!A184)</f>
        <v>184</v>
      </c>
      <c r="B108">
        <v>49709214</v>
      </c>
      <c r="C108">
        <v>49709207</v>
      </c>
      <c r="D108">
        <v>48326108</v>
      </c>
      <c r="E108">
        <v>27</v>
      </c>
      <c r="F108">
        <v>1</v>
      </c>
      <c r="G108">
        <v>27</v>
      </c>
      <c r="H108">
        <v>1</v>
      </c>
      <c r="I108" t="s">
        <v>293</v>
      </c>
      <c r="J108" t="s">
        <v>3</v>
      </c>
      <c r="K108" t="s">
        <v>294</v>
      </c>
      <c r="L108">
        <v>1191</v>
      </c>
      <c r="N108">
        <v>1013</v>
      </c>
      <c r="O108" t="s">
        <v>295</v>
      </c>
      <c r="P108" t="s">
        <v>295</v>
      </c>
      <c r="Q108">
        <v>1</v>
      </c>
      <c r="X108">
        <v>0.98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</v>
      </c>
      <c r="AE108">
        <v>1</v>
      </c>
      <c r="AF108" t="s">
        <v>3</v>
      </c>
      <c r="AG108">
        <v>0.98</v>
      </c>
      <c r="AH108">
        <v>2</v>
      </c>
      <c r="AI108">
        <v>49709208</v>
      </c>
      <c r="AJ108">
        <v>112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">
      <c r="A109">
        <f>ROW(Source!A184)</f>
        <v>184</v>
      </c>
      <c r="B109">
        <v>49709215</v>
      </c>
      <c r="C109">
        <v>49709207</v>
      </c>
      <c r="D109">
        <v>48338634</v>
      </c>
      <c r="E109">
        <v>1</v>
      </c>
      <c r="F109">
        <v>1</v>
      </c>
      <c r="G109">
        <v>27</v>
      </c>
      <c r="H109">
        <v>2</v>
      </c>
      <c r="I109" t="s">
        <v>402</v>
      </c>
      <c r="J109" t="s">
        <v>403</v>
      </c>
      <c r="K109" t="s">
        <v>404</v>
      </c>
      <c r="L109">
        <v>1368</v>
      </c>
      <c r="N109">
        <v>1011</v>
      </c>
      <c r="O109" t="s">
        <v>299</v>
      </c>
      <c r="P109" t="s">
        <v>299</v>
      </c>
      <c r="Q109">
        <v>1</v>
      </c>
      <c r="X109">
        <v>0.25</v>
      </c>
      <c r="Y109">
        <v>0</v>
      </c>
      <c r="Z109">
        <v>470.71</v>
      </c>
      <c r="AA109">
        <v>359.8</v>
      </c>
      <c r="AB109">
        <v>0</v>
      </c>
      <c r="AC109">
        <v>0</v>
      </c>
      <c r="AD109">
        <v>1</v>
      </c>
      <c r="AE109">
        <v>0</v>
      </c>
      <c r="AF109" t="s">
        <v>3</v>
      </c>
      <c r="AG109">
        <v>0.25</v>
      </c>
      <c r="AH109">
        <v>2</v>
      </c>
      <c r="AI109">
        <v>49709209</v>
      </c>
      <c r="AJ109">
        <v>113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">
      <c r="A110">
        <f>ROW(Source!A184)</f>
        <v>184</v>
      </c>
      <c r="B110">
        <v>49709216</v>
      </c>
      <c r="C110">
        <v>49709207</v>
      </c>
      <c r="D110">
        <v>48339102</v>
      </c>
      <c r="E110">
        <v>1</v>
      </c>
      <c r="F110">
        <v>1</v>
      </c>
      <c r="G110">
        <v>27</v>
      </c>
      <c r="H110">
        <v>2</v>
      </c>
      <c r="I110" t="s">
        <v>405</v>
      </c>
      <c r="J110" t="s">
        <v>406</v>
      </c>
      <c r="K110" t="s">
        <v>407</v>
      </c>
      <c r="L110">
        <v>1368</v>
      </c>
      <c r="N110">
        <v>1011</v>
      </c>
      <c r="O110" t="s">
        <v>299</v>
      </c>
      <c r="P110" t="s">
        <v>299</v>
      </c>
      <c r="Q110">
        <v>1</v>
      </c>
      <c r="X110">
        <v>0.5</v>
      </c>
      <c r="Y110">
        <v>0</v>
      </c>
      <c r="Z110">
        <v>3.75</v>
      </c>
      <c r="AA110">
        <v>2.56</v>
      </c>
      <c r="AB110">
        <v>0</v>
      </c>
      <c r="AC110">
        <v>0</v>
      </c>
      <c r="AD110">
        <v>1</v>
      </c>
      <c r="AE110">
        <v>0</v>
      </c>
      <c r="AF110" t="s">
        <v>3</v>
      </c>
      <c r="AG110">
        <v>0.5</v>
      </c>
      <c r="AH110">
        <v>2</v>
      </c>
      <c r="AI110">
        <v>49709210</v>
      </c>
      <c r="AJ110">
        <v>114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">
      <c r="A111">
        <f>ROW(Source!A184)</f>
        <v>184</v>
      </c>
      <c r="B111">
        <v>49709217</v>
      </c>
      <c r="C111">
        <v>49709207</v>
      </c>
      <c r="D111">
        <v>48338391</v>
      </c>
      <c r="E111">
        <v>1</v>
      </c>
      <c r="F111">
        <v>1</v>
      </c>
      <c r="G111">
        <v>27</v>
      </c>
      <c r="H111">
        <v>2</v>
      </c>
      <c r="I111" t="s">
        <v>408</v>
      </c>
      <c r="J111" t="s">
        <v>409</v>
      </c>
      <c r="K111" t="s">
        <v>410</v>
      </c>
      <c r="L111">
        <v>1368</v>
      </c>
      <c r="N111">
        <v>1011</v>
      </c>
      <c r="O111" t="s">
        <v>299</v>
      </c>
      <c r="P111" t="s">
        <v>299</v>
      </c>
      <c r="Q111">
        <v>1</v>
      </c>
      <c r="X111">
        <v>0.09</v>
      </c>
      <c r="Y111">
        <v>0</v>
      </c>
      <c r="Z111">
        <v>1171.51</v>
      </c>
      <c r="AA111">
        <v>487.24</v>
      </c>
      <c r="AB111">
        <v>0</v>
      </c>
      <c r="AC111">
        <v>0</v>
      </c>
      <c r="AD111">
        <v>1</v>
      </c>
      <c r="AE111">
        <v>0</v>
      </c>
      <c r="AF111" t="s">
        <v>3</v>
      </c>
      <c r="AG111">
        <v>0.09</v>
      </c>
      <c r="AH111">
        <v>2</v>
      </c>
      <c r="AI111">
        <v>49709211</v>
      </c>
      <c r="AJ111">
        <v>115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</row>
    <row r="112" spans="1:44" x14ac:dyDescent="0.2">
      <c r="A112">
        <f>ROW(Source!A184)</f>
        <v>184</v>
      </c>
      <c r="B112">
        <v>49709218</v>
      </c>
      <c r="C112">
        <v>49709207</v>
      </c>
      <c r="D112">
        <v>48340468</v>
      </c>
      <c r="E112">
        <v>1</v>
      </c>
      <c r="F112">
        <v>1</v>
      </c>
      <c r="G112">
        <v>27</v>
      </c>
      <c r="H112">
        <v>3</v>
      </c>
      <c r="I112" t="s">
        <v>415</v>
      </c>
      <c r="J112" t="s">
        <v>416</v>
      </c>
      <c r="K112" t="s">
        <v>417</v>
      </c>
      <c r="L112">
        <v>1339</v>
      </c>
      <c r="N112">
        <v>1007</v>
      </c>
      <c r="O112" t="s">
        <v>46</v>
      </c>
      <c r="P112" t="s">
        <v>46</v>
      </c>
      <c r="Q112">
        <v>1</v>
      </c>
      <c r="X112">
        <v>1.1499999999999999</v>
      </c>
      <c r="Y112">
        <v>1436.5</v>
      </c>
      <c r="Z112">
        <v>0</v>
      </c>
      <c r="AA112">
        <v>0</v>
      </c>
      <c r="AB112">
        <v>0</v>
      </c>
      <c r="AC112">
        <v>0</v>
      </c>
      <c r="AD112">
        <v>1</v>
      </c>
      <c r="AE112">
        <v>0</v>
      </c>
      <c r="AF112" t="s">
        <v>3</v>
      </c>
      <c r="AG112">
        <v>1.1499999999999999</v>
      </c>
      <c r="AH112">
        <v>2</v>
      </c>
      <c r="AI112">
        <v>49709212</v>
      </c>
      <c r="AJ112">
        <v>116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</row>
    <row r="113" spans="1:44" x14ac:dyDescent="0.2">
      <c r="A113">
        <f>ROW(Source!A184)</f>
        <v>184</v>
      </c>
      <c r="B113">
        <v>49709219</v>
      </c>
      <c r="C113">
        <v>49709207</v>
      </c>
      <c r="D113">
        <v>48341179</v>
      </c>
      <c r="E113">
        <v>1</v>
      </c>
      <c r="F113">
        <v>1</v>
      </c>
      <c r="G113">
        <v>27</v>
      </c>
      <c r="H113">
        <v>3</v>
      </c>
      <c r="I113" t="s">
        <v>327</v>
      </c>
      <c r="J113" t="s">
        <v>414</v>
      </c>
      <c r="K113" t="s">
        <v>329</v>
      </c>
      <c r="L113">
        <v>1339</v>
      </c>
      <c r="N113">
        <v>1007</v>
      </c>
      <c r="O113" t="s">
        <v>46</v>
      </c>
      <c r="P113" t="s">
        <v>46</v>
      </c>
      <c r="Q113">
        <v>1</v>
      </c>
      <c r="X113">
        <v>0.15</v>
      </c>
      <c r="Y113">
        <v>35.25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 t="s">
        <v>3</v>
      </c>
      <c r="AG113">
        <v>0.15</v>
      </c>
      <c r="AH113">
        <v>2</v>
      </c>
      <c r="AI113">
        <v>49709213</v>
      </c>
      <c r="AJ113">
        <v>117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</row>
    <row r="114" spans="1:44" x14ac:dyDescent="0.2">
      <c r="A114">
        <f>ROW(Source!A185)</f>
        <v>185</v>
      </c>
      <c r="B114">
        <v>49708511</v>
      </c>
      <c r="C114">
        <v>49708505</v>
      </c>
      <c r="D114">
        <v>48326108</v>
      </c>
      <c r="E114">
        <v>27</v>
      </c>
      <c r="F114">
        <v>1</v>
      </c>
      <c r="G114">
        <v>27</v>
      </c>
      <c r="H114">
        <v>1</v>
      </c>
      <c r="I114" t="s">
        <v>293</v>
      </c>
      <c r="J114" t="s">
        <v>3</v>
      </c>
      <c r="K114" t="s">
        <v>294</v>
      </c>
      <c r="L114">
        <v>1191</v>
      </c>
      <c r="N114">
        <v>1013</v>
      </c>
      <c r="O114" t="s">
        <v>295</v>
      </c>
      <c r="P114" t="s">
        <v>295</v>
      </c>
      <c r="Q114">
        <v>1</v>
      </c>
      <c r="X114">
        <v>155.25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</v>
      </c>
      <c r="AE114">
        <v>1</v>
      </c>
      <c r="AF114" t="s">
        <v>3</v>
      </c>
      <c r="AG114">
        <v>155.25</v>
      </c>
      <c r="AH114">
        <v>2</v>
      </c>
      <c r="AI114">
        <v>49708506</v>
      </c>
      <c r="AJ114">
        <v>118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</row>
    <row r="115" spans="1:44" x14ac:dyDescent="0.2">
      <c r="A115">
        <f>ROW(Source!A185)</f>
        <v>185</v>
      </c>
      <c r="B115">
        <v>49708512</v>
      </c>
      <c r="C115">
        <v>49708505</v>
      </c>
      <c r="D115">
        <v>48338564</v>
      </c>
      <c r="E115">
        <v>1</v>
      </c>
      <c r="F115">
        <v>1</v>
      </c>
      <c r="G115">
        <v>27</v>
      </c>
      <c r="H115">
        <v>2</v>
      </c>
      <c r="I115" t="s">
        <v>418</v>
      </c>
      <c r="J115" t="s">
        <v>419</v>
      </c>
      <c r="K115" t="s">
        <v>420</v>
      </c>
      <c r="L115">
        <v>1368</v>
      </c>
      <c r="N115">
        <v>1011</v>
      </c>
      <c r="O115" t="s">
        <v>299</v>
      </c>
      <c r="P115" t="s">
        <v>299</v>
      </c>
      <c r="Q115">
        <v>1</v>
      </c>
      <c r="X115">
        <v>7.41</v>
      </c>
      <c r="Y115">
        <v>0</v>
      </c>
      <c r="Z115">
        <v>3.84</v>
      </c>
      <c r="AA115">
        <v>0.01</v>
      </c>
      <c r="AB115">
        <v>0</v>
      </c>
      <c r="AC115">
        <v>0</v>
      </c>
      <c r="AD115">
        <v>1</v>
      </c>
      <c r="AE115">
        <v>0</v>
      </c>
      <c r="AF115" t="s">
        <v>3</v>
      </c>
      <c r="AG115">
        <v>7.41</v>
      </c>
      <c r="AH115">
        <v>2</v>
      </c>
      <c r="AI115">
        <v>49708507</v>
      </c>
      <c r="AJ115">
        <v>119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44" x14ac:dyDescent="0.2">
      <c r="A116">
        <f>ROW(Source!A185)</f>
        <v>185</v>
      </c>
      <c r="B116">
        <v>49708513</v>
      </c>
      <c r="C116">
        <v>49708505</v>
      </c>
      <c r="D116">
        <v>48341002</v>
      </c>
      <c r="E116">
        <v>1</v>
      </c>
      <c r="F116">
        <v>1</v>
      </c>
      <c r="G116">
        <v>27</v>
      </c>
      <c r="H116">
        <v>3</v>
      </c>
      <c r="I116" t="s">
        <v>421</v>
      </c>
      <c r="J116" t="s">
        <v>422</v>
      </c>
      <c r="K116" t="s">
        <v>423</v>
      </c>
      <c r="L116">
        <v>1327</v>
      </c>
      <c r="N116">
        <v>1005</v>
      </c>
      <c r="O116" t="s">
        <v>363</v>
      </c>
      <c r="P116" t="s">
        <v>363</v>
      </c>
      <c r="Q116">
        <v>1</v>
      </c>
      <c r="X116">
        <v>250</v>
      </c>
      <c r="Y116">
        <v>91.89</v>
      </c>
      <c r="Z116">
        <v>0</v>
      </c>
      <c r="AA116">
        <v>0</v>
      </c>
      <c r="AB116">
        <v>0</v>
      </c>
      <c r="AC116">
        <v>0</v>
      </c>
      <c r="AD116">
        <v>1</v>
      </c>
      <c r="AE116">
        <v>0</v>
      </c>
      <c r="AF116" t="s">
        <v>3</v>
      </c>
      <c r="AG116">
        <v>250</v>
      </c>
      <c r="AH116">
        <v>2</v>
      </c>
      <c r="AI116">
        <v>49708508</v>
      </c>
      <c r="AJ116">
        <v>120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</row>
    <row r="117" spans="1:44" x14ac:dyDescent="0.2">
      <c r="A117">
        <f>ROW(Source!A185)</f>
        <v>185</v>
      </c>
      <c r="B117">
        <v>49708514</v>
      </c>
      <c r="C117">
        <v>49708505</v>
      </c>
      <c r="D117">
        <v>48341179</v>
      </c>
      <c r="E117">
        <v>1</v>
      </c>
      <c r="F117">
        <v>1</v>
      </c>
      <c r="G117">
        <v>27</v>
      </c>
      <c r="H117">
        <v>3</v>
      </c>
      <c r="I117" t="s">
        <v>327</v>
      </c>
      <c r="J117" t="s">
        <v>414</v>
      </c>
      <c r="K117" t="s">
        <v>329</v>
      </c>
      <c r="L117">
        <v>1339</v>
      </c>
      <c r="N117">
        <v>1007</v>
      </c>
      <c r="O117" t="s">
        <v>46</v>
      </c>
      <c r="P117" t="s">
        <v>46</v>
      </c>
      <c r="Q117">
        <v>1</v>
      </c>
      <c r="X117">
        <v>1.75</v>
      </c>
      <c r="Y117">
        <v>35.25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 t="s">
        <v>3</v>
      </c>
      <c r="AG117">
        <v>1.75</v>
      </c>
      <c r="AH117">
        <v>2</v>
      </c>
      <c r="AI117">
        <v>49708509</v>
      </c>
      <c r="AJ117">
        <v>121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</row>
    <row r="118" spans="1:44" x14ac:dyDescent="0.2">
      <c r="A118">
        <f>ROW(Source!A185)</f>
        <v>185</v>
      </c>
      <c r="B118">
        <v>49708515</v>
      </c>
      <c r="C118">
        <v>49708505</v>
      </c>
      <c r="D118">
        <v>48342143</v>
      </c>
      <c r="E118">
        <v>1</v>
      </c>
      <c r="F118">
        <v>1</v>
      </c>
      <c r="G118">
        <v>27</v>
      </c>
      <c r="H118">
        <v>3</v>
      </c>
      <c r="I118" t="s">
        <v>424</v>
      </c>
      <c r="J118" t="s">
        <v>425</v>
      </c>
      <c r="K118" t="s">
        <v>426</v>
      </c>
      <c r="L118">
        <v>1339</v>
      </c>
      <c r="N118">
        <v>1007</v>
      </c>
      <c r="O118" t="s">
        <v>46</v>
      </c>
      <c r="P118" t="s">
        <v>46</v>
      </c>
      <c r="Q118">
        <v>1</v>
      </c>
      <c r="X118">
        <v>102</v>
      </c>
      <c r="Y118">
        <v>3247.23</v>
      </c>
      <c r="Z118">
        <v>0</v>
      </c>
      <c r="AA118">
        <v>0</v>
      </c>
      <c r="AB118">
        <v>0</v>
      </c>
      <c r="AC118">
        <v>0</v>
      </c>
      <c r="AD118">
        <v>1</v>
      </c>
      <c r="AE118">
        <v>0</v>
      </c>
      <c r="AF118" t="s">
        <v>3</v>
      </c>
      <c r="AG118">
        <v>102</v>
      </c>
      <c r="AH118">
        <v>2</v>
      </c>
      <c r="AI118">
        <v>49708510</v>
      </c>
      <c r="AJ118">
        <v>122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</row>
    <row r="119" spans="1:44" x14ac:dyDescent="0.2">
      <c r="A119">
        <f>ROW(Source!A186)</f>
        <v>186</v>
      </c>
      <c r="B119">
        <v>49708528</v>
      </c>
      <c r="C119">
        <v>49708521</v>
      </c>
      <c r="D119">
        <v>48326108</v>
      </c>
      <c r="E119">
        <v>27</v>
      </c>
      <c r="F119">
        <v>1</v>
      </c>
      <c r="G119">
        <v>27</v>
      </c>
      <c r="H119">
        <v>1</v>
      </c>
      <c r="I119" t="s">
        <v>293</v>
      </c>
      <c r="J119" t="s">
        <v>3</v>
      </c>
      <c r="K119" t="s">
        <v>294</v>
      </c>
      <c r="L119">
        <v>1191</v>
      </c>
      <c r="N119">
        <v>1013</v>
      </c>
      <c r="O119" t="s">
        <v>295</v>
      </c>
      <c r="P119" t="s">
        <v>295</v>
      </c>
      <c r="Q119">
        <v>1</v>
      </c>
      <c r="X119">
        <v>36.11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 t="s">
        <v>3</v>
      </c>
      <c r="AG119">
        <v>36.11</v>
      </c>
      <c r="AH119">
        <v>2</v>
      </c>
      <c r="AI119">
        <v>49708522</v>
      </c>
      <c r="AJ119">
        <v>123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</row>
    <row r="120" spans="1:44" x14ac:dyDescent="0.2">
      <c r="A120">
        <f>ROW(Source!A186)</f>
        <v>186</v>
      </c>
      <c r="B120">
        <v>49708529</v>
      </c>
      <c r="C120">
        <v>49708521</v>
      </c>
      <c r="D120">
        <v>48338728</v>
      </c>
      <c r="E120">
        <v>1</v>
      </c>
      <c r="F120">
        <v>1</v>
      </c>
      <c r="G120">
        <v>27</v>
      </c>
      <c r="H120">
        <v>2</v>
      </c>
      <c r="I120" t="s">
        <v>427</v>
      </c>
      <c r="J120" t="s">
        <v>428</v>
      </c>
      <c r="K120" t="s">
        <v>429</v>
      </c>
      <c r="L120">
        <v>1368</v>
      </c>
      <c r="N120">
        <v>1011</v>
      </c>
      <c r="O120" t="s">
        <v>299</v>
      </c>
      <c r="P120" t="s">
        <v>299</v>
      </c>
      <c r="Q120">
        <v>1</v>
      </c>
      <c r="X120">
        <v>21.91</v>
      </c>
      <c r="Y120">
        <v>0</v>
      </c>
      <c r="Z120">
        <v>54.65</v>
      </c>
      <c r="AA120">
        <v>0.05</v>
      </c>
      <c r="AB120">
        <v>0</v>
      </c>
      <c r="AC120">
        <v>0</v>
      </c>
      <c r="AD120">
        <v>1</v>
      </c>
      <c r="AE120">
        <v>0</v>
      </c>
      <c r="AF120" t="s">
        <v>3</v>
      </c>
      <c r="AG120">
        <v>21.91</v>
      </c>
      <c r="AH120">
        <v>2</v>
      </c>
      <c r="AI120">
        <v>49708523</v>
      </c>
      <c r="AJ120">
        <v>124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</row>
    <row r="121" spans="1:44" x14ac:dyDescent="0.2">
      <c r="A121">
        <f>ROW(Source!A186)</f>
        <v>186</v>
      </c>
      <c r="B121">
        <v>49708530</v>
      </c>
      <c r="C121">
        <v>49708521</v>
      </c>
      <c r="D121">
        <v>48341086</v>
      </c>
      <c r="E121">
        <v>1</v>
      </c>
      <c r="F121">
        <v>1</v>
      </c>
      <c r="G121">
        <v>27</v>
      </c>
      <c r="H121">
        <v>3</v>
      </c>
      <c r="I121" t="s">
        <v>386</v>
      </c>
      <c r="J121" t="s">
        <v>430</v>
      </c>
      <c r="K121" t="s">
        <v>388</v>
      </c>
      <c r="L121">
        <v>1348</v>
      </c>
      <c r="N121">
        <v>1009</v>
      </c>
      <c r="O121" t="s">
        <v>57</v>
      </c>
      <c r="P121" t="s">
        <v>57</v>
      </c>
      <c r="Q121">
        <v>1000</v>
      </c>
      <c r="X121">
        <v>0.03</v>
      </c>
      <c r="Y121">
        <v>110781.14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0</v>
      </c>
      <c r="AF121" t="s">
        <v>3</v>
      </c>
      <c r="AG121">
        <v>0.03</v>
      </c>
      <c r="AH121">
        <v>2</v>
      </c>
      <c r="AI121">
        <v>49708524</v>
      </c>
      <c r="AJ121">
        <v>125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</row>
    <row r="122" spans="1:44" x14ac:dyDescent="0.2">
      <c r="A122">
        <f>ROW(Source!A186)</f>
        <v>186</v>
      </c>
      <c r="B122">
        <v>49708531</v>
      </c>
      <c r="C122">
        <v>49708521</v>
      </c>
      <c r="D122">
        <v>48342405</v>
      </c>
      <c r="E122">
        <v>1</v>
      </c>
      <c r="F122">
        <v>1</v>
      </c>
      <c r="G122">
        <v>27</v>
      </c>
      <c r="H122">
        <v>3</v>
      </c>
      <c r="I122" t="s">
        <v>431</v>
      </c>
      <c r="J122" t="s">
        <v>432</v>
      </c>
      <c r="K122" t="s">
        <v>433</v>
      </c>
      <c r="L122">
        <v>1348</v>
      </c>
      <c r="N122">
        <v>1009</v>
      </c>
      <c r="O122" t="s">
        <v>57</v>
      </c>
      <c r="P122" t="s">
        <v>57</v>
      </c>
      <c r="Q122">
        <v>1000</v>
      </c>
      <c r="X122">
        <v>1</v>
      </c>
      <c r="Y122">
        <v>53233.52</v>
      </c>
      <c r="Z122">
        <v>0</v>
      </c>
      <c r="AA122">
        <v>0</v>
      </c>
      <c r="AB122">
        <v>0</v>
      </c>
      <c r="AC122">
        <v>0</v>
      </c>
      <c r="AD122">
        <v>1</v>
      </c>
      <c r="AE122">
        <v>0</v>
      </c>
      <c r="AF122" t="s">
        <v>3</v>
      </c>
      <c r="AG122">
        <v>1</v>
      </c>
      <c r="AH122">
        <v>2</v>
      </c>
      <c r="AI122">
        <v>49708525</v>
      </c>
      <c r="AJ122">
        <v>126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</row>
    <row r="123" spans="1:44" x14ac:dyDescent="0.2">
      <c r="A123">
        <f>ROW(Source!A227)</f>
        <v>227</v>
      </c>
      <c r="B123">
        <v>49709221</v>
      </c>
      <c r="C123">
        <v>49709220</v>
      </c>
      <c r="D123">
        <v>48326108</v>
      </c>
      <c r="E123">
        <v>27</v>
      </c>
      <c r="F123">
        <v>1</v>
      </c>
      <c r="G123">
        <v>27</v>
      </c>
      <c r="H123">
        <v>1</v>
      </c>
      <c r="I123" t="s">
        <v>293</v>
      </c>
      <c r="J123" t="s">
        <v>3</v>
      </c>
      <c r="K123" t="s">
        <v>294</v>
      </c>
      <c r="L123">
        <v>1191</v>
      </c>
      <c r="N123">
        <v>1013</v>
      </c>
      <c r="O123" t="s">
        <v>295</v>
      </c>
      <c r="P123" t="s">
        <v>295</v>
      </c>
      <c r="Q123">
        <v>1</v>
      </c>
      <c r="X123">
        <v>11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1</v>
      </c>
      <c r="AE123">
        <v>1</v>
      </c>
      <c r="AF123" t="s">
        <v>3</v>
      </c>
      <c r="AG123">
        <v>11</v>
      </c>
      <c r="AH123">
        <v>2</v>
      </c>
      <c r="AI123">
        <v>49709221</v>
      </c>
      <c r="AJ123">
        <v>129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</row>
    <row r="124" spans="1:44" x14ac:dyDescent="0.2">
      <c r="A124">
        <f>ROW(Source!A227)</f>
        <v>227</v>
      </c>
      <c r="B124">
        <v>49709222</v>
      </c>
      <c r="C124">
        <v>49709220</v>
      </c>
      <c r="D124">
        <v>48339110</v>
      </c>
      <c r="E124">
        <v>1</v>
      </c>
      <c r="F124">
        <v>1</v>
      </c>
      <c r="G124">
        <v>27</v>
      </c>
      <c r="H124">
        <v>2</v>
      </c>
      <c r="I124" t="s">
        <v>434</v>
      </c>
      <c r="J124" t="s">
        <v>435</v>
      </c>
      <c r="K124" t="s">
        <v>436</v>
      </c>
      <c r="L124">
        <v>1368</v>
      </c>
      <c r="N124">
        <v>1011</v>
      </c>
      <c r="O124" t="s">
        <v>299</v>
      </c>
      <c r="P124" t="s">
        <v>299</v>
      </c>
      <c r="Q124">
        <v>1</v>
      </c>
      <c r="X124">
        <v>11</v>
      </c>
      <c r="Y124">
        <v>0</v>
      </c>
      <c r="Z124">
        <v>2.76</v>
      </c>
      <c r="AA124">
        <v>0.01</v>
      </c>
      <c r="AB124">
        <v>0</v>
      </c>
      <c r="AC124">
        <v>0</v>
      </c>
      <c r="AD124">
        <v>1</v>
      </c>
      <c r="AE124">
        <v>0</v>
      </c>
      <c r="AF124" t="s">
        <v>3</v>
      </c>
      <c r="AG124">
        <v>11</v>
      </c>
      <c r="AH124">
        <v>2</v>
      </c>
      <c r="AI124">
        <v>49709222</v>
      </c>
      <c r="AJ124">
        <v>130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</row>
    <row r="125" spans="1:44" x14ac:dyDescent="0.2">
      <c r="A125">
        <f>ROW(Source!A227)</f>
        <v>227</v>
      </c>
      <c r="B125">
        <v>49709223</v>
      </c>
      <c r="C125">
        <v>49709220</v>
      </c>
      <c r="D125">
        <v>48343453</v>
      </c>
      <c r="E125">
        <v>1</v>
      </c>
      <c r="F125">
        <v>1</v>
      </c>
      <c r="G125">
        <v>27</v>
      </c>
      <c r="H125">
        <v>3</v>
      </c>
      <c r="I125" t="s">
        <v>437</v>
      </c>
      <c r="J125" t="s">
        <v>438</v>
      </c>
      <c r="K125" t="s">
        <v>439</v>
      </c>
      <c r="L125">
        <v>1354</v>
      </c>
      <c r="N125">
        <v>1010</v>
      </c>
      <c r="O125" t="s">
        <v>100</v>
      </c>
      <c r="P125" t="s">
        <v>100</v>
      </c>
      <c r="Q125">
        <v>1</v>
      </c>
      <c r="X125">
        <v>10</v>
      </c>
      <c r="Y125">
        <v>2035.41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 t="s">
        <v>3</v>
      </c>
      <c r="AG125">
        <v>10</v>
      </c>
      <c r="AH125">
        <v>2</v>
      </c>
      <c r="AI125">
        <v>49709223</v>
      </c>
      <c r="AJ125">
        <v>131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</row>
    <row r="126" spans="1:44" x14ac:dyDescent="0.2">
      <c r="A126">
        <f>ROW(Source!A228)</f>
        <v>228</v>
      </c>
      <c r="B126">
        <v>49709225</v>
      </c>
      <c r="C126">
        <v>49709224</v>
      </c>
      <c r="D126">
        <v>48326108</v>
      </c>
      <c r="E126">
        <v>27</v>
      </c>
      <c r="F126">
        <v>1</v>
      </c>
      <c r="G126">
        <v>27</v>
      </c>
      <c r="H126">
        <v>1</v>
      </c>
      <c r="I126" t="s">
        <v>293</v>
      </c>
      <c r="J126" t="s">
        <v>3</v>
      </c>
      <c r="K126" t="s">
        <v>294</v>
      </c>
      <c r="L126">
        <v>1191</v>
      </c>
      <c r="N126">
        <v>1013</v>
      </c>
      <c r="O126" t="s">
        <v>295</v>
      </c>
      <c r="P126" t="s">
        <v>295</v>
      </c>
      <c r="Q126">
        <v>1</v>
      </c>
      <c r="X126">
        <v>15.41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1</v>
      </c>
      <c r="AE126">
        <v>1</v>
      </c>
      <c r="AF126" t="s">
        <v>3</v>
      </c>
      <c r="AG126">
        <v>15.41</v>
      </c>
      <c r="AH126">
        <v>2</v>
      </c>
      <c r="AI126">
        <v>49709225</v>
      </c>
      <c r="AJ126">
        <v>132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</row>
    <row r="127" spans="1:44" x14ac:dyDescent="0.2">
      <c r="A127">
        <f>ROW(Source!A228)</f>
        <v>228</v>
      </c>
      <c r="B127">
        <v>49709226</v>
      </c>
      <c r="C127">
        <v>49709224</v>
      </c>
      <c r="D127">
        <v>48343533</v>
      </c>
      <c r="E127">
        <v>1</v>
      </c>
      <c r="F127">
        <v>1</v>
      </c>
      <c r="G127">
        <v>27</v>
      </c>
      <c r="H127">
        <v>3</v>
      </c>
      <c r="I127" t="s">
        <v>440</v>
      </c>
      <c r="J127" t="s">
        <v>441</v>
      </c>
      <c r="K127" t="s">
        <v>442</v>
      </c>
      <c r="L127">
        <v>1354</v>
      </c>
      <c r="N127">
        <v>1010</v>
      </c>
      <c r="O127" t="s">
        <v>100</v>
      </c>
      <c r="P127" t="s">
        <v>100</v>
      </c>
      <c r="Q127">
        <v>1</v>
      </c>
      <c r="X127">
        <v>33.33</v>
      </c>
      <c r="Y127">
        <v>209.77</v>
      </c>
      <c r="Z127">
        <v>0</v>
      </c>
      <c r="AA127">
        <v>0</v>
      </c>
      <c r="AB127">
        <v>0</v>
      </c>
      <c r="AC127">
        <v>0</v>
      </c>
      <c r="AD127">
        <v>1</v>
      </c>
      <c r="AE127">
        <v>0</v>
      </c>
      <c r="AF127" t="s">
        <v>3</v>
      </c>
      <c r="AG127">
        <v>33.33</v>
      </c>
      <c r="AH127">
        <v>2</v>
      </c>
      <c r="AI127">
        <v>49709226</v>
      </c>
      <c r="AJ127">
        <v>133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44" x14ac:dyDescent="0.2">
      <c r="A128">
        <f>ROW(Source!A228)</f>
        <v>228</v>
      </c>
      <c r="B128">
        <v>49709227</v>
      </c>
      <c r="C128">
        <v>49709224</v>
      </c>
      <c r="D128">
        <v>48343534</v>
      </c>
      <c r="E128">
        <v>1</v>
      </c>
      <c r="F128">
        <v>1</v>
      </c>
      <c r="G128">
        <v>27</v>
      </c>
      <c r="H128">
        <v>3</v>
      </c>
      <c r="I128" t="s">
        <v>443</v>
      </c>
      <c r="J128" t="s">
        <v>444</v>
      </c>
      <c r="K128" t="s">
        <v>445</v>
      </c>
      <c r="L128">
        <v>1354</v>
      </c>
      <c r="N128">
        <v>1010</v>
      </c>
      <c r="O128" t="s">
        <v>100</v>
      </c>
      <c r="P128" t="s">
        <v>100</v>
      </c>
      <c r="Q128">
        <v>1</v>
      </c>
      <c r="X128">
        <v>33.340000000000003</v>
      </c>
      <c r="Y128">
        <v>229.66</v>
      </c>
      <c r="Z128">
        <v>0</v>
      </c>
      <c r="AA128">
        <v>0</v>
      </c>
      <c r="AB128">
        <v>0</v>
      </c>
      <c r="AC128">
        <v>0</v>
      </c>
      <c r="AD128">
        <v>1</v>
      </c>
      <c r="AE128">
        <v>0</v>
      </c>
      <c r="AF128" t="s">
        <v>3</v>
      </c>
      <c r="AG128">
        <v>33.340000000000003</v>
      </c>
      <c r="AH128">
        <v>2</v>
      </c>
      <c r="AI128">
        <v>49709227</v>
      </c>
      <c r="AJ128">
        <v>134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44" x14ac:dyDescent="0.2">
      <c r="A129">
        <f>ROW(Source!A228)</f>
        <v>228</v>
      </c>
      <c r="B129">
        <v>49709228</v>
      </c>
      <c r="C129">
        <v>49709224</v>
      </c>
      <c r="D129">
        <v>48343535</v>
      </c>
      <c r="E129">
        <v>1</v>
      </c>
      <c r="F129">
        <v>1</v>
      </c>
      <c r="G129">
        <v>27</v>
      </c>
      <c r="H129">
        <v>3</v>
      </c>
      <c r="I129" t="s">
        <v>446</v>
      </c>
      <c r="J129" t="s">
        <v>447</v>
      </c>
      <c r="K129" t="s">
        <v>448</v>
      </c>
      <c r="L129">
        <v>1354</v>
      </c>
      <c r="N129">
        <v>1010</v>
      </c>
      <c r="O129" t="s">
        <v>100</v>
      </c>
      <c r="P129" t="s">
        <v>100</v>
      </c>
      <c r="Q129">
        <v>1</v>
      </c>
      <c r="X129">
        <v>33.33</v>
      </c>
      <c r="Y129">
        <v>281.63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0</v>
      </c>
      <c r="AF129" t="s">
        <v>3</v>
      </c>
      <c r="AG129">
        <v>33.33</v>
      </c>
      <c r="AH129">
        <v>2</v>
      </c>
      <c r="AI129">
        <v>49709228</v>
      </c>
      <c r="AJ129">
        <v>135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44" x14ac:dyDescent="0.2">
      <c r="A130">
        <f>ROW(Source!A229)</f>
        <v>229</v>
      </c>
      <c r="B130">
        <v>49708564</v>
      </c>
      <c r="C130">
        <v>49708558</v>
      </c>
      <c r="D130">
        <v>48326108</v>
      </c>
      <c r="E130">
        <v>27</v>
      </c>
      <c r="F130">
        <v>1</v>
      </c>
      <c r="G130">
        <v>27</v>
      </c>
      <c r="H130">
        <v>1</v>
      </c>
      <c r="I130" t="s">
        <v>293</v>
      </c>
      <c r="J130" t="s">
        <v>3</v>
      </c>
      <c r="K130" t="s">
        <v>294</v>
      </c>
      <c r="L130">
        <v>1191</v>
      </c>
      <c r="N130">
        <v>1013</v>
      </c>
      <c r="O130" t="s">
        <v>295</v>
      </c>
      <c r="P130" t="s">
        <v>295</v>
      </c>
      <c r="Q130">
        <v>1</v>
      </c>
      <c r="X130">
        <v>36.11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</v>
      </c>
      <c r="AE130">
        <v>1</v>
      </c>
      <c r="AF130" t="s">
        <v>3</v>
      </c>
      <c r="AG130">
        <v>36.11</v>
      </c>
      <c r="AH130">
        <v>2</v>
      </c>
      <c r="AI130">
        <v>49708559</v>
      </c>
      <c r="AJ130">
        <v>136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44" x14ac:dyDescent="0.2">
      <c r="A131">
        <f>ROW(Source!A229)</f>
        <v>229</v>
      </c>
      <c r="B131">
        <v>49708565</v>
      </c>
      <c r="C131">
        <v>49708558</v>
      </c>
      <c r="D131">
        <v>48338728</v>
      </c>
      <c r="E131">
        <v>1</v>
      </c>
      <c r="F131">
        <v>1</v>
      </c>
      <c r="G131">
        <v>27</v>
      </c>
      <c r="H131">
        <v>2</v>
      </c>
      <c r="I131" t="s">
        <v>427</v>
      </c>
      <c r="J131" t="s">
        <v>428</v>
      </c>
      <c r="K131" t="s">
        <v>429</v>
      </c>
      <c r="L131">
        <v>1368</v>
      </c>
      <c r="N131">
        <v>1011</v>
      </c>
      <c r="O131" t="s">
        <v>299</v>
      </c>
      <c r="P131" t="s">
        <v>299</v>
      </c>
      <c r="Q131">
        <v>1</v>
      </c>
      <c r="X131">
        <v>21.91</v>
      </c>
      <c r="Y131">
        <v>0</v>
      </c>
      <c r="Z131">
        <v>54.65</v>
      </c>
      <c r="AA131">
        <v>0.05</v>
      </c>
      <c r="AB131">
        <v>0</v>
      </c>
      <c r="AC131">
        <v>0</v>
      </c>
      <c r="AD131">
        <v>1</v>
      </c>
      <c r="AE131">
        <v>0</v>
      </c>
      <c r="AF131" t="s">
        <v>3</v>
      </c>
      <c r="AG131">
        <v>21.91</v>
      </c>
      <c r="AH131">
        <v>2</v>
      </c>
      <c r="AI131">
        <v>49708560</v>
      </c>
      <c r="AJ131">
        <v>137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</row>
    <row r="132" spans="1:44" x14ac:dyDescent="0.2">
      <c r="A132">
        <f>ROW(Source!A229)</f>
        <v>229</v>
      </c>
      <c r="B132">
        <v>49708566</v>
      </c>
      <c r="C132">
        <v>49708558</v>
      </c>
      <c r="D132">
        <v>48341086</v>
      </c>
      <c r="E132">
        <v>1</v>
      </c>
      <c r="F132">
        <v>1</v>
      </c>
      <c r="G132">
        <v>27</v>
      </c>
      <c r="H132">
        <v>3</v>
      </c>
      <c r="I132" t="s">
        <v>386</v>
      </c>
      <c r="J132" t="s">
        <v>430</v>
      </c>
      <c r="K132" t="s">
        <v>388</v>
      </c>
      <c r="L132">
        <v>1348</v>
      </c>
      <c r="N132">
        <v>1009</v>
      </c>
      <c r="O132" t="s">
        <v>57</v>
      </c>
      <c r="P132" t="s">
        <v>57</v>
      </c>
      <c r="Q132">
        <v>1000</v>
      </c>
      <c r="X132">
        <v>0.03</v>
      </c>
      <c r="Y132">
        <v>110781.14</v>
      </c>
      <c r="Z132">
        <v>0</v>
      </c>
      <c r="AA132">
        <v>0</v>
      </c>
      <c r="AB132">
        <v>0</v>
      </c>
      <c r="AC132">
        <v>0</v>
      </c>
      <c r="AD132">
        <v>1</v>
      </c>
      <c r="AE132">
        <v>0</v>
      </c>
      <c r="AF132" t="s">
        <v>3</v>
      </c>
      <c r="AG132">
        <v>0.03</v>
      </c>
      <c r="AH132">
        <v>2</v>
      </c>
      <c r="AI132">
        <v>49708561</v>
      </c>
      <c r="AJ132">
        <v>138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</row>
    <row r="133" spans="1:44" x14ac:dyDescent="0.2">
      <c r="A133">
        <f>ROW(Source!A229)</f>
        <v>229</v>
      </c>
      <c r="B133">
        <v>49708567</v>
      </c>
      <c r="C133">
        <v>49708558</v>
      </c>
      <c r="D133">
        <v>48342405</v>
      </c>
      <c r="E133">
        <v>1</v>
      </c>
      <c r="F133">
        <v>1</v>
      </c>
      <c r="G133">
        <v>27</v>
      </c>
      <c r="H133">
        <v>3</v>
      </c>
      <c r="I133" t="s">
        <v>431</v>
      </c>
      <c r="J133" t="s">
        <v>432</v>
      </c>
      <c r="K133" t="s">
        <v>433</v>
      </c>
      <c r="L133">
        <v>1348</v>
      </c>
      <c r="N133">
        <v>1009</v>
      </c>
      <c r="O133" t="s">
        <v>57</v>
      </c>
      <c r="P133" t="s">
        <v>57</v>
      </c>
      <c r="Q133">
        <v>1000</v>
      </c>
      <c r="X133">
        <v>1</v>
      </c>
      <c r="Y133">
        <v>53233.52</v>
      </c>
      <c r="Z133">
        <v>0</v>
      </c>
      <c r="AA133">
        <v>0</v>
      </c>
      <c r="AB133">
        <v>0</v>
      </c>
      <c r="AC133">
        <v>0</v>
      </c>
      <c r="AD133">
        <v>1</v>
      </c>
      <c r="AE133">
        <v>0</v>
      </c>
      <c r="AF133" t="s">
        <v>3</v>
      </c>
      <c r="AG133">
        <v>1</v>
      </c>
      <c r="AH133">
        <v>2</v>
      </c>
      <c r="AI133">
        <v>49708562</v>
      </c>
      <c r="AJ133">
        <v>139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44" x14ac:dyDescent="0.2">
      <c r="A134">
        <f>ROW(Source!A269)</f>
        <v>269</v>
      </c>
      <c r="B134">
        <v>49709233</v>
      </c>
      <c r="C134">
        <v>49709229</v>
      </c>
      <c r="D134">
        <v>48326108</v>
      </c>
      <c r="E134">
        <v>27</v>
      </c>
      <c r="F134">
        <v>1</v>
      </c>
      <c r="G134">
        <v>27</v>
      </c>
      <c r="H134">
        <v>1</v>
      </c>
      <c r="I134" t="s">
        <v>293</v>
      </c>
      <c r="J134" t="s">
        <v>3</v>
      </c>
      <c r="K134" t="s">
        <v>294</v>
      </c>
      <c r="L134">
        <v>1191</v>
      </c>
      <c r="N134">
        <v>1013</v>
      </c>
      <c r="O134" t="s">
        <v>295</v>
      </c>
      <c r="P134" t="s">
        <v>295</v>
      </c>
      <c r="Q134">
        <v>1</v>
      </c>
      <c r="X134">
        <v>11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</v>
      </c>
      <c r="AE134">
        <v>1</v>
      </c>
      <c r="AF134" t="s">
        <v>3</v>
      </c>
      <c r="AG134">
        <v>11</v>
      </c>
      <c r="AH134">
        <v>2</v>
      </c>
      <c r="AI134">
        <v>49709230</v>
      </c>
      <c r="AJ134">
        <v>141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44" x14ac:dyDescent="0.2">
      <c r="A135">
        <f>ROW(Source!A269)</f>
        <v>269</v>
      </c>
      <c r="B135">
        <v>49709234</v>
      </c>
      <c r="C135">
        <v>49709229</v>
      </c>
      <c r="D135">
        <v>48339110</v>
      </c>
      <c r="E135">
        <v>1</v>
      </c>
      <c r="F135">
        <v>1</v>
      </c>
      <c r="G135">
        <v>27</v>
      </c>
      <c r="H135">
        <v>2</v>
      </c>
      <c r="I135" t="s">
        <v>434</v>
      </c>
      <c r="J135" t="s">
        <v>435</v>
      </c>
      <c r="K135" t="s">
        <v>436</v>
      </c>
      <c r="L135">
        <v>1368</v>
      </c>
      <c r="N135">
        <v>1011</v>
      </c>
      <c r="O135" t="s">
        <v>299</v>
      </c>
      <c r="P135" t="s">
        <v>299</v>
      </c>
      <c r="Q135">
        <v>1</v>
      </c>
      <c r="X135">
        <v>11</v>
      </c>
      <c r="Y135">
        <v>0</v>
      </c>
      <c r="Z135">
        <v>2.76</v>
      </c>
      <c r="AA135">
        <v>0.01</v>
      </c>
      <c r="AB135">
        <v>0</v>
      </c>
      <c r="AC135">
        <v>0</v>
      </c>
      <c r="AD135">
        <v>1</v>
      </c>
      <c r="AE135">
        <v>0</v>
      </c>
      <c r="AF135" t="s">
        <v>3</v>
      </c>
      <c r="AG135">
        <v>11</v>
      </c>
      <c r="AH135">
        <v>2</v>
      </c>
      <c r="AI135">
        <v>49709231</v>
      </c>
      <c r="AJ135">
        <v>142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</row>
    <row r="136" spans="1:44" x14ac:dyDescent="0.2">
      <c r="A136">
        <f>ROW(Source!A269)</f>
        <v>269</v>
      </c>
      <c r="B136">
        <v>49709235</v>
      </c>
      <c r="C136">
        <v>49709229</v>
      </c>
      <c r="D136">
        <v>48343453</v>
      </c>
      <c r="E136">
        <v>1</v>
      </c>
      <c r="F136">
        <v>1</v>
      </c>
      <c r="G136">
        <v>27</v>
      </c>
      <c r="H136">
        <v>3</v>
      </c>
      <c r="I136" t="s">
        <v>437</v>
      </c>
      <c r="J136" t="s">
        <v>438</v>
      </c>
      <c r="K136" t="s">
        <v>439</v>
      </c>
      <c r="L136">
        <v>1354</v>
      </c>
      <c r="N136">
        <v>1010</v>
      </c>
      <c r="O136" t="s">
        <v>100</v>
      </c>
      <c r="P136" t="s">
        <v>100</v>
      </c>
      <c r="Q136">
        <v>1</v>
      </c>
      <c r="X136">
        <v>10</v>
      </c>
      <c r="Y136">
        <v>2035.41</v>
      </c>
      <c r="Z136">
        <v>0</v>
      </c>
      <c r="AA136">
        <v>0</v>
      </c>
      <c r="AB136">
        <v>0</v>
      </c>
      <c r="AC136">
        <v>0</v>
      </c>
      <c r="AD136">
        <v>1</v>
      </c>
      <c r="AE136">
        <v>0</v>
      </c>
      <c r="AF136" t="s">
        <v>3</v>
      </c>
      <c r="AG136">
        <v>10</v>
      </c>
      <c r="AH136">
        <v>2</v>
      </c>
      <c r="AI136">
        <v>49709232</v>
      </c>
      <c r="AJ136">
        <v>143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</row>
    <row r="137" spans="1:44" x14ac:dyDescent="0.2">
      <c r="A137">
        <f>ROW(Source!A270)</f>
        <v>270</v>
      </c>
      <c r="B137">
        <v>49709241</v>
      </c>
      <c r="C137">
        <v>49709236</v>
      </c>
      <c r="D137">
        <v>48326108</v>
      </c>
      <c r="E137">
        <v>27</v>
      </c>
      <c r="F137">
        <v>1</v>
      </c>
      <c r="G137">
        <v>27</v>
      </c>
      <c r="H137">
        <v>1</v>
      </c>
      <c r="I137" t="s">
        <v>293</v>
      </c>
      <c r="J137" t="s">
        <v>3</v>
      </c>
      <c r="K137" t="s">
        <v>294</v>
      </c>
      <c r="L137">
        <v>1191</v>
      </c>
      <c r="N137">
        <v>1013</v>
      </c>
      <c r="O137" t="s">
        <v>295</v>
      </c>
      <c r="P137" t="s">
        <v>295</v>
      </c>
      <c r="Q137">
        <v>1</v>
      </c>
      <c r="X137">
        <v>15.41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 t="s">
        <v>3</v>
      </c>
      <c r="AG137">
        <v>15.41</v>
      </c>
      <c r="AH137">
        <v>2</v>
      </c>
      <c r="AI137">
        <v>49709237</v>
      </c>
      <c r="AJ137">
        <v>144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</row>
    <row r="138" spans="1:44" x14ac:dyDescent="0.2">
      <c r="A138">
        <f>ROW(Source!A270)</f>
        <v>270</v>
      </c>
      <c r="B138">
        <v>49709242</v>
      </c>
      <c r="C138">
        <v>49709236</v>
      </c>
      <c r="D138">
        <v>48343533</v>
      </c>
      <c r="E138">
        <v>1</v>
      </c>
      <c r="F138">
        <v>1</v>
      </c>
      <c r="G138">
        <v>27</v>
      </c>
      <c r="H138">
        <v>3</v>
      </c>
      <c r="I138" t="s">
        <v>440</v>
      </c>
      <c r="J138" t="s">
        <v>441</v>
      </c>
      <c r="K138" t="s">
        <v>442</v>
      </c>
      <c r="L138">
        <v>1354</v>
      </c>
      <c r="N138">
        <v>1010</v>
      </c>
      <c r="O138" t="s">
        <v>100</v>
      </c>
      <c r="P138" t="s">
        <v>100</v>
      </c>
      <c r="Q138">
        <v>1</v>
      </c>
      <c r="X138">
        <v>33.33</v>
      </c>
      <c r="Y138">
        <v>209.77</v>
      </c>
      <c r="Z138">
        <v>0</v>
      </c>
      <c r="AA138">
        <v>0</v>
      </c>
      <c r="AB138">
        <v>0</v>
      </c>
      <c r="AC138">
        <v>0</v>
      </c>
      <c r="AD138">
        <v>1</v>
      </c>
      <c r="AE138">
        <v>0</v>
      </c>
      <c r="AF138" t="s">
        <v>3</v>
      </c>
      <c r="AG138">
        <v>33.33</v>
      </c>
      <c r="AH138">
        <v>2</v>
      </c>
      <c r="AI138">
        <v>49709238</v>
      </c>
      <c r="AJ138">
        <v>145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</row>
    <row r="139" spans="1:44" x14ac:dyDescent="0.2">
      <c r="A139">
        <f>ROW(Source!A270)</f>
        <v>270</v>
      </c>
      <c r="B139">
        <v>49709243</v>
      </c>
      <c r="C139">
        <v>49709236</v>
      </c>
      <c r="D139">
        <v>48343534</v>
      </c>
      <c r="E139">
        <v>1</v>
      </c>
      <c r="F139">
        <v>1</v>
      </c>
      <c r="G139">
        <v>27</v>
      </c>
      <c r="H139">
        <v>3</v>
      </c>
      <c r="I139" t="s">
        <v>443</v>
      </c>
      <c r="J139" t="s">
        <v>444</v>
      </c>
      <c r="K139" t="s">
        <v>445</v>
      </c>
      <c r="L139">
        <v>1354</v>
      </c>
      <c r="N139">
        <v>1010</v>
      </c>
      <c r="O139" t="s">
        <v>100</v>
      </c>
      <c r="P139" t="s">
        <v>100</v>
      </c>
      <c r="Q139">
        <v>1</v>
      </c>
      <c r="X139">
        <v>33.340000000000003</v>
      </c>
      <c r="Y139">
        <v>229.66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0</v>
      </c>
      <c r="AF139" t="s">
        <v>3</v>
      </c>
      <c r="AG139">
        <v>33.340000000000003</v>
      </c>
      <c r="AH139">
        <v>2</v>
      </c>
      <c r="AI139">
        <v>49709239</v>
      </c>
      <c r="AJ139">
        <v>146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</row>
    <row r="140" spans="1:44" x14ac:dyDescent="0.2">
      <c r="A140">
        <f>ROW(Source!A270)</f>
        <v>270</v>
      </c>
      <c r="B140">
        <v>49709244</v>
      </c>
      <c r="C140">
        <v>49709236</v>
      </c>
      <c r="D140">
        <v>48343535</v>
      </c>
      <c r="E140">
        <v>1</v>
      </c>
      <c r="F140">
        <v>1</v>
      </c>
      <c r="G140">
        <v>27</v>
      </c>
      <c r="H140">
        <v>3</v>
      </c>
      <c r="I140" t="s">
        <v>446</v>
      </c>
      <c r="J140" t="s">
        <v>447</v>
      </c>
      <c r="K140" t="s">
        <v>448</v>
      </c>
      <c r="L140">
        <v>1354</v>
      </c>
      <c r="N140">
        <v>1010</v>
      </c>
      <c r="O140" t="s">
        <v>100</v>
      </c>
      <c r="P140" t="s">
        <v>100</v>
      </c>
      <c r="Q140">
        <v>1</v>
      </c>
      <c r="X140">
        <v>33.33</v>
      </c>
      <c r="Y140">
        <v>281.63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 t="s">
        <v>3</v>
      </c>
      <c r="AG140">
        <v>33.33</v>
      </c>
      <c r="AH140">
        <v>2</v>
      </c>
      <c r="AI140">
        <v>49709240</v>
      </c>
      <c r="AJ140">
        <v>147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</row>
    <row r="141" spans="1:44" x14ac:dyDescent="0.2">
      <c r="A141">
        <f>ROW(Source!A271)</f>
        <v>271</v>
      </c>
      <c r="B141">
        <v>49708599</v>
      </c>
      <c r="C141">
        <v>49708593</v>
      </c>
      <c r="D141">
        <v>48326108</v>
      </c>
      <c r="E141">
        <v>27</v>
      </c>
      <c r="F141">
        <v>1</v>
      </c>
      <c r="G141">
        <v>27</v>
      </c>
      <c r="H141">
        <v>1</v>
      </c>
      <c r="I141" t="s">
        <v>293</v>
      </c>
      <c r="J141" t="s">
        <v>3</v>
      </c>
      <c r="K141" t="s">
        <v>294</v>
      </c>
      <c r="L141">
        <v>1191</v>
      </c>
      <c r="N141">
        <v>1013</v>
      </c>
      <c r="O141" t="s">
        <v>295</v>
      </c>
      <c r="P141" t="s">
        <v>295</v>
      </c>
      <c r="Q141">
        <v>1</v>
      </c>
      <c r="X141">
        <v>36.11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 t="s">
        <v>3</v>
      </c>
      <c r="AG141">
        <v>36.11</v>
      </c>
      <c r="AH141">
        <v>2</v>
      </c>
      <c r="AI141">
        <v>49708594</v>
      </c>
      <c r="AJ141">
        <v>148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</row>
    <row r="142" spans="1:44" x14ac:dyDescent="0.2">
      <c r="A142">
        <f>ROW(Source!A271)</f>
        <v>271</v>
      </c>
      <c r="B142">
        <v>49708600</v>
      </c>
      <c r="C142">
        <v>49708593</v>
      </c>
      <c r="D142">
        <v>48338728</v>
      </c>
      <c r="E142">
        <v>1</v>
      </c>
      <c r="F142">
        <v>1</v>
      </c>
      <c r="G142">
        <v>27</v>
      </c>
      <c r="H142">
        <v>2</v>
      </c>
      <c r="I142" t="s">
        <v>427</v>
      </c>
      <c r="J142" t="s">
        <v>428</v>
      </c>
      <c r="K142" t="s">
        <v>429</v>
      </c>
      <c r="L142">
        <v>1368</v>
      </c>
      <c r="N142">
        <v>1011</v>
      </c>
      <c r="O142" t="s">
        <v>299</v>
      </c>
      <c r="P142" t="s">
        <v>299</v>
      </c>
      <c r="Q142">
        <v>1</v>
      </c>
      <c r="X142">
        <v>21.91</v>
      </c>
      <c r="Y142">
        <v>0</v>
      </c>
      <c r="Z142">
        <v>54.65</v>
      </c>
      <c r="AA142">
        <v>0.05</v>
      </c>
      <c r="AB142">
        <v>0</v>
      </c>
      <c r="AC142">
        <v>0</v>
      </c>
      <c r="AD142">
        <v>1</v>
      </c>
      <c r="AE142">
        <v>0</v>
      </c>
      <c r="AF142" t="s">
        <v>3</v>
      </c>
      <c r="AG142">
        <v>21.91</v>
      </c>
      <c r="AH142">
        <v>2</v>
      </c>
      <c r="AI142">
        <v>49708595</v>
      </c>
      <c r="AJ142">
        <v>149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</row>
    <row r="143" spans="1:44" x14ac:dyDescent="0.2">
      <c r="A143">
        <f>ROW(Source!A271)</f>
        <v>271</v>
      </c>
      <c r="B143">
        <v>49708601</v>
      </c>
      <c r="C143">
        <v>49708593</v>
      </c>
      <c r="D143">
        <v>48341086</v>
      </c>
      <c r="E143">
        <v>1</v>
      </c>
      <c r="F143">
        <v>1</v>
      </c>
      <c r="G143">
        <v>27</v>
      </c>
      <c r="H143">
        <v>3</v>
      </c>
      <c r="I143" t="s">
        <v>386</v>
      </c>
      <c r="J143" t="s">
        <v>430</v>
      </c>
      <c r="K143" t="s">
        <v>388</v>
      </c>
      <c r="L143">
        <v>1348</v>
      </c>
      <c r="N143">
        <v>1009</v>
      </c>
      <c r="O143" t="s">
        <v>57</v>
      </c>
      <c r="P143" t="s">
        <v>57</v>
      </c>
      <c r="Q143">
        <v>1000</v>
      </c>
      <c r="X143">
        <v>0.03</v>
      </c>
      <c r="Y143">
        <v>110781.14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 t="s">
        <v>3</v>
      </c>
      <c r="AG143">
        <v>0.03</v>
      </c>
      <c r="AH143">
        <v>2</v>
      </c>
      <c r="AI143">
        <v>49708596</v>
      </c>
      <c r="AJ143">
        <v>150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</row>
    <row r="144" spans="1:44" x14ac:dyDescent="0.2">
      <c r="A144">
        <f>ROW(Source!A271)</f>
        <v>271</v>
      </c>
      <c r="B144">
        <v>49708602</v>
      </c>
      <c r="C144">
        <v>49708593</v>
      </c>
      <c r="D144">
        <v>48342405</v>
      </c>
      <c r="E144">
        <v>1</v>
      </c>
      <c r="F144">
        <v>1</v>
      </c>
      <c r="G144">
        <v>27</v>
      </c>
      <c r="H144">
        <v>3</v>
      </c>
      <c r="I144" t="s">
        <v>431</v>
      </c>
      <c r="J144" t="s">
        <v>432</v>
      </c>
      <c r="K144" t="s">
        <v>433</v>
      </c>
      <c r="L144">
        <v>1348</v>
      </c>
      <c r="N144">
        <v>1009</v>
      </c>
      <c r="O144" t="s">
        <v>57</v>
      </c>
      <c r="P144" t="s">
        <v>57</v>
      </c>
      <c r="Q144">
        <v>1000</v>
      </c>
      <c r="X144">
        <v>1</v>
      </c>
      <c r="Y144">
        <v>53233.52</v>
      </c>
      <c r="Z144">
        <v>0</v>
      </c>
      <c r="AA144">
        <v>0</v>
      </c>
      <c r="AB144">
        <v>0</v>
      </c>
      <c r="AC144">
        <v>0</v>
      </c>
      <c r="AD144">
        <v>1</v>
      </c>
      <c r="AE144">
        <v>0</v>
      </c>
      <c r="AF144" t="s">
        <v>3</v>
      </c>
      <c r="AG144">
        <v>1</v>
      </c>
      <c r="AH144">
        <v>2</v>
      </c>
      <c r="AI144">
        <v>49708597</v>
      </c>
      <c r="AJ144">
        <v>151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</row>
    <row r="145" spans="1:44" x14ac:dyDescent="0.2">
      <c r="A145">
        <f>ROW(Source!A311)</f>
        <v>311</v>
      </c>
      <c r="B145">
        <v>49708612</v>
      </c>
      <c r="C145">
        <v>49708604</v>
      </c>
      <c r="D145">
        <v>48326108</v>
      </c>
      <c r="E145">
        <v>27</v>
      </c>
      <c r="F145">
        <v>1</v>
      </c>
      <c r="G145">
        <v>27</v>
      </c>
      <c r="H145">
        <v>1</v>
      </c>
      <c r="I145" t="s">
        <v>293</v>
      </c>
      <c r="J145" t="s">
        <v>3</v>
      </c>
      <c r="K145" t="s">
        <v>294</v>
      </c>
      <c r="L145">
        <v>1191</v>
      </c>
      <c r="N145">
        <v>1013</v>
      </c>
      <c r="O145" t="s">
        <v>295</v>
      </c>
      <c r="P145" t="s">
        <v>295</v>
      </c>
      <c r="Q145">
        <v>1</v>
      </c>
      <c r="X145">
        <v>18.21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 t="s">
        <v>3</v>
      </c>
      <c r="AG145">
        <v>18.21</v>
      </c>
      <c r="AH145">
        <v>2</v>
      </c>
      <c r="AI145">
        <v>49708605</v>
      </c>
      <c r="AJ145">
        <v>153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</row>
    <row r="146" spans="1:44" x14ac:dyDescent="0.2">
      <c r="A146">
        <f>ROW(Source!A311)</f>
        <v>311</v>
      </c>
      <c r="B146">
        <v>49708613</v>
      </c>
      <c r="C146">
        <v>49708604</v>
      </c>
      <c r="D146">
        <v>48339191</v>
      </c>
      <c r="E146">
        <v>1</v>
      </c>
      <c r="F146">
        <v>1</v>
      </c>
      <c r="G146">
        <v>27</v>
      </c>
      <c r="H146">
        <v>2</v>
      </c>
      <c r="I146" t="s">
        <v>449</v>
      </c>
      <c r="J146" t="s">
        <v>450</v>
      </c>
      <c r="K146" t="s">
        <v>451</v>
      </c>
      <c r="L146">
        <v>1368</v>
      </c>
      <c r="N146">
        <v>1011</v>
      </c>
      <c r="O146" t="s">
        <v>299</v>
      </c>
      <c r="P146" t="s">
        <v>299</v>
      </c>
      <c r="Q146">
        <v>1</v>
      </c>
      <c r="X146">
        <v>5.39</v>
      </c>
      <c r="Y146">
        <v>0</v>
      </c>
      <c r="Z146">
        <v>7.88</v>
      </c>
      <c r="AA146">
        <v>0.98</v>
      </c>
      <c r="AB146">
        <v>0</v>
      </c>
      <c r="AC146">
        <v>0</v>
      </c>
      <c r="AD146">
        <v>1</v>
      </c>
      <c r="AE146">
        <v>0</v>
      </c>
      <c r="AF146" t="s">
        <v>3</v>
      </c>
      <c r="AG146">
        <v>5.39</v>
      </c>
      <c r="AH146">
        <v>2</v>
      </c>
      <c r="AI146">
        <v>49708606</v>
      </c>
      <c r="AJ146">
        <v>154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44" x14ac:dyDescent="0.2">
      <c r="A147">
        <f>ROW(Source!A311)</f>
        <v>311</v>
      </c>
      <c r="B147">
        <v>49708614</v>
      </c>
      <c r="C147">
        <v>49708604</v>
      </c>
      <c r="D147">
        <v>48339152</v>
      </c>
      <c r="E147">
        <v>1</v>
      </c>
      <c r="F147">
        <v>1</v>
      </c>
      <c r="G147">
        <v>27</v>
      </c>
      <c r="H147">
        <v>2</v>
      </c>
      <c r="I147" t="s">
        <v>452</v>
      </c>
      <c r="J147" t="s">
        <v>453</v>
      </c>
      <c r="K147" t="s">
        <v>454</v>
      </c>
      <c r="L147">
        <v>1368</v>
      </c>
      <c r="N147">
        <v>1011</v>
      </c>
      <c r="O147" t="s">
        <v>299</v>
      </c>
      <c r="P147" t="s">
        <v>299</v>
      </c>
      <c r="Q147">
        <v>1</v>
      </c>
      <c r="X147">
        <v>1.35</v>
      </c>
      <c r="Y147">
        <v>0</v>
      </c>
      <c r="Z147">
        <v>5.08</v>
      </c>
      <c r="AA147">
        <v>0.01</v>
      </c>
      <c r="AB147">
        <v>0</v>
      </c>
      <c r="AC147">
        <v>0</v>
      </c>
      <c r="AD147">
        <v>1</v>
      </c>
      <c r="AE147">
        <v>0</v>
      </c>
      <c r="AF147" t="s">
        <v>3</v>
      </c>
      <c r="AG147">
        <v>1.35</v>
      </c>
      <c r="AH147">
        <v>2</v>
      </c>
      <c r="AI147">
        <v>49708607</v>
      </c>
      <c r="AJ147">
        <v>155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</row>
    <row r="148" spans="1:44" x14ac:dyDescent="0.2">
      <c r="A148">
        <f>ROW(Source!A311)</f>
        <v>311</v>
      </c>
      <c r="B148">
        <v>49708615</v>
      </c>
      <c r="C148">
        <v>49708604</v>
      </c>
      <c r="D148">
        <v>48341981</v>
      </c>
      <c r="E148">
        <v>1</v>
      </c>
      <c r="F148">
        <v>1</v>
      </c>
      <c r="G148">
        <v>27</v>
      </c>
      <c r="H148">
        <v>3</v>
      </c>
      <c r="I148" t="s">
        <v>455</v>
      </c>
      <c r="J148" t="s">
        <v>456</v>
      </c>
      <c r="K148" t="s">
        <v>457</v>
      </c>
      <c r="L148">
        <v>1354</v>
      </c>
      <c r="N148">
        <v>1010</v>
      </c>
      <c r="O148" t="s">
        <v>100</v>
      </c>
      <c r="P148" t="s">
        <v>100</v>
      </c>
      <c r="Q148">
        <v>1</v>
      </c>
      <c r="X148">
        <v>10</v>
      </c>
      <c r="Y148">
        <v>779.48</v>
      </c>
      <c r="Z148">
        <v>0</v>
      </c>
      <c r="AA148">
        <v>0</v>
      </c>
      <c r="AB148">
        <v>0</v>
      </c>
      <c r="AC148">
        <v>0</v>
      </c>
      <c r="AD148">
        <v>1</v>
      </c>
      <c r="AE148">
        <v>0</v>
      </c>
      <c r="AF148" t="s">
        <v>3</v>
      </c>
      <c r="AG148">
        <v>10</v>
      </c>
      <c r="AH148">
        <v>2</v>
      </c>
      <c r="AI148">
        <v>49708608</v>
      </c>
      <c r="AJ148">
        <v>156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</row>
    <row r="149" spans="1:44" x14ac:dyDescent="0.2">
      <c r="A149">
        <f>ROW(Source!A311)</f>
        <v>311</v>
      </c>
      <c r="B149">
        <v>49708616</v>
      </c>
      <c r="C149">
        <v>49708604</v>
      </c>
      <c r="D149">
        <v>48341686</v>
      </c>
      <c r="E149">
        <v>1</v>
      </c>
      <c r="F149">
        <v>1</v>
      </c>
      <c r="G149">
        <v>27</v>
      </c>
      <c r="H149">
        <v>3</v>
      </c>
      <c r="I149" t="s">
        <v>458</v>
      </c>
      <c r="J149" t="s">
        <v>459</v>
      </c>
      <c r="K149" t="s">
        <v>460</v>
      </c>
      <c r="L149">
        <v>1346</v>
      </c>
      <c r="N149">
        <v>1009</v>
      </c>
      <c r="O149" t="s">
        <v>370</v>
      </c>
      <c r="P149" t="s">
        <v>370</v>
      </c>
      <c r="Q149">
        <v>1</v>
      </c>
      <c r="X149">
        <v>3.9</v>
      </c>
      <c r="Y149">
        <v>534.36</v>
      </c>
      <c r="Z149">
        <v>0</v>
      </c>
      <c r="AA149">
        <v>0</v>
      </c>
      <c r="AB149">
        <v>0</v>
      </c>
      <c r="AC149">
        <v>0</v>
      </c>
      <c r="AD149">
        <v>1</v>
      </c>
      <c r="AE149">
        <v>0</v>
      </c>
      <c r="AF149" t="s">
        <v>3</v>
      </c>
      <c r="AG149">
        <v>3.9</v>
      </c>
      <c r="AH149">
        <v>2</v>
      </c>
      <c r="AI149">
        <v>49708609</v>
      </c>
      <c r="AJ149">
        <v>157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</row>
    <row r="150" spans="1:44" x14ac:dyDescent="0.2">
      <c r="A150">
        <f>ROW(Source!A311)</f>
        <v>311</v>
      </c>
      <c r="B150">
        <v>49708617</v>
      </c>
      <c r="C150">
        <v>49708604</v>
      </c>
      <c r="D150">
        <v>48343404</v>
      </c>
      <c r="E150">
        <v>1</v>
      </c>
      <c r="F150">
        <v>1</v>
      </c>
      <c r="G150">
        <v>27</v>
      </c>
      <c r="H150">
        <v>3</v>
      </c>
      <c r="I150" t="s">
        <v>461</v>
      </c>
      <c r="J150" t="s">
        <v>462</v>
      </c>
      <c r="K150" t="s">
        <v>463</v>
      </c>
      <c r="L150">
        <v>1354</v>
      </c>
      <c r="N150">
        <v>1010</v>
      </c>
      <c r="O150" t="s">
        <v>100</v>
      </c>
      <c r="P150" t="s">
        <v>100</v>
      </c>
      <c r="Q150">
        <v>1</v>
      </c>
      <c r="X150">
        <v>4</v>
      </c>
      <c r="Y150">
        <v>1999.67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 t="s">
        <v>3</v>
      </c>
      <c r="AG150">
        <v>4</v>
      </c>
      <c r="AH150">
        <v>2</v>
      </c>
      <c r="AI150">
        <v>49708610</v>
      </c>
      <c r="AJ150">
        <v>158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</row>
    <row r="151" spans="1:44" x14ac:dyDescent="0.2">
      <c r="A151">
        <f>ROW(Source!A311)</f>
        <v>311</v>
      </c>
      <c r="B151">
        <v>49708618</v>
      </c>
      <c r="C151">
        <v>49708604</v>
      </c>
      <c r="D151">
        <v>48343519</v>
      </c>
      <c r="E151">
        <v>1</v>
      </c>
      <c r="F151">
        <v>1</v>
      </c>
      <c r="G151">
        <v>27</v>
      </c>
      <c r="H151">
        <v>3</v>
      </c>
      <c r="I151" t="s">
        <v>464</v>
      </c>
      <c r="J151" t="s">
        <v>465</v>
      </c>
      <c r="K151" t="s">
        <v>466</v>
      </c>
      <c r="L151">
        <v>1354</v>
      </c>
      <c r="N151">
        <v>1010</v>
      </c>
      <c r="O151" t="s">
        <v>100</v>
      </c>
      <c r="P151" t="s">
        <v>100</v>
      </c>
      <c r="Q151">
        <v>1</v>
      </c>
      <c r="X151">
        <v>60</v>
      </c>
      <c r="Y151">
        <v>30.72</v>
      </c>
      <c r="Z151">
        <v>0</v>
      </c>
      <c r="AA151">
        <v>0</v>
      </c>
      <c r="AB151">
        <v>0</v>
      </c>
      <c r="AC151">
        <v>0</v>
      </c>
      <c r="AD151">
        <v>1</v>
      </c>
      <c r="AE151">
        <v>0</v>
      </c>
      <c r="AF151" t="s">
        <v>3</v>
      </c>
      <c r="AG151">
        <v>60</v>
      </c>
      <c r="AH151">
        <v>2</v>
      </c>
      <c r="AI151">
        <v>49708611</v>
      </c>
      <c r="AJ151">
        <v>159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</row>
    <row r="152" spans="1:44" x14ac:dyDescent="0.2">
      <c r="A152">
        <f>ROW(Source!A312)</f>
        <v>312</v>
      </c>
      <c r="B152">
        <v>49708627</v>
      </c>
      <c r="C152">
        <v>49708619</v>
      </c>
      <c r="D152">
        <v>48326108</v>
      </c>
      <c r="E152">
        <v>27</v>
      </c>
      <c r="F152">
        <v>1</v>
      </c>
      <c r="G152">
        <v>27</v>
      </c>
      <c r="H152">
        <v>1</v>
      </c>
      <c r="I152" t="s">
        <v>293</v>
      </c>
      <c r="J152" t="s">
        <v>3</v>
      </c>
      <c r="K152" t="s">
        <v>294</v>
      </c>
      <c r="L152">
        <v>1191</v>
      </c>
      <c r="N152">
        <v>1013</v>
      </c>
      <c r="O152" t="s">
        <v>295</v>
      </c>
      <c r="P152" t="s">
        <v>295</v>
      </c>
      <c r="Q152">
        <v>1</v>
      </c>
      <c r="X152">
        <v>12.15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1</v>
      </c>
      <c r="AF152" t="s">
        <v>3</v>
      </c>
      <c r="AG152">
        <v>12.15</v>
      </c>
      <c r="AH152">
        <v>2</v>
      </c>
      <c r="AI152">
        <v>49708620</v>
      </c>
      <c r="AJ152">
        <v>160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</row>
    <row r="153" spans="1:44" x14ac:dyDescent="0.2">
      <c r="A153">
        <f>ROW(Source!A312)</f>
        <v>312</v>
      </c>
      <c r="B153">
        <v>49708628</v>
      </c>
      <c r="C153">
        <v>49708619</v>
      </c>
      <c r="D153">
        <v>48339191</v>
      </c>
      <c r="E153">
        <v>1</v>
      </c>
      <c r="F153">
        <v>1</v>
      </c>
      <c r="G153">
        <v>27</v>
      </c>
      <c r="H153">
        <v>2</v>
      </c>
      <c r="I153" t="s">
        <v>449</v>
      </c>
      <c r="J153" t="s">
        <v>450</v>
      </c>
      <c r="K153" t="s">
        <v>451</v>
      </c>
      <c r="L153">
        <v>1368</v>
      </c>
      <c r="N153">
        <v>1011</v>
      </c>
      <c r="O153" t="s">
        <v>299</v>
      </c>
      <c r="P153" t="s">
        <v>299</v>
      </c>
      <c r="Q153">
        <v>1</v>
      </c>
      <c r="X153">
        <v>3.59</v>
      </c>
      <c r="Y153">
        <v>0</v>
      </c>
      <c r="Z153">
        <v>7.88</v>
      </c>
      <c r="AA153">
        <v>0.98</v>
      </c>
      <c r="AB153">
        <v>0</v>
      </c>
      <c r="AC153">
        <v>0</v>
      </c>
      <c r="AD153">
        <v>1</v>
      </c>
      <c r="AE153">
        <v>0</v>
      </c>
      <c r="AF153" t="s">
        <v>3</v>
      </c>
      <c r="AG153">
        <v>3.59</v>
      </c>
      <c r="AH153">
        <v>2</v>
      </c>
      <c r="AI153">
        <v>49708621</v>
      </c>
      <c r="AJ153">
        <v>161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</row>
    <row r="154" spans="1:44" x14ac:dyDescent="0.2">
      <c r="A154">
        <f>ROW(Source!A312)</f>
        <v>312</v>
      </c>
      <c r="B154">
        <v>49708629</v>
      </c>
      <c r="C154">
        <v>49708619</v>
      </c>
      <c r="D154">
        <v>48339152</v>
      </c>
      <c r="E154">
        <v>1</v>
      </c>
      <c r="F154">
        <v>1</v>
      </c>
      <c r="G154">
        <v>27</v>
      </c>
      <c r="H154">
        <v>2</v>
      </c>
      <c r="I154" t="s">
        <v>452</v>
      </c>
      <c r="J154" t="s">
        <v>453</v>
      </c>
      <c r="K154" t="s">
        <v>454</v>
      </c>
      <c r="L154">
        <v>1368</v>
      </c>
      <c r="N154">
        <v>1011</v>
      </c>
      <c r="O154" t="s">
        <v>299</v>
      </c>
      <c r="P154" t="s">
        <v>299</v>
      </c>
      <c r="Q154">
        <v>1</v>
      </c>
      <c r="X154">
        <v>0.9</v>
      </c>
      <c r="Y154">
        <v>0</v>
      </c>
      <c r="Z154">
        <v>5.08</v>
      </c>
      <c r="AA154">
        <v>0.01</v>
      </c>
      <c r="AB154">
        <v>0</v>
      </c>
      <c r="AC154">
        <v>0</v>
      </c>
      <c r="AD154">
        <v>1</v>
      </c>
      <c r="AE154">
        <v>0</v>
      </c>
      <c r="AF154" t="s">
        <v>3</v>
      </c>
      <c r="AG154">
        <v>0.9</v>
      </c>
      <c r="AH154">
        <v>2</v>
      </c>
      <c r="AI154">
        <v>49708622</v>
      </c>
      <c r="AJ154">
        <v>162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</row>
    <row r="155" spans="1:44" x14ac:dyDescent="0.2">
      <c r="A155">
        <f>ROW(Source!A312)</f>
        <v>312</v>
      </c>
      <c r="B155">
        <v>49708630</v>
      </c>
      <c r="C155">
        <v>49708619</v>
      </c>
      <c r="D155">
        <v>48341982</v>
      </c>
      <c r="E155">
        <v>1</v>
      </c>
      <c r="F155">
        <v>1</v>
      </c>
      <c r="G155">
        <v>27</v>
      </c>
      <c r="H155">
        <v>3</v>
      </c>
      <c r="I155" t="s">
        <v>467</v>
      </c>
      <c r="J155" t="s">
        <v>468</v>
      </c>
      <c r="K155" t="s">
        <v>469</v>
      </c>
      <c r="L155">
        <v>1354</v>
      </c>
      <c r="N155">
        <v>1010</v>
      </c>
      <c r="O155" t="s">
        <v>100</v>
      </c>
      <c r="P155" t="s">
        <v>100</v>
      </c>
      <c r="Q155">
        <v>1</v>
      </c>
      <c r="X155">
        <v>10</v>
      </c>
      <c r="Y155">
        <v>385.19</v>
      </c>
      <c r="Z155">
        <v>0</v>
      </c>
      <c r="AA155">
        <v>0</v>
      </c>
      <c r="AB155">
        <v>0</v>
      </c>
      <c r="AC155">
        <v>0</v>
      </c>
      <c r="AD155">
        <v>1</v>
      </c>
      <c r="AE155">
        <v>0</v>
      </c>
      <c r="AF155" t="s">
        <v>3</v>
      </c>
      <c r="AG155">
        <v>10</v>
      </c>
      <c r="AH155">
        <v>2</v>
      </c>
      <c r="AI155">
        <v>49708623</v>
      </c>
      <c r="AJ155">
        <v>163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</row>
    <row r="156" spans="1:44" x14ac:dyDescent="0.2">
      <c r="A156">
        <f>ROW(Source!A312)</f>
        <v>312</v>
      </c>
      <c r="B156">
        <v>49708631</v>
      </c>
      <c r="C156">
        <v>49708619</v>
      </c>
      <c r="D156">
        <v>48341686</v>
      </c>
      <c r="E156">
        <v>1</v>
      </c>
      <c r="F156">
        <v>1</v>
      </c>
      <c r="G156">
        <v>27</v>
      </c>
      <c r="H156">
        <v>3</v>
      </c>
      <c r="I156" t="s">
        <v>458</v>
      </c>
      <c r="J156" t="s">
        <v>459</v>
      </c>
      <c r="K156" t="s">
        <v>460</v>
      </c>
      <c r="L156">
        <v>1346</v>
      </c>
      <c r="N156">
        <v>1009</v>
      </c>
      <c r="O156" t="s">
        <v>370</v>
      </c>
      <c r="P156" t="s">
        <v>370</v>
      </c>
      <c r="Q156">
        <v>1</v>
      </c>
      <c r="X156">
        <v>2.6</v>
      </c>
      <c r="Y156">
        <v>534.36</v>
      </c>
      <c r="Z156">
        <v>0</v>
      </c>
      <c r="AA156">
        <v>0</v>
      </c>
      <c r="AB156">
        <v>0</v>
      </c>
      <c r="AC156">
        <v>0</v>
      </c>
      <c r="AD156">
        <v>1</v>
      </c>
      <c r="AE156">
        <v>0</v>
      </c>
      <c r="AF156" t="s">
        <v>3</v>
      </c>
      <c r="AG156">
        <v>2.6</v>
      </c>
      <c r="AH156">
        <v>2</v>
      </c>
      <c r="AI156">
        <v>49708624</v>
      </c>
      <c r="AJ156">
        <v>164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</row>
    <row r="157" spans="1:44" x14ac:dyDescent="0.2">
      <c r="A157">
        <f>ROW(Source!A312)</f>
        <v>312</v>
      </c>
      <c r="B157">
        <v>49708632</v>
      </c>
      <c r="C157">
        <v>49708619</v>
      </c>
      <c r="D157">
        <v>48343404</v>
      </c>
      <c r="E157">
        <v>1</v>
      </c>
      <c r="F157">
        <v>1</v>
      </c>
      <c r="G157">
        <v>27</v>
      </c>
      <c r="H157">
        <v>3</v>
      </c>
      <c r="I157" t="s">
        <v>461</v>
      </c>
      <c r="J157" t="s">
        <v>462</v>
      </c>
      <c r="K157" t="s">
        <v>463</v>
      </c>
      <c r="L157">
        <v>1354</v>
      </c>
      <c r="N157">
        <v>1010</v>
      </c>
      <c r="O157" t="s">
        <v>100</v>
      </c>
      <c r="P157" t="s">
        <v>100</v>
      </c>
      <c r="Q157">
        <v>1</v>
      </c>
      <c r="X157">
        <v>2.7</v>
      </c>
      <c r="Y157">
        <v>1999.67</v>
      </c>
      <c r="Z157">
        <v>0</v>
      </c>
      <c r="AA157">
        <v>0</v>
      </c>
      <c r="AB157">
        <v>0</v>
      </c>
      <c r="AC157">
        <v>0</v>
      </c>
      <c r="AD157">
        <v>1</v>
      </c>
      <c r="AE157">
        <v>0</v>
      </c>
      <c r="AF157" t="s">
        <v>3</v>
      </c>
      <c r="AG157">
        <v>2.7</v>
      </c>
      <c r="AH157">
        <v>2</v>
      </c>
      <c r="AI157">
        <v>49708625</v>
      </c>
      <c r="AJ157">
        <v>165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</row>
    <row r="158" spans="1:44" x14ac:dyDescent="0.2">
      <c r="A158">
        <f>ROW(Source!A312)</f>
        <v>312</v>
      </c>
      <c r="B158">
        <v>49708633</v>
      </c>
      <c r="C158">
        <v>49708619</v>
      </c>
      <c r="D158">
        <v>48343519</v>
      </c>
      <c r="E158">
        <v>1</v>
      </c>
      <c r="F158">
        <v>1</v>
      </c>
      <c r="G158">
        <v>27</v>
      </c>
      <c r="H158">
        <v>3</v>
      </c>
      <c r="I158" t="s">
        <v>464</v>
      </c>
      <c r="J158" t="s">
        <v>465</v>
      </c>
      <c r="K158" t="s">
        <v>466</v>
      </c>
      <c r="L158">
        <v>1354</v>
      </c>
      <c r="N158">
        <v>1010</v>
      </c>
      <c r="O158" t="s">
        <v>100</v>
      </c>
      <c r="P158" t="s">
        <v>100</v>
      </c>
      <c r="Q158">
        <v>1</v>
      </c>
      <c r="X158">
        <v>40</v>
      </c>
      <c r="Y158">
        <v>30.72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 t="s">
        <v>3</v>
      </c>
      <c r="AG158">
        <v>40</v>
      </c>
      <c r="AH158">
        <v>2</v>
      </c>
      <c r="AI158">
        <v>49708626</v>
      </c>
      <c r="AJ158">
        <v>166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44" x14ac:dyDescent="0.2">
      <c r="A159">
        <f>ROW(Source!A313)</f>
        <v>313</v>
      </c>
      <c r="B159">
        <v>49708640</v>
      </c>
      <c r="C159">
        <v>49708634</v>
      </c>
      <c r="D159">
        <v>48326108</v>
      </c>
      <c r="E159">
        <v>27</v>
      </c>
      <c r="F159">
        <v>1</v>
      </c>
      <c r="G159">
        <v>27</v>
      </c>
      <c r="H159">
        <v>1</v>
      </c>
      <c r="I159" t="s">
        <v>293</v>
      </c>
      <c r="J159" t="s">
        <v>3</v>
      </c>
      <c r="K159" t="s">
        <v>294</v>
      </c>
      <c r="L159">
        <v>1191</v>
      </c>
      <c r="N159">
        <v>1013</v>
      </c>
      <c r="O159" t="s">
        <v>295</v>
      </c>
      <c r="P159" t="s">
        <v>295</v>
      </c>
      <c r="Q159">
        <v>1</v>
      </c>
      <c r="X159">
        <v>342.54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 t="s">
        <v>3</v>
      </c>
      <c r="AG159">
        <v>342.54</v>
      </c>
      <c r="AH159">
        <v>2</v>
      </c>
      <c r="AI159">
        <v>49708635</v>
      </c>
      <c r="AJ159">
        <v>167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</row>
    <row r="160" spans="1:44" x14ac:dyDescent="0.2">
      <c r="A160">
        <f>ROW(Source!A313)</f>
        <v>313</v>
      </c>
      <c r="B160">
        <v>49708641</v>
      </c>
      <c r="C160">
        <v>49708634</v>
      </c>
      <c r="D160">
        <v>48338602</v>
      </c>
      <c r="E160">
        <v>1</v>
      </c>
      <c r="F160">
        <v>1</v>
      </c>
      <c r="G160">
        <v>27</v>
      </c>
      <c r="H160">
        <v>2</v>
      </c>
      <c r="I160" t="s">
        <v>470</v>
      </c>
      <c r="J160" t="s">
        <v>471</v>
      </c>
      <c r="K160" t="s">
        <v>472</v>
      </c>
      <c r="L160">
        <v>1368</v>
      </c>
      <c r="N160">
        <v>1011</v>
      </c>
      <c r="O160" t="s">
        <v>299</v>
      </c>
      <c r="P160" t="s">
        <v>299</v>
      </c>
      <c r="Q160">
        <v>1</v>
      </c>
      <c r="X160">
        <v>13.75</v>
      </c>
      <c r="Y160">
        <v>0</v>
      </c>
      <c r="Z160">
        <v>1289.26</v>
      </c>
      <c r="AA160">
        <v>637.17999999999995</v>
      </c>
      <c r="AB160">
        <v>0</v>
      </c>
      <c r="AC160">
        <v>0</v>
      </c>
      <c r="AD160">
        <v>1</v>
      </c>
      <c r="AE160">
        <v>0</v>
      </c>
      <c r="AF160" t="s">
        <v>3</v>
      </c>
      <c r="AG160">
        <v>13.75</v>
      </c>
      <c r="AH160">
        <v>2</v>
      </c>
      <c r="AI160">
        <v>49708636</v>
      </c>
      <c r="AJ160">
        <v>168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</row>
    <row r="161" spans="1:44" x14ac:dyDescent="0.2">
      <c r="A161">
        <f>ROW(Source!A313)</f>
        <v>313</v>
      </c>
      <c r="B161">
        <v>49708642</v>
      </c>
      <c r="C161">
        <v>49708634</v>
      </c>
      <c r="D161">
        <v>48340222</v>
      </c>
      <c r="E161">
        <v>1</v>
      </c>
      <c r="F161">
        <v>1</v>
      </c>
      <c r="G161">
        <v>27</v>
      </c>
      <c r="H161">
        <v>3</v>
      </c>
      <c r="I161" t="s">
        <v>473</v>
      </c>
      <c r="J161" t="s">
        <v>474</v>
      </c>
      <c r="K161" t="s">
        <v>475</v>
      </c>
      <c r="L161">
        <v>1348</v>
      </c>
      <c r="N161">
        <v>1009</v>
      </c>
      <c r="O161" t="s">
        <v>57</v>
      </c>
      <c r="P161" t="s">
        <v>57</v>
      </c>
      <c r="Q161">
        <v>1000</v>
      </c>
      <c r="X161">
        <v>4.8000000000000001E-2</v>
      </c>
      <c r="Y161">
        <v>116855.43</v>
      </c>
      <c r="Z161">
        <v>0</v>
      </c>
      <c r="AA161">
        <v>0</v>
      </c>
      <c r="AB161">
        <v>0</v>
      </c>
      <c r="AC161">
        <v>0</v>
      </c>
      <c r="AD161">
        <v>1</v>
      </c>
      <c r="AE161">
        <v>0</v>
      </c>
      <c r="AF161" t="s">
        <v>3</v>
      </c>
      <c r="AG161">
        <v>4.8000000000000001E-2</v>
      </c>
      <c r="AH161">
        <v>2</v>
      </c>
      <c r="AI161">
        <v>49708637</v>
      </c>
      <c r="AJ161">
        <v>169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</row>
    <row r="162" spans="1:44" x14ac:dyDescent="0.2">
      <c r="A162">
        <f>ROW(Source!A313)</f>
        <v>313</v>
      </c>
      <c r="B162">
        <v>49708643</v>
      </c>
      <c r="C162">
        <v>49708634</v>
      </c>
      <c r="D162">
        <v>48343951</v>
      </c>
      <c r="E162">
        <v>1</v>
      </c>
      <c r="F162">
        <v>1</v>
      </c>
      <c r="G162">
        <v>27</v>
      </c>
      <c r="H162">
        <v>3</v>
      </c>
      <c r="I162" t="s">
        <v>476</v>
      </c>
      <c r="J162" t="s">
        <v>477</v>
      </c>
      <c r="K162" t="s">
        <v>478</v>
      </c>
      <c r="L162">
        <v>1354</v>
      </c>
      <c r="N162">
        <v>1010</v>
      </c>
      <c r="O162" t="s">
        <v>100</v>
      </c>
      <c r="P162" t="s">
        <v>100</v>
      </c>
      <c r="Q162">
        <v>1</v>
      </c>
      <c r="X162">
        <v>100</v>
      </c>
      <c r="Y162">
        <v>1800.41</v>
      </c>
      <c r="Z162">
        <v>0</v>
      </c>
      <c r="AA162">
        <v>0</v>
      </c>
      <c r="AB162">
        <v>0</v>
      </c>
      <c r="AC162">
        <v>0</v>
      </c>
      <c r="AD162">
        <v>1</v>
      </c>
      <c r="AE162">
        <v>0</v>
      </c>
      <c r="AF162" t="s">
        <v>3</v>
      </c>
      <c r="AG162">
        <v>100</v>
      </c>
      <c r="AH162">
        <v>2</v>
      </c>
      <c r="AI162">
        <v>49708638</v>
      </c>
      <c r="AJ162">
        <v>170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</row>
    <row r="163" spans="1:44" x14ac:dyDescent="0.2">
      <c r="A163">
        <f>ROW(Source!A313)</f>
        <v>313</v>
      </c>
      <c r="B163">
        <v>49708644</v>
      </c>
      <c r="C163">
        <v>49708634</v>
      </c>
      <c r="D163">
        <v>48326828</v>
      </c>
      <c r="E163">
        <v>27</v>
      </c>
      <c r="F163">
        <v>1</v>
      </c>
      <c r="G163">
        <v>27</v>
      </c>
      <c r="H163">
        <v>3</v>
      </c>
      <c r="I163" t="s">
        <v>479</v>
      </c>
      <c r="J163" t="s">
        <v>3</v>
      </c>
      <c r="K163" t="s">
        <v>480</v>
      </c>
      <c r="L163">
        <v>1354</v>
      </c>
      <c r="N163">
        <v>1010</v>
      </c>
      <c r="O163" t="s">
        <v>100</v>
      </c>
      <c r="P163" t="s">
        <v>100</v>
      </c>
      <c r="Q163">
        <v>1</v>
      </c>
      <c r="X163">
        <v>100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 t="s">
        <v>3</v>
      </c>
      <c r="AG163">
        <v>100</v>
      </c>
      <c r="AH163">
        <v>3</v>
      </c>
      <c r="AI163">
        <v>-1</v>
      </c>
      <c r="AJ163" t="s">
        <v>3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</row>
  </sheetData>
  <printOptions gridLines="1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Смета СН-2012 по гл. 1-5</vt:lpstr>
      <vt:lpstr>RV_DATA</vt:lpstr>
      <vt:lpstr>Source</vt:lpstr>
      <vt:lpstr>SourceObSm</vt:lpstr>
      <vt:lpstr>SmtRes</vt:lpstr>
      <vt:lpstr>EtalonRes</vt:lpstr>
      <vt:lpstr>'Смета СН-2012 по гл. 1-5'!Заголовки_для_печати</vt:lpstr>
      <vt:lpstr>'Смета СН-2012 по гл. 1-5'!Область_печати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Кусакин Сергей Анатольевич</dc:creator>
  <cp:lastModifiedBy>Кусакин Сергей Анатольевич</cp:lastModifiedBy>
  <dcterms:created xsi:type="dcterms:W3CDTF">2021-02-17T13:15:36Z</dcterms:created>
  <dcterms:modified xsi:type="dcterms:W3CDTF">2022-11-09T06:55:10Z</dcterms:modified>
</cp:coreProperties>
</file>