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Лядухина\1 АУКЦИОН 2020\Благоустройство\2021 Благоустройство\Парковая\"/>
    </mc:Choice>
  </mc:AlternateContent>
  <bookViews>
    <workbookView xWindow="0" yWindow="0" windowWidth="28800" windowHeight="11100"/>
  </bookViews>
  <sheets>
    <sheet name="Смета СН-2012 по гл. 1-5" sheetId="5" r:id="rId1"/>
    <sheet name="Дефектная ведомость" sheetId="6" r:id="rId2"/>
    <sheet name="RV_DATA" sheetId="8" state="hidden" r:id="rId3"/>
    <sheet name="Расчет стоимости ресурсов" sheetId="7" r:id="rId4"/>
    <sheet name="Source" sheetId="1" r:id="rId5"/>
    <sheet name="SourceObSm" sheetId="2" state="hidden" r:id="rId6"/>
    <sheet name="SmtRes" sheetId="3" state="hidden" r:id="rId7"/>
    <sheet name="EtalonRes" sheetId="4" state="hidden" r:id="rId8"/>
  </sheets>
  <definedNames>
    <definedName name="_xlnm.Print_Titles" localSheetId="1">'Дефектная ведомость'!$18:$18</definedName>
    <definedName name="_xlnm.Print_Titles" localSheetId="3">'Расчет стоимости ресурсов'!$4:$7</definedName>
    <definedName name="_xlnm.Print_Titles" localSheetId="0">'Смета СН-2012 по гл. 1-5'!$30:$30</definedName>
    <definedName name="_xlnm.Print_Area" localSheetId="1">'Дефектная ведомость'!$A$1:$E$118</definedName>
    <definedName name="_xlnm.Print_Area" localSheetId="3">'Расчет стоимости ресурсов'!$A$1:$F$184</definedName>
    <definedName name="_xlnm.Print_Area" localSheetId="0">'Смета СН-2012 по гл. 1-5'!$A$1:$K$497</definedName>
  </definedNames>
  <calcPr calcId="162913"/>
</workbook>
</file>

<file path=xl/calcChain.xml><?xml version="1.0" encoding="utf-8"?>
<calcChain xmlns="http://schemas.openxmlformats.org/spreadsheetml/2006/main">
  <c r="F181" i="7" l="1"/>
  <c r="E181" i="7"/>
  <c r="D181" i="7"/>
  <c r="F182" i="7"/>
  <c r="E182" i="7"/>
  <c r="D182" i="7"/>
  <c r="F180" i="7"/>
  <c r="E183" i="7" s="1"/>
  <c r="E180" i="7"/>
  <c r="D180" i="7"/>
  <c r="A178" i="7"/>
  <c r="F164" i="7"/>
  <c r="E164" i="7"/>
  <c r="D164" i="7"/>
  <c r="F166" i="7"/>
  <c r="E166" i="7"/>
  <c r="D166" i="7"/>
  <c r="F159" i="7"/>
  <c r="E159" i="7"/>
  <c r="D159" i="7"/>
  <c r="F165" i="7"/>
  <c r="E165" i="7"/>
  <c r="D165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53" i="7"/>
  <c r="E153" i="7"/>
  <c r="D153" i="7"/>
  <c r="F151" i="7"/>
  <c r="E151" i="7"/>
  <c r="D151" i="7"/>
  <c r="F154" i="7"/>
  <c r="E154" i="7"/>
  <c r="D154" i="7"/>
  <c r="F152" i="7"/>
  <c r="E152" i="7"/>
  <c r="D152" i="7"/>
  <c r="F170" i="7"/>
  <c r="E170" i="7"/>
  <c r="D170" i="7"/>
  <c r="F168" i="7"/>
  <c r="E168" i="7"/>
  <c r="D168" i="7"/>
  <c r="F155" i="7"/>
  <c r="E155" i="7"/>
  <c r="D155" i="7"/>
  <c r="F160" i="7"/>
  <c r="E160" i="7"/>
  <c r="D160" i="7"/>
  <c r="F161" i="7"/>
  <c r="E161" i="7"/>
  <c r="D161" i="7"/>
  <c r="F162" i="7"/>
  <c r="E162" i="7"/>
  <c r="D162" i="7"/>
  <c r="F167" i="7"/>
  <c r="E167" i="7"/>
  <c r="D167" i="7"/>
  <c r="F169" i="7"/>
  <c r="E169" i="7"/>
  <c r="D169" i="7"/>
  <c r="F171" i="7"/>
  <c r="E171" i="7"/>
  <c r="D171" i="7"/>
  <c r="F156" i="7"/>
  <c r="E156" i="7"/>
  <c r="D156" i="7"/>
  <c r="F157" i="7"/>
  <c r="E157" i="7"/>
  <c r="D157" i="7"/>
  <c r="F158" i="7"/>
  <c r="E158" i="7"/>
  <c r="D158" i="7"/>
  <c r="F163" i="7"/>
  <c r="E163" i="7"/>
  <c r="D163" i="7"/>
  <c r="F137" i="7"/>
  <c r="E137" i="7"/>
  <c r="D137" i="7"/>
  <c r="F146" i="7"/>
  <c r="E146" i="7"/>
  <c r="D146" i="7"/>
  <c r="F139" i="7"/>
  <c r="E139" i="7"/>
  <c r="D139" i="7"/>
  <c r="F142" i="7"/>
  <c r="E142" i="7"/>
  <c r="D142" i="7"/>
  <c r="F145" i="7"/>
  <c r="E145" i="7"/>
  <c r="D145" i="7"/>
  <c r="F148" i="7"/>
  <c r="E148" i="7"/>
  <c r="D148" i="7"/>
  <c r="F147" i="7"/>
  <c r="E147" i="7"/>
  <c r="D147" i="7"/>
  <c r="F138" i="7"/>
  <c r="E138" i="7"/>
  <c r="D138" i="7"/>
  <c r="F144" i="7"/>
  <c r="E144" i="7"/>
  <c r="D144" i="7"/>
  <c r="F140" i="7"/>
  <c r="E140" i="7"/>
  <c r="D140" i="7"/>
  <c r="F141" i="7"/>
  <c r="E141" i="7"/>
  <c r="D141" i="7"/>
  <c r="F143" i="7"/>
  <c r="E143" i="7"/>
  <c r="D143" i="7"/>
  <c r="A135" i="7"/>
  <c r="F122" i="7"/>
  <c r="E122" i="7"/>
  <c r="D122" i="7"/>
  <c r="F114" i="7"/>
  <c r="E114" i="7"/>
  <c r="D114" i="7"/>
  <c r="F121" i="7"/>
  <c r="E121" i="7"/>
  <c r="D121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08" i="7"/>
  <c r="E108" i="7"/>
  <c r="D108" i="7"/>
  <c r="F105" i="7"/>
  <c r="E134" i="7" s="1"/>
  <c r="E105" i="7"/>
  <c r="D105" i="7"/>
  <c r="F109" i="7"/>
  <c r="E109" i="7"/>
  <c r="D109" i="7"/>
  <c r="F107" i="7"/>
  <c r="E107" i="7"/>
  <c r="D107" i="7"/>
  <c r="F128" i="7"/>
  <c r="E128" i="7"/>
  <c r="D128" i="7"/>
  <c r="F106" i="7"/>
  <c r="E106" i="7"/>
  <c r="D106" i="7"/>
  <c r="F123" i="7"/>
  <c r="E123" i="7"/>
  <c r="D123" i="7"/>
  <c r="F116" i="7"/>
  <c r="E116" i="7"/>
  <c r="D116" i="7"/>
  <c r="F120" i="7"/>
  <c r="E120" i="7"/>
  <c r="D120" i="7"/>
  <c r="F126" i="7"/>
  <c r="E126" i="7"/>
  <c r="D126" i="7"/>
  <c r="F125" i="7"/>
  <c r="E125" i="7"/>
  <c r="D125" i="7"/>
  <c r="F110" i="7"/>
  <c r="E110" i="7"/>
  <c r="D110" i="7"/>
  <c r="F115" i="7"/>
  <c r="E115" i="7"/>
  <c r="D115" i="7"/>
  <c r="F117" i="7"/>
  <c r="E117" i="7"/>
  <c r="D117" i="7"/>
  <c r="F118" i="7"/>
  <c r="E118" i="7"/>
  <c r="D118" i="7"/>
  <c r="F124" i="7"/>
  <c r="E124" i="7"/>
  <c r="D124" i="7"/>
  <c r="F127" i="7"/>
  <c r="E127" i="7"/>
  <c r="D127" i="7"/>
  <c r="F129" i="7"/>
  <c r="E129" i="7"/>
  <c r="D129" i="7"/>
  <c r="F111" i="7"/>
  <c r="E111" i="7"/>
  <c r="D111" i="7"/>
  <c r="F112" i="7"/>
  <c r="E112" i="7"/>
  <c r="D112" i="7"/>
  <c r="F113" i="7"/>
  <c r="E113" i="7"/>
  <c r="D113" i="7"/>
  <c r="F119" i="7"/>
  <c r="E119" i="7"/>
  <c r="D119" i="7"/>
  <c r="F89" i="7"/>
  <c r="E89" i="7"/>
  <c r="D89" i="7"/>
  <c r="F93" i="7"/>
  <c r="E93" i="7"/>
  <c r="D93" i="7"/>
  <c r="F100" i="7"/>
  <c r="E100" i="7"/>
  <c r="D100" i="7"/>
  <c r="F91" i="7"/>
  <c r="E91" i="7"/>
  <c r="D91" i="7"/>
  <c r="F96" i="7"/>
  <c r="E96" i="7"/>
  <c r="D96" i="7"/>
  <c r="F99" i="7"/>
  <c r="E99" i="7"/>
  <c r="D99" i="7"/>
  <c r="F102" i="7"/>
  <c r="E102" i="7"/>
  <c r="D102" i="7"/>
  <c r="F101" i="7"/>
  <c r="E101" i="7"/>
  <c r="D101" i="7"/>
  <c r="F94" i="7"/>
  <c r="E94" i="7"/>
  <c r="D94" i="7"/>
  <c r="F90" i="7"/>
  <c r="E103" i="7" s="1"/>
  <c r="E90" i="7"/>
  <c r="D90" i="7"/>
  <c r="F98" i="7"/>
  <c r="E98" i="7"/>
  <c r="D98" i="7"/>
  <c r="F92" i="7"/>
  <c r="E92" i="7"/>
  <c r="D92" i="7"/>
  <c r="F95" i="7"/>
  <c r="E95" i="7"/>
  <c r="D95" i="7"/>
  <c r="F97" i="7"/>
  <c r="E97" i="7"/>
  <c r="D97" i="7"/>
  <c r="A87" i="7"/>
  <c r="F76" i="7"/>
  <c r="E76" i="7"/>
  <c r="D76" i="7"/>
  <c r="F78" i="7"/>
  <c r="E78" i="7"/>
  <c r="D78" i="7"/>
  <c r="F71" i="7"/>
  <c r="E71" i="7"/>
  <c r="D71" i="7"/>
  <c r="F77" i="7"/>
  <c r="E77" i="7"/>
  <c r="D77" i="7"/>
  <c r="F85" i="7"/>
  <c r="E85" i="7"/>
  <c r="D85" i="7"/>
  <c r="F84" i="7"/>
  <c r="E84" i="7"/>
  <c r="D84" i="7"/>
  <c r="F65" i="7"/>
  <c r="E65" i="7"/>
  <c r="D65" i="7"/>
  <c r="F63" i="7"/>
  <c r="E86" i="7" s="1"/>
  <c r="E63" i="7"/>
  <c r="D63" i="7"/>
  <c r="F66" i="7"/>
  <c r="E66" i="7"/>
  <c r="D66" i="7"/>
  <c r="F64" i="7"/>
  <c r="E64" i="7"/>
  <c r="D64" i="7"/>
  <c r="F82" i="7"/>
  <c r="E82" i="7"/>
  <c r="D82" i="7"/>
  <c r="F80" i="7"/>
  <c r="E80" i="7"/>
  <c r="D80" i="7"/>
  <c r="F67" i="7"/>
  <c r="E67" i="7"/>
  <c r="D67" i="7"/>
  <c r="F72" i="7"/>
  <c r="E72" i="7"/>
  <c r="D72" i="7"/>
  <c r="F73" i="7"/>
  <c r="E73" i="7"/>
  <c r="D73" i="7"/>
  <c r="F74" i="7"/>
  <c r="E74" i="7"/>
  <c r="D74" i="7"/>
  <c r="F79" i="7"/>
  <c r="E79" i="7"/>
  <c r="D79" i="7"/>
  <c r="F81" i="7"/>
  <c r="E81" i="7"/>
  <c r="D81" i="7"/>
  <c r="F83" i="7"/>
  <c r="E83" i="7"/>
  <c r="D83" i="7"/>
  <c r="F68" i="7"/>
  <c r="E68" i="7"/>
  <c r="D68" i="7"/>
  <c r="F69" i="7"/>
  <c r="E69" i="7"/>
  <c r="D69" i="7"/>
  <c r="F70" i="7"/>
  <c r="E70" i="7"/>
  <c r="D70" i="7"/>
  <c r="F75" i="7"/>
  <c r="E75" i="7"/>
  <c r="D75" i="7"/>
  <c r="E61" i="7"/>
  <c r="F50" i="7"/>
  <c r="E50" i="7"/>
  <c r="D50" i="7"/>
  <c r="F58" i="7"/>
  <c r="E58" i="7"/>
  <c r="D58" i="7"/>
  <c r="F52" i="7"/>
  <c r="E52" i="7"/>
  <c r="D52" i="7"/>
  <c r="F54" i="7"/>
  <c r="E54" i="7"/>
  <c r="D54" i="7"/>
  <c r="F56" i="7"/>
  <c r="E56" i="7"/>
  <c r="D56" i="7"/>
  <c r="F51" i="7"/>
  <c r="E51" i="7"/>
  <c r="D51" i="7"/>
  <c r="F55" i="7"/>
  <c r="E55" i="7"/>
  <c r="D55" i="7"/>
  <c r="F57" i="7"/>
  <c r="E57" i="7"/>
  <c r="D57" i="7"/>
  <c r="F60" i="7"/>
  <c r="E60" i="7"/>
  <c r="D60" i="7"/>
  <c r="F59" i="7"/>
  <c r="E59" i="7"/>
  <c r="D59" i="7"/>
  <c r="F53" i="7"/>
  <c r="E53" i="7"/>
  <c r="D53" i="7"/>
  <c r="A48" i="7"/>
  <c r="F37" i="7"/>
  <c r="E37" i="7"/>
  <c r="D37" i="7"/>
  <c r="F39" i="7"/>
  <c r="E39" i="7"/>
  <c r="D39" i="7"/>
  <c r="F32" i="7"/>
  <c r="E32" i="7"/>
  <c r="D32" i="7"/>
  <c r="F38" i="7"/>
  <c r="E38" i="7"/>
  <c r="D38" i="7"/>
  <c r="F46" i="7"/>
  <c r="E46" i="7"/>
  <c r="D46" i="7"/>
  <c r="F45" i="7"/>
  <c r="E45" i="7"/>
  <c r="D45" i="7"/>
  <c r="F26" i="7"/>
  <c r="E26" i="7"/>
  <c r="D26" i="7"/>
  <c r="F24" i="7"/>
  <c r="E24" i="7"/>
  <c r="D24" i="7"/>
  <c r="F27" i="7"/>
  <c r="E27" i="7"/>
  <c r="D27" i="7"/>
  <c r="F25" i="7"/>
  <c r="E25" i="7"/>
  <c r="D25" i="7"/>
  <c r="F43" i="7"/>
  <c r="E43" i="7"/>
  <c r="D43" i="7"/>
  <c r="F41" i="7"/>
  <c r="E41" i="7"/>
  <c r="D41" i="7"/>
  <c r="F28" i="7"/>
  <c r="E28" i="7"/>
  <c r="D28" i="7"/>
  <c r="F33" i="7"/>
  <c r="E33" i="7"/>
  <c r="D33" i="7"/>
  <c r="F34" i="7"/>
  <c r="E34" i="7"/>
  <c r="D34" i="7"/>
  <c r="F35" i="7"/>
  <c r="E35" i="7"/>
  <c r="D35" i="7"/>
  <c r="F40" i="7"/>
  <c r="E40" i="7"/>
  <c r="D40" i="7"/>
  <c r="F42" i="7"/>
  <c r="E42" i="7"/>
  <c r="D42" i="7"/>
  <c r="F44" i="7"/>
  <c r="E44" i="7"/>
  <c r="D44" i="7"/>
  <c r="F29" i="7"/>
  <c r="E29" i="7"/>
  <c r="D29" i="7"/>
  <c r="F30" i="7"/>
  <c r="E30" i="7"/>
  <c r="D30" i="7"/>
  <c r="F31" i="7"/>
  <c r="E31" i="7"/>
  <c r="D31" i="7"/>
  <c r="F36" i="7"/>
  <c r="E36" i="7"/>
  <c r="D36" i="7"/>
  <c r="F11" i="7"/>
  <c r="E22" i="7" s="1"/>
  <c r="E11" i="7"/>
  <c r="D11" i="7"/>
  <c r="F19" i="7"/>
  <c r="E19" i="7"/>
  <c r="D19" i="7"/>
  <c r="F13" i="7"/>
  <c r="E13" i="7"/>
  <c r="D13" i="7"/>
  <c r="F15" i="7"/>
  <c r="E15" i="7"/>
  <c r="D15" i="7"/>
  <c r="F17" i="7"/>
  <c r="E17" i="7"/>
  <c r="D17" i="7"/>
  <c r="F12" i="7"/>
  <c r="E12" i="7"/>
  <c r="D12" i="7"/>
  <c r="F16" i="7"/>
  <c r="E16" i="7"/>
  <c r="D16" i="7"/>
  <c r="F18" i="7"/>
  <c r="E18" i="7"/>
  <c r="D18" i="7"/>
  <c r="F21" i="7"/>
  <c r="E21" i="7"/>
  <c r="D21" i="7"/>
  <c r="F20" i="7"/>
  <c r="E20" i="7"/>
  <c r="D20" i="7"/>
  <c r="F14" i="7"/>
  <c r="E14" i="7"/>
  <c r="D14" i="7"/>
  <c r="A9" i="7"/>
  <c r="A8" i="7"/>
  <c r="U197" i="8"/>
  <c r="T197" i="8"/>
  <c r="R197" i="8"/>
  <c r="Q197" i="8"/>
  <c r="S197" i="8"/>
  <c r="P197" i="8"/>
  <c r="O197" i="8"/>
  <c r="M197" i="8"/>
  <c r="L197" i="8"/>
  <c r="N197" i="8"/>
  <c r="K197" i="8"/>
  <c r="J197" i="8"/>
  <c r="I197" i="8"/>
  <c r="H197" i="8"/>
  <c r="G197" i="8"/>
  <c r="F197" i="8"/>
  <c r="E197" i="8"/>
  <c r="A197" i="8"/>
  <c r="U196" i="8"/>
  <c r="T196" i="8"/>
  <c r="R196" i="8"/>
  <c r="Q196" i="8"/>
  <c r="S196" i="8"/>
  <c r="P196" i="8"/>
  <c r="O196" i="8"/>
  <c r="M196" i="8"/>
  <c r="L196" i="8"/>
  <c r="N196" i="8"/>
  <c r="K196" i="8"/>
  <c r="J196" i="8"/>
  <c r="I196" i="8"/>
  <c r="H196" i="8"/>
  <c r="G196" i="8"/>
  <c r="F196" i="8"/>
  <c r="E196" i="8"/>
  <c r="A196" i="8"/>
  <c r="U195" i="8"/>
  <c r="T195" i="8"/>
  <c r="R195" i="8"/>
  <c r="Q195" i="8"/>
  <c r="S195" i="8"/>
  <c r="P195" i="8"/>
  <c r="O195" i="8"/>
  <c r="M195" i="8"/>
  <c r="L195" i="8"/>
  <c r="N195" i="8"/>
  <c r="K195" i="8"/>
  <c r="J195" i="8"/>
  <c r="I195" i="8"/>
  <c r="H195" i="8"/>
  <c r="G195" i="8"/>
  <c r="F195" i="8"/>
  <c r="E195" i="8"/>
  <c r="A195" i="8"/>
  <c r="U194" i="8"/>
  <c r="T194" i="8"/>
  <c r="R194" i="8"/>
  <c r="Q194" i="8"/>
  <c r="S194" i="8"/>
  <c r="P194" i="8"/>
  <c r="O194" i="8"/>
  <c r="M194" i="8"/>
  <c r="L194" i="8"/>
  <c r="N194" i="8"/>
  <c r="K194" i="8"/>
  <c r="J194" i="8"/>
  <c r="I194" i="8"/>
  <c r="H194" i="8"/>
  <c r="G194" i="8"/>
  <c r="F194" i="8"/>
  <c r="E194" i="8"/>
  <c r="A194" i="8"/>
  <c r="U193" i="8"/>
  <c r="T193" i="8"/>
  <c r="R193" i="8"/>
  <c r="Q193" i="8"/>
  <c r="S193" i="8"/>
  <c r="P193" i="8"/>
  <c r="O193" i="8"/>
  <c r="M193" i="8"/>
  <c r="L193" i="8"/>
  <c r="N193" i="8"/>
  <c r="K193" i="8"/>
  <c r="J193" i="8"/>
  <c r="I193" i="8"/>
  <c r="H193" i="8"/>
  <c r="G193" i="8"/>
  <c r="F193" i="8"/>
  <c r="E193" i="8"/>
  <c r="A193" i="8"/>
  <c r="G192" i="8"/>
  <c r="A192" i="8"/>
  <c r="U191" i="8"/>
  <c r="T191" i="8"/>
  <c r="R191" i="8"/>
  <c r="Q191" i="8"/>
  <c r="S191" i="8"/>
  <c r="P191" i="8"/>
  <c r="O191" i="8"/>
  <c r="M191" i="8"/>
  <c r="L191" i="8"/>
  <c r="N191" i="8"/>
  <c r="K191" i="8"/>
  <c r="J191" i="8"/>
  <c r="I191" i="8"/>
  <c r="H191" i="8"/>
  <c r="G191" i="8"/>
  <c r="F191" i="8"/>
  <c r="E191" i="8"/>
  <c r="A191" i="8"/>
  <c r="U190" i="8"/>
  <c r="T190" i="8"/>
  <c r="R190" i="8"/>
  <c r="Q190" i="8"/>
  <c r="S190" i="8"/>
  <c r="P190" i="8"/>
  <c r="O190" i="8"/>
  <c r="M190" i="8"/>
  <c r="L190" i="8"/>
  <c r="N190" i="8"/>
  <c r="K190" i="8"/>
  <c r="J190" i="8"/>
  <c r="I190" i="8"/>
  <c r="H190" i="8"/>
  <c r="G190" i="8"/>
  <c r="F190" i="8"/>
  <c r="E190" i="8"/>
  <c r="A190" i="8"/>
  <c r="U189" i="8"/>
  <c r="T189" i="8"/>
  <c r="R189" i="8"/>
  <c r="Q189" i="8"/>
  <c r="S189" i="8"/>
  <c r="P189" i="8"/>
  <c r="O189" i="8"/>
  <c r="M189" i="8"/>
  <c r="L189" i="8"/>
  <c r="N189" i="8"/>
  <c r="K189" i="8"/>
  <c r="J189" i="8"/>
  <c r="I189" i="8"/>
  <c r="H189" i="8"/>
  <c r="G189" i="8"/>
  <c r="F189" i="8"/>
  <c r="E189" i="8"/>
  <c r="A189" i="8"/>
  <c r="U188" i="8"/>
  <c r="T188" i="8"/>
  <c r="R188" i="8"/>
  <c r="Q188" i="8"/>
  <c r="S188" i="8"/>
  <c r="P188" i="8"/>
  <c r="O188" i="8"/>
  <c r="M188" i="8"/>
  <c r="L188" i="8"/>
  <c r="N188" i="8"/>
  <c r="K188" i="8"/>
  <c r="J188" i="8"/>
  <c r="I188" i="8"/>
  <c r="H188" i="8"/>
  <c r="G188" i="8"/>
  <c r="F188" i="8"/>
  <c r="E188" i="8"/>
  <c r="A188" i="8"/>
  <c r="U187" i="8"/>
  <c r="T187" i="8"/>
  <c r="R187" i="8"/>
  <c r="Q187" i="8"/>
  <c r="S187" i="8"/>
  <c r="P187" i="8"/>
  <c r="O187" i="8"/>
  <c r="M187" i="8"/>
  <c r="L187" i="8"/>
  <c r="N187" i="8"/>
  <c r="K187" i="8"/>
  <c r="J187" i="8"/>
  <c r="I187" i="8"/>
  <c r="H187" i="8"/>
  <c r="G187" i="8"/>
  <c r="F187" i="8"/>
  <c r="E187" i="8"/>
  <c r="A187" i="8"/>
  <c r="U186" i="8"/>
  <c r="T186" i="8"/>
  <c r="R186" i="8"/>
  <c r="Q186" i="8"/>
  <c r="S186" i="8"/>
  <c r="P186" i="8"/>
  <c r="O186" i="8"/>
  <c r="M186" i="8"/>
  <c r="L186" i="8"/>
  <c r="N186" i="8"/>
  <c r="K186" i="8"/>
  <c r="J186" i="8"/>
  <c r="I186" i="8"/>
  <c r="H186" i="8"/>
  <c r="G186" i="8"/>
  <c r="F186" i="8"/>
  <c r="E186" i="8"/>
  <c r="A186" i="8"/>
  <c r="U185" i="8"/>
  <c r="T185" i="8"/>
  <c r="R185" i="8"/>
  <c r="Q185" i="8"/>
  <c r="S185" i="8"/>
  <c r="P185" i="8"/>
  <c r="O185" i="8"/>
  <c r="M185" i="8"/>
  <c r="L185" i="8"/>
  <c r="N185" i="8"/>
  <c r="K185" i="8"/>
  <c r="J185" i="8"/>
  <c r="I185" i="8"/>
  <c r="H185" i="8"/>
  <c r="G185" i="8"/>
  <c r="F185" i="8"/>
  <c r="E185" i="8"/>
  <c r="A185" i="8"/>
  <c r="U184" i="8"/>
  <c r="T184" i="8"/>
  <c r="R184" i="8"/>
  <c r="Q184" i="8"/>
  <c r="S184" i="8"/>
  <c r="P184" i="8"/>
  <c r="O184" i="8"/>
  <c r="M184" i="8"/>
  <c r="L184" i="8"/>
  <c r="N184" i="8"/>
  <c r="K184" i="8"/>
  <c r="J184" i="8"/>
  <c r="I184" i="8"/>
  <c r="H184" i="8"/>
  <c r="G184" i="8"/>
  <c r="F184" i="8"/>
  <c r="E184" i="8"/>
  <c r="A184" i="8"/>
  <c r="U183" i="8"/>
  <c r="T183" i="8"/>
  <c r="S183" i="8"/>
  <c r="R183" i="8"/>
  <c r="P183" i="8"/>
  <c r="O183" i="8"/>
  <c r="N183" i="8"/>
  <c r="M183" i="8"/>
  <c r="K183" i="8"/>
  <c r="I183" i="8"/>
  <c r="H183" i="8"/>
  <c r="G183" i="8"/>
  <c r="F183" i="8"/>
  <c r="E183" i="8"/>
  <c r="D183" i="8"/>
  <c r="A183" i="8"/>
  <c r="U182" i="8"/>
  <c r="T182" i="8"/>
  <c r="S182" i="8"/>
  <c r="R182" i="8"/>
  <c r="P182" i="8"/>
  <c r="O182" i="8"/>
  <c r="N182" i="8"/>
  <c r="M182" i="8"/>
  <c r="K182" i="8"/>
  <c r="I182" i="8"/>
  <c r="H182" i="8"/>
  <c r="G182" i="8"/>
  <c r="F182" i="8"/>
  <c r="E182" i="8"/>
  <c r="D182" i="8"/>
  <c r="A182" i="8"/>
  <c r="U181" i="8"/>
  <c r="T181" i="8"/>
  <c r="S181" i="8"/>
  <c r="R181" i="8"/>
  <c r="P181" i="8"/>
  <c r="O181" i="8"/>
  <c r="N181" i="8"/>
  <c r="M181" i="8"/>
  <c r="K181" i="8"/>
  <c r="I181" i="8"/>
  <c r="H181" i="8"/>
  <c r="G181" i="8"/>
  <c r="F181" i="8"/>
  <c r="E181" i="8"/>
  <c r="D181" i="8"/>
  <c r="A181" i="8"/>
  <c r="U180" i="8"/>
  <c r="T180" i="8"/>
  <c r="S180" i="8"/>
  <c r="R180" i="8"/>
  <c r="P180" i="8"/>
  <c r="O180" i="8"/>
  <c r="N180" i="8"/>
  <c r="M180" i="8"/>
  <c r="K180" i="8"/>
  <c r="I180" i="8"/>
  <c r="H180" i="8"/>
  <c r="G180" i="8"/>
  <c r="F180" i="8"/>
  <c r="E180" i="8"/>
  <c r="D180" i="8"/>
  <c r="A180" i="8"/>
  <c r="U179" i="8"/>
  <c r="T179" i="8"/>
  <c r="S179" i="8"/>
  <c r="R179" i="8"/>
  <c r="P179" i="8"/>
  <c r="O179" i="8"/>
  <c r="N179" i="8"/>
  <c r="M179" i="8"/>
  <c r="K179" i="8"/>
  <c r="I179" i="8"/>
  <c r="H179" i="8"/>
  <c r="G179" i="8"/>
  <c r="F179" i="8"/>
  <c r="E179" i="8"/>
  <c r="D179" i="8"/>
  <c r="A179" i="8"/>
  <c r="U178" i="8"/>
  <c r="T178" i="8"/>
  <c r="S178" i="8"/>
  <c r="R178" i="8"/>
  <c r="P178" i="8"/>
  <c r="O178" i="8"/>
  <c r="N178" i="8"/>
  <c r="M178" i="8"/>
  <c r="K178" i="8"/>
  <c r="I178" i="8"/>
  <c r="H178" i="8"/>
  <c r="G178" i="8"/>
  <c r="F178" i="8"/>
  <c r="E178" i="8"/>
  <c r="D178" i="8"/>
  <c r="A178" i="8"/>
  <c r="U177" i="8"/>
  <c r="T177" i="8"/>
  <c r="S177" i="8"/>
  <c r="R177" i="8"/>
  <c r="P177" i="8"/>
  <c r="O177" i="8"/>
  <c r="N177" i="8"/>
  <c r="M177" i="8"/>
  <c r="K177" i="8"/>
  <c r="I177" i="8"/>
  <c r="H177" i="8"/>
  <c r="G177" i="8"/>
  <c r="F177" i="8"/>
  <c r="E177" i="8"/>
  <c r="D177" i="8"/>
  <c r="A177" i="8"/>
  <c r="U176" i="8"/>
  <c r="T176" i="8"/>
  <c r="S176" i="8"/>
  <c r="R176" i="8"/>
  <c r="P176" i="8"/>
  <c r="O176" i="8"/>
  <c r="N176" i="8"/>
  <c r="M176" i="8"/>
  <c r="K176" i="8"/>
  <c r="I176" i="8"/>
  <c r="H176" i="8"/>
  <c r="G176" i="8"/>
  <c r="F176" i="8"/>
  <c r="E176" i="8"/>
  <c r="D176" i="8"/>
  <c r="A176" i="8"/>
  <c r="U175" i="8"/>
  <c r="T175" i="8"/>
  <c r="R175" i="8"/>
  <c r="Q175" i="8"/>
  <c r="S175" i="8"/>
  <c r="P175" i="8"/>
  <c r="O175" i="8"/>
  <c r="M175" i="8"/>
  <c r="L175" i="8"/>
  <c r="N175" i="8"/>
  <c r="K175" i="8"/>
  <c r="J175" i="8"/>
  <c r="I175" i="8"/>
  <c r="H175" i="8"/>
  <c r="G175" i="8"/>
  <c r="F175" i="8"/>
  <c r="E175" i="8"/>
  <c r="A175" i="8"/>
  <c r="U174" i="8"/>
  <c r="T174" i="8"/>
  <c r="R174" i="8"/>
  <c r="Q174" i="8"/>
  <c r="S174" i="8"/>
  <c r="P174" i="8"/>
  <c r="O174" i="8"/>
  <c r="M174" i="8"/>
  <c r="L174" i="8"/>
  <c r="N174" i="8"/>
  <c r="K174" i="8"/>
  <c r="J174" i="8"/>
  <c r="I174" i="8"/>
  <c r="H174" i="8"/>
  <c r="G174" i="8"/>
  <c r="F174" i="8"/>
  <c r="E174" i="8"/>
  <c r="A174" i="8"/>
  <c r="U173" i="8"/>
  <c r="T173" i="8"/>
  <c r="R173" i="8"/>
  <c r="Q173" i="8"/>
  <c r="S173" i="8"/>
  <c r="P173" i="8"/>
  <c r="O173" i="8"/>
  <c r="M173" i="8"/>
  <c r="L173" i="8"/>
  <c r="N173" i="8"/>
  <c r="K173" i="8"/>
  <c r="J173" i="8"/>
  <c r="I173" i="8"/>
  <c r="H173" i="8"/>
  <c r="G173" i="8"/>
  <c r="F173" i="8"/>
  <c r="E173" i="8"/>
  <c r="A173" i="8"/>
  <c r="U172" i="8"/>
  <c r="T172" i="8"/>
  <c r="R172" i="8"/>
  <c r="Q172" i="8"/>
  <c r="S172" i="8"/>
  <c r="P172" i="8"/>
  <c r="O172" i="8"/>
  <c r="M172" i="8"/>
  <c r="L172" i="8"/>
  <c r="N172" i="8"/>
  <c r="K172" i="8"/>
  <c r="J172" i="8"/>
  <c r="I172" i="8"/>
  <c r="H172" i="8"/>
  <c r="G172" i="8"/>
  <c r="F172" i="8"/>
  <c r="E172" i="8"/>
  <c r="A172" i="8"/>
  <c r="U171" i="8"/>
  <c r="T171" i="8"/>
  <c r="R171" i="8"/>
  <c r="Q171" i="8"/>
  <c r="S171" i="8"/>
  <c r="P171" i="8"/>
  <c r="O171" i="8"/>
  <c r="M171" i="8"/>
  <c r="L171" i="8"/>
  <c r="N171" i="8"/>
  <c r="K171" i="8"/>
  <c r="J171" i="8"/>
  <c r="I171" i="8"/>
  <c r="H171" i="8"/>
  <c r="G171" i="8"/>
  <c r="F171" i="8"/>
  <c r="E171" i="8"/>
  <c r="A171" i="8"/>
  <c r="U170" i="8"/>
  <c r="T170" i="8"/>
  <c r="R170" i="8"/>
  <c r="Q170" i="8"/>
  <c r="S170" i="8"/>
  <c r="P170" i="8"/>
  <c r="O170" i="8"/>
  <c r="M170" i="8"/>
  <c r="L170" i="8"/>
  <c r="N170" i="8"/>
  <c r="K170" i="8"/>
  <c r="J170" i="8"/>
  <c r="I170" i="8"/>
  <c r="H170" i="8"/>
  <c r="G170" i="8"/>
  <c r="F170" i="8"/>
  <c r="E170" i="8"/>
  <c r="A170" i="8"/>
  <c r="U169" i="8"/>
  <c r="T169" i="8"/>
  <c r="S169" i="8"/>
  <c r="R169" i="8"/>
  <c r="P169" i="8"/>
  <c r="O169" i="8"/>
  <c r="N169" i="8"/>
  <c r="M169" i="8"/>
  <c r="K169" i="8"/>
  <c r="I169" i="8"/>
  <c r="H169" i="8"/>
  <c r="G169" i="8"/>
  <c r="F169" i="8"/>
  <c r="E169" i="8"/>
  <c r="D169" i="8"/>
  <c r="A169" i="8"/>
  <c r="U168" i="8"/>
  <c r="T168" i="8"/>
  <c r="R168" i="8"/>
  <c r="Q168" i="8"/>
  <c r="S168" i="8"/>
  <c r="P168" i="8"/>
  <c r="O168" i="8"/>
  <c r="M168" i="8"/>
  <c r="L168" i="8"/>
  <c r="N168" i="8"/>
  <c r="K168" i="8"/>
  <c r="J168" i="8"/>
  <c r="I168" i="8"/>
  <c r="H168" i="8"/>
  <c r="G168" i="8"/>
  <c r="F168" i="8"/>
  <c r="E168" i="8"/>
  <c r="A168" i="8"/>
  <c r="U167" i="8"/>
  <c r="T167" i="8"/>
  <c r="R167" i="8"/>
  <c r="Q167" i="8"/>
  <c r="S167" i="8"/>
  <c r="P167" i="8"/>
  <c r="O167" i="8"/>
  <c r="M167" i="8"/>
  <c r="L167" i="8"/>
  <c r="N167" i="8"/>
  <c r="K167" i="8"/>
  <c r="J167" i="8"/>
  <c r="I167" i="8"/>
  <c r="H167" i="8"/>
  <c r="G167" i="8"/>
  <c r="F167" i="8"/>
  <c r="E167" i="8"/>
  <c r="A167" i="8"/>
  <c r="U166" i="8"/>
  <c r="T166" i="8"/>
  <c r="R166" i="8"/>
  <c r="Q166" i="8"/>
  <c r="S166" i="8"/>
  <c r="P166" i="8"/>
  <c r="O166" i="8"/>
  <c r="M166" i="8"/>
  <c r="L166" i="8"/>
  <c r="N166" i="8"/>
  <c r="K166" i="8"/>
  <c r="J166" i="8"/>
  <c r="I166" i="8"/>
  <c r="H166" i="8"/>
  <c r="G166" i="8"/>
  <c r="F166" i="8"/>
  <c r="E166" i="8"/>
  <c r="A166" i="8"/>
  <c r="U165" i="8"/>
  <c r="T165" i="8"/>
  <c r="R165" i="8"/>
  <c r="Q165" i="8"/>
  <c r="S165" i="8"/>
  <c r="P165" i="8"/>
  <c r="O165" i="8"/>
  <c r="M165" i="8"/>
  <c r="L165" i="8"/>
  <c r="N165" i="8"/>
  <c r="K165" i="8"/>
  <c r="J165" i="8"/>
  <c r="I165" i="8"/>
  <c r="H165" i="8"/>
  <c r="G165" i="8"/>
  <c r="F165" i="8"/>
  <c r="E165" i="8"/>
  <c r="A165" i="8"/>
  <c r="U164" i="8"/>
  <c r="T164" i="8"/>
  <c r="R164" i="8"/>
  <c r="Q164" i="8"/>
  <c r="S164" i="8"/>
  <c r="P164" i="8"/>
  <c r="O164" i="8"/>
  <c r="M164" i="8"/>
  <c r="L164" i="8"/>
  <c r="N164" i="8"/>
  <c r="K164" i="8"/>
  <c r="J164" i="8"/>
  <c r="I164" i="8"/>
  <c r="H164" i="8"/>
  <c r="G164" i="8"/>
  <c r="F164" i="8"/>
  <c r="E164" i="8"/>
  <c r="A164" i="8"/>
  <c r="U163" i="8"/>
  <c r="T163" i="8"/>
  <c r="R163" i="8"/>
  <c r="Q163" i="8"/>
  <c r="S163" i="8"/>
  <c r="P163" i="8"/>
  <c r="O163" i="8"/>
  <c r="M163" i="8"/>
  <c r="L163" i="8"/>
  <c r="N163" i="8"/>
  <c r="K163" i="8"/>
  <c r="J163" i="8"/>
  <c r="I163" i="8"/>
  <c r="H163" i="8"/>
  <c r="G163" i="8"/>
  <c r="F163" i="8"/>
  <c r="E163" i="8"/>
  <c r="A163" i="8"/>
  <c r="U162" i="8"/>
  <c r="T162" i="8"/>
  <c r="R162" i="8"/>
  <c r="Q162" i="8"/>
  <c r="S162" i="8"/>
  <c r="P162" i="8"/>
  <c r="O162" i="8"/>
  <c r="M162" i="8"/>
  <c r="L162" i="8"/>
  <c r="N162" i="8"/>
  <c r="K162" i="8"/>
  <c r="J162" i="8"/>
  <c r="I162" i="8"/>
  <c r="H162" i="8"/>
  <c r="G162" i="8"/>
  <c r="F162" i="8"/>
  <c r="E162" i="8"/>
  <c r="A162" i="8"/>
  <c r="U161" i="8"/>
  <c r="T161" i="8"/>
  <c r="R161" i="8"/>
  <c r="Q161" i="8"/>
  <c r="S161" i="8"/>
  <c r="P161" i="8"/>
  <c r="O161" i="8"/>
  <c r="M161" i="8"/>
  <c r="L161" i="8"/>
  <c r="N161" i="8"/>
  <c r="K161" i="8"/>
  <c r="J161" i="8"/>
  <c r="I161" i="8"/>
  <c r="H161" i="8"/>
  <c r="G161" i="8"/>
  <c r="F161" i="8"/>
  <c r="E161" i="8"/>
  <c r="A161" i="8"/>
  <c r="U160" i="8"/>
  <c r="T160" i="8"/>
  <c r="R160" i="8"/>
  <c r="Q160" i="8"/>
  <c r="S160" i="8"/>
  <c r="P160" i="8"/>
  <c r="O160" i="8"/>
  <c r="M160" i="8"/>
  <c r="L160" i="8"/>
  <c r="N160" i="8"/>
  <c r="K160" i="8"/>
  <c r="J160" i="8"/>
  <c r="I160" i="8"/>
  <c r="H160" i="8"/>
  <c r="G160" i="8"/>
  <c r="F160" i="8"/>
  <c r="E160" i="8"/>
  <c r="A160" i="8"/>
  <c r="U159" i="8"/>
  <c r="T159" i="8"/>
  <c r="R159" i="8"/>
  <c r="Q159" i="8"/>
  <c r="S159" i="8"/>
  <c r="P159" i="8"/>
  <c r="O159" i="8"/>
  <c r="M159" i="8"/>
  <c r="L159" i="8"/>
  <c r="N159" i="8"/>
  <c r="K159" i="8"/>
  <c r="J159" i="8"/>
  <c r="I159" i="8"/>
  <c r="H159" i="8"/>
  <c r="G159" i="8"/>
  <c r="F159" i="8"/>
  <c r="E159" i="8"/>
  <c r="A159" i="8"/>
  <c r="U158" i="8"/>
  <c r="T158" i="8"/>
  <c r="R158" i="8"/>
  <c r="Q158" i="8"/>
  <c r="S158" i="8"/>
  <c r="P158" i="8"/>
  <c r="O158" i="8"/>
  <c r="M158" i="8"/>
  <c r="L158" i="8"/>
  <c r="N158" i="8"/>
  <c r="K158" i="8"/>
  <c r="J158" i="8"/>
  <c r="I158" i="8"/>
  <c r="H158" i="8"/>
  <c r="G158" i="8"/>
  <c r="F158" i="8"/>
  <c r="E158" i="8"/>
  <c r="A158" i="8"/>
  <c r="U157" i="8"/>
  <c r="T157" i="8"/>
  <c r="R157" i="8"/>
  <c r="Q157" i="8"/>
  <c r="S157" i="8"/>
  <c r="P157" i="8"/>
  <c r="O157" i="8"/>
  <c r="M157" i="8"/>
  <c r="L157" i="8"/>
  <c r="N157" i="8"/>
  <c r="K157" i="8"/>
  <c r="J157" i="8"/>
  <c r="I157" i="8"/>
  <c r="H157" i="8"/>
  <c r="G157" i="8"/>
  <c r="F157" i="8"/>
  <c r="E157" i="8"/>
  <c r="A157" i="8"/>
  <c r="U156" i="8"/>
  <c r="T156" i="8"/>
  <c r="R156" i="8"/>
  <c r="Q156" i="8"/>
  <c r="S156" i="8"/>
  <c r="P156" i="8"/>
  <c r="O156" i="8"/>
  <c r="M156" i="8"/>
  <c r="L156" i="8"/>
  <c r="N156" i="8"/>
  <c r="K156" i="8"/>
  <c r="J156" i="8"/>
  <c r="I156" i="8"/>
  <c r="H156" i="8"/>
  <c r="G156" i="8"/>
  <c r="F156" i="8"/>
  <c r="E156" i="8"/>
  <c r="A156" i="8"/>
  <c r="U155" i="8"/>
  <c r="T155" i="8"/>
  <c r="R155" i="8"/>
  <c r="Q155" i="8"/>
  <c r="S155" i="8"/>
  <c r="P155" i="8"/>
  <c r="O155" i="8"/>
  <c r="M155" i="8"/>
  <c r="L155" i="8"/>
  <c r="N155" i="8"/>
  <c r="K155" i="8"/>
  <c r="J155" i="8"/>
  <c r="I155" i="8"/>
  <c r="H155" i="8"/>
  <c r="G155" i="8"/>
  <c r="F155" i="8"/>
  <c r="E155" i="8"/>
  <c r="A155" i="8"/>
  <c r="U154" i="8"/>
  <c r="T154" i="8"/>
  <c r="R154" i="8"/>
  <c r="Q154" i="8"/>
  <c r="S154" i="8"/>
  <c r="P154" i="8"/>
  <c r="O154" i="8"/>
  <c r="M154" i="8"/>
  <c r="L154" i="8"/>
  <c r="N154" i="8"/>
  <c r="K154" i="8"/>
  <c r="J154" i="8"/>
  <c r="I154" i="8"/>
  <c r="H154" i="8"/>
  <c r="G154" i="8"/>
  <c r="F154" i="8"/>
  <c r="E154" i="8"/>
  <c r="A154" i="8"/>
  <c r="U153" i="8"/>
  <c r="T153" i="8"/>
  <c r="R153" i="8"/>
  <c r="Q153" i="8"/>
  <c r="S153" i="8"/>
  <c r="P153" i="8"/>
  <c r="O153" i="8"/>
  <c r="M153" i="8"/>
  <c r="L153" i="8"/>
  <c r="N153" i="8"/>
  <c r="K153" i="8"/>
  <c r="J153" i="8"/>
  <c r="I153" i="8"/>
  <c r="H153" i="8"/>
  <c r="G153" i="8"/>
  <c r="F153" i="8"/>
  <c r="E153" i="8"/>
  <c r="A153" i="8"/>
  <c r="U152" i="8"/>
  <c r="T152" i="8"/>
  <c r="R152" i="8"/>
  <c r="Q152" i="8"/>
  <c r="S152" i="8"/>
  <c r="P152" i="8"/>
  <c r="O152" i="8"/>
  <c r="M152" i="8"/>
  <c r="L152" i="8"/>
  <c r="N152" i="8"/>
  <c r="K152" i="8"/>
  <c r="J152" i="8"/>
  <c r="I152" i="8"/>
  <c r="H152" i="8"/>
  <c r="G152" i="8"/>
  <c r="F152" i="8"/>
  <c r="E152" i="8"/>
  <c r="A152" i="8"/>
  <c r="U151" i="8"/>
  <c r="T151" i="8"/>
  <c r="R151" i="8"/>
  <c r="Q151" i="8"/>
  <c r="S151" i="8"/>
  <c r="P151" i="8"/>
  <c r="O151" i="8"/>
  <c r="M151" i="8"/>
  <c r="L151" i="8"/>
  <c r="N151" i="8"/>
  <c r="K151" i="8"/>
  <c r="J151" i="8"/>
  <c r="I151" i="8"/>
  <c r="H151" i="8"/>
  <c r="G151" i="8"/>
  <c r="F151" i="8"/>
  <c r="E151" i="8"/>
  <c r="A151" i="8"/>
  <c r="U150" i="8"/>
  <c r="T150" i="8"/>
  <c r="R150" i="8"/>
  <c r="Q150" i="8"/>
  <c r="S150" i="8"/>
  <c r="P150" i="8"/>
  <c r="O150" i="8"/>
  <c r="M150" i="8"/>
  <c r="L150" i="8"/>
  <c r="N150" i="8"/>
  <c r="K150" i="8"/>
  <c r="J150" i="8"/>
  <c r="I150" i="8"/>
  <c r="H150" i="8"/>
  <c r="G150" i="8"/>
  <c r="F150" i="8"/>
  <c r="E150" i="8"/>
  <c r="A150" i="8"/>
  <c r="U149" i="8"/>
  <c r="T149" i="8"/>
  <c r="R149" i="8"/>
  <c r="Q149" i="8"/>
  <c r="S149" i="8"/>
  <c r="P149" i="8"/>
  <c r="O149" i="8"/>
  <c r="M149" i="8"/>
  <c r="L149" i="8"/>
  <c r="N149" i="8"/>
  <c r="K149" i="8"/>
  <c r="J149" i="8"/>
  <c r="I149" i="8"/>
  <c r="H149" i="8"/>
  <c r="G149" i="8"/>
  <c r="F149" i="8"/>
  <c r="E149" i="8"/>
  <c r="A149" i="8"/>
  <c r="U148" i="8"/>
  <c r="T148" i="8"/>
  <c r="R148" i="8"/>
  <c r="Q148" i="8"/>
  <c r="S148" i="8"/>
  <c r="P148" i="8"/>
  <c r="O148" i="8"/>
  <c r="M148" i="8"/>
  <c r="L148" i="8"/>
  <c r="N148" i="8"/>
  <c r="K148" i="8"/>
  <c r="J148" i="8"/>
  <c r="I148" i="8"/>
  <c r="H148" i="8"/>
  <c r="G148" i="8"/>
  <c r="F148" i="8"/>
  <c r="E148" i="8"/>
  <c r="A148" i="8"/>
  <c r="U147" i="8"/>
  <c r="T147" i="8"/>
  <c r="R147" i="8"/>
  <c r="Q147" i="8"/>
  <c r="S147" i="8"/>
  <c r="P147" i="8"/>
  <c r="O147" i="8"/>
  <c r="M147" i="8"/>
  <c r="L147" i="8"/>
  <c r="N147" i="8"/>
  <c r="K147" i="8"/>
  <c r="J147" i="8"/>
  <c r="I147" i="8"/>
  <c r="H147" i="8"/>
  <c r="G147" i="8"/>
  <c r="F147" i="8"/>
  <c r="E147" i="8"/>
  <c r="A147" i="8"/>
  <c r="U146" i="8"/>
  <c r="T146" i="8"/>
  <c r="R146" i="8"/>
  <c r="Q146" i="8"/>
  <c r="S146" i="8"/>
  <c r="P146" i="8"/>
  <c r="O146" i="8"/>
  <c r="M146" i="8"/>
  <c r="L146" i="8"/>
  <c r="N146" i="8"/>
  <c r="K146" i="8"/>
  <c r="J146" i="8"/>
  <c r="I146" i="8"/>
  <c r="H146" i="8"/>
  <c r="G146" i="8"/>
  <c r="F146" i="8"/>
  <c r="E146" i="8"/>
  <c r="A146" i="8"/>
  <c r="G145" i="8"/>
  <c r="A145" i="8"/>
  <c r="U144" i="8"/>
  <c r="T144" i="8"/>
  <c r="R144" i="8"/>
  <c r="Q144" i="8"/>
  <c r="S144" i="8"/>
  <c r="P144" i="8"/>
  <c r="O144" i="8"/>
  <c r="M144" i="8"/>
  <c r="L144" i="8"/>
  <c r="N144" i="8"/>
  <c r="K144" i="8"/>
  <c r="J144" i="8"/>
  <c r="I144" i="8"/>
  <c r="H144" i="8"/>
  <c r="G144" i="8"/>
  <c r="F144" i="8"/>
  <c r="E144" i="8"/>
  <c r="A144" i="8"/>
  <c r="U143" i="8"/>
  <c r="T143" i="8"/>
  <c r="R143" i="8"/>
  <c r="Q143" i="8"/>
  <c r="S143" i="8"/>
  <c r="P143" i="8"/>
  <c r="O143" i="8"/>
  <c r="M143" i="8"/>
  <c r="L143" i="8"/>
  <c r="N143" i="8"/>
  <c r="K143" i="8"/>
  <c r="J143" i="8"/>
  <c r="I143" i="8"/>
  <c r="H143" i="8"/>
  <c r="G143" i="8"/>
  <c r="F143" i="8"/>
  <c r="E143" i="8"/>
  <c r="A143" i="8"/>
  <c r="U142" i="8"/>
  <c r="T142" i="8"/>
  <c r="R142" i="8"/>
  <c r="Q142" i="8"/>
  <c r="S142" i="8"/>
  <c r="P142" i="8"/>
  <c r="O142" i="8"/>
  <c r="M142" i="8"/>
  <c r="L142" i="8"/>
  <c r="N142" i="8"/>
  <c r="K142" i="8"/>
  <c r="J142" i="8"/>
  <c r="I142" i="8"/>
  <c r="H142" i="8"/>
  <c r="G142" i="8"/>
  <c r="F142" i="8"/>
  <c r="E142" i="8"/>
  <c r="A142" i="8"/>
  <c r="U141" i="8"/>
  <c r="T141" i="8"/>
  <c r="R141" i="8"/>
  <c r="Q141" i="8"/>
  <c r="S141" i="8"/>
  <c r="P141" i="8"/>
  <c r="O141" i="8"/>
  <c r="M141" i="8"/>
  <c r="L141" i="8"/>
  <c r="N141" i="8"/>
  <c r="K141" i="8"/>
  <c r="J141" i="8"/>
  <c r="I141" i="8"/>
  <c r="H141" i="8"/>
  <c r="G141" i="8"/>
  <c r="F141" i="8"/>
  <c r="E141" i="8"/>
  <c r="A141" i="8"/>
  <c r="U140" i="8"/>
  <c r="T140" i="8"/>
  <c r="R140" i="8"/>
  <c r="Q140" i="8"/>
  <c r="S140" i="8"/>
  <c r="P140" i="8"/>
  <c r="O140" i="8"/>
  <c r="M140" i="8"/>
  <c r="L140" i="8"/>
  <c r="N140" i="8"/>
  <c r="K140" i="8"/>
  <c r="J140" i="8"/>
  <c r="I140" i="8"/>
  <c r="H140" i="8"/>
  <c r="G140" i="8"/>
  <c r="F140" i="8"/>
  <c r="E140" i="8"/>
  <c r="A140" i="8"/>
  <c r="U139" i="8"/>
  <c r="T139" i="8"/>
  <c r="R139" i="8"/>
  <c r="Q139" i="8"/>
  <c r="S139" i="8"/>
  <c r="P139" i="8"/>
  <c r="O139" i="8"/>
  <c r="M139" i="8"/>
  <c r="L139" i="8"/>
  <c r="N139" i="8"/>
  <c r="K139" i="8"/>
  <c r="J139" i="8"/>
  <c r="I139" i="8"/>
  <c r="H139" i="8"/>
  <c r="G139" i="8"/>
  <c r="F139" i="8"/>
  <c r="E139" i="8"/>
  <c r="A139" i="8"/>
  <c r="U138" i="8"/>
  <c r="T138" i="8"/>
  <c r="R138" i="8"/>
  <c r="Q138" i="8"/>
  <c r="S138" i="8"/>
  <c r="P138" i="8"/>
  <c r="O138" i="8"/>
  <c r="M138" i="8"/>
  <c r="L138" i="8"/>
  <c r="N138" i="8"/>
  <c r="K138" i="8"/>
  <c r="J138" i="8"/>
  <c r="I138" i="8"/>
  <c r="H138" i="8"/>
  <c r="G138" i="8"/>
  <c r="F138" i="8"/>
  <c r="E138" i="8"/>
  <c r="A138" i="8"/>
  <c r="U137" i="8"/>
  <c r="T137" i="8"/>
  <c r="R137" i="8"/>
  <c r="Q137" i="8"/>
  <c r="S137" i="8"/>
  <c r="P137" i="8"/>
  <c r="O137" i="8"/>
  <c r="M137" i="8"/>
  <c r="L137" i="8"/>
  <c r="N137" i="8"/>
  <c r="K137" i="8"/>
  <c r="J137" i="8"/>
  <c r="I137" i="8"/>
  <c r="H137" i="8"/>
  <c r="G137" i="8"/>
  <c r="F137" i="8"/>
  <c r="E137" i="8"/>
  <c r="A137" i="8"/>
  <c r="U136" i="8"/>
  <c r="T136" i="8"/>
  <c r="S136" i="8"/>
  <c r="R136" i="8"/>
  <c r="P136" i="8"/>
  <c r="O136" i="8"/>
  <c r="N136" i="8"/>
  <c r="M136" i="8"/>
  <c r="K136" i="8"/>
  <c r="I136" i="8"/>
  <c r="H136" i="8"/>
  <c r="G136" i="8"/>
  <c r="F136" i="8"/>
  <c r="E136" i="8"/>
  <c r="D136" i="8"/>
  <c r="A136" i="8"/>
  <c r="U135" i="8"/>
  <c r="T135" i="8"/>
  <c r="S135" i="8"/>
  <c r="R135" i="8"/>
  <c r="P135" i="8"/>
  <c r="O135" i="8"/>
  <c r="N135" i="8"/>
  <c r="M135" i="8"/>
  <c r="K135" i="8"/>
  <c r="I135" i="8"/>
  <c r="H135" i="8"/>
  <c r="G135" i="8"/>
  <c r="F135" i="8"/>
  <c r="E135" i="8"/>
  <c r="D135" i="8"/>
  <c r="A135" i="8"/>
  <c r="U134" i="8"/>
  <c r="T134" i="8"/>
  <c r="S134" i="8"/>
  <c r="R134" i="8"/>
  <c r="P134" i="8"/>
  <c r="O134" i="8"/>
  <c r="N134" i="8"/>
  <c r="M134" i="8"/>
  <c r="K134" i="8"/>
  <c r="I134" i="8"/>
  <c r="H134" i="8"/>
  <c r="G134" i="8"/>
  <c r="F134" i="8"/>
  <c r="E134" i="8"/>
  <c r="D134" i="8"/>
  <c r="A134" i="8"/>
  <c r="U133" i="8"/>
  <c r="T133" i="8"/>
  <c r="S133" i="8"/>
  <c r="R133" i="8"/>
  <c r="P133" i="8"/>
  <c r="O133" i="8"/>
  <c r="N133" i="8"/>
  <c r="M133" i="8"/>
  <c r="K133" i="8"/>
  <c r="I133" i="8"/>
  <c r="H133" i="8"/>
  <c r="G133" i="8"/>
  <c r="F133" i="8"/>
  <c r="E133" i="8"/>
  <c r="D133" i="8"/>
  <c r="A133" i="8"/>
  <c r="U132" i="8"/>
  <c r="T132" i="8"/>
  <c r="S132" i="8"/>
  <c r="R132" i="8"/>
  <c r="P132" i="8"/>
  <c r="O132" i="8"/>
  <c r="N132" i="8"/>
  <c r="M132" i="8"/>
  <c r="K132" i="8"/>
  <c r="I132" i="8"/>
  <c r="H132" i="8"/>
  <c r="G132" i="8"/>
  <c r="F132" i="8"/>
  <c r="E132" i="8"/>
  <c r="D132" i="8"/>
  <c r="A132" i="8"/>
  <c r="U131" i="8"/>
  <c r="T131" i="8"/>
  <c r="S131" i="8"/>
  <c r="R131" i="8"/>
  <c r="P131" i="8"/>
  <c r="O131" i="8"/>
  <c r="N131" i="8"/>
  <c r="M131" i="8"/>
  <c r="K131" i="8"/>
  <c r="I131" i="8"/>
  <c r="H131" i="8"/>
  <c r="G131" i="8"/>
  <c r="F131" i="8"/>
  <c r="E131" i="8"/>
  <c r="D131" i="8"/>
  <c r="A131" i="8"/>
  <c r="U130" i="8"/>
  <c r="T130" i="8"/>
  <c r="S130" i="8"/>
  <c r="R130" i="8"/>
  <c r="P130" i="8"/>
  <c r="O130" i="8"/>
  <c r="N130" i="8"/>
  <c r="M130" i="8"/>
  <c r="K130" i="8"/>
  <c r="I130" i="8"/>
  <c r="H130" i="8"/>
  <c r="G130" i="8"/>
  <c r="F130" i="8"/>
  <c r="E130" i="8"/>
  <c r="D130" i="8"/>
  <c r="A130" i="8"/>
  <c r="U129" i="8"/>
  <c r="T129" i="8"/>
  <c r="R129" i="8"/>
  <c r="Q129" i="8"/>
  <c r="S129" i="8"/>
  <c r="P129" i="8"/>
  <c r="O129" i="8"/>
  <c r="M129" i="8"/>
  <c r="L129" i="8"/>
  <c r="N129" i="8"/>
  <c r="K129" i="8"/>
  <c r="J129" i="8"/>
  <c r="I129" i="8"/>
  <c r="H129" i="8"/>
  <c r="G129" i="8"/>
  <c r="F129" i="8"/>
  <c r="E129" i="8"/>
  <c r="A129" i="8"/>
  <c r="U128" i="8"/>
  <c r="T128" i="8"/>
  <c r="R128" i="8"/>
  <c r="Q128" i="8"/>
  <c r="S128" i="8"/>
  <c r="P128" i="8"/>
  <c r="O128" i="8"/>
  <c r="M128" i="8"/>
  <c r="L128" i="8"/>
  <c r="N128" i="8"/>
  <c r="K128" i="8"/>
  <c r="J128" i="8"/>
  <c r="I128" i="8"/>
  <c r="H128" i="8"/>
  <c r="G128" i="8"/>
  <c r="F128" i="8"/>
  <c r="E128" i="8"/>
  <c r="A128" i="8"/>
  <c r="U127" i="8"/>
  <c r="T127" i="8"/>
  <c r="R127" i="8"/>
  <c r="Q127" i="8"/>
  <c r="S127" i="8"/>
  <c r="P127" i="8"/>
  <c r="O127" i="8"/>
  <c r="M127" i="8"/>
  <c r="L127" i="8"/>
  <c r="N127" i="8"/>
  <c r="K127" i="8"/>
  <c r="J127" i="8"/>
  <c r="I127" i="8"/>
  <c r="H127" i="8"/>
  <c r="G127" i="8"/>
  <c r="F127" i="8"/>
  <c r="E127" i="8"/>
  <c r="A127" i="8"/>
  <c r="U126" i="8"/>
  <c r="T126" i="8"/>
  <c r="R126" i="8"/>
  <c r="Q126" i="8"/>
  <c r="S126" i="8"/>
  <c r="P126" i="8"/>
  <c r="O126" i="8"/>
  <c r="M126" i="8"/>
  <c r="L126" i="8"/>
  <c r="N126" i="8"/>
  <c r="K126" i="8"/>
  <c r="J126" i="8"/>
  <c r="I126" i="8"/>
  <c r="H126" i="8"/>
  <c r="G126" i="8"/>
  <c r="F126" i="8"/>
  <c r="E126" i="8"/>
  <c r="A126" i="8"/>
  <c r="U125" i="8"/>
  <c r="T125" i="8"/>
  <c r="R125" i="8"/>
  <c r="Q125" i="8"/>
  <c r="S125" i="8"/>
  <c r="P125" i="8"/>
  <c r="O125" i="8"/>
  <c r="M125" i="8"/>
  <c r="L125" i="8"/>
  <c r="N125" i="8"/>
  <c r="K125" i="8"/>
  <c r="J125" i="8"/>
  <c r="I125" i="8"/>
  <c r="H125" i="8"/>
  <c r="G125" i="8"/>
  <c r="F125" i="8"/>
  <c r="E125" i="8"/>
  <c r="A125" i="8"/>
  <c r="U124" i="8"/>
  <c r="T124" i="8"/>
  <c r="R124" i="8"/>
  <c r="Q124" i="8"/>
  <c r="S124" i="8"/>
  <c r="P124" i="8"/>
  <c r="O124" i="8"/>
  <c r="M124" i="8"/>
  <c r="L124" i="8"/>
  <c r="N124" i="8"/>
  <c r="K124" i="8"/>
  <c r="J124" i="8"/>
  <c r="I124" i="8"/>
  <c r="H124" i="8"/>
  <c r="G124" i="8"/>
  <c r="F124" i="8"/>
  <c r="E124" i="8"/>
  <c r="A124" i="8"/>
  <c r="U123" i="8"/>
  <c r="T123" i="8"/>
  <c r="R123" i="8"/>
  <c r="Q123" i="8"/>
  <c r="S123" i="8"/>
  <c r="P123" i="8"/>
  <c r="O123" i="8"/>
  <c r="M123" i="8"/>
  <c r="L123" i="8"/>
  <c r="N123" i="8"/>
  <c r="K123" i="8"/>
  <c r="J123" i="8"/>
  <c r="I123" i="8"/>
  <c r="H123" i="8"/>
  <c r="G123" i="8"/>
  <c r="F123" i="8"/>
  <c r="E123" i="8"/>
  <c r="A123" i="8"/>
  <c r="U122" i="8"/>
  <c r="T122" i="8"/>
  <c r="S122" i="8"/>
  <c r="R122" i="8"/>
  <c r="P122" i="8"/>
  <c r="O122" i="8"/>
  <c r="N122" i="8"/>
  <c r="M122" i="8"/>
  <c r="K122" i="8"/>
  <c r="I122" i="8"/>
  <c r="H122" i="8"/>
  <c r="G122" i="8"/>
  <c r="F122" i="8"/>
  <c r="E122" i="8"/>
  <c r="D122" i="8"/>
  <c r="A122" i="8"/>
  <c r="U121" i="8"/>
  <c r="T121" i="8"/>
  <c r="R121" i="8"/>
  <c r="Q121" i="8"/>
  <c r="S121" i="8"/>
  <c r="P121" i="8"/>
  <c r="O121" i="8"/>
  <c r="M121" i="8"/>
  <c r="L121" i="8"/>
  <c r="N121" i="8"/>
  <c r="K121" i="8"/>
  <c r="J121" i="8"/>
  <c r="I121" i="8"/>
  <c r="H121" i="8"/>
  <c r="G121" i="8"/>
  <c r="F121" i="8"/>
  <c r="E121" i="8"/>
  <c r="A121" i="8"/>
  <c r="U120" i="8"/>
  <c r="T120" i="8"/>
  <c r="R120" i="8"/>
  <c r="Q120" i="8"/>
  <c r="S120" i="8"/>
  <c r="P120" i="8"/>
  <c r="O120" i="8"/>
  <c r="M120" i="8"/>
  <c r="L120" i="8"/>
  <c r="N120" i="8"/>
  <c r="K120" i="8"/>
  <c r="J120" i="8"/>
  <c r="I120" i="8"/>
  <c r="H120" i="8"/>
  <c r="G120" i="8"/>
  <c r="F120" i="8"/>
  <c r="E120" i="8"/>
  <c r="A120" i="8"/>
  <c r="U119" i="8"/>
  <c r="T119" i="8"/>
  <c r="R119" i="8"/>
  <c r="Q119" i="8"/>
  <c r="S119" i="8"/>
  <c r="P119" i="8"/>
  <c r="O119" i="8"/>
  <c r="M119" i="8"/>
  <c r="L119" i="8"/>
  <c r="N119" i="8"/>
  <c r="K119" i="8"/>
  <c r="J119" i="8"/>
  <c r="I119" i="8"/>
  <c r="H119" i="8"/>
  <c r="G119" i="8"/>
  <c r="F119" i="8"/>
  <c r="E119" i="8"/>
  <c r="A119" i="8"/>
  <c r="U118" i="8"/>
  <c r="T118" i="8"/>
  <c r="R118" i="8"/>
  <c r="Q118" i="8"/>
  <c r="S118" i="8"/>
  <c r="P118" i="8"/>
  <c r="O118" i="8"/>
  <c r="M118" i="8"/>
  <c r="L118" i="8"/>
  <c r="N118" i="8"/>
  <c r="K118" i="8"/>
  <c r="J118" i="8"/>
  <c r="I118" i="8"/>
  <c r="H118" i="8"/>
  <c r="G118" i="8"/>
  <c r="F118" i="8"/>
  <c r="E118" i="8"/>
  <c r="A118" i="8"/>
  <c r="U117" i="8"/>
  <c r="T117" i="8"/>
  <c r="R117" i="8"/>
  <c r="Q117" i="8"/>
  <c r="S117" i="8"/>
  <c r="P117" i="8"/>
  <c r="O117" i="8"/>
  <c r="M117" i="8"/>
  <c r="L117" i="8"/>
  <c r="N117" i="8"/>
  <c r="K117" i="8"/>
  <c r="J117" i="8"/>
  <c r="I117" i="8"/>
  <c r="H117" i="8"/>
  <c r="G117" i="8"/>
  <c r="F117" i="8"/>
  <c r="E117" i="8"/>
  <c r="A117" i="8"/>
  <c r="U116" i="8"/>
  <c r="T116" i="8"/>
  <c r="R116" i="8"/>
  <c r="Q116" i="8"/>
  <c r="S116" i="8"/>
  <c r="P116" i="8"/>
  <c r="O116" i="8"/>
  <c r="M116" i="8"/>
  <c r="L116" i="8"/>
  <c r="N116" i="8"/>
  <c r="K116" i="8"/>
  <c r="J116" i="8"/>
  <c r="I116" i="8"/>
  <c r="H116" i="8"/>
  <c r="G116" i="8"/>
  <c r="F116" i="8"/>
  <c r="E116" i="8"/>
  <c r="A116" i="8"/>
  <c r="U115" i="8"/>
  <c r="T115" i="8"/>
  <c r="S115" i="8"/>
  <c r="R115" i="8"/>
  <c r="P115" i="8"/>
  <c r="O115" i="8"/>
  <c r="N115" i="8"/>
  <c r="M115" i="8"/>
  <c r="K115" i="8"/>
  <c r="I115" i="8"/>
  <c r="H115" i="8"/>
  <c r="G115" i="8"/>
  <c r="F115" i="8"/>
  <c r="E115" i="8"/>
  <c r="D115" i="8"/>
  <c r="A115" i="8"/>
  <c r="U114" i="8"/>
  <c r="T114" i="8"/>
  <c r="R114" i="8"/>
  <c r="Q114" i="8"/>
  <c r="S114" i="8"/>
  <c r="P114" i="8"/>
  <c r="O114" i="8"/>
  <c r="M114" i="8"/>
  <c r="L114" i="8"/>
  <c r="N114" i="8"/>
  <c r="K114" i="8"/>
  <c r="J114" i="8"/>
  <c r="I114" i="8"/>
  <c r="H114" i="8"/>
  <c r="G114" i="8"/>
  <c r="F114" i="8"/>
  <c r="E114" i="8"/>
  <c r="A114" i="8"/>
  <c r="U113" i="8"/>
  <c r="T113" i="8"/>
  <c r="R113" i="8"/>
  <c r="Q113" i="8"/>
  <c r="S113" i="8"/>
  <c r="P113" i="8"/>
  <c r="O113" i="8"/>
  <c r="M113" i="8"/>
  <c r="L113" i="8"/>
  <c r="N113" i="8"/>
  <c r="K113" i="8"/>
  <c r="J113" i="8"/>
  <c r="I113" i="8"/>
  <c r="H113" i="8"/>
  <c r="G113" i="8"/>
  <c r="F113" i="8"/>
  <c r="E113" i="8"/>
  <c r="A113" i="8"/>
  <c r="U112" i="8"/>
  <c r="T112" i="8"/>
  <c r="R112" i="8"/>
  <c r="Q112" i="8"/>
  <c r="S112" i="8"/>
  <c r="P112" i="8"/>
  <c r="O112" i="8"/>
  <c r="M112" i="8"/>
  <c r="L112" i="8"/>
  <c r="N112" i="8"/>
  <c r="K112" i="8"/>
  <c r="J112" i="8"/>
  <c r="I112" i="8"/>
  <c r="H112" i="8"/>
  <c r="G112" i="8"/>
  <c r="F112" i="8"/>
  <c r="E112" i="8"/>
  <c r="A112" i="8"/>
  <c r="U111" i="8"/>
  <c r="T111" i="8"/>
  <c r="R111" i="8"/>
  <c r="Q111" i="8"/>
  <c r="S111" i="8"/>
  <c r="P111" i="8"/>
  <c r="O111" i="8"/>
  <c r="M111" i="8"/>
  <c r="L111" i="8"/>
  <c r="N111" i="8"/>
  <c r="K111" i="8"/>
  <c r="J111" i="8"/>
  <c r="I111" i="8"/>
  <c r="H111" i="8"/>
  <c r="G111" i="8"/>
  <c r="F111" i="8"/>
  <c r="E111" i="8"/>
  <c r="A111" i="8"/>
  <c r="U110" i="8"/>
  <c r="T110" i="8"/>
  <c r="R110" i="8"/>
  <c r="Q110" i="8"/>
  <c r="S110" i="8"/>
  <c r="P110" i="8"/>
  <c r="O110" i="8"/>
  <c r="M110" i="8"/>
  <c r="L110" i="8"/>
  <c r="N110" i="8"/>
  <c r="K110" i="8"/>
  <c r="J110" i="8"/>
  <c r="I110" i="8"/>
  <c r="H110" i="8"/>
  <c r="G110" i="8"/>
  <c r="F110" i="8"/>
  <c r="E110" i="8"/>
  <c r="A110" i="8"/>
  <c r="U109" i="8"/>
  <c r="T109" i="8"/>
  <c r="R109" i="8"/>
  <c r="Q109" i="8"/>
  <c r="S109" i="8"/>
  <c r="P109" i="8"/>
  <c r="O109" i="8"/>
  <c r="M109" i="8"/>
  <c r="L109" i="8"/>
  <c r="N109" i="8"/>
  <c r="K109" i="8"/>
  <c r="J109" i="8"/>
  <c r="I109" i="8"/>
  <c r="H109" i="8"/>
  <c r="G109" i="8"/>
  <c r="F109" i="8"/>
  <c r="E109" i="8"/>
  <c r="A109" i="8"/>
  <c r="U108" i="8"/>
  <c r="T108" i="8"/>
  <c r="R108" i="8"/>
  <c r="Q108" i="8"/>
  <c r="S108" i="8"/>
  <c r="P108" i="8"/>
  <c r="O108" i="8"/>
  <c r="M108" i="8"/>
  <c r="L108" i="8"/>
  <c r="N108" i="8"/>
  <c r="K108" i="8"/>
  <c r="J108" i="8"/>
  <c r="I108" i="8"/>
  <c r="H108" i="8"/>
  <c r="G108" i="8"/>
  <c r="F108" i="8"/>
  <c r="E108" i="8"/>
  <c r="A108" i="8"/>
  <c r="U107" i="8"/>
  <c r="T107" i="8"/>
  <c r="R107" i="8"/>
  <c r="Q107" i="8"/>
  <c r="S107" i="8"/>
  <c r="P107" i="8"/>
  <c r="O107" i="8"/>
  <c r="M107" i="8"/>
  <c r="L107" i="8"/>
  <c r="N107" i="8"/>
  <c r="K107" i="8"/>
  <c r="J107" i="8"/>
  <c r="I107" i="8"/>
  <c r="H107" i="8"/>
  <c r="G107" i="8"/>
  <c r="F107" i="8"/>
  <c r="E107" i="8"/>
  <c r="A107" i="8"/>
  <c r="U106" i="8"/>
  <c r="T106" i="8"/>
  <c r="R106" i="8"/>
  <c r="Q106" i="8"/>
  <c r="S106" i="8"/>
  <c r="P106" i="8"/>
  <c r="O106" i="8"/>
  <c r="M106" i="8"/>
  <c r="L106" i="8"/>
  <c r="N106" i="8"/>
  <c r="K106" i="8"/>
  <c r="J106" i="8"/>
  <c r="I106" i="8"/>
  <c r="H106" i="8"/>
  <c r="G106" i="8"/>
  <c r="F106" i="8"/>
  <c r="E106" i="8"/>
  <c r="A106" i="8"/>
  <c r="U105" i="8"/>
  <c r="T105" i="8"/>
  <c r="R105" i="8"/>
  <c r="Q105" i="8"/>
  <c r="S105" i="8"/>
  <c r="P105" i="8"/>
  <c r="O105" i="8"/>
  <c r="M105" i="8"/>
  <c r="L105" i="8"/>
  <c r="N105" i="8"/>
  <c r="K105" i="8"/>
  <c r="J105" i="8"/>
  <c r="I105" i="8"/>
  <c r="H105" i="8"/>
  <c r="G105" i="8"/>
  <c r="F105" i="8"/>
  <c r="E105" i="8"/>
  <c r="A105" i="8"/>
  <c r="U104" i="8"/>
  <c r="T104" i="8"/>
  <c r="R104" i="8"/>
  <c r="Q104" i="8"/>
  <c r="S104" i="8"/>
  <c r="P104" i="8"/>
  <c r="O104" i="8"/>
  <c r="M104" i="8"/>
  <c r="L104" i="8"/>
  <c r="N104" i="8"/>
  <c r="K104" i="8"/>
  <c r="J104" i="8"/>
  <c r="I104" i="8"/>
  <c r="H104" i="8"/>
  <c r="G104" i="8"/>
  <c r="F104" i="8"/>
  <c r="E104" i="8"/>
  <c r="A104" i="8"/>
  <c r="U103" i="8"/>
  <c r="T103" i="8"/>
  <c r="R103" i="8"/>
  <c r="Q103" i="8"/>
  <c r="S103" i="8"/>
  <c r="P103" i="8"/>
  <c r="O103" i="8"/>
  <c r="M103" i="8"/>
  <c r="L103" i="8"/>
  <c r="N103" i="8"/>
  <c r="K103" i="8"/>
  <c r="J103" i="8"/>
  <c r="I103" i="8"/>
  <c r="H103" i="8"/>
  <c r="G103" i="8"/>
  <c r="F103" i="8"/>
  <c r="E103" i="8"/>
  <c r="A103" i="8"/>
  <c r="U102" i="8"/>
  <c r="T102" i="8"/>
  <c r="R102" i="8"/>
  <c r="Q102" i="8"/>
  <c r="S102" i="8"/>
  <c r="P102" i="8"/>
  <c r="O102" i="8"/>
  <c r="M102" i="8"/>
  <c r="L102" i="8"/>
  <c r="N102" i="8"/>
  <c r="K102" i="8"/>
  <c r="J102" i="8"/>
  <c r="I102" i="8"/>
  <c r="H102" i="8"/>
  <c r="G102" i="8"/>
  <c r="F102" i="8"/>
  <c r="E102" i="8"/>
  <c r="A102" i="8"/>
  <c r="U101" i="8"/>
  <c r="T101" i="8"/>
  <c r="R101" i="8"/>
  <c r="Q101" i="8"/>
  <c r="S101" i="8"/>
  <c r="P101" i="8"/>
  <c r="O101" i="8"/>
  <c r="M101" i="8"/>
  <c r="L101" i="8"/>
  <c r="N101" i="8"/>
  <c r="K101" i="8"/>
  <c r="J101" i="8"/>
  <c r="I101" i="8"/>
  <c r="H101" i="8"/>
  <c r="G101" i="8"/>
  <c r="F101" i="8"/>
  <c r="E101" i="8"/>
  <c r="A101" i="8"/>
  <c r="U100" i="8"/>
  <c r="T100" i="8"/>
  <c r="R100" i="8"/>
  <c r="Q100" i="8"/>
  <c r="S100" i="8"/>
  <c r="P100" i="8"/>
  <c r="O100" i="8"/>
  <c r="M100" i="8"/>
  <c r="L100" i="8"/>
  <c r="N100" i="8"/>
  <c r="K100" i="8"/>
  <c r="J100" i="8"/>
  <c r="I100" i="8"/>
  <c r="H100" i="8"/>
  <c r="G100" i="8"/>
  <c r="F100" i="8"/>
  <c r="E100" i="8"/>
  <c r="A100" i="8"/>
  <c r="U99" i="8"/>
  <c r="T99" i="8"/>
  <c r="R99" i="8"/>
  <c r="Q99" i="8"/>
  <c r="S99" i="8"/>
  <c r="P99" i="8"/>
  <c r="O99" i="8"/>
  <c r="M99" i="8"/>
  <c r="L99" i="8"/>
  <c r="N99" i="8"/>
  <c r="K99" i="8"/>
  <c r="J99" i="8"/>
  <c r="I99" i="8"/>
  <c r="H99" i="8"/>
  <c r="G99" i="8"/>
  <c r="F99" i="8"/>
  <c r="E99" i="8"/>
  <c r="A99" i="8"/>
  <c r="U98" i="8"/>
  <c r="T98" i="8"/>
  <c r="R98" i="8"/>
  <c r="Q98" i="8"/>
  <c r="S98" i="8"/>
  <c r="P98" i="8"/>
  <c r="O98" i="8"/>
  <c r="M98" i="8"/>
  <c r="L98" i="8"/>
  <c r="N98" i="8"/>
  <c r="K98" i="8"/>
  <c r="J98" i="8"/>
  <c r="I98" i="8"/>
  <c r="H98" i="8"/>
  <c r="G98" i="8"/>
  <c r="F98" i="8"/>
  <c r="E98" i="8"/>
  <c r="A98" i="8"/>
  <c r="U97" i="8"/>
  <c r="T97" i="8"/>
  <c r="R97" i="8"/>
  <c r="Q97" i="8"/>
  <c r="S97" i="8"/>
  <c r="P97" i="8"/>
  <c r="O97" i="8"/>
  <c r="M97" i="8"/>
  <c r="L97" i="8"/>
  <c r="N97" i="8"/>
  <c r="K97" i="8"/>
  <c r="J97" i="8"/>
  <c r="I97" i="8"/>
  <c r="H97" i="8"/>
  <c r="G97" i="8"/>
  <c r="F97" i="8"/>
  <c r="E97" i="8"/>
  <c r="A97" i="8"/>
  <c r="U96" i="8"/>
  <c r="T96" i="8"/>
  <c r="R96" i="8"/>
  <c r="Q96" i="8"/>
  <c r="S96" i="8"/>
  <c r="P96" i="8"/>
  <c r="O96" i="8"/>
  <c r="M96" i="8"/>
  <c r="L96" i="8"/>
  <c r="N96" i="8"/>
  <c r="K96" i="8"/>
  <c r="J96" i="8"/>
  <c r="I96" i="8"/>
  <c r="H96" i="8"/>
  <c r="G96" i="8"/>
  <c r="F96" i="8"/>
  <c r="E96" i="8"/>
  <c r="A96" i="8"/>
  <c r="U95" i="8"/>
  <c r="T95" i="8"/>
  <c r="R95" i="8"/>
  <c r="Q95" i="8"/>
  <c r="S95" i="8"/>
  <c r="P95" i="8"/>
  <c r="O95" i="8"/>
  <c r="M95" i="8"/>
  <c r="L95" i="8"/>
  <c r="N95" i="8"/>
  <c r="K95" i="8"/>
  <c r="J95" i="8"/>
  <c r="I95" i="8"/>
  <c r="H95" i="8"/>
  <c r="G95" i="8"/>
  <c r="F95" i="8"/>
  <c r="E95" i="8"/>
  <c r="A95" i="8"/>
  <c r="U94" i="8"/>
  <c r="T94" i="8"/>
  <c r="R94" i="8"/>
  <c r="Q94" i="8"/>
  <c r="S94" i="8"/>
  <c r="P94" i="8"/>
  <c r="O94" i="8"/>
  <c r="M94" i="8"/>
  <c r="L94" i="8"/>
  <c r="N94" i="8"/>
  <c r="K94" i="8"/>
  <c r="J94" i="8"/>
  <c r="I94" i="8"/>
  <c r="H94" i="8"/>
  <c r="G94" i="8"/>
  <c r="F94" i="8"/>
  <c r="E94" i="8"/>
  <c r="A94" i="8"/>
  <c r="U93" i="8"/>
  <c r="T93" i="8"/>
  <c r="R93" i="8"/>
  <c r="Q93" i="8"/>
  <c r="S93" i="8"/>
  <c r="P93" i="8"/>
  <c r="O93" i="8"/>
  <c r="M93" i="8"/>
  <c r="L93" i="8"/>
  <c r="N93" i="8"/>
  <c r="K93" i="8"/>
  <c r="J93" i="8"/>
  <c r="I93" i="8"/>
  <c r="H93" i="8"/>
  <c r="G93" i="8"/>
  <c r="F93" i="8"/>
  <c r="E93" i="8"/>
  <c r="A93" i="8"/>
  <c r="U92" i="8"/>
  <c r="T92" i="8"/>
  <c r="R92" i="8"/>
  <c r="Q92" i="8"/>
  <c r="S92" i="8"/>
  <c r="P92" i="8"/>
  <c r="O92" i="8"/>
  <c r="M92" i="8"/>
  <c r="L92" i="8"/>
  <c r="N92" i="8"/>
  <c r="K92" i="8"/>
  <c r="J92" i="8"/>
  <c r="I92" i="8"/>
  <c r="H92" i="8"/>
  <c r="G92" i="8"/>
  <c r="F92" i="8"/>
  <c r="E92" i="8"/>
  <c r="A92" i="8"/>
  <c r="U91" i="8"/>
  <c r="T91" i="8"/>
  <c r="R91" i="8"/>
  <c r="Q91" i="8"/>
  <c r="S91" i="8"/>
  <c r="P91" i="8"/>
  <c r="O91" i="8"/>
  <c r="M91" i="8"/>
  <c r="L91" i="8"/>
  <c r="N91" i="8"/>
  <c r="K91" i="8"/>
  <c r="J91" i="8"/>
  <c r="I91" i="8"/>
  <c r="H91" i="8"/>
  <c r="G91" i="8"/>
  <c r="F91" i="8"/>
  <c r="E91" i="8"/>
  <c r="A91" i="8"/>
  <c r="U90" i="8"/>
  <c r="T90" i="8"/>
  <c r="R90" i="8"/>
  <c r="Q90" i="8"/>
  <c r="S90" i="8"/>
  <c r="P90" i="8"/>
  <c r="O90" i="8"/>
  <c r="M90" i="8"/>
  <c r="L90" i="8"/>
  <c r="N90" i="8"/>
  <c r="K90" i="8"/>
  <c r="J90" i="8"/>
  <c r="I90" i="8"/>
  <c r="H90" i="8"/>
  <c r="G90" i="8"/>
  <c r="F90" i="8"/>
  <c r="E90" i="8"/>
  <c r="A90" i="8"/>
  <c r="G89" i="8"/>
  <c r="A89" i="8"/>
  <c r="U88" i="8"/>
  <c r="T88" i="8"/>
  <c r="R88" i="8"/>
  <c r="Q88" i="8"/>
  <c r="S88" i="8"/>
  <c r="P88" i="8"/>
  <c r="O88" i="8"/>
  <c r="M88" i="8"/>
  <c r="L88" i="8"/>
  <c r="N88" i="8"/>
  <c r="K88" i="8"/>
  <c r="J88" i="8"/>
  <c r="I88" i="8"/>
  <c r="H88" i="8"/>
  <c r="G88" i="8"/>
  <c r="F88" i="8"/>
  <c r="E88" i="8"/>
  <c r="A88" i="8"/>
  <c r="U87" i="8"/>
  <c r="T87" i="8"/>
  <c r="R87" i="8"/>
  <c r="Q87" i="8"/>
  <c r="S87" i="8"/>
  <c r="P87" i="8"/>
  <c r="O87" i="8"/>
  <c r="M87" i="8"/>
  <c r="L87" i="8"/>
  <c r="N87" i="8"/>
  <c r="K87" i="8"/>
  <c r="J87" i="8"/>
  <c r="I87" i="8"/>
  <c r="H87" i="8"/>
  <c r="G87" i="8"/>
  <c r="F87" i="8"/>
  <c r="E87" i="8"/>
  <c r="A87" i="8"/>
  <c r="U86" i="8"/>
  <c r="T86" i="8"/>
  <c r="R86" i="8"/>
  <c r="Q86" i="8"/>
  <c r="S86" i="8"/>
  <c r="P86" i="8"/>
  <c r="O86" i="8"/>
  <c r="M86" i="8"/>
  <c r="L86" i="8"/>
  <c r="N86" i="8"/>
  <c r="K86" i="8"/>
  <c r="J86" i="8"/>
  <c r="I86" i="8"/>
  <c r="H86" i="8"/>
  <c r="G86" i="8"/>
  <c r="F86" i="8"/>
  <c r="E86" i="8"/>
  <c r="A86" i="8"/>
  <c r="U85" i="8"/>
  <c r="T85" i="8"/>
  <c r="R85" i="8"/>
  <c r="Q85" i="8"/>
  <c r="S85" i="8"/>
  <c r="P85" i="8"/>
  <c r="O85" i="8"/>
  <c r="M85" i="8"/>
  <c r="L85" i="8"/>
  <c r="N85" i="8"/>
  <c r="K85" i="8"/>
  <c r="J85" i="8"/>
  <c r="I85" i="8"/>
  <c r="H85" i="8"/>
  <c r="G85" i="8"/>
  <c r="F85" i="8"/>
  <c r="E85" i="8"/>
  <c r="A85" i="8"/>
  <c r="U84" i="8"/>
  <c r="T84" i="8"/>
  <c r="R84" i="8"/>
  <c r="Q84" i="8"/>
  <c r="S84" i="8"/>
  <c r="P84" i="8"/>
  <c r="O84" i="8"/>
  <c r="M84" i="8"/>
  <c r="L84" i="8"/>
  <c r="N84" i="8"/>
  <c r="K84" i="8"/>
  <c r="J84" i="8"/>
  <c r="I84" i="8"/>
  <c r="H84" i="8"/>
  <c r="G84" i="8"/>
  <c r="F84" i="8"/>
  <c r="E84" i="8"/>
  <c r="A84" i="8"/>
  <c r="U83" i="8"/>
  <c r="T83" i="8"/>
  <c r="R83" i="8"/>
  <c r="Q83" i="8"/>
  <c r="S83" i="8"/>
  <c r="P83" i="8"/>
  <c r="O83" i="8"/>
  <c r="M83" i="8"/>
  <c r="L83" i="8"/>
  <c r="N83" i="8"/>
  <c r="K83" i="8"/>
  <c r="J83" i="8"/>
  <c r="I83" i="8"/>
  <c r="H83" i="8"/>
  <c r="G83" i="8"/>
  <c r="F83" i="8"/>
  <c r="E83" i="8"/>
  <c r="A83" i="8"/>
  <c r="U82" i="8"/>
  <c r="T82" i="8"/>
  <c r="R82" i="8"/>
  <c r="Q82" i="8"/>
  <c r="S82" i="8"/>
  <c r="P82" i="8"/>
  <c r="O82" i="8"/>
  <c r="M82" i="8"/>
  <c r="L82" i="8"/>
  <c r="N82" i="8"/>
  <c r="K82" i="8"/>
  <c r="J82" i="8"/>
  <c r="I82" i="8"/>
  <c r="H82" i="8"/>
  <c r="G82" i="8"/>
  <c r="F82" i="8"/>
  <c r="E82" i="8"/>
  <c r="A82" i="8"/>
  <c r="U81" i="8"/>
  <c r="T81" i="8"/>
  <c r="R81" i="8"/>
  <c r="Q81" i="8"/>
  <c r="S81" i="8"/>
  <c r="P81" i="8"/>
  <c r="O81" i="8"/>
  <c r="M81" i="8"/>
  <c r="L81" i="8"/>
  <c r="N81" i="8"/>
  <c r="K81" i="8"/>
  <c r="J81" i="8"/>
  <c r="I81" i="8"/>
  <c r="H81" i="8"/>
  <c r="G81" i="8"/>
  <c r="F81" i="8"/>
  <c r="E81" i="8"/>
  <c r="A81" i="8"/>
  <c r="U80" i="8"/>
  <c r="T80" i="8"/>
  <c r="S80" i="8"/>
  <c r="R80" i="8"/>
  <c r="P80" i="8"/>
  <c r="O80" i="8"/>
  <c r="N80" i="8"/>
  <c r="M80" i="8"/>
  <c r="K80" i="8"/>
  <c r="I80" i="8"/>
  <c r="H80" i="8"/>
  <c r="G80" i="8"/>
  <c r="F80" i="8"/>
  <c r="E80" i="8"/>
  <c r="D80" i="8"/>
  <c r="A80" i="8"/>
  <c r="U79" i="8"/>
  <c r="T79" i="8"/>
  <c r="S79" i="8"/>
  <c r="R79" i="8"/>
  <c r="P79" i="8"/>
  <c r="O79" i="8"/>
  <c r="N79" i="8"/>
  <c r="M79" i="8"/>
  <c r="K79" i="8"/>
  <c r="I79" i="8"/>
  <c r="H79" i="8"/>
  <c r="G79" i="8"/>
  <c r="F79" i="8"/>
  <c r="E79" i="8"/>
  <c r="D79" i="8"/>
  <c r="A79" i="8"/>
  <c r="U78" i="8"/>
  <c r="T78" i="8"/>
  <c r="S78" i="8"/>
  <c r="R78" i="8"/>
  <c r="P78" i="8"/>
  <c r="O78" i="8"/>
  <c r="N78" i="8"/>
  <c r="M78" i="8"/>
  <c r="K78" i="8"/>
  <c r="I78" i="8"/>
  <c r="H78" i="8"/>
  <c r="G78" i="8"/>
  <c r="F78" i="8"/>
  <c r="E78" i="8"/>
  <c r="D78" i="8"/>
  <c r="A78" i="8"/>
  <c r="U77" i="8"/>
  <c r="T77" i="8"/>
  <c r="S77" i="8"/>
  <c r="R77" i="8"/>
  <c r="P77" i="8"/>
  <c r="O77" i="8"/>
  <c r="N77" i="8"/>
  <c r="M77" i="8"/>
  <c r="K77" i="8"/>
  <c r="I77" i="8"/>
  <c r="H77" i="8"/>
  <c r="G77" i="8"/>
  <c r="F77" i="8"/>
  <c r="E77" i="8"/>
  <c r="D77" i="8"/>
  <c r="A77" i="8"/>
  <c r="U76" i="8"/>
  <c r="T76" i="8"/>
  <c r="S76" i="8"/>
  <c r="R76" i="8"/>
  <c r="P76" i="8"/>
  <c r="O76" i="8"/>
  <c r="N76" i="8"/>
  <c r="M76" i="8"/>
  <c r="K76" i="8"/>
  <c r="I76" i="8"/>
  <c r="H76" i="8"/>
  <c r="G76" i="8"/>
  <c r="F76" i="8"/>
  <c r="E76" i="8"/>
  <c r="D76" i="8"/>
  <c r="A76" i="8"/>
  <c r="U75" i="8"/>
  <c r="T75" i="8"/>
  <c r="R75" i="8"/>
  <c r="Q75" i="8"/>
  <c r="S75" i="8"/>
  <c r="P75" i="8"/>
  <c r="O75" i="8"/>
  <c r="M75" i="8"/>
  <c r="L75" i="8"/>
  <c r="N75" i="8"/>
  <c r="K75" i="8"/>
  <c r="J75" i="8"/>
  <c r="I75" i="8"/>
  <c r="H75" i="8"/>
  <c r="G75" i="8"/>
  <c r="F75" i="8"/>
  <c r="E75" i="8"/>
  <c r="A75" i="8"/>
  <c r="U74" i="8"/>
  <c r="T74" i="8"/>
  <c r="R74" i="8"/>
  <c r="Q74" i="8"/>
  <c r="S74" i="8"/>
  <c r="P74" i="8"/>
  <c r="O74" i="8"/>
  <c r="M74" i="8"/>
  <c r="L74" i="8"/>
  <c r="N74" i="8"/>
  <c r="K74" i="8"/>
  <c r="J74" i="8"/>
  <c r="I74" i="8"/>
  <c r="H74" i="8"/>
  <c r="G74" i="8"/>
  <c r="F74" i="8"/>
  <c r="E74" i="8"/>
  <c r="A74" i="8"/>
  <c r="U73" i="8"/>
  <c r="T73" i="8"/>
  <c r="R73" i="8"/>
  <c r="Q73" i="8"/>
  <c r="S73" i="8"/>
  <c r="P73" i="8"/>
  <c r="O73" i="8"/>
  <c r="M73" i="8"/>
  <c r="L73" i="8"/>
  <c r="N73" i="8"/>
  <c r="K73" i="8"/>
  <c r="J73" i="8"/>
  <c r="I73" i="8"/>
  <c r="H73" i="8"/>
  <c r="G73" i="8"/>
  <c r="F73" i="8"/>
  <c r="E73" i="8"/>
  <c r="A73" i="8"/>
  <c r="U72" i="8"/>
  <c r="T72" i="8"/>
  <c r="R72" i="8"/>
  <c r="Q72" i="8"/>
  <c r="S72" i="8"/>
  <c r="P72" i="8"/>
  <c r="O72" i="8"/>
  <c r="M72" i="8"/>
  <c r="L72" i="8"/>
  <c r="N72" i="8"/>
  <c r="K72" i="8"/>
  <c r="J72" i="8"/>
  <c r="I72" i="8"/>
  <c r="H72" i="8"/>
  <c r="G72" i="8"/>
  <c r="F72" i="8"/>
  <c r="E72" i="8"/>
  <c r="A72" i="8"/>
  <c r="U71" i="8"/>
  <c r="T71" i="8"/>
  <c r="R71" i="8"/>
  <c r="Q71" i="8"/>
  <c r="S71" i="8"/>
  <c r="P71" i="8"/>
  <c r="O71" i="8"/>
  <c r="M71" i="8"/>
  <c r="L71" i="8"/>
  <c r="N71" i="8"/>
  <c r="K71" i="8"/>
  <c r="J71" i="8"/>
  <c r="I71" i="8"/>
  <c r="H71" i="8"/>
  <c r="G71" i="8"/>
  <c r="F71" i="8"/>
  <c r="E71" i="8"/>
  <c r="A71" i="8"/>
  <c r="U70" i="8"/>
  <c r="T70" i="8"/>
  <c r="R70" i="8"/>
  <c r="Q70" i="8"/>
  <c r="S70" i="8"/>
  <c r="P70" i="8"/>
  <c r="O70" i="8"/>
  <c r="M70" i="8"/>
  <c r="L70" i="8"/>
  <c r="N70" i="8"/>
  <c r="K70" i="8"/>
  <c r="J70" i="8"/>
  <c r="I70" i="8"/>
  <c r="H70" i="8"/>
  <c r="G70" i="8"/>
  <c r="F70" i="8"/>
  <c r="E70" i="8"/>
  <c r="A70" i="8"/>
  <c r="U69" i="8"/>
  <c r="T69" i="8"/>
  <c r="S69" i="8"/>
  <c r="R69" i="8"/>
  <c r="P69" i="8"/>
  <c r="O69" i="8"/>
  <c r="N69" i="8"/>
  <c r="M69" i="8"/>
  <c r="K69" i="8"/>
  <c r="I69" i="8"/>
  <c r="H69" i="8"/>
  <c r="G69" i="8"/>
  <c r="F69" i="8"/>
  <c r="E69" i="8"/>
  <c r="D69" i="8"/>
  <c r="A69" i="8"/>
  <c r="U68" i="8"/>
  <c r="T68" i="8"/>
  <c r="R68" i="8"/>
  <c r="Q68" i="8"/>
  <c r="S68" i="8"/>
  <c r="P68" i="8"/>
  <c r="O68" i="8"/>
  <c r="M68" i="8"/>
  <c r="L68" i="8"/>
  <c r="N68" i="8"/>
  <c r="K68" i="8"/>
  <c r="J68" i="8"/>
  <c r="I68" i="8"/>
  <c r="H68" i="8"/>
  <c r="G68" i="8"/>
  <c r="F68" i="8"/>
  <c r="E68" i="8"/>
  <c r="A68" i="8"/>
  <c r="U67" i="8"/>
  <c r="T67" i="8"/>
  <c r="R67" i="8"/>
  <c r="Q67" i="8"/>
  <c r="S67" i="8"/>
  <c r="P67" i="8"/>
  <c r="O67" i="8"/>
  <c r="M67" i="8"/>
  <c r="L67" i="8"/>
  <c r="N67" i="8"/>
  <c r="K67" i="8"/>
  <c r="J67" i="8"/>
  <c r="I67" i="8"/>
  <c r="H67" i="8"/>
  <c r="G67" i="8"/>
  <c r="F67" i="8"/>
  <c r="E67" i="8"/>
  <c r="A67" i="8"/>
  <c r="U66" i="8"/>
  <c r="T66" i="8"/>
  <c r="R66" i="8"/>
  <c r="Q66" i="8"/>
  <c r="S66" i="8"/>
  <c r="P66" i="8"/>
  <c r="O66" i="8"/>
  <c r="M66" i="8"/>
  <c r="L66" i="8"/>
  <c r="N66" i="8"/>
  <c r="K66" i="8"/>
  <c r="J66" i="8"/>
  <c r="I66" i="8"/>
  <c r="H66" i="8"/>
  <c r="G66" i="8"/>
  <c r="F66" i="8"/>
  <c r="E66" i="8"/>
  <c r="A66" i="8"/>
  <c r="U65" i="8"/>
  <c r="T65" i="8"/>
  <c r="R65" i="8"/>
  <c r="Q65" i="8"/>
  <c r="S65" i="8"/>
  <c r="P65" i="8"/>
  <c r="O65" i="8"/>
  <c r="M65" i="8"/>
  <c r="L65" i="8"/>
  <c r="N65" i="8"/>
  <c r="K65" i="8"/>
  <c r="J65" i="8"/>
  <c r="I65" i="8"/>
  <c r="H65" i="8"/>
  <c r="G65" i="8"/>
  <c r="F65" i="8"/>
  <c r="E65" i="8"/>
  <c r="A65" i="8"/>
  <c r="U64" i="8"/>
  <c r="T64" i="8"/>
  <c r="R64" i="8"/>
  <c r="Q64" i="8"/>
  <c r="S64" i="8"/>
  <c r="P64" i="8"/>
  <c r="O64" i="8"/>
  <c r="M64" i="8"/>
  <c r="L64" i="8"/>
  <c r="N64" i="8"/>
  <c r="K64" i="8"/>
  <c r="J64" i="8"/>
  <c r="I64" i="8"/>
  <c r="H64" i="8"/>
  <c r="G64" i="8"/>
  <c r="F64" i="8"/>
  <c r="E64" i="8"/>
  <c r="A64" i="8"/>
  <c r="U63" i="8"/>
  <c r="T63" i="8"/>
  <c r="R63" i="8"/>
  <c r="Q63" i="8"/>
  <c r="S63" i="8"/>
  <c r="P63" i="8"/>
  <c r="O63" i="8"/>
  <c r="M63" i="8"/>
  <c r="L63" i="8"/>
  <c r="N63" i="8"/>
  <c r="K63" i="8"/>
  <c r="J63" i="8"/>
  <c r="I63" i="8"/>
  <c r="H63" i="8"/>
  <c r="G63" i="8"/>
  <c r="F63" i="8"/>
  <c r="E63" i="8"/>
  <c r="A63" i="8"/>
  <c r="U62" i="8"/>
  <c r="T62" i="8"/>
  <c r="R62" i="8"/>
  <c r="Q62" i="8"/>
  <c r="S62" i="8"/>
  <c r="P62" i="8"/>
  <c r="O62" i="8"/>
  <c r="M62" i="8"/>
  <c r="L62" i="8"/>
  <c r="N62" i="8"/>
  <c r="K62" i="8"/>
  <c r="J62" i="8"/>
  <c r="I62" i="8"/>
  <c r="H62" i="8"/>
  <c r="G62" i="8"/>
  <c r="F62" i="8"/>
  <c r="E62" i="8"/>
  <c r="A62" i="8"/>
  <c r="U61" i="8"/>
  <c r="T61" i="8"/>
  <c r="R61" i="8"/>
  <c r="Q61" i="8"/>
  <c r="S61" i="8"/>
  <c r="P61" i="8"/>
  <c r="O61" i="8"/>
  <c r="M61" i="8"/>
  <c r="L61" i="8"/>
  <c r="N61" i="8"/>
  <c r="K61" i="8"/>
  <c r="J61" i="8"/>
  <c r="I61" i="8"/>
  <c r="H61" i="8"/>
  <c r="G61" i="8"/>
  <c r="F61" i="8"/>
  <c r="E61" i="8"/>
  <c r="A61" i="8"/>
  <c r="U60" i="8"/>
  <c r="T60" i="8"/>
  <c r="R60" i="8"/>
  <c r="Q60" i="8"/>
  <c r="S60" i="8"/>
  <c r="P60" i="8"/>
  <c r="O60" i="8"/>
  <c r="M60" i="8"/>
  <c r="L60" i="8"/>
  <c r="N60" i="8"/>
  <c r="K60" i="8"/>
  <c r="J60" i="8"/>
  <c r="I60" i="8"/>
  <c r="H60" i="8"/>
  <c r="G60" i="8"/>
  <c r="F60" i="8"/>
  <c r="E60" i="8"/>
  <c r="A60" i="8"/>
  <c r="U59" i="8"/>
  <c r="T59" i="8"/>
  <c r="R59" i="8"/>
  <c r="Q59" i="8"/>
  <c r="S59" i="8"/>
  <c r="P59" i="8"/>
  <c r="O59" i="8"/>
  <c r="M59" i="8"/>
  <c r="L59" i="8"/>
  <c r="N59" i="8"/>
  <c r="K59" i="8"/>
  <c r="J59" i="8"/>
  <c r="I59" i="8"/>
  <c r="H59" i="8"/>
  <c r="G59" i="8"/>
  <c r="F59" i="8"/>
  <c r="E59" i="8"/>
  <c r="A59" i="8"/>
  <c r="U58" i="8"/>
  <c r="T58" i="8"/>
  <c r="R58" i="8"/>
  <c r="Q58" i="8"/>
  <c r="S58" i="8"/>
  <c r="P58" i="8"/>
  <c r="O58" i="8"/>
  <c r="M58" i="8"/>
  <c r="L58" i="8"/>
  <c r="N58" i="8"/>
  <c r="K58" i="8"/>
  <c r="J58" i="8"/>
  <c r="I58" i="8"/>
  <c r="H58" i="8"/>
  <c r="G58" i="8"/>
  <c r="F58" i="8"/>
  <c r="E58" i="8"/>
  <c r="A58" i="8"/>
  <c r="U57" i="8"/>
  <c r="T57" i="8"/>
  <c r="R57" i="8"/>
  <c r="Q57" i="8"/>
  <c r="S57" i="8"/>
  <c r="P57" i="8"/>
  <c r="O57" i="8"/>
  <c r="M57" i="8"/>
  <c r="L57" i="8"/>
  <c r="N57" i="8"/>
  <c r="K57" i="8"/>
  <c r="J57" i="8"/>
  <c r="I57" i="8"/>
  <c r="H57" i="8"/>
  <c r="G57" i="8"/>
  <c r="F57" i="8"/>
  <c r="E57" i="8"/>
  <c r="A57" i="8"/>
  <c r="U56" i="8"/>
  <c r="T56" i="8"/>
  <c r="R56" i="8"/>
  <c r="Q56" i="8"/>
  <c r="S56" i="8"/>
  <c r="P56" i="8"/>
  <c r="O56" i="8"/>
  <c r="M56" i="8"/>
  <c r="L56" i="8"/>
  <c r="N56" i="8"/>
  <c r="K56" i="8"/>
  <c r="J56" i="8"/>
  <c r="I56" i="8"/>
  <c r="H56" i="8"/>
  <c r="G56" i="8"/>
  <c r="F56" i="8"/>
  <c r="E56" i="8"/>
  <c r="A56" i="8"/>
  <c r="U55" i="8"/>
  <c r="T55" i="8"/>
  <c r="R55" i="8"/>
  <c r="Q55" i="8"/>
  <c r="S55" i="8"/>
  <c r="P55" i="8"/>
  <c r="O55" i="8"/>
  <c r="M55" i="8"/>
  <c r="L55" i="8"/>
  <c r="N55" i="8"/>
  <c r="K55" i="8"/>
  <c r="J55" i="8"/>
  <c r="I55" i="8"/>
  <c r="H55" i="8"/>
  <c r="G55" i="8"/>
  <c r="F55" i="8"/>
  <c r="E55" i="8"/>
  <c r="A55" i="8"/>
  <c r="U54" i="8"/>
  <c r="T54" i="8"/>
  <c r="R54" i="8"/>
  <c r="Q54" i="8"/>
  <c r="S54" i="8"/>
  <c r="P54" i="8"/>
  <c r="O54" i="8"/>
  <c r="M54" i="8"/>
  <c r="L54" i="8"/>
  <c r="N54" i="8"/>
  <c r="K54" i="8"/>
  <c r="J54" i="8"/>
  <c r="I54" i="8"/>
  <c r="H54" i="8"/>
  <c r="G54" i="8"/>
  <c r="F54" i="8"/>
  <c r="E54" i="8"/>
  <c r="A54" i="8"/>
  <c r="U53" i="8"/>
  <c r="T53" i="8"/>
  <c r="R53" i="8"/>
  <c r="Q53" i="8"/>
  <c r="S53" i="8"/>
  <c r="P53" i="8"/>
  <c r="O53" i="8"/>
  <c r="M53" i="8"/>
  <c r="L53" i="8"/>
  <c r="N53" i="8"/>
  <c r="K53" i="8"/>
  <c r="J53" i="8"/>
  <c r="I53" i="8"/>
  <c r="H53" i="8"/>
  <c r="G53" i="8"/>
  <c r="F53" i="8"/>
  <c r="E53" i="8"/>
  <c r="A53" i="8"/>
  <c r="U52" i="8"/>
  <c r="T52" i="8"/>
  <c r="R52" i="8"/>
  <c r="Q52" i="8"/>
  <c r="S52" i="8"/>
  <c r="P52" i="8"/>
  <c r="O52" i="8"/>
  <c r="M52" i="8"/>
  <c r="L52" i="8"/>
  <c r="N52" i="8"/>
  <c r="K52" i="8"/>
  <c r="J52" i="8"/>
  <c r="I52" i="8"/>
  <c r="H52" i="8"/>
  <c r="G52" i="8"/>
  <c r="F52" i="8"/>
  <c r="E52" i="8"/>
  <c r="A52" i="8"/>
  <c r="U51" i="8"/>
  <c r="T51" i="8"/>
  <c r="R51" i="8"/>
  <c r="Q51" i="8"/>
  <c r="S51" i="8"/>
  <c r="P51" i="8"/>
  <c r="O51" i="8"/>
  <c r="M51" i="8"/>
  <c r="L51" i="8"/>
  <c r="N51" i="8"/>
  <c r="K51" i="8"/>
  <c r="J51" i="8"/>
  <c r="I51" i="8"/>
  <c r="H51" i="8"/>
  <c r="G51" i="8"/>
  <c r="F51" i="8"/>
  <c r="E51" i="8"/>
  <c r="A51" i="8"/>
  <c r="U50" i="8"/>
  <c r="T50" i="8"/>
  <c r="R50" i="8"/>
  <c r="Q50" i="8"/>
  <c r="S50" i="8"/>
  <c r="P50" i="8"/>
  <c r="O50" i="8"/>
  <c r="M50" i="8"/>
  <c r="L50" i="8"/>
  <c r="N50" i="8"/>
  <c r="K50" i="8"/>
  <c r="J50" i="8"/>
  <c r="I50" i="8"/>
  <c r="H50" i="8"/>
  <c r="G50" i="8"/>
  <c r="F50" i="8"/>
  <c r="E50" i="8"/>
  <c r="A50" i="8"/>
  <c r="U49" i="8"/>
  <c r="T49" i="8"/>
  <c r="R49" i="8"/>
  <c r="Q49" i="8"/>
  <c r="S49" i="8"/>
  <c r="P49" i="8"/>
  <c r="O49" i="8"/>
  <c r="M49" i="8"/>
  <c r="L49" i="8"/>
  <c r="N49" i="8"/>
  <c r="K49" i="8"/>
  <c r="J49" i="8"/>
  <c r="I49" i="8"/>
  <c r="H49" i="8"/>
  <c r="G49" i="8"/>
  <c r="F49" i="8"/>
  <c r="E49" i="8"/>
  <c r="A49" i="8"/>
  <c r="G48" i="8"/>
  <c r="A48" i="8"/>
  <c r="U47" i="8"/>
  <c r="T47" i="8"/>
  <c r="R47" i="8"/>
  <c r="Q47" i="8"/>
  <c r="S47" i="8"/>
  <c r="P47" i="8"/>
  <c r="O47" i="8"/>
  <c r="M47" i="8"/>
  <c r="L47" i="8"/>
  <c r="N47" i="8"/>
  <c r="K47" i="8"/>
  <c r="J47" i="8"/>
  <c r="I47" i="8"/>
  <c r="H47" i="8"/>
  <c r="G47" i="8"/>
  <c r="F47" i="8"/>
  <c r="E47" i="8"/>
  <c r="A47" i="8"/>
  <c r="U46" i="8"/>
  <c r="T46" i="8"/>
  <c r="R46" i="8"/>
  <c r="Q46" i="8"/>
  <c r="S46" i="8"/>
  <c r="P46" i="8"/>
  <c r="O46" i="8"/>
  <c r="M46" i="8"/>
  <c r="L46" i="8"/>
  <c r="N46" i="8"/>
  <c r="K46" i="8"/>
  <c r="J46" i="8"/>
  <c r="I46" i="8"/>
  <c r="H46" i="8"/>
  <c r="G46" i="8"/>
  <c r="F46" i="8"/>
  <c r="E46" i="8"/>
  <c r="A46" i="8"/>
  <c r="U45" i="8"/>
  <c r="T45" i="8"/>
  <c r="R45" i="8"/>
  <c r="Q45" i="8"/>
  <c r="S45" i="8"/>
  <c r="P45" i="8"/>
  <c r="O45" i="8"/>
  <c r="M45" i="8"/>
  <c r="L45" i="8"/>
  <c r="N45" i="8"/>
  <c r="K45" i="8"/>
  <c r="J45" i="8"/>
  <c r="I45" i="8"/>
  <c r="H45" i="8"/>
  <c r="G45" i="8"/>
  <c r="F45" i="8"/>
  <c r="E45" i="8"/>
  <c r="A45" i="8"/>
  <c r="U44" i="8"/>
  <c r="T44" i="8"/>
  <c r="R44" i="8"/>
  <c r="Q44" i="8"/>
  <c r="S44" i="8"/>
  <c r="P44" i="8"/>
  <c r="O44" i="8"/>
  <c r="M44" i="8"/>
  <c r="L44" i="8"/>
  <c r="N44" i="8"/>
  <c r="K44" i="8"/>
  <c r="J44" i="8"/>
  <c r="I44" i="8"/>
  <c r="H44" i="8"/>
  <c r="G44" i="8"/>
  <c r="F44" i="8"/>
  <c r="E44" i="8"/>
  <c r="A44" i="8"/>
  <c r="U43" i="8"/>
  <c r="T43" i="8"/>
  <c r="R43" i="8"/>
  <c r="Q43" i="8"/>
  <c r="S43" i="8"/>
  <c r="P43" i="8"/>
  <c r="O43" i="8"/>
  <c r="M43" i="8"/>
  <c r="L43" i="8"/>
  <c r="N43" i="8"/>
  <c r="K43" i="8"/>
  <c r="J43" i="8"/>
  <c r="I43" i="8"/>
  <c r="H43" i="8"/>
  <c r="G43" i="8"/>
  <c r="F43" i="8"/>
  <c r="E43" i="8"/>
  <c r="A43" i="8"/>
  <c r="U42" i="8"/>
  <c r="T42" i="8"/>
  <c r="R42" i="8"/>
  <c r="Q42" i="8"/>
  <c r="S42" i="8"/>
  <c r="P42" i="8"/>
  <c r="O42" i="8"/>
  <c r="M42" i="8"/>
  <c r="L42" i="8"/>
  <c r="N42" i="8"/>
  <c r="K42" i="8"/>
  <c r="J42" i="8"/>
  <c r="I42" i="8"/>
  <c r="H42" i="8"/>
  <c r="G42" i="8"/>
  <c r="F42" i="8"/>
  <c r="E42" i="8"/>
  <c r="A42" i="8"/>
  <c r="U41" i="8"/>
  <c r="T41" i="8"/>
  <c r="R41" i="8"/>
  <c r="Q41" i="8"/>
  <c r="S41" i="8"/>
  <c r="P41" i="8"/>
  <c r="O41" i="8"/>
  <c r="M41" i="8"/>
  <c r="L41" i="8"/>
  <c r="N41" i="8"/>
  <c r="K41" i="8"/>
  <c r="J41" i="8"/>
  <c r="I41" i="8"/>
  <c r="H41" i="8"/>
  <c r="G41" i="8"/>
  <c r="F41" i="8"/>
  <c r="E41" i="8"/>
  <c r="A41" i="8"/>
  <c r="U40" i="8"/>
  <c r="T40" i="8"/>
  <c r="R40" i="8"/>
  <c r="Q40" i="8"/>
  <c r="S40" i="8"/>
  <c r="P40" i="8"/>
  <c r="O40" i="8"/>
  <c r="M40" i="8"/>
  <c r="L40" i="8"/>
  <c r="N40" i="8"/>
  <c r="K40" i="8"/>
  <c r="J40" i="8"/>
  <c r="I40" i="8"/>
  <c r="H40" i="8"/>
  <c r="G40" i="8"/>
  <c r="F40" i="8"/>
  <c r="E40" i="8"/>
  <c r="A40" i="8"/>
  <c r="U39" i="8"/>
  <c r="T39" i="8"/>
  <c r="S39" i="8"/>
  <c r="R39" i="8"/>
  <c r="P39" i="8"/>
  <c r="O39" i="8"/>
  <c r="N39" i="8"/>
  <c r="M39" i="8"/>
  <c r="K39" i="8"/>
  <c r="I39" i="8"/>
  <c r="H39" i="8"/>
  <c r="G39" i="8"/>
  <c r="F39" i="8"/>
  <c r="E39" i="8"/>
  <c r="D39" i="8"/>
  <c r="A39" i="8"/>
  <c r="U38" i="8"/>
  <c r="T38" i="8"/>
  <c r="S38" i="8"/>
  <c r="R38" i="8"/>
  <c r="P38" i="8"/>
  <c r="O38" i="8"/>
  <c r="N38" i="8"/>
  <c r="M38" i="8"/>
  <c r="K38" i="8"/>
  <c r="I38" i="8"/>
  <c r="H38" i="8"/>
  <c r="G38" i="8"/>
  <c r="F38" i="8"/>
  <c r="E38" i="8"/>
  <c r="D38" i="8"/>
  <c r="A38" i="8"/>
  <c r="U37" i="8"/>
  <c r="T37" i="8"/>
  <c r="S37" i="8"/>
  <c r="R37" i="8"/>
  <c r="P37" i="8"/>
  <c r="O37" i="8"/>
  <c r="N37" i="8"/>
  <c r="M37" i="8"/>
  <c r="K37" i="8"/>
  <c r="I37" i="8"/>
  <c r="H37" i="8"/>
  <c r="G37" i="8"/>
  <c r="F37" i="8"/>
  <c r="E37" i="8"/>
  <c r="D37" i="8"/>
  <c r="A37" i="8"/>
  <c r="U36" i="8"/>
  <c r="T36" i="8"/>
  <c r="S36" i="8"/>
  <c r="R36" i="8"/>
  <c r="P36" i="8"/>
  <c r="O36" i="8"/>
  <c r="N36" i="8"/>
  <c r="M36" i="8"/>
  <c r="K36" i="8"/>
  <c r="I36" i="8"/>
  <c r="H36" i="8"/>
  <c r="G36" i="8"/>
  <c r="F36" i="8"/>
  <c r="E36" i="8"/>
  <c r="D36" i="8"/>
  <c r="A36" i="8"/>
  <c r="U35" i="8"/>
  <c r="T35" i="8"/>
  <c r="S35" i="8"/>
  <c r="R35" i="8"/>
  <c r="P35" i="8"/>
  <c r="O35" i="8"/>
  <c r="N35" i="8"/>
  <c r="M35" i="8"/>
  <c r="K35" i="8"/>
  <c r="I35" i="8"/>
  <c r="H35" i="8"/>
  <c r="G35" i="8"/>
  <c r="F35" i="8"/>
  <c r="E35" i="8"/>
  <c r="D35" i="8"/>
  <c r="A35" i="8"/>
  <c r="U34" i="8"/>
  <c r="T34" i="8"/>
  <c r="R34" i="8"/>
  <c r="Q34" i="8"/>
  <c r="S34" i="8"/>
  <c r="P34" i="8"/>
  <c r="O34" i="8"/>
  <c r="M34" i="8"/>
  <c r="L34" i="8"/>
  <c r="N34" i="8"/>
  <c r="K34" i="8"/>
  <c r="J34" i="8"/>
  <c r="I34" i="8"/>
  <c r="H34" i="8"/>
  <c r="G34" i="8"/>
  <c r="F34" i="8"/>
  <c r="E34" i="8"/>
  <c r="A34" i="8"/>
  <c r="U33" i="8"/>
  <c r="T33" i="8"/>
  <c r="R33" i="8"/>
  <c r="Q33" i="8"/>
  <c r="S33" i="8"/>
  <c r="P33" i="8"/>
  <c r="O33" i="8"/>
  <c r="M33" i="8"/>
  <c r="L33" i="8"/>
  <c r="N33" i="8"/>
  <c r="K33" i="8"/>
  <c r="J33" i="8"/>
  <c r="I33" i="8"/>
  <c r="H33" i="8"/>
  <c r="G33" i="8"/>
  <c r="F33" i="8"/>
  <c r="E33" i="8"/>
  <c r="A33" i="8"/>
  <c r="U32" i="8"/>
  <c r="T32" i="8"/>
  <c r="R32" i="8"/>
  <c r="Q32" i="8"/>
  <c r="S32" i="8"/>
  <c r="P32" i="8"/>
  <c r="O32" i="8"/>
  <c r="M32" i="8"/>
  <c r="L32" i="8"/>
  <c r="N32" i="8"/>
  <c r="K32" i="8"/>
  <c r="J32" i="8"/>
  <c r="I32" i="8"/>
  <c r="H32" i="8"/>
  <c r="G32" i="8"/>
  <c r="F32" i="8"/>
  <c r="E32" i="8"/>
  <c r="A32" i="8"/>
  <c r="U31" i="8"/>
  <c r="T31" i="8"/>
  <c r="R31" i="8"/>
  <c r="Q31" i="8"/>
  <c r="S31" i="8"/>
  <c r="P31" i="8"/>
  <c r="O31" i="8"/>
  <c r="M31" i="8"/>
  <c r="L31" i="8"/>
  <c r="N31" i="8"/>
  <c r="K31" i="8"/>
  <c r="J31" i="8"/>
  <c r="I31" i="8"/>
  <c r="H31" i="8"/>
  <c r="G31" i="8"/>
  <c r="F31" i="8"/>
  <c r="E31" i="8"/>
  <c r="A31" i="8"/>
  <c r="U30" i="8"/>
  <c r="T30" i="8"/>
  <c r="R30" i="8"/>
  <c r="Q30" i="8"/>
  <c r="S30" i="8"/>
  <c r="P30" i="8"/>
  <c r="O30" i="8"/>
  <c r="M30" i="8"/>
  <c r="L30" i="8"/>
  <c r="N30" i="8"/>
  <c r="K30" i="8"/>
  <c r="J30" i="8"/>
  <c r="I30" i="8"/>
  <c r="H30" i="8"/>
  <c r="G30" i="8"/>
  <c r="F30" i="8"/>
  <c r="E30" i="8"/>
  <c r="A30" i="8"/>
  <c r="U29" i="8"/>
  <c r="T29" i="8"/>
  <c r="R29" i="8"/>
  <c r="Q29" i="8"/>
  <c r="S29" i="8"/>
  <c r="P29" i="8"/>
  <c r="O29" i="8"/>
  <c r="M29" i="8"/>
  <c r="L29" i="8"/>
  <c r="N29" i="8"/>
  <c r="K29" i="8"/>
  <c r="J29" i="8"/>
  <c r="I29" i="8"/>
  <c r="H29" i="8"/>
  <c r="G29" i="8"/>
  <c r="F29" i="8"/>
  <c r="E29" i="8"/>
  <c r="A29" i="8"/>
  <c r="U28" i="8"/>
  <c r="T28" i="8"/>
  <c r="S28" i="8"/>
  <c r="R28" i="8"/>
  <c r="P28" i="8"/>
  <c r="O28" i="8"/>
  <c r="N28" i="8"/>
  <c r="M28" i="8"/>
  <c r="K28" i="8"/>
  <c r="I28" i="8"/>
  <c r="H28" i="8"/>
  <c r="G28" i="8"/>
  <c r="F28" i="8"/>
  <c r="E28" i="8"/>
  <c r="D28" i="8"/>
  <c r="A28" i="8"/>
  <c r="U27" i="8"/>
  <c r="T27" i="8"/>
  <c r="R27" i="8"/>
  <c r="Q27" i="8"/>
  <c r="S27" i="8"/>
  <c r="P27" i="8"/>
  <c r="O27" i="8"/>
  <c r="M27" i="8"/>
  <c r="L27" i="8"/>
  <c r="N27" i="8"/>
  <c r="K27" i="8"/>
  <c r="J27" i="8"/>
  <c r="I27" i="8"/>
  <c r="H27" i="8"/>
  <c r="G27" i="8"/>
  <c r="F27" i="8"/>
  <c r="E27" i="8"/>
  <c r="A27" i="8"/>
  <c r="U26" i="8"/>
  <c r="T26" i="8"/>
  <c r="R26" i="8"/>
  <c r="Q26" i="8"/>
  <c r="S26" i="8"/>
  <c r="P26" i="8"/>
  <c r="O26" i="8"/>
  <c r="M26" i="8"/>
  <c r="L26" i="8"/>
  <c r="N26" i="8"/>
  <c r="K26" i="8"/>
  <c r="J26" i="8"/>
  <c r="I26" i="8"/>
  <c r="H26" i="8"/>
  <c r="G26" i="8"/>
  <c r="F26" i="8"/>
  <c r="E26" i="8"/>
  <c r="A26" i="8"/>
  <c r="U25" i="8"/>
  <c r="T25" i="8"/>
  <c r="R25" i="8"/>
  <c r="Q25" i="8"/>
  <c r="S25" i="8"/>
  <c r="P25" i="8"/>
  <c r="O25" i="8"/>
  <c r="M25" i="8"/>
  <c r="L25" i="8"/>
  <c r="N25" i="8"/>
  <c r="K25" i="8"/>
  <c r="J25" i="8"/>
  <c r="I25" i="8"/>
  <c r="H25" i="8"/>
  <c r="G25" i="8"/>
  <c r="F25" i="8"/>
  <c r="E25" i="8"/>
  <c r="A25" i="8"/>
  <c r="U24" i="8"/>
  <c r="T24" i="8"/>
  <c r="R24" i="8"/>
  <c r="Q24" i="8"/>
  <c r="S24" i="8"/>
  <c r="P24" i="8"/>
  <c r="O24" i="8"/>
  <c r="M24" i="8"/>
  <c r="L24" i="8"/>
  <c r="N24" i="8"/>
  <c r="K24" i="8"/>
  <c r="J24" i="8"/>
  <c r="I24" i="8"/>
  <c r="H24" i="8"/>
  <c r="G24" i="8"/>
  <c r="F24" i="8"/>
  <c r="E24" i="8"/>
  <c r="A24" i="8"/>
  <c r="U23" i="8"/>
  <c r="T23" i="8"/>
  <c r="R23" i="8"/>
  <c r="Q23" i="8"/>
  <c r="S23" i="8"/>
  <c r="P23" i="8"/>
  <c r="O23" i="8"/>
  <c r="M23" i="8"/>
  <c r="L23" i="8"/>
  <c r="N23" i="8"/>
  <c r="K23" i="8"/>
  <c r="J23" i="8"/>
  <c r="I23" i="8"/>
  <c r="H23" i="8"/>
  <c r="G23" i="8"/>
  <c r="F23" i="8"/>
  <c r="E23" i="8"/>
  <c r="A23" i="8"/>
  <c r="U22" i="8"/>
  <c r="T22" i="8"/>
  <c r="R22" i="8"/>
  <c r="Q22" i="8"/>
  <c r="S22" i="8"/>
  <c r="P22" i="8"/>
  <c r="O22" i="8"/>
  <c r="M22" i="8"/>
  <c r="L22" i="8"/>
  <c r="N22" i="8"/>
  <c r="K22" i="8"/>
  <c r="J22" i="8"/>
  <c r="I22" i="8"/>
  <c r="H22" i="8"/>
  <c r="G22" i="8"/>
  <c r="F22" i="8"/>
  <c r="E22" i="8"/>
  <c r="A22" i="8"/>
  <c r="U21" i="8"/>
  <c r="T21" i="8"/>
  <c r="R21" i="8"/>
  <c r="Q21" i="8"/>
  <c r="S21" i="8"/>
  <c r="P21" i="8"/>
  <c r="O21" i="8"/>
  <c r="M21" i="8"/>
  <c r="L21" i="8"/>
  <c r="N21" i="8"/>
  <c r="K21" i="8"/>
  <c r="J21" i="8"/>
  <c r="I21" i="8"/>
  <c r="H21" i="8"/>
  <c r="G21" i="8"/>
  <c r="F21" i="8"/>
  <c r="E21" i="8"/>
  <c r="A21" i="8"/>
  <c r="U20" i="8"/>
  <c r="T20" i="8"/>
  <c r="R20" i="8"/>
  <c r="Q20" i="8"/>
  <c r="S20" i="8"/>
  <c r="P20" i="8"/>
  <c r="O20" i="8"/>
  <c r="M20" i="8"/>
  <c r="L20" i="8"/>
  <c r="N20" i="8"/>
  <c r="K20" i="8"/>
  <c r="J20" i="8"/>
  <c r="I20" i="8"/>
  <c r="H20" i="8"/>
  <c r="G20" i="8"/>
  <c r="F20" i="8"/>
  <c r="E20" i="8"/>
  <c r="A20" i="8"/>
  <c r="U19" i="8"/>
  <c r="T19" i="8"/>
  <c r="R19" i="8"/>
  <c r="Q19" i="8"/>
  <c r="S19" i="8"/>
  <c r="P19" i="8"/>
  <c r="O19" i="8"/>
  <c r="M19" i="8"/>
  <c r="L19" i="8"/>
  <c r="N19" i="8"/>
  <c r="K19" i="8"/>
  <c r="J19" i="8"/>
  <c r="I19" i="8"/>
  <c r="H19" i="8"/>
  <c r="G19" i="8"/>
  <c r="F19" i="8"/>
  <c r="E19" i="8"/>
  <c r="A19" i="8"/>
  <c r="U18" i="8"/>
  <c r="T18" i="8"/>
  <c r="R18" i="8"/>
  <c r="Q18" i="8"/>
  <c r="S18" i="8"/>
  <c r="P18" i="8"/>
  <c r="O18" i="8"/>
  <c r="M18" i="8"/>
  <c r="L18" i="8"/>
  <c r="N18" i="8"/>
  <c r="K18" i="8"/>
  <c r="J18" i="8"/>
  <c r="I18" i="8"/>
  <c r="H18" i="8"/>
  <c r="G18" i="8"/>
  <c r="F18" i="8"/>
  <c r="E18" i="8"/>
  <c r="A18" i="8"/>
  <c r="U17" i="8"/>
  <c r="T17" i="8"/>
  <c r="R17" i="8"/>
  <c r="Q17" i="8"/>
  <c r="S17" i="8"/>
  <c r="P17" i="8"/>
  <c r="O17" i="8"/>
  <c r="M17" i="8"/>
  <c r="L17" i="8"/>
  <c r="N17" i="8"/>
  <c r="K17" i="8"/>
  <c r="J17" i="8"/>
  <c r="I17" i="8"/>
  <c r="H17" i="8"/>
  <c r="G17" i="8"/>
  <c r="F17" i="8"/>
  <c r="E17" i="8"/>
  <c r="A17" i="8"/>
  <c r="U16" i="8"/>
  <c r="T16" i="8"/>
  <c r="R16" i="8"/>
  <c r="Q16" i="8"/>
  <c r="S16" i="8"/>
  <c r="P16" i="8"/>
  <c r="O16" i="8"/>
  <c r="M16" i="8"/>
  <c r="L16" i="8"/>
  <c r="N16" i="8"/>
  <c r="K16" i="8"/>
  <c r="J16" i="8"/>
  <c r="I16" i="8"/>
  <c r="H16" i="8"/>
  <c r="G16" i="8"/>
  <c r="F16" i="8"/>
  <c r="E16" i="8"/>
  <c r="A16" i="8"/>
  <c r="U15" i="8"/>
  <c r="T15" i="8"/>
  <c r="R15" i="8"/>
  <c r="Q15" i="8"/>
  <c r="S15" i="8"/>
  <c r="P15" i="8"/>
  <c r="O15" i="8"/>
  <c r="M15" i="8"/>
  <c r="L15" i="8"/>
  <c r="N15" i="8"/>
  <c r="K15" i="8"/>
  <c r="J15" i="8"/>
  <c r="I15" i="8"/>
  <c r="H15" i="8"/>
  <c r="G15" i="8"/>
  <c r="F15" i="8"/>
  <c r="E15" i="8"/>
  <c r="A15" i="8"/>
  <c r="U14" i="8"/>
  <c r="T14" i="8"/>
  <c r="R14" i="8"/>
  <c r="Q14" i="8"/>
  <c r="S14" i="8"/>
  <c r="P14" i="8"/>
  <c r="O14" i="8"/>
  <c r="M14" i="8"/>
  <c r="L14" i="8"/>
  <c r="N14" i="8"/>
  <c r="K14" i="8"/>
  <c r="J14" i="8"/>
  <c r="I14" i="8"/>
  <c r="H14" i="8"/>
  <c r="G14" i="8"/>
  <c r="F14" i="8"/>
  <c r="E14" i="8"/>
  <c r="A14" i="8"/>
  <c r="U13" i="8"/>
  <c r="T13" i="8"/>
  <c r="R13" i="8"/>
  <c r="Q13" i="8"/>
  <c r="S13" i="8"/>
  <c r="P13" i="8"/>
  <c r="O13" i="8"/>
  <c r="M13" i="8"/>
  <c r="L13" i="8"/>
  <c r="N13" i="8"/>
  <c r="K13" i="8"/>
  <c r="J13" i="8"/>
  <c r="I13" i="8"/>
  <c r="H13" i="8"/>
  <c r="G13" i="8"/>
  <c r="F13" i="8"/>
  <c r="E13" i="8"/>
  <c r="A13" i="8"/>
  <c r="U12" i="8"/>
  <c r="T12" i="8"/>
  <c r="R12" i="8"/>
  <c r="Q12" i="8"/>
  <c r="S12" i="8"/>
  <c r="P12" i="8"/>
  <c r="O12" i="8"/>
  <c r="M12" i="8"/>
  <c r="L12" i="8"/>
  <c r="N12" i="8"/>
  <c r="K12" i="8"/>
  <c r="J12" i="8"/>
  <c r="I12" i="8"/>
  <c r="H12" i="8"/>
  <c r="G12" i="8"/>
  <c r="F12" i="8"/>
  <c r="E12" i="8"/>
  <c r="A12" i="8"/>
  <c r="U11" i="8"/>
  <c r="T11" i="8"/>
  <c r="R11" i="8"/>
  <c r="Q11" i="8"/>
  <c r="S11" i="8"/>
  <c r="P11" i="8"/>
  <c r="O11" i="8"/>
  <c r="M11" i="8"/>
  <c r="L11" i="8"/>
  <c r="N11" i="8"/>
  <c r="K11" i="8"/>
  <c r="J11" i="8"/>
  <c r="I11" i="8"/>
  <c r="H11" i="8"/>
  <c r="G11" i="8"/>
  <c r="F11" i="8"/>
  <c r="E11" i="8"/>
  <c r="A11" i="8"/>
  <c r="U10" i="8"/>
  <c r="T10" i="8"/>
  <c r="R10" i="8"/>
  <c r="Q10" i="8"/>
  <c r="S10" i="8"/>
  <c r="P10" i="8"/>
  <c r="O10" i="8"/>
  <c r="M10" i="8"/>
  <c r="L10" i="8"/>
  <c r="N10" i="8"/>
  <c r="K10" i="8"/>
  <c r="J10" i="8"/>
  <c r="I10" i="8"/>
  <c r="H10" i="8"/>
  <c r="G10" i="8"/>
  <c r="F10" i="8"/>
  <c r="E10" i="8"/>
  <c r="A10" i="8"/>
  <c r="U9" i="8"/>
  <c r="T9" i="8"/>
  <c r="R9" i="8"/>
  <c r="Q9" i="8"/>
  <c r="S9" i="8"/>
  <c r="P9" i="8"/>
  <c r="O9" i="8"/>
  <c r="M9" i="8"/>
  <c r="L9" i="8"/>
  <c r="N9" i="8"/>
  <c r="K9" i="8"/>
  <c r="J9" i="8"/>
  <c r="I9" i="8"/>
  <c r="H9" i="8"/>
  <c r="G9" i="8"/>
  <c r="F9" i="8"/>
  <c r="E9" i="8"/>
  <c r="A9" i="8"/>
  <c r="U8" i="8"/>
  <c r="T8" i="8"/>
  <c r="R8" i="8"/>
  <c r="Q8" i="8"/>
  <c r="S8" i="8"/>
  <c r="P8" i="8"/>
  <c r="O8" i="8"/>
  <c r="M8" i="8"/>
  <c r="L8" i="8"/>
  <c r="N8" i="8"/>
  <c r="K8" i="8"/>
  <c r="J8" i="8"/>
  <c r="I8" i="8"/>
  <c r="H8" i="8"/>
  <c r="G8" i="8"/>
  <c r="F8" i="8"/>
  <c r="E8" i="8"/>
  <c r="A8" i="8"/>
  <c r="G7" i="8"/>
  <c r="A7" i="8"/>
  <c r="G6" i="8"/>
  <c r="A6" i="8"/>
  <c r="D113" i="6"/>
  <c r="C113" i="6"/>
  <c r="B113" i="6"/>
  <c r="A113" i="6"/>
  <c r="D112" i="6"/>
  <c r="C112" i="6"/>
  <c r="B112" i="6"/>
  <c r="A112" i="6"/>
  <c r="D111" i="6"/>
  <c r="C111" i="6"/>
  <c r="B111" i="6"/>
  <c r="A111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A20" i="6"/>
  <c r="A19" i="6"/>
  <c r="A11" i="6"/>
  <c r="A1" i="6"/>
  <c r="H495" i="5"/>
  <c r="H492" i="5"/>
  <c r="C495" i="5"/>
  <c r="C492" i="5"/>
  <c r="I489" i="5"/>
  <c r="C489" i="5"/>
  <c r="I488" i="5"/>
  <c r="C488" i="5"/>
  <c r="I487" i="5"/>
  <c r="C487" i="5"/>
  <c r="I25" i="5"/>
  <c r="I24" i="5"/>
  <c r="I23" i="5"/>
  <c r="I22" i="5"/>
  <c r="I21" i="5"/>
  <c r="I20" i="5"/>
  <c r="I486" i="5"/>
  <c r="I483" i="5"/>
  <c r="A483" i="5"/>
  <c r="I480" i="5"/>
  <c r="A480" i="5"/>
  <c r="K478" i="5"/>
  <c r="P478" i="5"/>
  <c r="I478" i="5"/>
  <c r="J477" i="5"/>
  <c r="I477" i="5"/>
  <c r="H477" i="5"/>
  <c r="G477" i="5"/>
  <c r="F477" i="5"/>
  <c r="J476" i="5"/>
  <c r="I476" i="5"/>
  <c r="H476" i="5"/>
  <c r="G476" i="5"/>
  <c r="F476" i="5"/>
  <c r="V475" i="5"/>
  <c r="T475" i="5"/>
  <c r="R475" i="5"/>
  <c r="U475" i="5"/>
  <c r="S475" i="5"/>
  <c r="Q475" i="5"/>
  <c r="E475" i="5"/>
  <c r="D475" i="5"/>
  <c r="C475" i="5"/>
  <c r="B475" i="5"/>
  <c r="A475" i="5"/>
  <c r="K474" i="5"/>
  <c r="P474" i="5"/>
  <c r="I474" i="5"/>
  <c r="J473" i="5"/>
  <c r="I473" i="5"/>
  <c r="H473" i="5"/>
  <c r="G473" i="5"/>
  <c r="F473" i="5"/>
  <c r="J472" i="5"/>
  <c r="I472" i="5"/>
  <c r="H472" i="5"/>
  <c r="G472" i="5"/>
  <c r="F472" i="5"/>
  <c r="V471" i="5"/>
  <c r="T471" i="5"/>
  <c r="R471" i="5"/>
  <c r="U471" i="5"/>
  <c r="S471" i="5"/>
  <c r="Q471" i="5"/>
  <c r="E471" i="5"/>
  <c r="D471" i="5"/>
  <c r="C471" i="5"/>
  <c r="B471" i="5"/>
  <c r="A471" i="5"/>
  <c r="K470" i="5"/>
  <c r="P470" i="5"/>
  <c r="I470" i="5"/>
  <c r="J469" i="5"/>
  <c r="E469" i="5"/>
  <c r="J468" i="5"/>
  <c r="I468" i="5"/>
  <c r="H468" i="5"/>
  <c r="G468" i="5"/>
  <c r="F468" i="5"/>
  <c r="J467" i="5"/>
  <c r="I467" i="5"/>
  <c r="H467" i="5"/>
  <c r="G467" i="5"/>
  <c r="F467" i="5"/>
  <c r="V466" i="5"/>
  <c r="T466" i="5"/>
  <c r="R466" i="5"/>
  <c r="U466" i="5"/>
  <c r="S466" i="5"/>
  <c r="Q466" i="5"/>
  <c r="E466" i="5"/>
  <c r="D466" i="5"/>
  <c r="C466" i="5"/>
  <c r="B466" i="5"/>
  <c r="A466" i="5"/>
  <c r="A465" i="5"/>
  <c r="I462" i="5"/>
  <c r="A462" i="5"/>
  <c r="K460" i="5"/>
  <c r="P460" i="5"/>
  <c r="I460" i="5"/>
  <c r="K459" i="5"/>
  <c r="H459" i="5"/>
  <c r="G459" i="5"/>
  <c r="E459" i="5"/>
  <c r="J458" i="5"/>
  <c r="E458" i="5"/>
  <c r="J457" i="5"/>
  <c r="E457" i="5"/>
  <c r="J456" i="5"/>
  <c r="E456" i="5"/>
  <c r="J455" i="5"/>
  <c r="I455" i="5"/>
  <c r="H455" i="5"/>
  <c r="G455" i="5"/>
  <c r="F455" i="5"/>
  <c r="J454" i="5"/>
  <c r="I454" i="5"/>
  <c r="H454" i="5"/>
  <c r="G454" i="5"/>
  <c r="F454" i="5"/>
  <c r="J453" i="5"/>
  <c r="I453" i="5"/>
  <c r="H453" i="5"/>
  <c r="G453" i="5"/>
  <c r="F453" i="5"/>
  <c r="J452" i="5"/>
  <c r="I452" i="5"/>
  <c r="H452" i="5"/>
  <c r="G452" i="5"/>
  <c r="F452" i="5"/>
  <c r="V451" i="5"/>
  <c r="T451" i="5"/>
  <c r="R451" i="5"/>
  <c r="U451" i="5"/>
  <c r="S451" i="5"/>
  <c r="Q451" i="5"/>
  <c r="E451" i="5"/>
  <c r="D451" i="5"/>
  <c r="C451" i="5"/>
  <c r="B451" i="5"/>
  <c r="A451" i="5"/>
  <c r="K450" i="5"/>
  <c r="P450" i="5"/>
  <c r="I450" i="5"/>
  <c r="K449" i="5"/>
  <c r="H449" i="5"/>
  <c r="G449" i="5"/>
  <c r="E449" i="5"/>
  <c r="J448" i="5"/>
  <c r="E448" i="5"/>
  <c r="J447" i="5"/>
  <c r="E447" i="5"/>
  <c r="J446" i="5"/>
  <c r="E446" i="5"/>
  <c r="J445" i="5"/>
  <c r="I445" i="5"/>
  <c r="H445" i="5"/>
  <c r="G445" i="5"/>
  <c r="F445" i="5"/>
  <c r="J444" i="5"/>
  <c r="I444" i="5"/>
  <c r="H444" i="5"/>
  <c r="G444" i="5"/>
  <c r="F444" i="5"/>
  <c r="J443" i="5"/>
  <c r="I443" i="5"/>
  <c r="H443" i="5"/>
  <c r="G443" i="5"/>
  <c r="F443" i="5"/>
  <c r="J442" i="5"/>
  <c r="I442" i="5"/>
  <c r="H442" i="5"/>
  <c r="G442" i="5"/>
  <c r="F442" i="5"/>
  <c r="V441" i="5"/>
  <c r="T441" i="5"/>
  <c r="R441" i="5"/>
  <c r="U441" i="5"/>
  <c r="S441" i="5"/>
  <c r="Q441" i="5"/>
  <c r="E441" i="5"/>
  <c r="D441" i="5"/>
  <c r="C441" i="5"/>
  <c r="B441" i="5"/>
  <c r="A441" i="5"/>
  <c r="K440" i="5"/>
  <c r="P440" i="5"/>
  <c r="I440" i="5"/>
  <c r="K439" i="5"/>
  <c r="H439" i="5"/>
  <c r="G439" i="5"/>
  <c r="E439" i="5"/>
  <c r="J438" i="5"/>
  <c r="E438" i="5"/>
  <c r="J437" i="5"/>
  <c r="E437" i="5"/>
  <c r="J436" i="5"/>
  <c r="E436" i="5"/>
  <c r="J435" i="5"/>
  <c r="I435" i="5"/>
  <c r="H435" i="5"/>
  <c r="F435" i="5"/>
  <c r="V435" i="5"/>
  <c r="T435" i="5"/>
  <c r="R435" i="5"/>
  <c r="U435" i="5"/>
  <c r="S435" i="5"/>
  <c r="Q435" i="5"/>
  <c r="E435" i="5"/>
  <c r="D435" i="5"/>
  <c r="C435" i="5"/>
  <c r="B435" i="5"/>
  <c r="A435" i="5"/>
  <c r="J434" i="5"/>
  <c r="I434" i="5"/>
  <c r="H434" i="5"/>
  <c r="F434" i="5"/>
  <c r="V434" i="5"/>
  <c r="T434" i="5"/>
  <c r="R434" i="5"/>
  <c r="U434" i="5"/>
  <c r="S434" i="5"/>
  <c r="Q434" i="5"/>
  <c r="E434" i="5"/>
  <c r="D434" i="5"/>
  <c r="B434" i="5"/>
  <c r="A434" i="5"/>
  <c r="J433" i="5"/>
  <c r="I433" i="5"/>
  <c r="H433" i="5"/>
  <c r="F433" i="5"/>
  <c r="V433" i="5"/>
  <c r="T433" i="5"/>
  <c r="R433" i="5"/>
  <c r="U433" i="5"/>
  <c r="S433" i="5"/>
  <c r="Q433" i="5"/>
  <c r="E433" i="5"/>
  <c r="D433" i="5"/>
  <c r="B433" i="5"/>
  <c r="A433" i="5"/>
  <c r="J432" i="5"/>
  <c r="I432" i="5"/>
  <c r="H432" i="5"/>
  <c r="F432" i="5"/>
  <c r="V432" i="5"/>
  <c r="T432" i="5"/>
  <c r="R432" i="5"/>
  <c r="U432" i="5"/>
  <c r="S432" i="5"/>
  <c r="Q432" i="5"/>
  <c r="E432" i="5"/>
  <c r="D432" i="5"/>
  <c r="B432" i="5"/>
  <c r="A432" i="5"/>
  <c r="J431" i="5"/>
  <c r="I431" i="5"/>
  <c r="H431" i="5"/>
  <c r="F431" i="5"/>
  <c r="V431" i="5"/>
  <c r="T431" i="5"/>
  <c r="R431" i="5"/>
  <c r="U431" i="5"/>
  <c r="S431" i="5"/>
  <c r="Q431" i="5"/>
  <c r="E431" i="5"/>
  <c r="D431" i="5"/>
  <c r="B431" i="5"/>
  <c r="A431" i="5"/>
  <c r="J430" i="5"/>
  <c r="I430" i="5"/>
  <c r="H430" i="5"/>
  <c r="F430" i="5"/>
  <c r="V430" i="5"/>
  <c r="T430" i="5"/>
  <c r="R430" i="5"/>
  <c r="U430" i="5"/>
  <c r="S430" i="5"/>
  <c r="Q430" i="5"/>
  <c r="E430" i="5"/>
  <c r="D430" i="5"/>
  <c r="B430" i="5"/>
  <c r="A430" i="5"/>
  <c r="J429" i="5"/>
  <c r="I429" i="5"/>
  <c r="H429" i="5"/>
  <c r="F429" i="5"/>
  <c r="V429" i="5"/>
  <c r="T429" i="5"/>
  <c r="R429" i="5"/>
  <c r="U429" i="5"/>
  <c r="S429" i="5"/>
  <c r="Q429" i="5"/>
  <c r="E429" i="5"/>
  <c r="D429" i="5"/>
  <c r="C429" i="5"/>
  <c r="B429" i="5"/>
  <c r="A429" i="5"/>
  <c r="J428" i="5"/>
  <c r="I428" i="5"/>
  <c r="H428" i="5"/>
  <c r="F428" i="5"/>
  <c r="V428" i="5"/>
  <c r="T428" i="5"/>
  <c r="R428" i="5"/>
  <c r="U428" i="5"/>
  <c r="S428" i="5"/>
  <c r="Q428" i="5"/>
  <c r="E428" i="5"/>
  <c r="D428" i="5"/>
  <c r="C428" i="5"/>
  <c r="B428" i="5"/>
  <c r="A428" i="5"/>
  <c r="J427" i="5"/>
  <c r="I427" i="5"/>
  <c r="H427" i="5"/>
  <c r="F427" i="5"/>
  <c r="V427" i="5"/>
  <c r="T427" i="5"/>
  <c r="R427" i="5"/>
  <c r="U427" i="5"/>
  <c r="S427" i="5"/>
  <c r="Q427" i="5"/>
  <c r="E427" i="5"/>
  <c r="D427" i="5"/>
  <c r="C427" i="5"/>
  <c r="B427" i="5"/>
  <c r="A427" i="5"/>
  <c r="J426" i="5"/>
  <c r="I426" i="5"/>
  <c r="H426" i="5"/>
  <c r="G426" i="5"/>
  <c r="F426" i="5"/>
  <c r="J425" i="5"/>
  <c r="I425" i="5"/>
  <c r="H425" i="5"/>
  <c r="G425" i="5"/>
  <c r="F425" i="5"/>
  <c r="J424" i="5"/>
  <c r="I424" i="5"/>
  <c r="H424" i="5"/>
  <c r="G424" i="5"/>
  <c r="F424" i="5"/>
  <c r="J423" i="5"/>
  <c r="I423" i="5"/>
  <c r="H423" i="5"/>
  <c r="G423" i="5"/>
  <c r="F423" i="5"/>
  <c r="V422" i="5"/>
  <c r="T422" i="5"/>
  <c r="R422" i="5"/>
  <c r="U422" i="5"/>
  <c r="S422" i="5"/>
  <c r="Q422" i="5"/>
  <c r="E422" i="5"/>
  <c r="D422" i="5"/>
  <c r="C422" i="5"/>
  <c r="B422" i="5"/>
  <c r="A422" i="5"/>
  <c r="K421" i="5"/>
  <c r="P421" i="5"/>
  <c r="I421" i="5"/>
  <c r="K420" i="5"/>
  <c r="H420" i="5"/>
  <c r="G420" i="5"/>
  <c r="E420" i="5"/>
  <c r="J419" i="5"/>
  <c r="E419" i="5"/>
  <c r="J418" i="5"/>
  <c r="E418" i="5"/>
  <c r="J417" i="5"/>
  <c r="E417" i="5"/>
  <c r="J416" i="5"/>
  <c r="I416" i="5"/>
  <c r="H416" i="5"/>
  <c r="F416" i="5"/>
  <c r="V416" i="5"/>
  <c r="T416" i="5"/>
  <c r="R416" i="5"/>
  <c r="U416" i="5"/>
  <c r="S416" i="5"/>
  <c r="Q416" i="5"/>
  <c r="E416" i="5"/>
  <c r="D416" i="5"/>
  <c r="C416" i="5"/>
  <c r="B416" i="5"/>
  <c r="A416" i="5"/>
  <c r="J415" i="5"/>
  <c r="I415" i="5"/>
  <c r="H415" i="5"/>
  <c r="F415" i="5"/>
  <c r="V415" i="5"/>
  <c r="T415" i="5"/>
  <c r="R415" i="5"/>
  <c r="U415" i="5"/>
  <c r="S415" i="5"/>
  <c r="Q415" i="5"/>
  <c r="E415" i="5"/>
  <c r="D415" i="5"/>
  <c r="C415" i="5"/>
  <c r="B415" i="5"/>
  <c r="A415" i="5"/>
  <c r="J414" i="5"/>
  <c r="I414" i="5"/>
  <c r="H414" i="5"/>
  <c r="G414" i="5"/>
  <c r="F414" i="5"/>
  <c r="J413" i="5"/>
  <c r="I413" i="5"/>
  <c r="H413" i="5"/>
  <c r="G413" i="5"/>
  <c r="F413" i="5"/>
  <c r="J412" i="5"/>
  <c r="I412" i="5"/>
  <c r="H412" i="5"/>
  <c r="G412" i="5"/>
  <c r="F412" i="5"/>
  <c r="J411" i="5"/>
  <c r="I411" i="5"/>
  <c r="H411" i="5"/>
  <c r="G411" i="5"/>
  <c r="F411" i="5"/>
  <c r="V410" i="5"/>
  <c r="T410" i="5"/>
  <c r="R410" i="5"/>
  <c r="U410" i="5"/>
  <c r="S410" i="5"/>
  <c r="Q410" i="5"/>
  <c r="E410" i="5"/>
  <c r="D410" i="5"/>
  <c r="C410" i="5"/>
  <c r="B410" i="5"/>
  <c r="A410" i="5"/>
  <c r="K409" i="5"/>
  <c r="P409" i="5"/>
  <c r="I409" i="5"/>
  <c r="K408" i="5"/>
  <c r="H408" i="5"/>
  <c r="G408" i="5"/>
  <c r="E408" i="5"/>
  <c r="J407" i="5"/>
  <c r="E407" i="5"/>
  <c r="J406" i="5"/>
  <c r="E406" i="5"/>
  <c r="J405" i="5"/>
  <c r="E405" i="5"/>
  <c r="J404" i="5"/>
  <c r="I404" i="5"/>
  <c r="H404" i="5"/>
  <c r="G404" i="5"/>
  <c r="F404" i="5"/>
  <c r="J403" i="5"/>
  <c r="I403" i="5"/>
  <c r="H403" i="5"/>
  <c r="G403" i="5"/>
  <c r="F403" i="5"/>
  <c r="J402" i="5"/>
  <c r="I402" i="5"/>
  <c r="H402" i="5"/>
  <c r="G402" i="5"/>
  <c r="F402" i="5"/>
  <c r="J401" i="5"/>
  <c r="I401" i="5"/>
  <c r="H401" i="5"/>
  <c r="G401" i="5"/>
  <c r="F401" i="5"/>
  <c r="V400" i="5"/>
  <c r="T400" i="5"/>
  <c r="R400" i="5"/>
  <c r="U400" i="5"/>
  <c r="S400" i="5"/>
  <c r="Q400" i="5"/>
  <c r="E400" i="5"/>
  <c r="D400" i="5"/>
  <c r="C400" i="5"/>
  <c r="B400" i="5"/>
  <c r="A400" i="5"/>
  <c r="K399" i="5"/>
  <c r="P399" i="5"/>
  <c r="I399" i="5"/>
  <c r="K398" i="5"/>
  <c r="H398" i="5"/>
  <c r="G398" i="5"/>
  <c r="E398" i="5"/>
  <c r="J397" i="5"/>
  <c r="E397" i="5"/>
  <c r="J396" i="5"/>
  <c r="E396" i="5"/>
  <c r="J395" i="5"/>
  <c r="I395" i="5"/>
  <c r="H395" i="5"/>
  <c r="G395" i="5"/>
  <c r="F395" i="5"/>
  <c r="J394" i="5"/>
  <c r="I394" i="5"/>
  <c r="H394" i="5"/>
  <c r="G394" i="5"/>
  <c r="F394" i="5"/>
  <c r="V393" i="5"/>
  <c r="T393" i="5"/>
  <c r="R393" i="5"/>
  <c r="U393" i="5"/>
  <c r="S393" i="5"/>
  <c r="Q393" i="5"/>
  <c r="E393" i="5"/>
  <c r="D393" i="5"/>
  <c r="C393" i="5"/>
  <c r="B393" i="5"/>
  <c r="A393" i="5"/>
  <c r="K392" i="5"/>
  <c r="P392" i="5"/>
  <c r="I392" i="5"/>
  <c r="K391" i="5"/>
  <c r="H391" i="5"/>
  <c r="G391" i="5"/>
  <c r="E391" i="5"/>
  <c r="J390" i="5"/>
  <c r="E390" i="5"/>
  <c r="J389" i="5"/>
  <c r="E389" i="5"/>
  <c r="J388" i="5"/>
  <c r="I388" i="5"/>
  <c r="H388" i="5"/>
  <c r="G388" i="5"/>
  <c r="F388" i="5"/>
  <c r="V387" i="5"/>
  <c r="T387" i="5"/>
  <c r="R387" i="5"/>
  <c r="U387" i="5"/>
  <c r="S387" i="5"/>
  <c r="Q387" i="5"/>
  <c r="E387" i="5"/>
  <c r="D387" i="5"/>
  <c r="C387" i="5"/>
  <c r="B387" i="5"/>
  <c r="A387" i="5"/>
  <c r="K386" i="5"/>
  <c r="P386" i="5"/>
  <c r="I386" i="5"/>
  <c r="K385" i="5"/>
  <c r="H385" i="5"/>
  <c r="G385" i="5"/>
  <c r="E385" i="5"/>
  <c r="J384" i="5"/>
  <c r="E384" i="5"/>
  <c r="J383" i="5"/>
  <c r="E383" i="5"/>
  <c r="J382" i="5"/>
  <c r="I382" i="5"/>
  <c r="H382" i="5"/>
  <c r="G382" i="5"/>
  <c r="F382" i="5"/>
  <c r="V381" i="5"/>
  <c r="T381" i="5"/>
  <c r="R381" i="5"/>
  <c r="U381" i="5"/>
  <c r="S381" i="5"/>
  <c r="Q381" i="5"/>
  <c r="E381" i="5"/>
  <c r="D381" i="5"/>
  <c r="C381" i="5"/>
  <c r="B381" i="5"/>
  <c r="A381" i="5"/>
  <c r="K380" i="5"/>
  <c r="P380" i="5"/>
  <c r="I380" i="5"/>
  <c r="K379" i="5"/>
  <c r="H379" i="5"/>
  <c r="G379" i="5"/>
  <c r="E379" i="5"/>
  <c r="J378" i="5"/>
  <c r="E378" i="5"/>
  <c r="J377" i="5"/>
  <c r="E377" i="5"/>
  <c r="J376" i="5"/>
  <c r="E376" i="5"/>
  <c r="J375" i="5"/>
  <c r="I375" i="5"/>
  <c r="H375" i="5"/>
  <c r="G375" i="5"/>
  <c r="F375" i="5"/>
  <c r="J374" i="5"/>
  <c r="I374" i="5"/>
  <c r="H374" i="5"/>
  <c r="G374" i="5"/>
  <c r="F374" i="5"/>
  <c r="J373" i="5"/>
  <c r="I373" i="5"/>
  <c r="H373" i="5"/>
  <c r="G373" i="5"/>
  <c r="F373" i="5"/>
  <c r="V372" i="5"/>
  <c r="T372" i="5"/>
  <c r="R372" i="5"/>
  <c r="U372" i="5"/>
  <c r="S372" i="5"/>
  <c r="Q372" i="5"/>
  <c r="E372" i="5"/>
  <c r="D372" i="5"/>
  <c r="C372" i="5"/>
  <c r="B372" i="5"/>
  <c r="A372" i="5"/>
  <c r="K371" i="5"/>
  <c r="P371" i="5"/>
  <c r="I371" i="5"/>
  <c r="K370" i="5"/>
  <c r="H370" i="5"/>
  <c r="G370" i="5"/>
  <c r="E370" i="5"/>
  <c r="J369" i="5"/>
  <c r="E369" i="5"/>
  <c r="J368" i="5"/>
  <c r="E368" i="5"/>
  <c r="J367" i="5"/>
  <c r="E367" i="5"/>
  <c r="J366" i="5"/>
  <c r="I366" i="5"/>
  <c r="H366" i="5"/>
  <c r="G366" i="5"/>
  <c r="F366" i="5"/>
  <c r="J365" i="5"/>
  <c r="I365" i="5"/>
  <c r="H365" i="5"/>
  <c r="G365" i="5"/>
  <c r="F365" i="5"/>
  <c r="J364" i="5"/>
  <c r="I364" i="5"/>
  <c r="H364" i="5"/>
  <c r="G364" i="5"/>
  <c r="F364" i="5"/>
  <c r="V363" i="5"/>
  <c r="T363" i="5"/>
  <c r="R363" i="5"/>
  <c r="U363" i="5"/>
  <c r="S363" i="5"/>
  <c r="Q363" i="5"/>
  <c r="E363" i="5"/>
  <c r="D363" i="5"/>
  <c r="A363" i="5"/>
  <c r="A362" i="5"/>
  <c r="I359" i="5"/>
  <c r="A359" i="5"/>
  <c r="K357" i="5"/>
  <c r="P357" i="5"/>
  <c r="I357" i="5"/>
  <c r="K356" i="5"/>
  <c r="H356" i="5"/>
  <c r="G356" i="5"/>
  <c r="E356" i="5"/>
  <c r="J355" i="5"/>
  <c r="E355" i="5"/>
  <c r="J354" i="5"/>
  <c r="E354" i="5"/>
  <c r="J353" i="5"/>
  <c r="E353" i="5"/>
  <c r="J352" i="5"/>
  <c r="I352" i="5"/>
  <c r="H352" i="5"/>
  <c r="G352" i="5"/>
  <c r="F352" i="5"/>
  <c r="J351" i="5"/>
  <c r="I351" i="5"/>
  <c r="H351" i="5"/>
  <c r="G351" i="5"/>
  <c r="F351" i="5"/>
  <c r="J350" i="5"/>
  <c r="I350" i="5"/>
  <c r="H350" i="5"/>
  <c r="G350" i="5"/>
  <c r="F350" i="5"/>
  <c r="J349" i="5"/>
  <c r="I349" i="5"/>
  <c r="H349" i="5"/>
  <c r="G349" i="5"/>
  <c r="F349" i="5"/>
  <c r="V348" i="5"/>
  <c r="T348" i="5"/>
  <c r="R348" i="5"/>
  <c r="U348" i="5"/>
  <c r="S348" i="5"/>
  <c r="Q348" i="5"/>
  <c r="E348" i="5"/>
  <c r="D348" i="5"/>
  <c r="C348" i="5"/>
  <c r="B348" i="5"/>
  <c r="A348" i="5"/>
  <c r="K347" i="5"/>
  <c r="P347" i="5"/>
  <c r="I347" i="5"/>
  <c r="K346" i="5"/>
  <c r="H346" i="5"/>
  <c r="G346" i="5"/>
  <c r="E346" i="5"/>
  <c r="J345" i="5"/>
  <c r="E345" i="5"/>
  <c r="J344" i="5"/>
  <c r="E344" i="5"/>
  <c r="J343" i="5"/>
  <c r="E343" i="5"/>
  <c r="J342" i="5"/>
  <c r="I342" i="5"/>
  <c r="H342" i="5"/>
  <c r="G342" i="5"/>
  <c r="F342" i="5"/>
  <c r="J341" i="5"/>
  <c r="I341" i="5"/>
  <c r="H341" i="5"/>
  <c r="G341" i="5"/>
  <c r="F341" i="5"/>
  <c r="J340" i="5"/>
  <c r="I340" i="5"/>
  <c r="H340" i="5"/>
  <c r="G340" i="5"/>
  <c r="F340" i="5"/>
  <c r="J339" i="5"/>
  <c r="I339" i="5"/>
  <c r="H339" i="5"/>
  <c r="G339" i="5"/>
  <c r="F339" i="5"/>
  <c r="V338" i="5"/>
  <c r="T338" i="5"/>
  <c r="R338" i="5"/>
  <c r="U338" i="5"/>
  <c r="S338" i="5"/>
  <c r="Q338" i="5"/>
  <c r="E338" i="5"/>
  <c r="D338" i="5"/>
  <c r="C338" i="5"/>
  <c r="B338" i="5"/>
  <c r="A338" i="5"/>
  <c r="K337" i="5"/>
  <c r="P337" i="5"/>
  <c r="I337" i="5"/>
  <c r="K336" i="5"/>
  <c r="H336" i="5"/>
  <c r="G336" i="5"/>
  <c r="E336" i="5"/>
  <c r="J335" i="5"/>
  <c r="E335" i="5"/>
  <c r="J334" i="5"/>
  <c r="E334" i="5"/>
  <c r="J333" i="5"/>
  <c r="E333" i="5"/>
  <c r="J332" i="5"/>
  <c r="I332" i="5"/>
  <c r="H332" i="5"/>
  <c r="F332" i="5"/>
  <c r="V332" i="5"/>
  <c r="T332" i="5"/>
  <c r="R332" i="5"/>
  <c r="U332" i="5"/>
  <c r="S332" i="5"/>
  <c r="Q332" i="5"/>
  <c r="E332" i="5"/>
  <c r="D332" i="5"/>
  <c r="C332" i="5"/>
  <c r="B332" i="5"/>
  <c r="A332" i="5"/>
  <c r="J331" i="5"/>
  <c r="I331" i="5"/>
  <c r="H331" i="5"/>
  <c r="F331" i="5"/>
  <c r="V331" i="5"/>
  <c r="T331" i="5"/>
  <c r="R331" i="5"/>
  <c r="U331" i="5"/>
  <c r="S331" i="5"/>
  <c r="Q331" i="5"/>
  <c r="E331" i="5"/>
  <c r="D331" i="5"/>
  <c r="B331" i="5"/>
  <c r="A331" i="5"/>
  <c r="J330" i="5"/>
  <c r="I330" i="5"/>
  <c r="H330" i="5"/>
  <c r="F330" i="5"/>
  <c r="V330" i="5"/>
  <c r="T330" i="5"/>
  <c r="R330" i="5"/>
  <c r="U330" i="5"/>
  <c r="S330" i="5"/>
  <c r="Q330" i="5"/>
  <c r="E330" i="5"/>
  <c r="D330" i="5"/>
  <c r="B330" i="5"/>
  <c r="A330" i="5"/>
  <c r="J329" i="5"/>
  <c r="I329" i="5"/>
  <c r="H329" i="5"/>
  <c r="F329" i="5"/>
  <c r="V329" i="5"/>
  <c r="T329" i="5"/>
  <c r="R329" i="5"/>
  <c r="U329" i="5"/>
  <c r="S329" i="5"/>
  <c r="Q329" i="5"/>
  <c r="E329" i="5"/>
  <c r="D329" i="5"/>
  <c r="B329" i="5"/>
  <c r="A329" i="5"/>
  <c r="J328" i="5"/>
  <c r="I328" i="5"/>
  <c r="H328" i="5"/>
  <c r="F328" i="5"/>
  <c r="V328" i="5"/>
  <c r="T328" i="5"/>
  <c r="R328" i="5"/>
  <c r="U328" i="5"/>
  <c r="S328" i="5"/>
  <c r="Q328" i="5"/>
  <c r="E328" i="5"/>
  <c r="D328" i="5"/>
  <c r="B328" i="5"/>
  <c r="A328" i="5"/>
  <c r="J327" i="5"/>
  <c r="I327" i="5"/>
  <c r="H327" i="5"/>
  <c r="F327" i="5"/>
  <c r="V327" i="5"/>
  <c r="T327" i="5"/>
  <c r="R327" i="5"/>
  <c r="U327" i="5"/>
  <c r="S327" i="5"/>
  <c r="Q327" i="5"/>
  <c r="E327" i="5"/>
  <c r="D327" i="5"/>
  <c r="C327" i="5"/>
  <c r="B327" i="5"/>
  <c r="A327" i="5"/>
  <c r="J326" i="5"/>
  <c r="I326" i="5"/>
  <c r="H326" i="5"/>
  <c r="F326" i="5"/>
  <c r="V326" i="5"/>
  <c r="T326" i="5"/>
  <c r="R326" i="5"/>
  <c r="U326" i="5"/>
  <c r="S326" i="5"/>
  <c r="Q326" i="5"/>
  <c r="E326" i="5"/>
  <c r="D326" i="5"/>
  <c r="C326" i="5"/>
  <c r="B326" i="5"/>
  <c r="A326" i="5"/>
  <c r="J325" i="5"/>
  <c r="I325" i="5"/>
  <c r="H325" i="5"/>
  <c r="F325" i="5"/>
  <c r="V325" i="5"/>
  <c r="T325" i="5"/>
  <c r="R325" i="5"/>
  <c r="U325" i="5"/>
  <c r="S325" i="5"/>
  <c r="Q325" i="5"/>
  <c r="E325" i="5"/>
  <c r="D325" i="5"/>
  <c r="C325" i="5"/>
  <c r="B325" i="5"/>
  <c r="A325" i="5"/>
  <c r="J324" i="5"/>
  <c r="I324" i="5"/>
  <c r="H324" i="5"/>
  <c r="G324" i="5"/>
  <c r="F324" i="5"/>
  <c r="J323" i="5"/>
  <c r="I323" i="5"/>
  <c r="H323" i="5"/>
  <c r="G323" i="5"/>
  <c r="F323" i="5"/>
  <c r="J322" i="5"/>
  <c r="I322" i="5"/>
  <c r="H322" i="5"/>
  <c r="G322" i="5"/>
  <c r="F322" i="5"/>
  <c r="J321" i="5"/>
  <c r="I321" i="5"/>
  <c r="H321" i="5"/>
  <c r="G321" i="5"/>
  <c r="F321" i="5"/>
  <c r="V320" i="5"/>
  <c r="T320" i="5"/>
  <c r="R320" i="5"/>
  <c r="U320" i="5"/>
  <c r="S320" i="5"/>
  <c r="Q320" i="5"/>
  <c r="E320" i="5"/>
  <c r="D320" i="5"/>
  <c r="C320" i="5"/>
  <c r="B320" i="5"/>
  <c r="A320" i="5"/>
  <c r="K319" i="5"/>
  <c r="P319" i="5"/>
  <c r="I319" i="5"/>
  <c r="K318" i="5"/>
  <c r="H318" i="5"/>
  <c r="G318" i="5"/>
  <c r="E318" i="5"/>
  <c r="J317" i="5"/>
  <c r="E317" i="5"/>
  <c r="J316" i="5"/>
  <c r="E316" i="5"/>
  <c r="J315" i="5"/>
  <c r="I315" i="5"/>
  <c r="H315" i="5"/>
  <c r="G315" i="5"/>
  <c r="F315" i="5"/>
  <c r="J314" i="5"/>
  <c r="I314" i="5"/>
  <c r="H314" i="5"/>
  <c r="G314" i="5"/>
  <c r="F314" i="5"/>
  <c r="V313" i="5"/>
  <c r="T313" i="5"/>
  <c r="R313" i="5"/>
  <c r="U313" i="5"/>
  <c r="S313" i="5"/>
  <c r="Q313" i="5"/>
  <c r="E313" i="5"/>
  <c r="D313" i="5"/>
  <c r="C313" i="5"/>
  <c r="B313" i="5"/>
  <c r="A313" i="5"/>
  <c r="K312" i="5"/>
  <c r="P312" i="5"/>
  <c r="I312" i="5"/>
  <c r="K311" i="5"/>
  <c r="H311" i="5"/>
  <c r="G311" i="5"/>
  <c r="E311" i="5"/>
  <c r="J310" i="5"/>
  <c r="E310" i="5"/>
  <c r="J309" i="5"/>
  <c r="E309" i="5"/>
  <c r="J308" i="5"/>
  <c r="E308" i="5"/>
  <c r="J307" i="5"/>
  <c r="I307" i="5"/>
  <c r="H307" i="5"/>
  <c r="F307" i="5"/>
  <c r="V307" i="5"/>
  <c r="T307" i="5"/>
  <c r="R307" i="5"/>
  <c r="U307" i="5"/>
  <c r="S307" i="5"/>
  <c r="Q307" i="5"/>
  <c r="E307" i="5"/>
  <c r="D307" i="5"/>
  <c r="C307" i="5"/>
  <c r="B307" i="5"/>
  <c r="A307" i="5"/>
  <c r="J306" i="5"/>
  <c r="I306" i="5"/>
  <c r="H306" i="5"/>
  <c r="F306" i="5"/>
  <c r="V306" i="5"/>
  <c r="T306" i="5"/>
  <c r="R306" i="5"/>
  <c r="U306" i="5"/>
  <c r="S306" i="5"/>
  <c r="Q306" i="5"/>
  <c r="E306" i="5"/>
  <c r="D306" i="5"/>
  <c r="C306" i="5"/>
  <c r="B306" i="5"/>
  <c r="A306" i="5"/>
  <c r="J305" i="5"/>
  <c r="I305" i="5"/>
  <c r="H305" i="5"/>
  <c r="G305" i="5"/>
  <c r="F305" i="5"/>
  <c r="J304" i="5"/>
  <c r="I304" i="5"/>
  <c r="H304" i="5"/>
  <c r="G304" i="5"/>
  <c r="F304" i="5"/>
  <c r="J303" i="5"/>
  <c r="I303" i="5"/>
  <c r="H303" i="5"/>
  <c r="G303" i="5"/>
  <c r="F303" i="5"/>
  <c r="J302" i="5"/>
  <c r="I302" i="5"/>
  <c r="H302" i="5"/>
  <c r="G302" i="5"/>
  <c r="F302" i="5"/>
  <c r="V301" i="5"/>
  <c r="T301" i="5"/>
  <c r="R301" i="5"/>
  <c r="U301" i="5"/>
  <c r="S301" i="5"/>
  <c r="Q301" i="5"/>
  <c r="E301" i="5"/>
  <c r="D301" i="5"/>
  <c r="C301" i="5"/>
  <c r="B301" i="5"/>
  <c r="A301" i="5"/>
  <c r="K300" i="5"/>
  <c r="P300" i="5"/>
  <c r="I300" i="5"/>
  <c r="K299" i="5"/>
  <c r="H299" i="5"/>
  <c r="G299" i="5"/>
  <c r="E299" i="5"/>
  <c r="J298" i="5"/>
  <c r="E298" i="5"/>
  <c r="J297" i="5"/>
  <c r="E297" i="5"/>
  <c r="J296" i="5"/>
  <c r="I296" i="5"/>
  <c r="H296" i="5"/>
  <c r="G296" i="5"/>
  <c r="F296" i="5"/>
  <c r="J295" i="5"/>
  <c r="I295" i="5"/>
  <c r="H295" i="5"/>
  <c r="G295" i="5"/>
  <c r="F295" i="5"/>
  <c r="V294" i="5"/>
  <c r="T294" i="5"/>
  <c r="R294" i="5"/>
  <c r="U294" i="5"/>
  <c r="S294" i="5"/>
  <c r="Q294" i="5"/>
  <c r="E294" i="5"/>
  <c r="D294" i="5"/>
  <c r="C294" i="5"/>
  <c r="B294" i="5"/>
  <c r="A294" i="5"/>
  <c r="K293" i="5"/>
  <c r="P293" i="5"/>
  <c r="I293" i="5"/>
  <c r="K292" i="5"/>
  <c r="H292" i="5"/>
  <c r="G292" i="5"/>
  <c r="E292" i="5"/>
  <c r="J291" i="5"/>
  <c r="E291" i="5"/>
  <c r="J290" i="5"/>
  <c r="E290" i="5"/>
  <c r="J289" i="5"/>
  <c r="I289" i="5"/>
  <c r="H289" i="5"/>
  <c r="G289" i="5"/>
  <c r="F289" i="5"/>
  <c r="V288" i="5"/>
  <c r="T288" i="5"/>
  <c r="R288" i="5"/>
  <c r="U288" i="5"/>
  <c r="S288" i="5"/>
  <c r="Q288" i="5"/>
  <c r="E288" i="5"/>
  <c r="D288" i="5"/>
  <c r="C288" i="5"/>
  <c r="B288" i="5"/>
  <c r="A288" i="5"/>
  <c r="K287" i="5"/>
  <c r="P287" i="5"/>
  <c r="I287" i="5"/>
  <c r="K286" i="5"/>
  <c r="H286" i="5"/>
  <c r="G286" i="5"/>
  <c r="E286" i="5"/>
  <c r="J285" i="5"/>
  <c r="E285" i="5"/>
  <c r="J284" i="5"/>
  <c r="E284" i="5"/>
  <c r="J283" i="5"/>
  <c r="E283" i="5"/>
  <c r="J282" i="5"/>
  <c r="I282" i="5"/>
  <c r="H282" i="5"/>
  <c r="F282" i="5"/>
  <c r="V282" i="5"/>
  <c r="T282" i="5"/>
  <c r="R282" i="5"/>
  <c r="U282" i="5"/>
  <c r="S282" i="5"/>
  <c r="Q282" i="5"/>
  <c r="E282" i="5"/>
  <c r="D282" i="5"/>
  <c r="C282" i="5"/>
  <c r="B282" i="5"/>
  <c r="A282" i="5"/>
  <c r="J281" i="5"/>
  <c r="I281" i="5"/>
  <c r="H281" i="5"/>
  <c r="F281" i="5"/>
  <c r="V281" i="5"/>
  <c r="T281" i="5"/>
  <c r="R281" i="5"/>
  <c r="U281" i="5"/>
  <c r="S281" i="5"/>
  <c r="Q281" i="5"/>
  <c r="E281" i="5"/>
  <c r="D281" i="5"/>
  <c r="C281" i="5"/>
  <c r="B281" i="5"/>
  <c r="A281" i="5"/>
  <c r="J280" i="5"/>
  <c r="I280" i="5"/>
  <c r="H280" i="5"/>
  <c r="G280" i="5"/>
  <c r="F280" i="5"/>
  <c r="J279" i="5"/>
  <c r="I279" i="5"/>
  <c r="H279" i="5"/>
  <c r="G279" i="5"/>
  <c r="F279" i="5"/>
  <c r="J278" i="5"/>
  <c r="I278" i="5"/>
  <c r="H278" i="5"/>
  <c r="G278" i="5"/>
  <c r="F278" i="5"/>
  <c r="J277" i="5"/>
  <c r="I277" i="5"/>
  <c r="H277" i="5"/>
  <c r="G277" i="5"/>
  <c r="F277" i="5"/>
  <c r="V276" i="5"/>
  <c r="T276" i="5"/>
  <c r="R276" i="5"/>
  <c r="U276" i="5"/>
  <c r="S276" i="5"/>
  <c r="Q276" i="5"/>
  <c r="E276" i="5"/>
  <c r="D276" i="5"/>
  <c r="C276" i="5"/>
  <c r="B276" i="5"/>
  <c r="A276" i="5"/>
  <c r="K275" i="5"/>
  <c r="P275" i="5"/>
  <c r="I275" i="5"/>
  <c r="K274" i="5"/>
  <c r="H274" i="5"/>
  <c r="G274" i="5"/>
  <c r="E274" i="5"/>
  <c r="J273" i="5"/>
  <c r="E273" i="5"/>
  <c r="J272" i="5"/>
  <c r="E272" i="5"/>
  <c r="J271" i="5"/>
  <c r="E271" i="5"/>
  <c r="J270" i="5"/>
  <c r="I270" i="5"/>
  <c r="H270" i="5"/>
  <c r="G270" i="5"/>
  <c r="F270" i="5"/>
  <c r="J269" i="5"/>
  <c r="I269" i="5"/>
  <c r="H269" i="5"/>
  <c r="G269" i="5"/>
  <c r="F269" i="5"/>
  <c r="J268" i="5"/>
  <c r="I268" i="5"/>
  <c r="H268" i="5"/>
  <c r="G268" i="5"/>
  <c r="F268" i="5"/>
  <c r="J267" i="5"/>
  <c r="I267" i="5"/>
  <c r="H267" i="5"/>
  <c r="G267" i="5"/>
  <c r="F267" i="5"/>
  <c r="V266" i="5"/>
  <c r="T266" i="5"/>
  <c r="R266" i="5"/>
  <c r="U266" i="5"/>
  <c r="S266" i="5"/>
  <c r="Q266" i="5"/>
  <c r="E266" i="5"/>
  <c r="D266" i="5"/>
  <c r="C266" i="5"/>
  <c r="B266" i="5"/>
  <c r="A266" i="5"/>
  <c r="K265" i="5"/>
  <c r="P265" i="5"/>
  <c r="I265" i="5"/>
  <c r="K264" i="5"/>
  <c r="H264" i="5"/>
  <c r="G264" i="5"/>
  <c r="E264" i="5"/>
  <c r="J263" i="5"/>
  <c r="E263" i="5"/>
  <c r="J262" i="5"/>
  <c r="E262" i="5"/>
  <c r="J261" i="5"/>
  <c r="I261" i="5"/>
  <c r="H261" i="5"/>
  <c r="G261" i="5"/>
  <c r="F261" i="5"/>
  <c r="J260" i="5"/>
  <c r="I260" i="5"/>
  <c r="H260" i="5"/>
  <c r="G260" i="5"/>
  <c r="F260" i="5"/>
  <c r="V259" i="5"/>
  <c r="T259" i="5"/>
  <c r="R259" i="5"/>
  <c r="U259" i="5"/>
  <c r="S259" i="5"/>
  <c r="Q259" i="5"/>
  <c r="E259" i="5"/>
  <c r="D259" i="5"/>
  <c r="C259" i="5"/>
  <c r="B259" i="5"/>
  <c r="A259" i="5"/>
  <c r="K258" i="5"/>
  <c r="P258" i="5"/>
  <c r="I258" i="5"/>
  <c r="J257" i="5"/>
  <c r="I257" i="5"/>
  <c r="H257" i="5"/>
  <c r="G257" i="5"/>
  <c r="F257" i="5"/>
  <c r="J256" i="5"/>
  <c r="I256" i="5"/>
  <c r="H256" i="5"/>
  <c r="G256" i="5"/>
  <c r="F256" i="5"/>
  <c r="V255" i="5"/>
  <c r="T255" i="5"/>
  <c r="R255" i="5"/>
  <c r="U255" i="5"/>
  <c r="S255" i="5"/>
  <c r="Q255" i="5"/>
  <c r="E255" i="5"/>
  <c r="D255" i="5"/>
  <c r="C255" i="5"/>
  <c r="B255" i="5"/>
  <c r="A255" i="5"/>
  <c r="K254" i="5"/>
  <c r="P254" i="5"/>
  <c r="I254" i="5"/>
  <c r="J253" i="5"/>
  <c r="I253" i="5"/>
  <c r="H253" i="5"/>
  <c r="G253" i="5"/>
  <c r="F253" i="5"/>
  <c r="J252" i="5"/>
  <c r="I252" i="5"/>
  <c r="H252" i="5"/>
  <c r="G252" i="5"/>
  <c r="F252" i="5"/>
  <c r="V251" i="5"/>
  <c r="T251" i="5"/>
  <c r="R251" i="5"/>
  <c r="U251" i="5"/>
  <c r="S251" i="5"/>
  <c r="Q251" i="5"/>
  <c r="E251" i="5"/>
  <c r="D251" i="5"/>
  <c r="C251" i="5"/>
  <c r="B251" i="5"/>
  <c r="A251" i="5"/>
  <c r="K250" i="5"/>
  <c r="P250" i="5"/>
  <c r="I250" i="5"/>
  <c r="K249" i="5"/>
  <c r="H249" i="5"/>
  <c r="G249" i="5"/>
  <c r="E249" i="5"/>
  <c r="J248" i="5"/>
  <c r="E248" i="5"/>
  <c r="J247" i="5"/>
  <c r="E247" i="5"/>
  <c r="J246" i="5"/>
  <c r="I246" i="5"/>
  <c r="H246" i="5"/>
  <c r="G246" i="5"/>
  <c r="F246" i="5"/>
  <c r="V245" i="5"/>
  <c r="T245" i="5"/>
  <c r="R245" i="5"/>
  <c r="U245" i="5"/>
  <c r="S245" i="5"/>
  <c r="Q245" i="5"/>
  <c r="E245" i="5"/>
  <c r="D245" i="5"/>
  <c r="C245" i="5"/>
  <c r="B245" i="5"/>
  <c r="A245" i="5"/>
  <c r="K244" i="5"/>
  <c r="P244" i="5"/>
  <c r="I244" i="5"/>
  <c r="K243" i="5"/>
  <c r="H243" i="5"/>
  <c r="G243" i="5"/>
  <c r="E243" i="5"/>
  <c r="J242" i="5"/>
  <c r="E242" i="5"/>
  <c r="J241" i="5"/>
  <c r="E241" i="5"/>
  <c r="J240" i="5"/>
  <c r="I240" i="5"/>
  <c r="H240" i="5"/>
  <c r="G240" i="5"/>
  <c r="F240" i="5"/>
  <c r="V239" i="5"/>
  <c r="T239" i="5"/>
  <c r="R239" i="5"/>
  <c r="U239" i="5"/>
  <c r="S239" i="5"/>
  <c r="Q239" i="5"/>
  <c r="E239" i="5"/>
  <c r="D239" i="5"/>
  <c r="C239" i="5"/>
  <c r="B239" i="5"/>
  <c r="A239" i="5"/>
  <c r="K238" i="5"/>
  <c r="P238" i="5"/>
  <c r="I238" i="5"/>
  <c r="K237" i="5"/>
  <c r="H237" i="5"/>
  <c r="G237" i="5"/>
  <c r="E237" i="5"/>
  <c r="J236" i="5"/>
  <c r="E236" i="5"/>
  <c r="J235" i="5"/>
  <c r="E235" i="5"/>
  <c r="J234" i="5"/>
  <c r="I234" i="5"/>
  <c r="H234" i="5"/>
  <c r="G234" i="5"/>
  <c r="F234" i="5"/>
  <c r="V233" i="5"/>
  <c r="T233" i="5"/>
  <c r="R233" i="5"/>
  <c r="U233" i="5"/>
  <c r="S233" i="5"/>
  <c r="Q233" i="5"/>
  <c r="E233" i="5"/>
  <c r="D233" i="5"/>
  <c r="C233" i="5"/>
  <c r="B233" i="5"/>
  <c r="A233" i="5"/>
  <c r="K232" i="5"/>
  <c r="P232" i="5"/>
  <c r="I232" i="5"/>
  <c r="K231" i="5"/>
  <c r="H231" i="5"/>
  <c r="G231" i="5"/>
  <c r="E231" i="5"/>
  <c r="J230" i="5"/>
  <c r="E230" i="5"/>
  <c r="J229" i="5"/>
  <c r="E229" i="5"/>
  <c r="J228" i="5"/>
  <c r="E228" i="5"/>
  <c r="J227" i="5"/>
  <c r="I227" i="5"/>
  <c r="H227" i="5"/>
  <c r="G227" i="5"/>
  <c r="F227" i="5"/>
  <c r="J226" i="5"/>
  <c r="I226" i="5"/>
  <c r="H226" i="5"/>
  <c r="G226" i="5"/>
  <c r="F226" i="5"/>
  <c r="J225" i="5"/>
  <c r="I225" i="5"/>
  <c r="H225" i="5"/>
  <c r="G225" i="5"/>
  <c r="F225" i="5"/>
  <c r="V224" i="5"/>
  <c r="T224" i="5"/>
  <c r="R224" i="5"/>
  <c r="U224" i="5"/>
  <c r="S224" i="5"/>
  <c r="Q224" i="5"/>
  <c r="E224" i="5"/>
  <c r="D224" i="5"/>
  <c r="C224" i="5"/>
  <c r="B224" i="5"/>
  <c r="A224" i="5"/>
  <c r="K223" i="5"/>
  <c r="P223" i="5"/>
  <c r="I223" i="5"/>
  <c r="K222" i="5"/>
  <c r="H222" i="5"/>
  <c r="G222" i="5"/>
  <c r="E222" i="5"/>
  <c r="J221" i="5"/>
  <c r="E221" i="5"/>
  <c r="J220" i="5"/>
  <c r="E220" i="5"/>
  <c r="J219" i="5"/>
  <c r="E219" i="5"/>
  <c r="J218" i="5"/>
  <c r="I218" i="5"/>
  <c r="H218" i="5"/>
  <c r="G218" i="5"/>
  <c r="F218" i="5"/>
  <c r="J217" i="5"/>
  <c r="I217" i="5"/>
  <c r="H217" i="5"/>
  <c r="G217" i="5"/>
  <c r="F217" i="5"/>
  <c r="J216" i="5"/>
  <c r="I216" i="5"/>
  <c r="H216" i="5"/>
  <c r="G216" i="5"/>
  <c r="F216" i="5"/>
  <c r="V215" i="5"/>
  <c r="T215" i="5"/>
  <c r="R215" i="5"/>
  <c r="U215" i="5"/>
  <c r="S215" i="5"/>
  <c r="Q215" i="5"/>
  <c r="E215" i="5"/>
  <c r="D215" i="5"/>
  <c r="A215" i="5"/>
  <c r="A214" i="5"/>
  <c r="I211" i="5"/>
  <c r="A211" i="5"/>
  <c r="K209" i="5"/>
  <c r="P209" i="5"/>
  <c r="I209" i="5"/>
  <c r="K208" i="5"/>
  <c r="H208" i="5"/>
  <c r="G208" i="5"/>
  <c r="E208" i="5"/>
  <c r="J207" i="5"/>
  <c r="E207" i="5"/>
  <c r="J206" i="5"/>
  <c r="E206" i="5"/>
  <c r="J205" i="5"/>
  <c r="E205" i="5"/>
  <c r="J204" i="5"/>
  <c r="I204" i="5"/>
  <c r="H204" i="5"/>
  <c r="G204" i="5"/>
  <c r="F204" i="5"/>
  <c r="J203" i="5"/>
  <c r="I203" i="5"/>
  <c r="H203" i="5"/>
  <c r="G203" i="5"/>
  <c r="F203" i="5"/>
  <c r="J202" i="5"/>
  <c r="I202" i="5"/>
  <c r="H202" i="5"/>
  <c r="G202" i="5"/>
  <c r="F202" i="5"/>
  <c r="J201" i="5"/>
  <c r="I201" i="5"/>
  <c r="H201" i="5"/>
  <c r="G201" i="5"/>
  <c r="F201" i="5"/>
  <c r="V200" i="5"/>
  <c r="T200" i="5"/>
  <c r="R200" i="5"/>
  <c r="U200" i="5"/>
  <c r="S200" i="5"/>
  <c r="Q200" i="5"/>
  <c r="E200" i="5"/>
  <c r="D200" i="5"/>
  <c r="C200" i="5"/>
  <c r="B200" i="5"/>
  <c r="A200" i="5"/>
  <c r="K199" i="5"/>
  <c r="P199" i="5"/>
  <c r="I199" i="5"/>
  <c r="K198" i="5"/>
  <c r="H198" i="5"/>
  <c r="G198" i="5"/>
  <c r="E198" i="5"/>
  <c r="J197" i="5"/>
  <c r="E197" i="5"/>
  <c r="J196" i="5"/>
  <c r="E196" i="5"/>
  <c r="J195" i="5"/>
  <c r="E195" i="5"/>
  <c r="J194" i="5"/>
  <c r="I194" i="5"/>
  <c r="H194" i="5"/>
  <c r="G194" i="5"/>
  <c r="F194" i="5"/>
  <c r="J193" i="5"/>
  <c r="I193" i="5"/>
  <c r="H193" i="5"/>
  <c r="G193" i="5"/>
  <c r="F193" i="5"/>
  <c r="J192" i="5"/>
  <c r="I192" i="5"/>
  <c r="H192" i="5"/>
  <c r="G192" i="5"/>
  <c r="F192" i="5"/>
  <c r="J191" i="5"/>
  <c r="I191" i="5"/>
  <c r="H191" i="5"/>
  <c r="G191" i="5"/>
  <c r="F191" i="5"/>
  <c r="V190" i="5"/>
  <c r="T190" i="5"/>
  <c r="R190" i="5"/>
  <c r="U190" i="5"/>
  <c r="S190" i="5"/>
  <c r="Q190" i="5"/>
  <c r="E190" i="5"/>
  <c r="D190" i="5"/>
  <c r="C190" i="5"/>
  <c r="B190" i="5"/>
  <c r="A190" i="5"/>
  <c r="K189" i="5"/>
  <c r="P189" i="5"/>
  <c r="I189" i="5"/>
  <c r="K188" i="5"/>
  <c r="H188" i="5"/>
  <c r="G188" i="5"/>
  <c r="E188" i="5"/>
  <c r="J187" i="5"/>
  <c r="E187" i="5"/>
  <c r="J186" i="5"/>
  <c r="E186" i="5"/>
  <c r="J185" i="5"/>
  <c r="E185" i="5"/>
  <c r="J184" i="5"/>
  <c r="I184" i="5"/>
  <c r="H184" i="5"/>
  <c r="F184" i="5"/>
  <c r="V184" i="5"/>
  <c r="T184" i="5"/>
  <c r="R184" i="5"/>
  <c r="U184" i="5"/>
  <c r="S184" i="5"/>
  <c r="Q184" i="5"/>
  <c r="E184" i="5"/>
  <c r="D184" i="5"/>
  <c r="C184" i="5"/>
  <c r="B184" i="5"/>
  <c r="A184" i="5"/>
  <c r="J183" i="5"/>
  <c r="I183" i="5"/>
  <c r="H183" i="5"/>
  <c r="F183" i="5"/>
  <c r="V183" i="5"/>
  <c r="T183" i="5"/>
  <c r="R183" i="5"/>
  <c r="U183" i="5"/>
  <c r="S183" i="5"/>
  <c r="Q183" i="5"/>
  <c r="E183" i="5"/>
  <c r="D183" i="5"/>
  <c r="B183" i="5"/>
  <c r="A183" i="5"/>
  <c r="J182" i="5"/>
  <c r="I182" i="5"/>
  <c r="H182" i="5"/>
  <c r="F182" i="5"/>
  <c r="V182" i="5"/>
  <c r="T182" i="5"/>
  <c r="R182" i="5"/>
  <c r="U182" i="5"/>
  <c r="S182" i="5"/>
  <c r="Q182" i="5"/>
  <c r="E182" i="5"/>
  <c r="D182" i="5"/>
  <c r="B182" i="5"/>
  <c r="A182" i="5"/>
  <c r="J181" i="5"/>
  <c r="I181" i="5"/>
  <c r="H181" i="5"/>
  <c r="F181" i="5"/>
  <c r="V181" i="5"/>
  <c r="T181" i="5"/>
  <c r="R181" i="5"/>
  <c r="U181" i="5"/>
  <c r="S181" i="5"/>
  <c r="Q181" i="5"/>
  <c r="E181" i="5"/>
  <c r="D181" i="5"/>
  <c r="C181" i="5"/>
  <c r="B181" i="5"/>
  <c r="A181" i="5"/>
  <c r="J180" i="5"/>
  <c r="I180" i="5"/>
  <c r="H180" i="5"/>
  <c r="F180" i="5"/>
  <c r="V180" i="5"/>
  <c r="T180" i="5"/>
  <c r="R180" i="5"/>
  <c r="U180" i="5"/>
  <c r="S180" i="5"/>
  <c r="Q180" i="5"/>
  <c r="E180" i="5"/>
  <c r="D180" i="5"/>
  <c r="C180" i="5"/>
  <c r="B180" i="5"/>
  <c r="A180" i="5"/>
  <c r="J179" i="5"/>
  <c r="I179" i="5"/>
  <c r="H179" i="5"/>
  <c r="F179" i="5"/>
  <c r="V179" i="5"/>
  <c r="T179" i="5"/>
  <c r="R179" i="5"/>
  <c r="U179" i="5"/>
  <c r="S179" i="5"/>
  <c r="Q179" i="5"/>
  <c r="E179" i="5"/>
  <c r="D179" i="5"/>
  <c r="C179" i="5"/>
  <c r="B179" i="5"/>
  <c r="A179" i="5"/>
  <c r="J178" i="5"/>
  <c r="I178" i="5"/>
  <c r="H178" i="5"/>
  <c r="G178" i="5"/>
  <c r="F178" i="5"/>
  <c r="J177" i="5"/>
  <c r="I177" i="5"/>
  <c r="H177" i="5"/>
  <c r="G177" i="5"/>
  <c r="F177" i="5"/>
  <c r="J176" i="5"/>
  <c r="I176" i="5"/>
  <c r="H176" i="5"/>
  <c r="G176" i="5"/>
  <c r="F176" i="5"/>
  <c r="J175" i="5"/>
  <c r="I175" i="5"/>
  <c r="H175" i="5"/>
  <c r="G175" i="5"/>
  <c r="F175" i="5"/>
  <c r="V174" i="5"/>
  <c r="T174" i="5"/>
  <c r="R174" i="5"/>
  <c r="U174" i="5"/>
  <c r="S174" i="5"/>
  <c r="Q174" i="5"/>
  <c r="E174" i="5"/>
  <c r="D174" i="5"/>
  <c r="C174" i="5"/>
  <c r="B174" i="5"/>
  <c r="A174" i="5"/>
  <c r="K173" i="5"/>
  <c r="P173" i="5"/>
  <c r="I173" i="5"/>
  <c r="K172" i="5"/>
  <c r="H172" i="5"/>
  <c r="G172" i="5"/>
  <c r="E172" i="5"/>
  <c r="J171" i="5"/>
  <c r="E171" i="5"/>
  <c r="J170" i="5"/>
  <c r="E170" i="5"/>
  <c r="J169" i="5"/>
  <c r="E169" i="5"/>
  <c r="J168" i="5"/>
  <c r="I168" i="5"/>
  <c r="H168" i="5"/>
  <c r="F168" i="5"/>
  <c r="V168" i="5"/>
  <c r="T168" i="5"/>
  <c r="R168" i="5"/>
  <c r="U168" i="5"/>
  <c r="S168" i="5"/>
  <c r="Q168" i="5"/>
  <c r="E168" i="5"/>
  <c r="D168" i="5"/>
  <c r="C168" i="5"/>
  <c r="B168" i="5"/>
  <c r="A168" i="5"/>
  <c r="J167" i="5"/>
  <c r="I167" i="5"/>
  <c r="H167" i="5"/>
  <c r="F167" i="5"/>
  <c r="V167" i="5"/>
  <c r="T167" i="5"/>
  <c r="R167" i="5"/>
  <c r="U167" i="5"/>
  <c r="S167" i="5"/>
  <c r="Q167" i="5"/>
  <c r="E167" i="5"/>
  <c r="D167" i="5"/>
  <c r="C167" i="5"/>
  <c r="B167" i="5"/>
  <c r="A167" i="5"/>
  <c r="J166" i="5"/>
  <c r="I166" i="5"/>
  <c r="H166" i="5"/>
  <c r="G166" i="5"/>
  <c r="F166" i="5"/>
  <c r="J165" i="5"/>
  <c r="I165" i="5"/>
  <c r="H165" i="5"/>
  <c r="G165" i="5"/>
  <c r="F165" i="5"/>
  <c r="J164" i="5"/>
  <c r="I164" i="5"/>
  <c r="H164" i="5"/>
  <c r="G164" i="5"/>
  <c r="F164" i="5"/>
  <c r="J163" i="5"/>
  <c r="I163" i="5"/>
  <c r="H163" i="5"/>
  <c r="G163" i="5"/>
  <c r="F163" i="5"/>
  <c r="V162" i="5"/>
  <c r="T162" i="5"/>
  <c r="R162" i="5"/>
  <c r="U162" i="5"/>
  <c r="S162" i="5"/>
  <c r="Q162" i="5"/>
  <c r="E162" i="5"/>
  <c r="D162" i="5"/>
  <c r="C162" i="5"/>
  <c r="B162" i="5"/>
  <c r="A162" i="5"/>
  <c r="K161" i="5"/>
  <c r="P161" i="5"/>
  <c r="I161" i="5"/>
  <c r="K160" i="5"/>
  <c r="H160" i="5"/>
  <c r="G160" i="5"/>
  <c r="E160" i="5"/>
  <c r="J159" i="5"/>
  <c r="E159" i="5"/>
  <c r="J158" i="5"/>
  <c r="E158" i="5"/>
  <c r="J157" i="5"/>
  <c r="E157" i="5"/>
  <c r="J156" i="5"/>
  <c r="I156" i="5"/>
  <c r="H156" i="5"/>
  <c r="G156" i="5"/>
  <c r="F156" i="5"/>
  <c r="J155" i="5"/>
  <c r="I155" i="5"/>
  <c r="H155" i="5"/>
  <c r="G155" i="5"/>
  <c r="F155" i="5"/>
  <c r="J154" i="5"/>
  <c r="I154" i="5"/>
  <c r="H154" i="5"/>
  <c r="G154" i="5"/>
  <c r="F154" i="5"/>
  <c r="J153" i="5"/>
  <c r="I153" i="5"/>
  <c r="H153" i="5"/>
  <c r="G153" i="5"/>
  <c r="F153" i="5"/>
  <c r="V152" i="5"/>
  <c r="T152" i="5"/>
  <c r="R152" i="5"/>
  <c r="U152" i="5"/>
  <c r="S152" i="5"/>
  <c r="Q152" i="5"/>
  <c r="E152" i="5"/>
  <c r="D152" i="5"/>
  <c r="C152" i="5"/>
  <c r="B152" i="5"/>
  <c r="A152" i="5"/>
  <c r="K151" i="5"/>
  <c r="P151" i="5"/>
  <c r="I151" i="5"/>
  <c r="K150" i="5"/>
  <c r="H150" i="5"/>
  <c r="G150" i="5"/>
  <c r="E150" i="5"/>
  <c r="J149" i="5"/>
  <c r="E149" i="5"/>
  <c r="J148" i="5"/>
  <c r="E148" i="5"/>
  <c r="J147" i="5"/>
  <c r="I147" i="5"/>
  <c r="H147" i="5"/>
  <c r="G147" i="5"/>
  <c r="F147" i="5"/>
  <c r="J146" i="5"/>
  <c r="I146" i="5"/>
  <c r="H146" i="5"/>
  <c r="G146" i="5"/>
  <c r="F146" i="5"/>
  <c r="V145" i="5"/>
  <c r="T145" i="5"/>
  <c r="R145" i="5"/>
  <c r="U145" i="5"/>
  <c r="S145" i="5"/>
  <c r="Q145" i="5"/>
  <c r="E145" i="5"/>
  <c r="D145" i="5"/>
  <c r="C145" i="5"/>
  <c r="B145" i="5"/>
  <c r="A145" i="5"/>
  <c r="K144" i="5"/>
  <c r="P144" i="5"/>
  <c r="I144" i="5"/>
  <c r="J143" i="5"/>
  <c r="I143" i="5"/>
  <c r="H143" i="5"/>
  <c r="G143" i="5"/>
  <c r="F143" i="5"/>
  <c r="J142" i="5"/>
  <c r="I142" i="5"/>
  <c r="H142" i="5"/>
  <c r="G142" i="5"/>
  <c r="F142" i="5"/>
  <c r="V141" i="5"/>
  <c r="T141" i="5"/>
  <c r="R141" i="5"/>
  <c r="U141" i="5"/>
  <c r="S141" i="5"/>
  <c r="Q141" i="5"/>
  <c r="E141" i="5"/>
  <c r="D141" i="5"/>
  <c r="C141" i="5"/>
  <c r="B141" i="5"/>
  <c r="A141" i="5"/>
  <c r="K140" i="5"/>
  <c r="P140" i="5"/>
  <c r="I140" i="5"/>
  <c r="J139" i="5"/>
  <c r="I139" i="5"/>
  <c r="H139" i="5"/>
  <c r="G139" i="5"/>
  <c r="F139" i="5"/>
  <c r="J138" i="5"/>
  <c r="I138" i="5"/>
  <c r="H138" i="5"/>
  <c r="G138" i="5"/>
  <c r="F138" i="5"/>
  <c r="V137" i="5"/>
  <c r="T137" i="5"/>
  <c r="R137" i="5"/>
  <c r="U137" i="5"/>
  <c r="S137" i="5"/>
  <c r="Q137" i="5"/>
  <c r="E137" i="5"/>
  <c r="D137" i="5"/>
  <c r="C137" i="5"/>
  <c r="B137" i="5"/>
  <c r="A137" i="5"/>
  <c r="K136" i="5"/>
  <c r="P136" i="5"/>
  <c r="I136" i="5"/>
  <c r="K135" i="5"/>
  <c r="H135" i="5"/>
  <c r="G135" i="5"/>
  <c r="E135" i="5"/>
  <c r="J134" i="5"/>
  <c r="E134" i="5"/>
  <c r="J133" i="5"/>
  <c r="E133" i="5"/>
  <c r="J132" i="5"/>
  <c r="I132" i="5"/>
  <c r="H132" i="5"/>
  <c r="G132" i="5"/>
  <c r="F132" i="5"/>
  <c r="V131" i="5"/>
  <c r="T131" i="5"/>
  <c r="R131" i="5"/>
  <c r="U131" i="5"/>
  <c r="S131" i="5"/>
  <c r="Q131" i="5"/>
  <c r="E131" i="5"/>
  <c r="D131" i="5"/>
  <c r="C131" i="5"/>
  <c r="B131" i="5"/>
  <c r="A131" i="5"/>
  <c r="K130" i="5"/>
  <c r="P130" i="5"/>
  <c r="I130" i="5"/>
  <c r="K129" i="5"/>
  <c r="H129" i="5"/>
  <c r="G129" i="5"/>
  <c r="E129" i="5"/>
  <c r="J128" i="5"/>
  <c r="E128" i="5"/>
  <c r="J127" i="5"/>
  <c r="E127" i="5"/>
  <c r="J126" i="5"/>
  <c r="I126" i="5"/>
  <c r="H126" i="5"/>
  <c r="G126" i="5"/>
  <c r="F126" i="5"/>
  <c r="V125" i="5"/>
  <c r="T125" i="5"/>
  <c r="R125" i="5"/>
  <c r="U125" i="5"/>
  <c r="S125" i="5"/>
  <c r="Q125" i="5"/>
  <c r="E125" i="5"/>
  <c r="D125" i="5"/>
  <c r="C125" i="5"/>
  <c r="B125" i="5"/>
  <c r="A125" i="5"/>
  <c r="A124" i="5"/>
  <c r="I121" i="5"/>
  <c r="A121" i="5"/>
  <c r="K119" i="5"/>
  <c r="P119" i="5"/>
  <c r="I119" i="5"/>
  <c r="K118" i="5"/>
  <c r="H118" i="5"/>
  <c r="G118" i="5"/>
  <c r="E118" i="5"/>
  <c r="J117" i="5"/>
  <c r="E117" i="5"/>
  <c r="J116" i="5"/>
  <c r="E116" i="5"/>
  <c r="J115" i="5"/>
  <c r="E115" i="5"/>
  <c r="J114" i="5"/>
  <c r="I114" i="5"/>
  <c r="H114" i="5"/>
  <c r="G114" i="5"/>
  <c r="F114" i="5"/>
  <c r="J113" i="5"/>
  <c r="I113" i="5"/>
  <c r="H113" i="5"/>
  <c r="G113" i="5"/>
  <c r="F113" i="5"/>
  <c r="J112" i="5"/>
  <c r="I112" i="5"/>
  <c r="H112" i="5"/>
  <c r="G112" i="5"/>
  <c r="F112" i="5"/>
  <c r="J111" i="5"/>
  <c r="I111" i="5"/>
  <c r="H111" i="5"/>
  <c r="G111" i="5"/>
  <c r="F111" i="5"/>
  <c r="V110" i="5"/>
  <c r="T110" i="5"/>
  <c r="R110" i="5"/>
  <c r="U110" i="5"/>
  <c r="S110" i="5"/>
  <c r="Q110" i="5"/>
  <c r="E110" i="5"/>
  <c r="D110" i="5"/>
  <c r="C110" i="5"/>
  <c r="B110" i="5"/>
  <c r="A110" i="5"/>
  <c r="K109" i="5"/>
  <c r="P109" i="5"/>
  <c r="I109" i="5"/>
  <c r="K108" i="5"/>
  <c r="H108" i="5"/>
  <c r="G108" i="5"/>
  <c r="E108" i="5"/>
  <c r="J107" i="5"/>
  <c r="E107" i="5"/>
  <c r="J106" i="5"/>
  <c r="E106" i="5"/>
  <c r="J105" i="5"/>
  <c r="E105" i="5"/>
  <c r="J104" i="5"/>
  <c r="I104" i="5"/>
  <c r="H104" i="5"/>
  <c r="G104" i="5"/>
  <c r="F104" i="5"/>
  <c r="J103" i="5"/>
  <c r="I103" i="5"/>
  <c r="H103" i="5"/>
  <c r="G103" i="5"/>
  <c r="F103" i="5"/>
  <c r="J102" i="5"/>
  <c r="I102" i="5"/>
  <c r="H102" i="5"/>
  <c r="G102" i="5"/>
  <c r="F102" i="5"/>
  <c r="J101" i="5"/>
  <c r="I101" i="5"/>
  <c r="H101" i="5"/>
  <c r="G101" i="5"/>
  <c r="F101" i="5"/>
  <c r="V100" i="5"/>
  <c r="T100" i="5"/>
  <c r="R100" i="5"/>
  <c r="U100" i="5"/>
  <c r="S100" i="5"/>
  <c r="Q100" i="5"/>
  <c r="E100" i="5"/>
  <c r="D100" i="5"/>
  <c r="C100" i="5"/>
  <c r="B100" i="5"/>
  <c r="A100" i="5"/>
  <c r="K99" i="5"/>
  <c r="P99" i="5"/>
  <c r="I99" i="5"/>
  <c r="K98" i="5"/>
  <c r="H98" i="5"/>
  <c r="G98" i="5"/>
  <c r="E98" i="5"/>
  <c r="J97" i="5"/>
  <c r="E97" i="5"/>
  <c r="J96" i="5"/>
  <c r="E96" i="5"/>
  <c r="J95" i="5"/>
  <c r="E95" i="5"/>
  <c r="J94" i="5"/>
  <c r="I94" i="5"/>
  <c r="H94" i="5"/>
  <c r="F94" i="5"/>
  <c r="V94" i="5"/>
  <c r="T94" i="5"/>
  <c r="R94" i="5"/>
  <c r="U94" i="5"/>
  <c r="S94" i="5"/>
  <c r="Q94" i="5"/>
  <c r="E94" i="5"/>
  <c r="D94" i="5"/>
  <c r="C94" i="5"/>
  <c r="B94" i="5"/>
  <c r="A94" i="5"/>
  <c r="J93" i="5"/>
  <c r="I93" i="5"/>
  <c r="H93" i="5"/>
  <c r="F93" i="5"/>
  <c r="V93" i="5"/>
  <c r="T93" i="5"/>
  <c r="R93" i="5"/>
  <c r="U93" i="5"/>
  <c r="S93" i="5"/>
  <c r="Q93" i="5"/>
  <c r="E93" i="5"/>
  <c r="D93" i="5"/>
  <c r="B93" i="5"/>
  <c r="A93" i="5"/>
  <c r="J92" i="5"/>
  <c r="I92" i="5"/>
  <c r="H92" i="5"/>
  <c r="F92" i="5"/>
  <c r="V92" i="5"/>
  <c r="T92" i="5"/>
  <c r="R92" i="5"/>
  <c r="U92" i="5"/>
  <c r="S92" i="5"/>
  <c r="Q92" i="5"/>
  <c r="E92" i="5"/>
  <c r="D92" i="5"/>
  <c r="B92" i="5"/>
  <c r="A92" i="5"/>
  <c r="J91" i="5"/>
  <c r="I91" i="5"/>
  <c r="H91" i="5"/>
  <c r="F91" i="5"/>
  <c r="V91" i="5"/>
  <c r="T91" i="5"/>
  <c r="R91" i="5"/>
  <c r="U91" i="5"/>
  <c r="S91" i="5"/>
  <c r="Q91" i="5"/>
  <c r="E91" i="5"/>
  <c r="D91" i="5"/>
  <c r="C91" i="5"/>
  <c r="B91" i="5"/>
  <c r="A91" i="5"/>
  <c r="J90" i="5"/>
  <c r="I90" i="5"/>
  <c r="H90" i="5"/>
  <c r="F90" i="5"/>
  <c r="V90" i="5"/>
  <c r="T90" i="5"/>
  <c r="R90" i="5"/>
  <c r="U90" i="5"/>
  <c r="S90" i="5"/>
  <c r="Q90" i="5"/>
  <c r="E90" i="5"/>
  <c r="D90" i="5"/>
  <c r="C90" i="5"/>
  <c r="B90" i="5"/>
  <c r="A90" i="5"/>
  <c r="J89" i="5"/>
  <c r="I89" i="5"/>
  <c r="H89" i="5"/>
  <c r="F89" i="5"/>
  <c r="V89" i="5"/>
  <c r="T89" i="5"/>
  <c r="R89" i="5"/>
  <c r="U89" i="5"/>
  <c r="S89" i="5"/>
  <c r="Q89" i="5"/>
  <c r="E89" i="5"/>
  <c r="D89" i="5"/>
  <c r="C89" i="5"/>
  <c r="B89" i="5"/>
  <c r="A89" i="5"/>
  <c r="J88" i="5"/>
  <c r="I88" i="5"/>
  <c r="H88" i="5"/>
  <c r="G88" i="5"/>
  <c r="F88" i="5"/>
  <c r="J87" i="5"/>
  <c r="I87" i="5"/>
  <c r="H87" i="5"/>
  <c r="G87" i="5"/>
  <c r="F87" i="5"/>
  <c r="J86" i="5"/>
  <c r="I86" i="5"/>
  <c r="H86" i="5"/>
  <c r="G86" i="5"/>
  <c r="F86" i="5"/>
  <c r="J85" i="5"/>
  <c r="I85" i="5"/>
  <c r="H85" i="5"/>
  <c r="G85" i="5"/>
  <c r="F85" i="5"/>
  <c r="V84" i="5"/>
  <c r="T84" i="5"/>
  <c r="R84" i="5"/>
  <c r="U84" i="5"/>
  <c r="S84" i="5"/>
  <c r="Q84" i="5"/>
  <c r="E84" i="5"/>
  <c r="D84" i="5"/>
  <c r="C84" i="5"/>
  <c r="B84" i="5"/>
  <c r="A84" i="5"/>
  <c r="K83" i="5"/>
  <c r="P83" i="5"/>
  <c r="I83" i="5"/>
  <c r="K82" i="5"/>
  <c r="H82" i="5"/>
  <c r="G82" i="5"/>
  <c r="E82" i="5"/>
  <c r="J81" i="5"/>
  <c r="E81" i="5"/>
  <c r="J80" i="5"/>
  <c r="E80" i="5"/>
  <c r="J79" i="5"/>
  <c r="E79" i="5"/>
  <c r="J78" i="5"/>
  <c r="I78" i="5"/>
  <c r="H78" i="5"/>
  <c r="F78" i="5"/>
  <c r="V78" i="5"/>
  <c r="T78" i="5"/>
  <c r="R78" i="5"/>
  <c r="U78" i="5"/>
  <c r="S78" i="5"/>
  <c r="Q78" i="5"/>
  <c r="E78" i="5"/>
  <c r="D78" i="5"/>
  <c r="C78" i="5"/>
  <c r="B78" i="5"/>
  <c r="A78" i="5"/>
  <c r="J77" i="5"/>
  <c r="I77" i="5"/>
  <c r="H77" i="5"/>
  <c r="F77" i="5"/>
  <c r="V77" i="5"/>
  <c r="T77" i="5"/>
  <c r="R77" i="5"/>
  <c r="U77" i="5"/>
  <c r="S77" i="5"/>
  <c r="Q77" i="5"/>
  <c r="E77" i="5"/>
  <c r="D77" i="5"/>
  <c r="C77" i="5"/>
  <c r="B77" i="5"/>
  <c r="A77" i="5"/>
  <c r="J76" i="5"/>
  <c r="I76" i="5"/>
  <c r="H76" i="5"/>
  <c r="G76" i="5"/>
  <c r="F76" i="5"/>
  <c r="J75" i="5"/>
  <c r="I75" i="5"/>
  <c r="H75" i="5"/>
  <c r="G75" i="5"/>
  <c r="F75" i="5"/>
  <c r="J74" i="5"/>
  <c r="I74" i="5"/>
  <c r="H74" i="5"/>
  <c r="G74" i="5"/>
  <c r="F74" i="5"/>
  <c r="J73" i="5"/>
  <c r="I73" i="5"/>
  <c r="H73" i="5"/>
  <c r="G73" i="5"/>
  <c r="F73" i="5"/>
  <c r="V72" i="5"/>
  <c r="T72" i="5"/>
  <c r="R72" i="5"/>
  <c r="U72" i="5"/>
  <c r="S72" i="5"/>
  <c r="Q72" i="5"/>
  <c r="E72" i="5"/>
  <c r="D72" i="5"/>
  <c r="C72" i="5"/>
  <c r="B72" i="5"/>
  <c r="A72" i="5"/>
  <c r="K71" i="5"/>
  <c r="P71" i="5"/>
  <c r="I71" i="5"/>
  <c r="K70" i="5"/>
  <c r="H70" i="5"/>
  <c r="G70" i="5"/>
  <c r="E70" i="5"/>
  <c r="J69" i="5"/>
  <c r="E69" i="5"/>
  <c r="J68" i="5"/>
  <c r="E68" i="5"/>
  <c r="J67" i="5"/>
  <c r="E67" i="5"/>
  <c r="J66" i="5"/>
  <c r="I66" i="5"/>
  <c r="H66" i="5"/>
  <c r="G66" i="5"/>
  <c r="F66" i="5"/>
  <c r="J65" i="5"/>
  <c r="I65" i="5"/>
  <c r="H65" i="5"/>
  <c r="G65" i="5"/>
  <c r="F65" i="5"/>
  <c r="J64" i="5"/>
  <c r="I64" i="5"/>
  <c r="H64" i="5"/>
  <c r="G64" i="5"/>
  <c r="F64" i="5"/>
  <c r="J63" i="5"/>
  <c r="I63" i="5"/>
  <c r="H63" i="5"/>
  <c r="G63" i="5"/>
  <c r="F63" i="5"/>
  <c r="V62" i="5"/>
  <c r="T62" i="5"/>
  <c r="R62" i="5"/>
  <c r="U62" i="5"/>
  <c r="S62" i="5"/>
  <c r="Q62" i="5"/>
  <c r="E62" i="5"/>
  <c r="D62" i="5"/>
  <c r="C62" i="5"/>
  <c r="B62" i="5"/>
  <c r="A62" i="5"/>
  <c r="K61" i="5"/>
  <c r="P61" i="5"/>
  <c r="I61" i="5"/>
  <c r="K60" i="5"/>
  <c r="H60" i="5"/>
  <c r="G60" i="5"/>
  <c r="E60" i="5"/>
  <c r="J59" i="5"/>
  <c r="E59" i="5"/>
  <c r="J58" i="5"/>
  <c r="E58" i="5"/>
  <c r="J57" i="5"/>
  <c r="I57" i="5"/>
  <c r="H57" i="5"/>
  <c r="G57" i="5"/>
  <c r="F57" i="5"/>
  <c r="J56" i="5"/>
  <c r="I56" i="5"/>
  <c r="H56" i="5"/>
  <c r="G56" i="5"/>
  <c r="F56" i="5"/>
  <c r="V55" i="5"/>
  <c r="T55" i="5"/>
  <c r="R55" i="5"/>
  <c r="U55" i="5"/>
  <c r="S55" i="5"/>
  <c r="Q55" i="5"/>
  <c r="E55" i="5"/>
  <c r="D55" i="5"/>
  <c r="C55" i="5"/>
  <c r="B55" i="5"/>
  <c r="A55" i="5"/>
  <c r="K54" i="5"/>
  <c r="P54" i="5"/>
  <c r="I54" i="5"/>
  <c r="J53" i="5"/>
  <c r="I53" i="5"/>
  <c r="H53" i="5"/>
  <c r="G53" i="5"/>
  <c r="F53" i="5"/>
  <c r="J52" i="5"/>
  <c r="I52" i="5"/>
  <c r="H52" i="5"/>
  <c r="G52" i="5"/>
  <c r="F52" i="5"/>
  <c r="V51" i="5"/>
  <c r="T51" i="5"/>
  <c r="R51" i="5"/>
  <c r="U51" i="5"/>
  <c r="S51" i="5"/>
  <c r="Q51" i="5"/>
  <c r="E51" i="5"/>
  <c r="D51" i="5"/>
  <c r="C51" i="5"/>
  <c r="B51" i="5"/>
  <c r="A51" i="5"/>
  <c r="K50" i="5"/>
  <c r="P50" i="5"/>
  <c r="I50" i="5"/>
  <c r="J49" i="5"/>
  <c r="I49" i="5"/>
  <c r="H49" i="5"/>
  <c r="G49" i="5"/>
  <c r="F49" i="5"/>
  <c r="J48" i="5"/>
  <c r="I48" i="5"/>
  <c r="H48" i="5"/>
  <c r="G48" i="5"/>
  <c r="F48" i="5"/>
  <c r="V47" i="5"/>
  <c r="T47" i="5"/>
  <c r="R47" i="5"/>
  <c r="U47" i="5"/>
  <c r="S47" i="5"/>
  <c r="Q47" i="5"/>
  <c r="E47" i="5"/>
  <c r="D47" i="5"/>
  <c r="C47" i="5"/>
  <c r="B47" i="5"/>
  <c r="A47" i="5"/>
  <c r="K46" i="5"/>
  <c r="P46" i="5"/>
  <c r="I46" i="5"/>
  <c r="K45" i="5"/>
  <c r="H45" i="5"/>
  <c r="G45" i="5"/>
  <c r="E45" i="5"/>
  <c r="J44" i="5"/>
  <c r="E44" i="5"/>
  <c r="J43" i="5"/>
  <c r="E43" i="5"/>
  <c r="J42" i="5"/>
  <c r="I42" i="5"/>
  <c r="H42" i="5"/>
  <c r="G42" i="5"/>
  <c r="F42" i="5"/>
  <c r="V41" i="5"/>
  <c r="T41" i="5"/>
  <c r="R41" i="5"/>
  <c r="U41" i="5"/>
  <c r="S41" i="5"/>
  <c r="Q41" i="5"/>
  <c r="E41" i="5"/>
  <c r="D41" i="5"/>
  <c r="C41" i="5"/>
  <c r="B41" i="5"/>
  <c r="A41" i="5"/>
  <c r="K40" i="5"/>
  <c r="P40" i="5"/>
  <c r="I40" i="5"/>
  <c r="K39" i="5"/>
  <c r="H39" i="5"/>
  <c r="G39" i="5"/>
  <c r="E39" i="5"/>
  <c r="J38" i="5"/>
  <c r="E38" i="5"/>
  <c r="J37" i="5"/>
  <c r="E37" i="5"/>
  <c r="J36" i="5"/>
  <c r="I36" i="5"/>
  <c r="H36" i="5"/>
  <c r="G36" i="5"/>
  <c r="F36" i="5"/>
  <c r="V35" i="5"/>
  <c r="T35" i="5"/>
  <c r="R35" i="5"/>
  <c r="U35" i="5"/>
  <c r="S35" i="5"/>
  <c r="Q35" i="5"/>
  <c r="E35" i="5"/>
  <c r="D35" i="5"/>
  <c r="C35" i="5"/>
  <c r="B35" i="5"/>
  <c r="A35" i="5"/>
  <c r="A34" i="5"/>
  <c r="A32" i="5"/>
  <c r="A18" i="5"/>
  <c r="A15" i="5"/>
  <c r="A10" i="5"/>
  <c r="G6" i="5"/>
  <c r="B6" i="5"/>
  <c r="A1" i="5"/>
  <c r="E47" i="7" l="1"/>
  <c r="E149" i="7"/>
  <c r="E177" i="7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1" i="3"/>
  <c r="CX1" i="3"/>
  <c r="CY1" i="3"/>
  <c r="CZ1" i="3"/>
  <c r="DB1" i="3" s="1"/>
  <c r="DA1" i="3"/>
  <c r="DC1" i="3"/>
  <c r="A2" i="3"/>
  <c r="CX2" i="3"/>
  <c r="CY2" i="3"/>
  <c r="CZ2" i="3"/>
  <c r="DA2" i="3"/>
  <c r="DB2" i="3"/>
  <c r="DC2" i="3"/>
  <c r="A3" i="3"/>
  <c r="CX3" i="3"/>
  <c r="CY3" i="3"/>
  <c r="CZ3" i="3"/>
  <c r="DA3" i="3"/>
  <c r="DB3" i="3"/>
  <c r="DC3" i="3"/>
  <c r="A4" i="3"/>
  <c r="CX4" i="3"/>
  <c r="CY4" i="3"/>
  <c r="CZ4" i="3"/>
  <c r="DB4" i="3" s="1"/>
  <c r="DA4" i="3"/>
  <c r="DC4" i="3"/>
  <c r="A5" i="3"/>
  <c r="CX5" i="3"/>
  <c r="CY5" i="3"/>
  <c r="CZ5" i="3"/>
  <c r="DB5" i="3" s="1"/>
  <c r="DA5" i="3"/>
  <c r="DC5" i="3"/>
  <c r="A6" i="3"/>
  <c r="CX6" i="3"/>
  <c r="CY6" i="3"/>
  <c r="CZ6" i="3"/>
  <c r="DA6" i="3"/>
  <c r="DB6" i="3"/>
  <c r="DC6" i="3"/>
  <c r="A7" i="3"/>
  <c r="CX7" i="3"/>
  <c r="CY7" i="3"/>
  <c r="CZ7" i="3"/>
  <c r="DA7" i="3"/>
  <c r="DB7" i="3"/>
  <c r="DC7" i="3"/>
  <c r="A8" i="3"/>
  <c r="CX8" i="3"/>
  <c r="CY8" i="3"/>
  <c r="CZ8" i="3"/>
  <c r="DB8" i="3" s="1"/>
  <c r="DA8" i="3"/>
  <c r="DC8" i="3"/>
  <c r="A9" i="3"/>
  <c r="CX9" i="3"/>
  <c r="CY9" i="3"/>
  <c r="CZ9" i="3"/>
  <c r="DA9" i="3"/>
  <c r="DB9" i="3"/>
  <c r="DC9" i="3"/>
  <c r="A10" i="3"/>
  <c r="CX10" i="3"/>
  <c r="CY10" i="3"/>
  <c r="CZ10" i="3"/>
  <c r="DB10" i="3" s="1"/>
  <c r="DA10" i="3"/>
  <c r="DC10" i="3"/>
  <c r="A11" i="3"/>
  <c r="CX11" i="3"/>
  <c r="CY11" i="3"/>
  <c r="CZ11" i="3"/>
  <c r="DB11" i="3" s="1"/>
  <c r="DA11" i="3"/>
  <c r="DC11" i="3"/>
  <c r="A12" i="3"/>
  <c r="CX12" i="3"/>
  <c r="CY12" i="3"/>
  <c r="CZ12" i="3"/>
  <c r="DB12" i="3" s="1"/>
  <c r="DA12" i="3"/>
  <c r="DC12" i="3"/>
  <c r="A13" i="3"/>
  <c r="CX13" i="3"/>
  <c r="CY13" i="3"/>
  <c r="CZ13" i="3"/>
  <c r="DB13" i="3" s="1"/>
  <c r="DA13" i="3"/>
  <c r="DC13" i="3"/>
  <c r="A14" i="3"/>
  <c r="CX14" i="3"/>
  <c r="CY14" i="3"/>
  <c r="CZ14" i="3"/>
  <c r="DA14" i="3"/>
  <c r="DB14" i="3"/>
  <c r="DC14" i="3"/>
  <c r="A15" i="3"/>
  <c r="CX15" i="3"/>
  <c r="CY15" i="3"/>
  <c r="CZ15" i="3"/>
  <c r="DA15" i="3"/>
  <c r="DB15" i="3"/>
  <c r="DC15" i="3"/>
  <c r="A16" i="3"/>
  <c r="CX16" i="3"/>
  <c r="CY16" i="3"/>
  <c r="CZ16" i="3"/>
  <c r="DB16" i="3" s="1"/>
  <c r="DA16" i="3"/>
  <c r="DC16" i="3"/>
  <c r="A17" i="3"/>
  <c r="CX17" i="3"/>
  <c r="CY17" i="3"/>
  <c r="CZ17" i="3"/>
  <c r="DB17" i="3" s="1"/>
  <c r="DA17" i="3"/>
  <c r="DC17" i="3"/>
  <c r="A18" i="3"/>
  <c r="CX18" i="3"/>
  <c r="CY18" i="3"/>
  <c r="CZ18" i="3"/>
  <c r="DA18" i="3"/>
  <c r="DB18" i="3"/>
  <c r="DC18" i="3"/>
  <c r="A19" i="3"/>
  <c r="CX19" i="3"/>
  <c r="CY19" i="3"/>
  <c r="CZ19" i="3"/>
  <c r="DA19" i="3"/>
  <c r="DB19" i="3"/>
  <c r="DC19" i="3"/>
  <c r="A20" i="3"/>
  <c r="CX20" i="3"/>
  <c r="CY20" i="3"/>
  <c r="CZ20" i="3"/>
  <c r="DB20" i="3" s="1"/>
  <c r="DA20" i="3"/>
  <c r="DC20" i="3"/>
  <c r="A21" i="3"/>
  <c r="CX21" i="3"/>
  <c r="CY21" i="3"/>
  <c r="CZ21" i="3"/>
  <c r="DA21" i="3"/>
  <c r="DB21" i="3"/>
  <c r="DC21" i="3"/>
  <c r="A22" i="3"/>
  <c r="CX22" i="3"/>
  <c r="CY22" i="3"/>
  <c r="CZ22" i="3"/>
  <c r="DB22" i="3" s="1"/>
  <c r="DA22" i="3"/>
  <c r="DC22" i="3"/>
  <c r="A23" i="3"/>
  <c r="CX23" i="3"/>
  <c r="CY23" i="3"/>
  <c r="CZ23" i="3"/>
  <c r="DB23" i="3" s="1"/>
  <c r="DA23" i="3"/>
  <c r="DC23" i="3"/>
  <c r="A24" i="3"/>
  <c r="CX24" i="3"/>
  <c r="CY24" i="3"/>
  <c r="CZ24" i="3"/>
  <c r="DB24" i="3" s="1"/>
  <c r="DA24" i="3"/>
  <c r="DC24" i="3"/>
  <c r="A25" i="3"/>
  <c r="CX25" i="3"/>
  <c r="CY25" i="3"/>
  <c r="CZ25" i="3"/>
  <c r="DB25" i="3" s="1"/>
  <c r="DA25" i="3"/>
  <c r="DC25" i="3"/>
  <c r="A26" i="3"/>
  <c r="CX26" i="3"/>
  <c r="CY26" i="3"/>
  <c r="CZ26" i="3"/>
  <c r="DA26" i="3"/>
  <c r="DB26" i="3"/>
  <c r="DC26" i="3"/>
  <c r="A27" i="3"/>
  <c r="CX27" i="3"/>
  <c r="CY27" i="3"/>
  <c r="CZ27" i="3"/>
  <c r="DA27" i="3"/>
  <c r="DB27" i="3"/>
  <c r="DC27" i="3"/>
  <c r="A28" i="3"/>
  <c r="CX28" i="3"/>
  <c r="CY28" i="3"/>
  <c r="CZ28" i="3"/>
  <c r="DB28" i="3" s="1"/>
  <c r="DA28" i="3"/>
  <c r="DC28" i="3"/>
  <c r="A29" i="3"/>
  <c r="CX29" i="3"/>
  <c r="CY29" i="3"/>
  <c r="CZ29" i="3"/>
  <c r="DB29" i="3" s="1"/>
  <c r="DA29" i="3"/>
  <c r="DC29" i="3"/>
  <c r="A30" i="3"/>
  <c r="CX30" i="3"/>
  <c r="CY30" i="3"/>
  <c r="CZ30" i="3"/>
  <c r="DA30" i="3"/>
  <c r="DB30" i="3"/>
  <c r="DC30" i="3"/>
  <c r="A31" i="3"/>
  <c r="CX31" i="3"/>
  <c r="CY31" i="3"/>
  <c r="CZ31" i="3"/>
  <c r="DA31" i="3"/>
  <c r="DB31" i="3"/>
  <c r="DC31" i="3"/>
  <c r="A32" i="3"/>
  <c r="CX32" i="3"/>
  <c r="CY32" i="3"/>
  <c r="CZ32" i="3"/>
  <c r="DB32" i="3" s="1"/>
  <c r="DA32" i="3"/>
  <c r="DC32" i="3"/>
  <c r="A33" i="3"/>
  <c r="CX33" i="3"/>
  <c r="CY33" i="3"/>
  <c r="CZ33" i="3"/>
  <c r="DA33" i="3"/>
  <c r="DB33" i="3"/>
  <c r="DC33" i="3"/>
  <c r="A34" i="3"/>
  <c r="CX34" i="3"/>
  <c r="CY34" i="3"/>
  <c r="CZ34" i="3"/>
  <c r="DB34" i="3" s="1"/>
  <c r="DA34" i="3"/>
  <c r="DC34" i="3"/>
  <c r="A35" i="3"/>
  <c r="CX35" i="3"/>
  <c r="CY35" i="3"/>
  <c r="CZ35" i="3"/>
  <c r="DB35" i="3" s="1"/>
  <c r="DA35" i="3"/>
  <c r="DC35" i="3"/>
  <c r="A36" i="3"/>
  <c r="CX36" i="3"/>
  <c r="CY36" i="3"/>
  <c r="CZ36" i="3"/>
  <c r="DB36" i="3" s="1"/>
  <c r="DA36" i="3"/>
  <c r="DC36" i="3"/>
  <c r="A37" i="3"/>
  <c r="CX37" i="3"/>
  <c r="CY37" i="3"/>
  <c r="CZ37" i="3"/>
  <c r="DB37" i="3" s="1"/>
  <c r="DA37" i="3"/>
  <c r="DC37" i="3"/>
  <c r="A38" i="3"/>
  <c r="CX38" i="3"/>
  <c r="CY38" i="3"/>
  <c r="CZ38" i="3"/>
  <c r="DA38" i="3"/>
  <c r="DB38" i="3"/>
  <c r="DC38" i="3"/>
  <c r="A39" i="3"/>
  <c r="CX39" i="3"/>
  <c r="CY39" i="3"/>
  <c r="CZ39" i="3"/>
  <c r="DA39" i="3"/>
  <c r="DB39" i="3"/>
  <c r="DC39" i="3"/>
  <c r="A40" i="3"/>
  <c r="CX40" i="3"/>
  <c r="CY40" i="3"/>
  <c r="CZ40" i="3"/>
  <c r="DB40" i="3" s="1"/>
  <c r="DA40" i="3"/>
  <c r="DC40" i="3"/>
  <c r="A41" i="3"/>
  <c r="CX41" i="3"/>
  <c r="CY41" i="3"/>
  <c r="CZ41" i="3"/>
  <c r="DB41" i="3" s="1"/>
  <c r="DA41" i="3"/>
  <c r="DC41" i="3"/>
  <c r="A42" i="3"/>
  <c r="CX42" i="3"/>
  <c r="CY42" i="3"/>
  <c r="CZ42" i="3"/>
  <c r="DA42" i="3"/>
  <c r="DB42" i="3"/>
  <c r="DC42" i="3"/>
  <c r="A43" i="3"/>
  <c r="CX43" i="3"/>
  <c r="CY43" i="3"/>
  <c r="CZ43" i="3"/>
  <c r="DA43" i="3"/>
  <c r="DB43" i="3"/>
  <c r="DC43" i="3"/>
  <c r="A44" i="3"/>
  <c r="CX44" i="3"/>
  <c r="CY44" i="3"/>
  <c r="CZ44" i="3"/>
  <c r="DB44" i="3" s="1"/>
  <c r="DA44" i="3"/>
  <c r="DC44" i="3"/>
  <c r="A45" i="3"/>
  <c r="CX45" i="3"/>
  <c r="CY45" i="3"/>
  <c r="CZ45" i="3"/>
  <c r="DA45" i="3"/>
  <c r="DB45" i="3"/>
  <c r="DC45" i="3"/>
  <c r="A46" i="3"/>
  <c r="CX46" i="3"/>
  <c r="CY46" i="3"/>
  <c r="CZ46" i="3"/>
  <c r="DB46" i="3" s="1"/>
  <c r="DA46" i="3"/>
  <c r="DC46" i="3"/>
  <c r="A47" i="3"/>
  <c r="CX47" i="3"/>
  <c r="CY47" i="3"/>
  <c r="CZ47" i="3"/>
  <c r="DB47" i="3" s="1"/>
  <c r="DA47" i="3"/>
  <c r="DC47" i="3"/>
  <c r="A48" i="3"/>
  <c r="CX48" i="3"/>
  <c r="CY48" i="3"/>
  <c r="CZ48" i="3"/>
  <c r="DA48" i="3"/>
  <c r="DB48" i="3"/>
  <c r="DC48" i="3"/>
  <c r="A49" i="3"/>
  <c r="CX49" i="3"/>
  <c r="CY49" i="3"/>
  <c r="CZ49" i="3"/>
  <c r="DB49" i="3" s="1"/>
  <c r="DA49" i="3"/>
  <c r="DC49" i="3"/>
  <c r="A50" i="3"/>
  <c r="CX50" i="3"/>
  <c r="CY50" i="3"/>
  <c r="CZ50" i="3"/>
  <c r="DA50" i="3"/>
  <c r="DB50" i="3"/>
  <c r="DC50" i="3"/>
  <c r="A51" i="3"/>
  <c r="CX51" i="3"/>
  <c r="CY51" i="3"/>
  <c r="CZ51" i="3"/>
  <c r="DA51" i="3"/>
  <c r="DB51" i="3"/>
  <c r="DC51" i="3"/>
  <c r="A52" i="3"/>
  <c r="CX52" i="3"/>
  <c r="CY52" i="3"/>
  <c r="CZ52" i="3"/>
  <c r="DB52" i="3" s="1"/>
  <c r="DA52" i="3"/>
  <c r="DC52" i="3"/>
  <c r="A53" i="3"/>
  <c r="CX53" i="3"/>
  <c r="CY53" i="3"/>
  <c r="CZ53" i="3"/>
  <c r="DB53" i="3" s="1"/>
  <c r="DA53" i="3"/>
  <c r="DC53" i="3"/>
  <c r="A54" i="3"/>
  <c r="CX54" i="3"/>
  <c r="CY54" i="3"/>
  <c r="CZ54" i="3"/>
  <c r="DA54" i="3"/>
  <c r="DB54" i="3"/>
  <c r="DC54" i="3"/>
  <c r="A55" i="3"/>
  <c r="CX55" i="3"/>
  <c r="CY55" i="3"/>
  <c r="CZ55" i="3"/>
  <c r="DA55" i="3"/>
  <c r="DB55" i="3"/>
  <c r="DC55" i="3"/>
  <c r="A56" i="3"/>
  <c r="CX56" i="3"/>
  <c r="CY56" i="3"/>
  <c r="CZ56" i="3"/>
  <c r="DB56" i="3" s="1"/>
  <c r="DA56" i="3"/>
  <c r="DC56" i="3"/>
  <c r="A57" i="3"/>
  <c r="CX57" i="3"/>
  <c r="CY57" i="3"/>
  <c r="CZ57" i="3"/>
  <c r="DA57" i="3"/>
  <c r="DB57" i="3"/>
  <c r="DC57" i="3"/>
  <c r="A58" i="3"/>
  <c r="CX58" i="3"/>
  <c r="CY58" i="3"/>
  <c r="CZ58" i="3"/>
  <c r="DB58" i="3" s="1"/>
  <c r="DA58" i="3"/>
  <c r="DC58" i="3"/>
  <c r="A59" i="3"/>
  <c r="CX59" i="3"/>
  <c r="CY59" i="3"/>
  <c r="CZ59" i="3"/>
  <c r="DB59" i="3" s="1"/>
  <c r="DA59" i="3"/>
  <c r="DC59" i="3"/>
  <c r="A60" i="3"/>
  <c r="CX60" i="3"/>
  <c r="CY60" i="3"/>
  <c r="CZ60" i="3"/>
  <c r="DA60" i="3"/>
  <c r="DB60" i="3"/>
  <c r="DC60" i="3"/>
  <c r="A61" i="3"/>
  <c r="CX61" i="3"/>
  <c r="CY61" i="3"/>
  <c r="CZ61" i="3"/>
  <c r="DB61" i="3" s="1"/>
  <c r="DA61" i="3"/>
  <c r="DC61" i="3"/>
  <c r="A62" i="3"/>
  <c r="CX62" i="3"/>
  <c r="CY62" i="3"/>
  <c r="CZ62" i="3"/>
  <c r="DA62" i="3"/>
  <c r="DB62" i="3"/>
  <c r="DC62" i="3"/>
  <c r="A63" i="3"/>
  <c r="CX63" i="3"/>
  <c r="CY63" i="3"/>
  <c r="CZ63" i="3"/>
  <c r="DA63" i="3"/>
  <c r="DB63" i="3"/>
  <c r="DC63" i="3"/>
  <c r="A64" i="3"/>
  <c r="CX64" i="3"/>
  <c r="CY64" i="3"/>
  <c r="CZ64" i="3"/>
  <c r="DB64" i="3" s="1"/>
  <c r="DA64" i="3"/>
  <c r="DC64" i="3"/>
  <c r="A65" i="3"/>
  <c r="CX65" i="3"/>
  <c r="CY65" i="3"/>
  <c r="CZ65" i="3"/>
  <c r="DB65" i="3" s="1"/>
  <c r="DA65" i="3"/>
  <c r="DC65" i="3"/>
  <c r="A66" i="3"/>
  <c r="CX66" i="3"/>
  <c r="CY66" i="3"/>
  <c r="CZ66" i="3"/>
  <c r="DA66" i="3"/>
  <c r="DB66" i="3"/>
  <c r="DC66" i="3"/>
  <c r="A67" i="3"/>
  <c r="CX67" i="3"/>
  <c r="CY67" i="3"/>
  <c r="CZ67" i="3"/>
  <c r="DA67" i="3"/>
  <c r="DB67" i="3"/>
  <c r="DC67" i="3"/>
  <c r="A68" i="3"/>
  <c r="CX68" i="3"/>
  <c r="CY68" i="3"/>
  <c r="CZ68" i="3"/>
  <c r="DB68" i="3" s="1"/>
  <c r="DA68" i="3"/>
  <c r="DC68" i="3"/>
  <c r="A69" i="3"/>
  <c r="CX69" i="3"/>
  <c r="CY69" i="3"/>
  <c r="CZ69" i="3"/>
  <c r="DA69" i="3"/>
  <c r="DB69" i="3"/>
  <c r="DC69" i="3"/>
  <c r="A70" i="3"/>
  <c r="CX70" i="3"/>
  <c r="CY70" i="3"/>
  <c r="CZ70" i="3"/>
  <c r="DB70" i="3" s="1"/>
  <c r="DA70" i="3"/>
  <c r="DC70" i="3"/>
  <c r="A71" i="3"/>
  <c r="CX71" i="3"/>
  <c r="CY71" i="3"/>
  <c r="CZ71" i="3"/>
  <c r="DB71" i="3" s="1"/>
  <c r="DA71" i="3"/>
  <c r="DC71" i="3"/>
  <c r="A72" i="3"/>
  <c r="CX72" i="3"/>
  <c r="CY72" i="3"/>
  <c r="CZ72" i="3"/>
  <c r="DA72" i="3"/>
  <c r="DB72" i="3"/>
  <c r="DC72" i="3"/>
  <c r="A73" i="3"/>
  <c r="CX73" i="3"/>
  <c r="CY73" i="3"/>
  <c r="CZ73" i="3"/>
  <c r="DB73" i="3" s="1"/>
  <c r="DA73" i="3"/>
  <c r="DC73" i="3"/>
  <c r="A74" i="3"/>
  <c r="CX74" i="3"/>
  <c r="CY74" i="3"/>
  <c r="CZ74" i="3"/>
  <c r="DA74" i="3"/>
  <c r="DB74" i="3"/>
  <c r="DC74" i="3"/>
  <c r="A75" i="3"/>
  <c r="CX75" i="3"/>
  <c r="CY75" i="3"/>
  <c r="CZ75" i="3"/>
  <c r="DA75" i="3"/>
  <c r="DB75" i="3"/>
  <c r="DC75" i="3"/>
  <c r="A76" i="3"/>
  <c r="CX76" i="3"/>
  <c r="CY76" i="3"/>
  <c r="CZ76" i="3"/>
  <c r="DB76" i="3" s="1"/>
  <c r="DA76" i="3"/>
  <c r="DC76" i="3"/>
  <c r="A77" i="3"/>
  <c r="CX77" i="3"/>
  <c r="CY77" i="3"/>
  <c r="CZ77" i="3"/>
  <c r="DB77" i="3" s="1"/>
  <c r="DA77" i="3"/>
  <c r="DC77" i="3"/>
  <c r="A78" i="3"/>
  <c r="CX78" i="3"/>
  <c r="CY78" i="3"/>
  <c r="CZ78" i="3"/>
  <c r="DA78" i="3"/>
  <c r="DB78" i="3"/>
  <c r="DC78" i="3"/>
  <c r="A79" i="3"/>
  <c r="CX79" i="3"/>
  <c r="CY79" i="3"/>
  <c r="CZ79" i="3"/>
  <c r="DA79" i="3"/>
  <c r="DB79" i="3"/>
  <c r="DC79" i="3"/>
  <c r="A80" i="3"/>
  <c r="CX80" i="3"/>
  <c r="CY80" i="3"/>
  <c r="CZ80" i="3"/>
  <c r="DB80" i="3" s="1"/>
  <c r="DA80" i="3"/>
  <c r="DC80" i="3"/>
  <c r="A81" i="3"/>
  <c r="CX81" i="3"/>
  <c r="CY81" i="3"/>
  <c r="CZ81" i="3"/>
  <c r="DA81" i="3"/>
  <c r="DB81" i="3"/>
  <c r="DC81" i="3"/>
  <c r="A82" i="3"/>
  <c r="CX82" i="3"/>
  <c r="CY82" i="3"/>
  <c r="CZ82" i="3"/>
  <c r="DB82" i="3" s="1"/>
  <c r="DA82" i="3"/>
  <c r="DC82" i="3"/>
  <c r="A83" i="3"/>
  <c r="CX83" i="3"/>
  <c r="CY83" i="3"/>
  <c r="CZ83" i="3"/>
  <c r="DB83" i="3" s="1"/>
  <c r="DA83" i="3"/>
  <c r="DC83" i="3"/>
  <c r="A84" i="3"/>
  <c r="CX84" i="3"/>
  <c r="CY84" i="3"/>
  <c r="CZ84" i="3"/>
  <c r="DA84" i="3"/>
  <c r="DB84" i="3"/>
  <c r="DC84" i="3"/>
  <c r="A85" i="3"/>
  <c r="CX85" i="3"/>
  <c r="CY85" i="3"/>
  <c r="CZ85" i="3"/>
  <c r="DB85" i="3" s="1"/>
  <c r="DA85" i="3"/>
  <c r="DC85" i="3"/>
  <c r="A86" i="3"/>
  <c r="CX86" i="3"/>
  <c r="CY86" i="3"/>
  <c r="CZ86" i="3"/>
  <c r="DA86" i="3"/>
  <c r="DB86" i="3"/>
  <c r="DC86" i="3"/>
  <c r="A87" i="3"/>
  <c r="CX87" i="3"/>
  <c r="CY87" i="3"/>
  <c r="CZ87" i="3"/>
  <c r="DA87" i="3"/>
  <c r="DB87" i="3"/>
  <c r="DC87" i="3"/>
  <c r="A88" i="3"/>
  <c r="CX88" i="3"/>
  <c r="CY88" i="3"/>
  <c r="CZ88" i="3"/>
  <c r="DB88" i="3" s="1"/>
  <c r="DA88" i="3"/>
  <c r="DC88" i="3"/>
  <c r="A89" i="3"/>
  <c r="CX89" i="3"/>
  <c r="CY89" i="3"/>
  <c r="CZ89" i="3"/>
  <c r="DB89" i="3" s="1"/>
  <c r="DA89" i="3"/>
  <c r="DC89" i="3"/>
  <c r="A90" i="3"/>
  <c r="CX90" i="3"/>
  <c r="CY90" i="3"/>
  <c r="CZ90" i="3"/>
  <c r="DA90" i="3"/>
  <c r="DB90" i="3"/>
  <c r="DC90" i="3"/>
  <c r="A91" i="3"/>
  <c r="CX91" i="3"/>
  <c r="CY91" i="3"/>
  <c r="CZ91" i="3"/>
  <c r="DA91" i="3"/>
  <c r="DB91" i="3"/>
  <c r="DC91" i="3"/>
  <c r="A92" i="3"/>
  <c r="CX92" i="3"/>
  <c r="CY92" i="3"/>
  <c r="CZ92" i="3"/>
  <c r="DB92" i="3" s="1"/>
  <c r="DA92" i="3"/>
  <c r="DC92" i="3"/>
  <c r="A93" i="3"/>
  <c r="CX93" i="3"/>
  <c r="CY93" i="3"/>
  <c r="CZ93" i="3"/>
  <c r="DA93" i="3"/>
  <c r="DB93" i="3"/>
  <c r="DC93" i="3"/>
  <c r="A94" i="3"/>
  <c r="CX94" i="3"/>
  <c r="CY94" i="3"/>
  <c r="CZ94" i="3"/>
  <c r="DB94" i="3" s="1"/>
  <c r="DA94" i="3"/>
  <c r="DC94" i="3"/>
  <c r="A95" i="3"/>
  <c r="CX95" i="3"/>
  <c r="CY95" i="3"/>
  <c r="CZ95" i="3"/>
  <c r="DB95" i="3" s="1"/>
  <c r="DA95" i="3"/>
  <c r="DC95" i="3"/>
  <c r="A96" i="3"/>
  <c r="CX96" i="3"/>
  <c r="CY96" i="3"/>
  <c r="CZ96" i="3"/>
  <c r="DA96" i="3"/>
  <c r="DB96" i="3"/>
  <c r="DC96" i="3"/>
  <c r="A97" i="3"/>
  <c r="CX97" i="3"/>
  <c r="CY97" i="3"/>
  <c r="CZ97" i="3"/>
  <c r="DB97" i="3" s="1"/>
  <c r="DA97" i="3"/>
  <c r="DC97" i="3"/>
  <c r="A98" i="3"/>
  <c r="CX98" i="3"/>
  <c r="CY98" i="3"/>
  <c r="CZ98" i="3"/>
  <c r="DA98" i="3"/>
  <c r="DB98" i="3"/>
  <c r="DC98" i="3"/>
  <c r="A99" i="3"/>
  <c r="CX99" i="3"/>
  <c r="CY99" i="3"/>
  <c r="CZ99" i="3"/>
  <c r="DA99" i="3"/>
  <c r="DB99" i="3"/>
  <c r="DC99" i="3"/>
  <c r="A100" i="3"/>
  <c r="CX100" i="3"/>
  <c r="CY100" i="3"/>
  <c r="CZ100" i="3"/>
  <c r="DB100" i="3" s="1"/>
  <c r="DA100" i="3"/>
  <c r="DC100" i="3"/>
  <c r="A101" i="3"/>
  <c r="CX101" i="3"/>
  <c r="CY101" i="3"/>
  <c r="CZ101" i="3"/>
  <c r="DB101" i="3" s="1"/>
  <c r="DA101" i="3"/>
  <c r="DC101" i="3"/>
  <c r="A102" i="3"/>
  <c r="CX102" i="3"/>
  <c r="CY102" i="3"/>
  <c r="CZ102" i="3"/>
  <c r="DA102" i="3"/>
  <c r="DB102" i="3"/>
  <c r="DC102" i="3"/>
  <c r="A103" i="3"/>
  <c r="CX103" i="3"/>
  <c r="CY103" i="3"/>
  <c r="CZ103" i="3"/>
  <c r="DA103" i="3"/>
  <c r="DB103" i="3"/>
  <c r="DC103" i="3"/>
  <c r="A104" i="3"/>
  <c r="CX104" i="3"/>
  <c r="CY104" i="3"/>
  <c r="CZ104" i="3"/>
  <c r="DB104" i="3" s="1"/>
  <c r="DA104" i="3"/>
  <c r="DC104" i="3"/>
  <c r="A105" i="3"/>
  <c r="CX105" i="3"/>
  <c r="CY105" i="3"/>
  <c r="CZ105" i="3"/>
  <c r="DA105" i="3"/>
  <c r="DB105" i="3"/>
  <c r="DC105" i="3"/>
  <c r="A106" i="3"/>
  <c r="CX106" i="3"/>
  <c r="CY106" i="3"/>
  <c r="CZ106" i="3"/>
  <c r="DB106" i="3" s="1"/>
  <c r="DA106" i="3"/>
  <c r="DC106" i="3"/>
  <c r="A107" i="3"/>
  <c r="CX107" i="3"/>
  <c r="CY107" i="3"/>
  <c r="CZ107" i="3"/>
  <c r="DB107" i="3" s="1"/>
  <c r="DA107" i="3"/>
  <c r="DC107" i="3"/>
  <c r="A108" i="3"/>
  <c r="CX108" i="3"/>
  <c r="CY108" i="3"/>
  <c r="CZ108" i="3"/>
  <c r="DA108" i="3"/>
  <c r="DB108" i="3"/>
  <c r="DC108" i="3"/>
  <c r="A109" i="3"/>
  <c r="CX109" i="3"/>
  <c r="CY109" i="3"/>
  <c r="CZ109" i="3"/>
  <c r="DA109" i="3"/>
  <c r="DB109" i="3"/>
  <c r="DC109" i="3"/>
  <c r="A110" i="3"/>
  <c r="CX110" i="3"/>
  <c r="CY110" i="3"/>
  <c r="CZ110" i="3"/>
  <c r="DA110" i="3"/>
  <c r="DB110" i="3"/>
  <c r="DC110" i="3"/>
  <c r="A111" i="3"/>
  <c r="CX111" i="3"/>
  <c r="CY111" i="3"/>
  <c r="CZ111" i="3"/>
  <c r="DB111" i="3" s="1"/>
  <c r="DA111" i="3"/>
  <c r="DC111" i="3"/>
  <c r="A112" i="3"/>
  <c r="CX112" i="3"/>
  <c r="CY112" i="3"/>
  <c r="CZ112" i="3"/>
  <c r="DB112" i="3" s="1"/>
  <c r="DA112" i="3"/>
  <c r="DC112" i="3"/>
  <c r="A113" i="3"/>
  <c r="CX113" i="3"/>
  <c r="CY113" i="3"/>
  <c r="CZ113" i="3"/>
  <c r="DB113" i="3" s="1"/>
  <c r="DA113" i="3"/>
  <c r="DC113" i="3"/>
  <c r="A114" i="3"/>
  <c r="CX114" i="3"/>
  <c r="CY114" i="3"/>
  <c r="CZ114" i="3"/>
  <c r="DA114" i="3"/>
  <c r="DB114" i="3"/>
  <c r="DC114" i="3"/>
  <c r="A115" i="3"/>
  <c r="CX115" i="3"/>
  <c r="CY115" i="3"/>
  <c r="CZ115" i="3"/>
  <c r="DA115" i="3"/>
  <c r="DB115" i="3"/>
  <c r="DC115" i="3"/>
  <c r="A116" i="3"/>
  <c r="CX116" i="3"/>
  <c r="CY116" i="3"/>
  <c r="CZ116" i="3"/>
  <c r="DB116" i="3" s="1"/>
  <c r="DA116" i="3"/>
  <c r="DC116" i="3"/>
  <c r="A117" i="3"/>
  <c r="CX117" i="3"/>
  <c r="CY117" i="3"/>
  <c r="CZ117" i="3"/>
  <c r="DA117" i="3"/>
  <c r="DB117" i="3"/>
  <c r="DC117" i="3"/>
  <c r="A118" i="3"/>
  <c r="CX118" i="3"/>
  <c r="CY118" i="3"/>
  <c r="CZ118" i="3"/>
  <c r="DB118" i="3" s="1"/>
  <c r="DA118" i="3"/>
  <c r="DC118" i="3"/>
  <c r="A119" i="3"/>
  <c r="CX119" i="3"/>
  <c r="CY119" i="3"/>
  <c r="CZ119" i="3"/>
  <c r="DB119" i="3" s="1"/>
  <c r="DA119" i="3"/>
  <c r="DC119" i="3"/>
  <c r="A120" i="3"/>
  <c r="CX120" i="3"/>
  <c r="CY120" i="3"/>
  <c r="CZ120" i="3"/>
  <c r="DA120" i="3"/>
  <c r="DB120" i="3"/>
  <c r="DC120" i="3"/>
  <c r="A121" i="3"/>
  <c r="CX121" i="3"/>
  <c r="CY121" i="3"/>
  <c r="CZ121" i="3"/>
  <c r="DA121" i="3"/>
  <c r="DB121" i="3"/>
  <c r="DC121" i="3"/>
  <c r="A122" i="3"/>
  <c r="CX122" i="3"/>
  <c r="CY122" i="3"/>
  <c r="CZ122" i="3"/>
  <c r="DA122" i="3"/>
  <c r="DB122" i="3"/>
  <c r="DC122" i="3"/>
  <c r="A123" i="3"/>
  <c r="CX123" i="3"/>
  <c r="CY123" i="3"/>
  <c r="CZ123" i="3"/>
  <c r="DB123" i="3" s="1"/>
  <c r="DA123" i="3"/>
  <c r="DC123" i="3"/>
  <c r="A124" i="3"/>
  <c r="CX124" i="3"/>
  <c r="CY124" i="3"/>
  <c r="CZ124" i="3"/>
  <c r="DB124" i="3" s="1"/>
  <c r="DA124" i="3"/>
  <c r="DC124" i="3"/>
  <c r="A125" i="3"/>
  <c r="CX125" i="3"/>
  <c r="CY125" i="3"/>
  <c r="CZ125" i="3"/>
  <c r="DB125" i="3" s="1"/>
  <c r="DA125" i="3"/>
  <c r="DC125" i="3"/>
  <c r="A126" i="3"/>
  <c r="CX126" i="3"/>
  <c r="CY126" i="3"/>
  <c r="CZ126" i="3"/>
  <c r="DA126" i="3"/>
  <c r="DB126" i="3"/>
  <c r="DC126" i="3"/>
  <c r="A127" i="3"/>
  <c r="CX127" i="3"/>
  <c r="CY127" i="3"/>
  <c r="CZ127" i="3"/>
  <c r="DA127" i="3"/>
  <c r="DB127" i="3"/>
  <c r="DC127" i="3"/>
  <c r="A128" i="3"/>
  <c r="CX128" i="3"/>
  <c r="CY128" i="3"/>
  <c r="CZ128" i="3"/>
  <c r="DB128" i="3" s="1"/>
  <c r="DA128" i="3"/>
  <c r="DC128" i="3"/>
  <c r="A129" i="3"/>
  <c r="CX129" i="3"/>
  <c r="CY129" i="3"/>
  <c r="CZ129" i="3"/>
  <c r="DA129" i="3"/>
  <c r="DB129" i="3"/>
  <c r="DC129" i="3"/>
  <c r="A130" i="3"/>
  <c r="CX130" i="3"/>
  <c r="CY130" i="3"/>
  <c r="CZ130" i="3"/>
  <c r="DB130" i="3" s="1"/>
  <c r="DA130" i="3"/>
  <c r="DC130" i="3"/>
  <c r="A131" i="3"/>
  <c r="CX131" i="3"/>
  <c r="CY131" i="3"/>
  <c r="CZ131" i="3"/>
  <c r="DB131" i="3" s="1"/>
  <c r="DA131" i="3"/>
  <c r="DC131" i="3"/>
  <c r="A132" i="3"/>
  <c r="CX132" i="3"/>
  <c r="CY132" i="3"/>
  <c r="CZ132" i="3"/>
  <c r="DA132" i="3"/>
  <c r="DB132" i="3"/>
  <c r="DC132" i="3"/>
  <c r="A133" i="3"/>
  <c r="CX133" i="3"/>
  <c r="CY133" i="3"/>
  <c r="CZ133" i="3"/>
  <c r="DA133" i="3"/>
  <c r="DB133" i="3"/>
  <c r="DC133" i="3"/>
  <c r="A134" i="3"/>
  <c r="CX134" i="3"/>
  <c r="CY134" i="3"/>
  <c r="CZ134" i="3"/>
  <c r="DA134" i="3"/>
  <c r="DB134" i="3"/>
  <c r="DC134" i="3"/>
  <c r="A135" i="3"/>
  <c r="CX135" i="3"/>
  <c r="CY135" i="3"/>
  <c r="CZ135" i="3"/>
  <c r="DB135" i="3" s="1"/>
  <c r="DA135" i="3"/>
  <c r="DC135" i="3"/>
  <c r="A136" i="3"/>
  <c r="CX136" i="3"/>
  <c r="CY136" i="3"/>
  <c r="CZ136" i="3"/>
  <c r="DB136" i="3" s="1"/>
  <c r="DA136" i="3"/>
  <c r="DC136" i="3"/>
  <c r="A137" i="3"/>
  <c r="CX137" i="3"/>
  <c r="CY137" i="3"/>
  <c r="CZ137" i="3"/>
  <c r="DB137" i="3" s="1"/>
  <c r="DA137" i="3"/>
  <c r="DC137" i="3"/>
  <c r="A138" i="3"/>
  <c r="CX138" i="3"/>
  <c r="CY138" i="3"/>
  <c r="CZ138" i="3"/>
  <c r="DA138" i="3"/>
  <c r="DB138" i="3"/>
  <c r="DC138" i="3"/>
  <c r="A139" i="3"/>
  <c r="CX139" i="3"/>
  <c r="CY139" i="3"/>
  <c r="CZ139" i="3"/>
  <c r="DA139" i="3"/>
  <c r="DB139" i="3"/>
  <c r="DC139" i="3"/>
  <c r="A140" i="3"/>
  <c r="CX140" i="3"/>
  <c r="CY140" i="3"/>
  <c r="CZ140" i="3"/>
  <c r="DB140" i="3" s="1"/>
  <c r="DA140" i="3"/>
  <c r="DC140" i="3"/>
  <c r="A141" i="3"/>
  <c r="CX141" i="3"/>
  <c r="CY141" i="3"/>
  <c r="CZ141" i="3"/>
  <c r="DA141" i="3"/>
  <c r="DB141" i="3"/>
  <c r="DC141" i="3"/>
  <c r="A142" i="3"/>
  <c r="CX142" i="3"/>
  <c r="CY142" i="3"/>
  <c r="CZ142" i="3"/>
  <c r="DB142" i="3" s="1"/>
  <c r="DA142" i="3"/>
  <c r="DC142" i="3"/>
  <c r="A143" i="3"/>
  <c r="CX143" i="3"/>
  <c r="CY143" i="3"/>
  <c r="CZ143" i="3"/>
  <c r="DB143" i="3" s="1"/>
  <c r="DA143" i="3"/>
  <c r="DC143" i="3"/>
  <c r="A144" i="3"/>
  <c r="CX144" i="3"/>
  <c r="CY144" i="3"/>
  <c r="CZ144" i="3"/>
  <c r="DA144" i="3"/>
  <c r="DB144" i="3"/>
  <c r="DC144" i="3"/>
  <c r="A145" i="3"/>
  <c r="CX145" i="3"/>
  <c r="CY145" i="3"/>
  <c r="CZ145" i="3"/>
  <c r="DA145" i="3"/>
  <c r="DB145" i="3"/>
  <c r="DC145" i="3"/>
  <c r="A146" i="3"/>
  <c r="CX146" i="3"/>
  <c r="CY146" i="3"/>
  <c r="CZ146" i="3"/>
  <c r="DA146" i="3"/>
  <c r="DB146" i="3"/>
  <c r="DC146" i="3"/>
  <c r="A147" i="3"/>
  <c r="CX147" i="3"/>
  <c r="CY147" i="3"/>
  <c r="CZ147" i="3"/>
  <c r="DA147" i="3"/>
  <c r="DB147" i="3"/>
  <c r="DC147" i="3"/>
  <c r="A148" i="3"/>
  <c r="CX148" i="3"/>
  <c r="CY148" i="3"/>
  <c r="CZ148" i="3"/>
  <c r="DB148" i="3" s="1"/>
  <c r="DA148" i="3"/>
  <c r="DC148" i="3"/>
  <c r="A149" i="3"/>
  <c r="CX149" i="3"/>
  <c r="CY149" i="3"/>
  <c r="CZ149" i="3"/>
  <c r="DB149" i="3" s="1"/>
  <c r="DA149" i="3"/>
  <c r="DC149" i="3"/>
  <c r="A150" i="3"/>
  <c r="CX150" i="3"/>
  <c r="CY150" i="3"/>
  <c r="CZ150" i="3"/>
  <c r="DA150" i="3"/>
  <c r="DB150" i="3"/>
  <c r="DC150" i="3"/>
  <c r="A151" i="3"/>
  <c r="CX151" i="3"/>
  <c r="CY151" i="3"/>
  <c r="CZ151" i="3"/>
  <c r="DA151" i="3"/>
  <c r="DB151" i="3"/>
  <c r="DC151" i="3"/>
  <c r="A152" i="3"/>
  <c r="CX152" i="3"/>
  <c r="CY152" i="3"/>
  <c r="CZ152" i="3"/>
  <c r="DB152" i="3" s="1"/>
  <c r="DA152" i="3"/>
  <c r="DC152" i="3"/>
  <c r="A153" i="3"/>
  <c r="CX153" i="3"/>
  <c r="CY153" i="3"/>
  <c r="CZ153" i="3"/>
  <c r="DA153" i="3"/>
  <c r="DB153" i="3"/>
  <c r="DC153" i="3"/>
  <c r="A154" i="3"/>
  <c r="CX154" i="3"/>
  <c r="CY154" i="3"/>
  <c r="CZ154" i="3"/>
  <c r="DB154" i="3" s="1"/>
  <c r="DA154" i="3"/>
  <c r="DC154" i="3"/>
  <c r="A155" i="3"/>
  <c r="CX155" i="3"/>
  <c r="CY155" i="3"/>
  <c r="CZ155" i="3"/>
  <c r="DB155" i="3" s="1"/>
  <c r="DA155" i="3"/>
  <c r="DC155" i="3"/>
  <c r="A156" i="3"/>
  <c r="CX156" i="3"/>
  <c r="CY156" i="3"/>
  <c r="CZ156" i="3"/>
  <c r="DA156" i="3"/>
  <c r="DB156" i="3"/>
  <c r="DC156" i="3"/>
  <c r="A157" i="3"/>
  <c r="CX157" i="3"/>
  <c r="CY157" i="3"/>
  <c r="CZ157" i="3"/>
  <c r="DA157" i="3"/>
  <c r="DB157" i="3"/>
  <c r="DC157" i="3"/>
  <c r="A158" i="3"/>
  <c r="CX158" i="3"/>
  <c r="CY158" i="3"/>
  <c r="CZ158" i="3"/>
  <c r="DA158" i="3"/>
  <c r="DB158" i="3"/>
  <c r="DC158" i="3"/>
  <c r="A159" i="3"/>
  <c r="CX159" i="3"/>
  <c r="CY159" i="3"/>
  <c r="CZ159" i="3"/>
  <c r="DA159" i="3"/>
  <c r="DB159" i="3"/>
  <c r="DC159" i="3"/>
  <c r="A160" i="3"/>
  <c r="CX160" i="3"/>
  <c r="CY160" i="3"/>
  <c r="CZ160" i="3"/>
  <c r="DB160" i="3" s="1"/>
  <c r="DA160" i="3"/>
  <c r="DC160" i="3"/>
  <c r="A161" i="3"/>
  <c r="CX161" i="3"/>
  <c r="CY161" i="3"/>
  <c r="CZ161" i="3"/>
  <c r="DB161" i="3" s="1"/>
  <c r="DA161" i="3"/>
  <c r="DC161" i="3"/>
  <c r="A162" i="3"/>
  <c r="CX162" i="3"/>
  <c r="CY162" i="3"/>
  <c r="CZ162" i="3"/>
  <c r="DA162" i="3"/>
  <c r="DB162" i="3"/>
  <c r="DC162" i="3"/>
  <c r="A163" i="3"/>
  <c r="CX163" i="3"/>
  <c r="CY163" i="3"/>
  <c r="CZ163" i="3"/>
  <c r="DA163" i="3"/>
  <c r="DB163" i="3"/>
  <c r="DC163" i="3"/>
  <c r="A164" i="3"/>
  <c r="CX164" i="3"/>
  <c r="CY164" i="3"/>
  <c r="CZ164" i="3"/>
  <c r="DB164" i="3" s="1"/>
  <c r="DA164" i="3"/>
  <c r="DC164" i="3"/>
  <c r="A165" i="3"/>
  <c r="CX165" i="3"/>
  <c r="CY165" i="3"/>
  <c r="CZ165" i="3"/>
  <c r="DA165" i="3"/>
  <c r="DB165" i="3"/>
  <c r="DC165" i="3"/>
  <c r="A166" i="3"/>
  <c r="CX166" i="3"/>
  <c r="CY166" i="3"/>
  <c r="CZ166" i="3"/>
  <c r="DB166" i="3" s="1"/>
  <c r="DA166" i="3"/>
  <c r="DC166" i="3"/>
  <c r="A167" i="3"/>
  <c r="CX167" i="3"/>
  <c r="CY167" i="3"/>
  <c r="CZ167" i="3"/>
  <c r="DB167" i="3" s="1"/>
  <c r="DA167" i="3"/>
  <c r="DC167" i="3"/>
  <c r="A168" i="3"/>
  <c r="CX168" i="3"/>
  <c r="CY168" i="3"/>
  <c r="CZ168" i="3"/>
  <c r="DA168" i="3"/>
  <c r="DB168" i="3"/>
  <c r="DC168" i="3"/>
  <c r="A169" i="3"/>
  <c r="CX169" i="3"/>
  <c r="CY169" i="3"/>
  <c r="CZ169" i="3"/>
  <c r="DA169" i="3"/>
  <c r="DB169" i="3"/>
  <c r="DC169" i="3"/>
  <c r="A170" i="3"/>
  <c r="CX170" i="3"/>
  <c r="CY170" i="3"/>
  <c r="CZ170" i="3"/>
  <c r="DA170" i="3"/>
  <c r="DB170" i="3"/>
  <c r="DC170" i="3"/>
  <c r="A171" i="3"/>
  <c r="CX171" i="3"/>
  <c r="CY171" i="3"/>
  <c r="CZ171" i="3"/>
  <c r="DA171" i="3"/>
  <c r="DB171" i="3"/>
  <c r="DC171" i="3"/>
  <c r="A172" i="3"/>
  <c r="CX172" i="3"/>
  <c r="CY172" i="3"/>
  <c r="CZ172" i="3"/>
  <c r="DB172" i="3" s="1"/>
  <c r="DA172" i="3"/>
  <c r="DC172" i="3"/>
  <c r="A173" i="3"/>
  <c r="CX173" i="3"/>
  <c r="CY173" i="3"/>
  <c r="CZ173" i="3"/>
  <c r="DB173" i="3" s="1"/>
  <c r="DA173" i="3"/>
  <c r="DC173" i="3"/>
  <c r="A174" i="3"/>
  <c r="CX174" i="3"/>
  <c r="CY174" i="3"/>
  <c r="CZ174" i="3"/>
  <c r="DA174" i="3"/>
  <c r="DB174" i="3"/>
  <c r="DC174" i="3"/>
  <c r="A175" i="3"/>
  <c r="CX175" i="3"/>
  <c r="CY175" i="3"/>
  <c r="CZ175" i="3"/>
  <c r="DA175" i="3"/>
  <c r="DB175" i="3"/>
  <c r="DC175" i="3"/>
  <c r="A176" i="3"/>
  <c r="CX176" i="3"/>
  <c r="CY176" i="3"/>
  <c r="CZ176" i="3"/>
  <c r="DB176" i="3" s="1"/>
  <c r="DA176" i="3"/>
  <c r="DC176" i="3"/>
  <c r="A177" i="3"/>
  <c r="CX177" i="3"/>
  <c r="CY177" i="3"/>
  <c r="CZ177" i="3"/>
  <c r="DA177" i="3"/>
  <c r="DB177" i="3"/>
  <c r="DC177" i="3"/>
  <c r="A178" i="3"/>
  <c r="CX178" i="3"/>
  <c r="CY178" i="3"/>
  <c r="CZ178" i="3"/>
  <c r="DB178" i="3" s="1"/>
  <c r="DA178" i="3"/>
  <c r="DC178" i="3"/>
  <c r="A179" i="3"/>
  <c r="CX179" i="3"/>
  <c r="CY179" i="3"/>
  <c r="CZ179" i="3"/>
  <c r="DB179" i="3" s="1"/>
  <c r="DA179" i="3"/>
  <c r="DC179" i="3"/>
  <c r="A180" i="3"/>
  <c r="CX180" i="3"/>
  <c r="CY180" i="3"/>
  <c r="CZ180" i="3"/>
  <c r="DA180" i="3"/>
  <c r="DB180" i="3"/>
  <c r="DC180" i="3"/>
  <c r="A181" i="3"/>
  <c r="CX181" i="3"/>
  <c r="CY181" i="3"/>
  <c r="CZ181" i="3"/>
  <c r="DA181" i="3"/>
  <c r="DB181" i="3"/>
  <c r="DC181" i="3"/>
  <c r="A182" i="3"/>
  <c r="CX182" i="3"/>
  <c r="CY182" i="3"/>
  <c r="CZ182" i="3"/>
  <c r="DA182" i="3"/>
  <c r="DB182" i="3"/>
  <c r="DC182" i="3"/>
  <c r="A183" i="3"/>
  <c r="CX183" i="3"/>
  <c r="CY183" i="3"/>
  <c r="CZ183" i="3"/>
  <c r="DA183" i="3"/>
  <c r="DB183" i="3"/>
  <c r="DC183" i="3"/>
  <c r="A184" i="3"/>
  <c r="CX184" i="3"/>
  <c r="CY184" i="3"/>
  <c r="CZ184" i="3"/>
  <c r="DB184" i="3" s="1"/>
  <c r="DA184" i="3"/>
  <c r="DC184" i="3"/>
  <c r="A185" i="3"/>
  <c r="CX185" i="3"/>
  <c r="CY185" i="3"/>
  <c r="CZ185" i="3"/>
  <c r="DB185" i="3" s="1"/>
  <c r="DA185" i="3"/>
  <c r="DC185" i="3"/>
  <c r="A186" i="3"/>
  <c r="CX186" i="3"/>
  <c r="CY186" i="3"/>
  <c r="CZ186" i="3"/>
  <c r="DA186" i="3"/>
  <c r="DB186" i="3"/>
  <c r="DC186" i="3"/>
  <c r="A187" i="3"/>
  <c r="CX187" i="3"/>
  <c r="CY187" i="3"/>
  <c r="CZ187" i="3"/>
  <c r="DA187" i="3"/>
  <c r="DB187" i="3"/>
  <c r="DC187" i="3"/>
  <c r="A188" i="3"/>
  <c r="CX188" i="3"/>
  <c r="CY188" i="3"/>
  <c r="CZ188" i="3"/>
  <c r="DB188" i="3" s="1"/>
  <c r="DA188" i="3"/>
  <c r="DC188" i="3"/>
  <c r="A189" i="3"/>
  <c r="CX189" i="3"/>
  <c r="CY189" i="3"/>
  <c r="CZ189" i="3"/>
  <c r="DA189" i="3"/>
  <c r="DB189" i="3"/>
  <c r="DC189" i="3"/>
  <c r="A190" i="3"/>
  <c r="CX190" i="3"/>
  <c r="CY190" i="3"/>
  <c r="CZ190" i="3"/>
  <c r="DB190" i="3" s="1"/>
  <c r="DA190" i="3"/>
  <c r="DC190" i="3"/>
  <c r="A191" i="3"/>
  <c r="CX191" i="3"/>
  <c r="CY191" i="3"/>
  <c r="CZ191" i="3"/>
  <c r="DB191" i="3" s="1"/>
  <c r="DA191" i="3"/>
  <c r="DC191" i="3"/>
  <c r="A192" i="3"/>
  <c r="CX192" i="3"/>
  <c r="CY192" i="3"/>
  <c r="CZ192" i="3"/>
  <c r="DA192" i="3"/>
  <c r="DB192" i="3"/>
  <c r="DC192" i="3"/>
  <c r="A193" i="3"/>
  <c r="CX193" i="3"/>
  <c r="CY193" i="3"/>
  <c r="CZ193" i="3"/>
  <c r="DA193" i="3"/>
  <c r="DB193" i="3"/>
  <c r="DC193" i="3"/>
  <c r="A194" i="3"/>
  <c r="CX194" i="3"/>
  <c r="CY194" i="3"/>
  <c r="CZ194" i="3"/>
  <c r="DA194" i="3"/>
  <c r="DB194" i="3"/>
  <c r="DC194" i="3"/>
  <c r="A195" i="3"/>
  <c r="CX195" i="3"/>
  <c r="CY195" i="3"/>
  <c r="CZ195" i="3"/>
  <c r="DA195" i="3"/>
  <c r="DB195" i="3"/>
  <c r="DC195" i="3"/>
  <c r="A196" i="3"/>
  <c r="CX196" i="3"/>
  <c r="CY196" i="3"/>
  <c r="CZ196" i="3"/>
  <c r="DB196" i="3" s="1"/>
  <c r="DA196" i="3"/>
  <c r="DC196" i="3"/>
  <c r="A197" i="3"/>
  <c r="CX197" i="3"/>
  <c r="CY197" i="3"/>
  <c r="CZ197" i="3"/>
  <c r="DB197" i="3" s="1"/>
  <c r="DA197" i="3"/>
  <c r="DC197" i="3"/>
  <c r="A198" i="3"/>
  <c r="CX198" i="3"/>
  <c r="CY198" i="3"/>
  <c r="CZ198" i="3"/>
  <c r="DA198" i="3"/>
  <c r="DB198" i="3"/>
  <c r="DC198" i="3"/>
  <c r="A199" i="3"/>
  <c r="CX199" i="3"/>
  <c r="CY199" i="3"/>
  <c r="CZ199" i="3"/>
  <c r="DA199" i="3"/>
  <c r="DB199" i="3"/>
  <c r="DC199" i="3"/>
  <c r="A200" i="3"/>
  <c r="CX200" i="3"/>
  <c r="CY200" i="3"/>
  <c r="CZ200" i="3"/>
  <c r="DB200" i="3" s="1"/>
  <c r="DA200" i="3"/>
  <c r="DC200" i="3"/>
  <c r="A201" i="3"/>
  <c r="CX201" i="3"/>
  <c r="CY201" i="3"/>
  <c r="CZ201" i="3"/>
  <c r="DA201" i="3"/>
  <c r="DB201" i="3"/>
  <c r="DC201" i="3"/>
  <c r="A202" i="3"/>
  <c r="CX202" i="3"/>
  <c r="CY202" i="3"/>
  <c r="CZ202" i="3"/>
  <c r="DB202" i="3" s="1"/>
  <c r="DA202" i="3"/>
  <c r="DC202" i="3"/>
  <c r="A203" i="3"/>
  <c r="CX203" i="3"/>
  <c r="CY203" i="3"/>
  <c r="CZ203" i="3"/>
  <c r="DB203" i="3" s="1"/>
  <c r="DA203" i="3"/>
  <c r="DC203" i="3"/>
  <c r="A204" i="3"/>
  <c r="CX204" i="3"/>
  <c r="CY204" i="3"/>
  <c r="CZ204" i="3"/>
  <c r="DA204" i="3"/>
  <c r="DB204" i="3"/>
  <c r="DC204" i="3"/>
  <c r="A205" i="3"/>
  <c r="CX205" i="3"/>
  <c r="CY205" i="3"/>
  <c r="CZ205" i="3"/>
  <c r="DA205" i="3"/>
  <c r="DB205" i="3"/>
  <c r="DC205" i="3"/>
  <c r="A206" i="3"/>
  <c r="CX206" i="3"/>
  <c r="CY206" i="3"/>
  <c r="CZ206" i="3"/>
  <c r="DA206" i="3"/>
  <c r="DB206" i="3"/>
  <c r="DC206" i="3"/>
  <c r="A207" i="3"/>
  <c r="CX207" i="3"/>
  <c r="CY207" i="3"/>
  <c r="CZ207" i="3"/>
  <c r="DA207" i="3"/>
  <c r="DB207" i="3"/>
  <c r="DC207" i="3"/>
  <c r="A208" i="3"/>
  <c r="CX208" i="3"/>
  <c r="CY208" i="3"/>
  <c r="CZ208" i="3"/>
  <c r="DB208" i="3" s="1"/>
  <c r="DA208" i="3"/>
  <c r="DC208" i="3"/>
  <c r="A209" i="3"/>
  <c r="CX209" i="3"/>
  <c r="CY209" i="3"/>
  <c r="CZ209" i="3"/>
  <c r="DB209" i="3" s="1"/>
  <c r="DA209" i="3"/>
  <c r="DC209" i="3"/>
  <c r="A210" i="3"/>
  <c r="CX210" i="3"/>
  <c r="CY210" i="3"/>
  <c r="CZ210" i="3"/>
  <c r="DA210" i="3"/>
  <c r="DB210" i="3"/>
  <c r="DC210" i="3"/>
  <c r="A211" i="3"/>
  <c r="CX211" i="3"/>
  <c r="CY211" i="3"/>
  <c r="CZ211" i="3"/>
  <c r="DA211" i="3"/>
  <c r="DB211" i="3"/>
  <c r="DC211" i="3"/>
  <c r="A212" i="3"/>
  <c r="CX212" i="3"/>
  <c r="CY212" i="3"/>
  <c r="CZ212" i="3"/>
  <c r="DB212" i="3" s="1"/>
  <c r="DA212" i="3"/>
  <c r="DC212" i="3"/>
  <c r="A213" i="3"/>
  <c r="CX213" i="3"/>
  <c r="CY213" i="3"/>
  <c r="CZ213" i="3"/>
  <c r="DA213" i="3"/>
  <c r="DB213" i="3"/>
  <c r="DC213" i="3"/>
  <c r="A214" i="3"/>
  <c r="CX214" i="3"/>
  <c r="CY214" i="3"/>
  <c r="CZ214" i="3"/>
  <c r="DB214" i="3" s="1"/>
  <c r="DA214" i="3"/>
  <c r="DC214" i="3"/>
  <c r="A215" i="3"/>
  <c r="CX215" i="3"/>
  <c r="CY215" i="3"/>
  <c r="CZ215" i="3"/>
  <c r="DB215" i="3" s="1"/>
  <c r="DA215" i="3"/>
  <c r="DC215" i="3"/>
  <c r="A216" i="3"/>
  <c r="CX216" i="3"/>
  <c r="CY216" i="3"/>
  <c r="CZ216" i="3"/>
  <c r="DA216" i="3"/>
  <c r="DB216" i="3"/>
  <c r="DC216" i="3"/>
  <c r="A217" i="3"/>
  <c r="CX217" i="3"/>
  <c r="CY217" i="3"/>
  <c r="CZ217" i="3"/>
  <c r="DA217" i="3"/>
  <c r="DB217" i="3"/>
  <c r="DC217" i="3"/>
  <c r="A218" i="3"/>
  <c r="CX218" i="3"/>
  <c r="CY218" i="3"/>
  <c r="CZ218" i="3"/>
  <c r="DA218" i="3"/>
  <c r="DB218" i="3"/>
  <c r="DC218" i="3"/>
  <c r="A219" i="3"/>
  <c r="CX219" i="3"/>
  <c r="CY219" i="3"/>
  <c r="CZ219" i="3"/>
  <c r="DA219" i="3"/>
  <c r="DB219" i="3"/>
  <c r="DC219" i="3"/>
  <c r="A220" i="3"/>
  <c r="CX220" i="3"/>
  <c r="CY220" i="3"/>
  <c r="CZ220" i="3"/>
  <c r="DB220" i="3" s="1"/>
  <c r="DA220" i="3"/>
  <c r="DC220" i="3"/>
  <c r="A221" i="3"/>
  <c r="CX221" i="3"/>
  <c r="CY221" i="3"/>
  <c r="CZ221" i="3"/>
  <c r="DB221" i="3" s="1"/>
  <c r="DA221" i="3"/>
  <c r="DC221" i="3"/>
  <c r="A222" i="3"/>
  <c r="CX222" i="3"/>
  <c r="CY222" i="3"/>
  <c r="CZ222" i="3"/>
  <c r="DA222" i="3"/>
  <c r="DB222" i="3"/>
  <c r="DC222" i="3"/>
  <c r="A223" i="3"/>
  <c r="CX223" i="3"/>
  <c r="CY223" i="3"/>
  <c r="CZ223" i="3"/>
  <c r="DA223" i="3"/>
  <c r="DB223" i="3"/>
  <c r="DC223" i="3"/>
  <c r="A224" i="3"/>
  <c r="CX224" i="3"/>
  <c r="CY224" i="3"/>
  <c r="CZ224" i="3"/>
  <c r="DB224" i="3" s="1"/>
  <c r="DA224" i="3"/>
  <c r="DC224" i="3"/>
  <c r="A225" i="3"/>
  <c r="CX225" i="3"/>
  <c r="CY225" i="3"/>
  <c r="CZ225" i="3"/>
  <c r="DA225" i="3"/>
  <c r="DB225" i="3"/>
  <c r="DC225" i="3"/>
  <c r="A226" i="3"/>
  <c r="CX226" i="3"/>
  <c r="CY226" i="3"/>
  <c r="CZ226" i="3"/>
  <c r="DB226" i="3" s="1"/>
  <c r="DA226" i="3"/>
  <c r="DC226" i="3"/>
  <c r="A227" i="3"/>
  <c r="CX227" i="3"/>
  <c r="CY227" i="3"/>
  <c r="CZ227" i="3"/>
  <c r="DB227" i="3" s="1"/>
  <c r="DA227" i="3"/>
  <c r="DC227" i="3"/>
  <c r="A228" i="3"/>
  <c r="CX228" i="3"/>
  <c r="CY228" i="3"/>
  <c r="CZ228" i="3"/>
  <c r="DA228" i="3"/>
  <c r="DB228" i="3"/>
  <c r="DC228" i="3"/>
  <c r="A229" i="3"/>
  <c r="CX229" i="3"/>
  <c r="CY229" i="3"/>
  <c r="CZ229" i="3"/>
  <c r="DA229" i="3"/>
  <c r="DB229" i="3"/>
  <c r="DC229" i="3"/>
  <c r="A230" i="3"/>
  <c r="CX230" i="3"/>
  <c r="CY230" i="3"/>
  <c r="CZ230" i="3"/>
  <c r="DA230" i="3"/>
  <c r="DB230" i="3"/>
  <c r="DC230" i="3"/>
  <c r="A231" i="3"/>
  <c r="CX231" i="3"/>
  <c r="CY231" i="3"/>
  <c r="CZ231" i="3"/>
  <c r="DA231" i="3"/>
  <c r="DB231" i="3"/>
  <c r="DC231" i="3"/>
  <c r="A232" i="3"/>
  <c r="CX232" i="3"/>
  <c r="CY232" i="3"/>
  <c r="CZ232" i="3"/>
  <c r="DB232" i="3" s="1"/>
  <c r="DA232" i="3"/>
  <c r="DC232" i="3"/>
  <c r="A233" i="3"/>
  <c r="CX233" i="3"/>
  <c r="CY233" i="3"/>
  <c r="CZ233" i="3"/>
  <c r="DB233" i="3" s="1"/>
  <c r="DA233" i="3"/>
  <c r="DC233" i="3"/>
  <c r="A234" i="3"/>
  <c r="CX234" i="3"/>
  <c r="CY234" i="3"/>
  <c r="CZ234" i="3"/>
  <c r="DA234" i="3"/>
  <c r="DB234" i="3"/>
  <c r="DC234" i="3"/>
  <c r="A235" i="3"/>
  <c r="CX235" i="3"/>
  <c r="CY235" i="3"/>
  <c r="CZ235" i="3"/>
  <c r="DA235" i="3"/>
  <c r="DB235" i="3"/>
  <c r="DC235" i="3"/>
  <c r="A236" i="3"/>
  <c r="CX236" i="3"/>
  <c r="CY236" i="3"/>
  <c r="CZ236" i="3"/>
  <c r="DB236" i="3" s="1"/>
  <c r="DA236" i="3"/>
  <c r="DC236" i="3"/>
  <c r="A237" i="3"/>
  <c r="CX237" i="3"/>
  <c r="CY237" i="3"/>
  <c r="CZ237" i="3"/>
  <c r="DA237" i="3"/>
  <c r="DB237" i="3"/>
  <c r="DC237" i="3"/>
  <c r="A238" i="3"/>
  <c r="CX238" i="3"/>
  <c r="CY238" i="3"/>
  <c r="CZ238" i="3"/>
  <c r="DB238" i="3" s="1"/>
  <c r="DA238" i="3"/>
  <c r="DC238" i="3"/>
  <c r="A239" i="3"/>
  <c r="CX239" i="3"/>
  <c r="CY239" i="3"/>
  <c r="CZ239" i="3"/>
  <c r="DB239" i="3" s="1"/>
  <c r="DA239" i="3"/>
  <c r="DC239" i="3"/>
  <c r="A240" i="3"/>
  <c r="CX240" i="3"/>
  <c r="CY240" i="3"/>
  <c r="CZ240" i="3"/>
  <c r="DA240" i="3"/>
  <c r="DB240" i="3"/>
  <c r="DC240" i="3"/>
  <c r="A241" i="3"/>
  <c r="CX241" i="3"/>
  <c r="CY241" i="3"/>
  <c r="CZ241" i="3"/>
  <c r="DA241" i="3"/>
  <c r="DB241" i="3"/>
  <c r="DC241" i="3"/>
  <c r="A242" i="3"/>
  <c r="CX242" i="3"/>
  <c r="CY242" i="3"/>
  <c r="CZ242" i="3"/>
  <c r="DA242" i="3"/>
  <c r="DB242" i="3"/>
  <c r="DC242" i="3"/>
  <c r="A243" i="3"/>
  <c r="CY243" i="3"/>
  <c r="CZ243" i="3"/>
  <c r="DA243" i="3"/>
  <c r="DB243" i="3"/>
  <c r="DC243" i="3"/>
  <c r="A244" i="3"/>
  <c r="CY244" i="3"/>
  <c r="CZ244" i="3"/>
  <c r="DB244" i="3" s="1"/>
  <c r="DA244" i="3"/>
  <c r="DC244" i="3"/>
  <c r="A245" i="3"/>
  <c r="CY245" i="3"/>
  <c r="CZ245" i="3"/>
  <c r="DB245" i="3" s="1"/>
  <c r="DA245" i="3"/>
  <c r="DC245" i="3"/>
  <c r="A246" i="3"/>
  <c r="CY246" i="3"/>
  <c r="CZ246" i="3"/>
  <c r="DA246" i="3"/>
  <c r="DB246" i="3"/>
  <c r="DC246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F26" i="1"/>
  <c r="Z26" i="1"/>
  <c r="AA26" i="1"/>
  <c r="AM26" i="1"/>
  <c r="AN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V28" i="1"/>
  <c r="AC28" i="1"/>
  <c r="CQ28" i="1" s="1"/>
  <c r="P28" i="1" s="1"/>
  <c r="AE28" i="1"/>
  <c r="CR28" i="1" s="1"/>
  <c r="Q28" i="1" s="1"/>
  <c r="AF28" i="1"/>
  <c r="CT28" i="1" s="1"/>
  <c r="S28" i="1" s="1"/>
  <c r="AG28" i="1"/>
  <c r="AH28" i="1"/>
  <c r="AI28" i="1"/>
  <c r="AJ28" i="1"/>
  <c r="CX28" i="1" s="1"/>
  <c r="W28" i="1" s="1"/>
  <c r="CS28" i="1"/>
  <c r="R28" i="1" s="1"/>
  <c r="CU28" i="1"/>
  <c r="T28" i="1" s="1"/>
  <c r="CV28" i="1"/>
  <c r="U28" i="1" s="1"/>
  <c r="CW28" i="1"/>
  <c r="FR28" i="1"/>
  <c r="GL28" i="1"/>
  <c r="GN28" i="1"/>
  <c r="GO28" i="1"/>
  <c r="GV28" i="1"/>
  <c r="HC28" i="1" s="1"/>
  <c r="GX28" i="1" s="1"/>
  <c r="C29" i="1"/>
  <c r="D29" i="1"/>
  <c r="AC29" i="1"/>
  <c r="CQ29" i="1" s="1"/>
  <c r="P29" i="1" s="1"/>
  <c r="CP29" i="1" s="1"/>
  <c r="O29" i="1" s="1"/>
  <c r="AD29" i="1"/>
  <c r="AE29" i="1"/>
  <c r="CR29" i="1" s="1"/>
  <c r="Q29" i="1" s="1"/>
  <c r="AF29" i="1"/>
  <c r="AG29" i="1"/>
  <c r="AH29" i="1"/>
  <c r="AI29" i="1"/>
  <c r="CW29" i="1" s="1"/>
  <c r="V29" i="1" s="1"/>
  <c r="AJ29" i="1"/>
  <c r="CT29" i="1"/>
  <c r="S29" i="1" s="1"/>
  <c r="CU29" i="1"/>
  <c r="T29" i="1" s="1"/>
  <c r="CV29" i="1"/>
  <c r="U29" i="1" s="1"/>
  <c r="CX29" i="1"/>
  <c r="W29" i="1" s="1"/>
  <c r="FR29" i="1"/>
  <c r="GL29" i="1"/>
  <c r="GN29" i="1"/>
  <c r="GO29" i="1"/>
  <c r="GV29" i="1"/>
  <c r="HC29" i="1"/>
  <c r="GX29" i="1" s="1"/>
  <c r="C30" i="1"/>
  <c r="D30" i="1"/>
  <c r="AC30" i="1"/>
  <c r="AE30" i="1"/>
  <c r="CR30" i="1" s="1"/>
  <c r="Q30" i="1" s="1"/>
  <c r="AF30" i="1"/>
  <c r="AG30" i="1"/>
  <c r="CU30" i="1" s="1"/>
  <c r="T30" i="1" s="1"/>
  <c r="AH30" i="1"/>
  <c r="CV30" i="1" s="1"/>
  <c r="U30" i="1" s="1"/>
  <c r="AI30" i="1"/>
  <c r="CW30" i="1" s="1"/>
  <c r="V30" i="1" s="1"/>
  <c r="AJ30" i="1"/>
  <c r="CX30" i="1" s="1"/>
  <c r="W30" i="1" s="1"/>
  <c r="CQ30" i="1"/>
  <c r="P30" i="1" s="1"/>
  <c r="CT30" i="1"/>
  <c r="S30" i="1" s="1"/>
  <c r="CZ30" i="1" s="1"/>
  <c r="Y30" i="1" s="1"/>
  <c r="FR30" i="1"/>
  <c r="GL30" i="1"/>
  <c r="GN30" i="1"/>
  <c r="GO30" i="1"/>
  <c r="GV30" i="1"/>
  <c r="GX30" i="1"/>
  <c r="HC30" i="1"/>
  <c r="C31" i="1"/>
  <c r="D31" i="1"/>
  <c r="W31" i="1"/>
  <c r="AB31" i="1"/>
  <c r="AC31" i="1"/>
  <c r="CQ31" i="1" s="1"/>
  <c r="P31" i="1" s="1"/>
  <c r="AD31" i="1"/>
  <c r="AE31" i="1"/>
  <c r="CR31" i="1" s="1"/>
  <c r="Q31" i="1" s="1"/>
  <c r="AF31" i="1"/>
  <c r="AG31" i="1"/>
  <c r="AH31" i="1"/>
  <c r="AI31" i="1"/>
  <c r="AJ31" i="1"/>
  <c r="CS31" i="1"/>
  <c r="R31" i="1" s="1"/>
  <c r="CT31" i="1"/>
  <c r="S31" i="1" s="1"/>
  <c r="CU31" i="1"/>
  <c r="T31" i="1" s="1"/>
  <c r="CV31" i="1"/>
  <c r="U31" i="1" s="1"/>
  <c r="CW31" i="1"/>
  <c r="V31" i="1" s="1"/>
  <c r="CX31" i="1"/>
  <c r="FR31" i="1"/>
  <c r="GL31" i="1"/>
  <c r="GN31" i="1"/>
  <c r="GO31" i="1"/>
  <c r="GV31" i="1"/>
  <c r="HC31" i="1"/>
  <c r="GX31" i="1" s="1"/>
  <c r="C32" i="1"/>
  <c r="D32" i="1"/>
  <c r="AC32" i="1"/>
  <c r="AE32" i="1"/>
  <c r="CR32" i="1" s="1"/>
  <c r="Q32" i="1" s="1"/>
  <c r="AF32" i="1"/>
  <c r="AG32" i="1"/>
  <c r="CU32" i="1" s="1"/>
  <c r="T32" i="1" s="1"/>
  <c r="AH32" i="1"/>
  <c r="CV32" i="1" s="1"/>
  <c r="U32" i="1" s="1"/>
  <c r="AI32" i="1"/>
  <c r="CW32" i="1" s="1"/>
  <c r="V32" i="1" s="1"/>
  <c r="AJ32" i="1"/>
  <c r="CX32" i="1" s="1"/>
  <c r="W32" i="1" s="1"/>
  <c r="CQ32" i="1"/>
  <c r="P32" i="1" s="1"/>
  <c r="CP32" i="1" s="1"/>
  <c r="O32" i="1" s="1"/>
  <c r="CT32" i="1"/>
  <c r="S32" i="1" s="1"/>
  <c r="CZ32" i="1" s="1"/>
  <c r="Y32" i="1" s="1"/>
  <c r="FR32" i="1"/>
  <c r="GL32" i="1"/>
  <c r="GN32" i="1"/>
  <c r="GO32" i="1"/>
  <c r="GV32" i="1"/>
  <c r="HC32" i="1" s="1"/>
  <c r="GX32" i="1" s="1"/>
  <c r="C33" i="1"/>
  <c r="D33" i="1"/>
  <c r="T33" i="1"/>
  <c r="V33" i="1"/>
  <c r="AC33" i="1"/>
  <c r="CQ33" i="1" s="1"/>
  <c r="P33" i="1" s="1"/>
  <c r="CP33" i="1" s="1"/>
  <c r="O33" i="1" s="1"/>
  <c r="AE33" i="1"/>
  <c r="AD33" i="1" s="1"/>
  <c r="AB33" i="1" s="1"/>
  <c r="AF33" i="1"/>
  <c r="AG33" i="1"/>
  <c r="AH33" i="1"/>
  <c r="AI33" i="1"/>
  <c r="AJ33" i="1"/>
  <c r="CX33" i="1" s="1"/>
  <c r="W33" i="1" s="1"/>
  <c r="CR33" i="1"/>
  <c r="Q33" i="1" s="1"/>
  <c r="CS33" i="1"/>
  <c r="R33" i="1" s="1"/>
  <c r="GK33" i="1" s="1"/>
  <c r="CT33" i="1"/>
  <c r="S33" i="1" s="1"/>
  <c r="CU33" i="1"/>
  <c r="CV33" i="1"/>
  <c r="U33" i="1" s="1"/>
  <c r="CW33" i="1"/>
  <c r="FR33" i="1"/>
  <c r="GL33" i="1"/>
  <c r="GN33" i="1"/>
  <c r="GO33" i="1"/>
  <c r="GV33" i="1"/>
  <c r="HC33" i="1" s="1"/>
  <c r="GX33" i="1" s="1"/>
  <c r="C34" i="1"/>
  <c r="D34" i="1"/>
  <c r="AC34" i="1"/>
  <c r="CQ34" i="1" s="1"/>
  <c r="P34" i="1" s="1"/>
  <c r="AE34" i="1"/>
  <c r="CS34" i="1" s="1"/>
  <c r="R34" i="1" s="1"/>
  <c r="GK34" i="1" s="1"/>
  <c r="AF34" i="1"/>
  <c r="CT34" i="1" s="1"/>
  <c r="S34" i="1" s="1"/>
  <c r="AG34" i="1"/>
  <c r="CU34" i="1" s="1"/>
  <c r="T34" i="1" s="1"/>
  <c r="AH34" i="1"/>
  <c r="CV34" i="1" s="1"/>
  <c r="U34" i="1" s="1"/>
  <c r="AI34" i="1"/>
  <c r="AJ34" i="1"/>
  <c r="CR34" i="1"/>
  <c r="Q34" i="1" s="1"/>
  <c r="CW34" i="1"/>
  <c r="V34" i="1" s="1"/>
  <c r="CX34" i="1"/>
  <c r="W34" i="1" s="1"/>
  <c r="FR34" i="1"/>
  <c r="GL34" i="1"/>
  <c r="GN34" i="1"/>
  <c r="GO34" i="1"/>
  <c r="GV34" i="1"/>
  <c r="GX34" i="1"/>
  <c r="HC34" i="1"/>
  <c r="I35" i="1"/>
  <c r="S35" i="1" s="1"/>
  <c r="AC35" i="1"/>
  <c r="AD35" i="1"/>
  <c r="AB35" i="1" s="1"/>
  <c r="AE35" i="1"/>
  <c r="AF35" i="1"/>
  <c r="AG35" i="1"/>
  <c r="AH35" i="1"/>
  <c r="AI35" i="1"/>
  <c r="CW35" i="1" s="1"/>
  <c r="V35" i="1" s="1"/>
  <c r="AJ35" i="1"/>
  <c r="CQ35" i="1"/>
  <c r="P35" i="1" s="1"/>
  <c r="CP35" i="1" s="1"/>
  <c r="O35" i="1" s="1"/>
  <c r="CR35" i="1"/>
  <c r="Q35" i="1" s="1"/>
  <c r="CS35" i="1"/>
  <c r="R35" i="1" s="1"/>
  <c r="GK35" i="1" s="1"/>
  <c r="CT35" i="1"/>
  <c r="CU35" i="1"/>
  <c r="T35" i="1" s="1"/>
  <c r="CV35" i="1"/>
  <c r="CX35" i="1"/>
  <c r="W35" i="1" s="1"/>
  <c r="FR35" i="1"/>
  <c r="GL35" i="1"/>
  <c r="GN35" i="1"/>
  <c r="GO35" i="1"/>
  <c r="GV35" i="1"/>
  <c r="HC35" i="1"/>
  <c r="GX35" i="1" s="1"/>
  <c r="I36" i="1"/>
  <c r="AC36" i="1"/>
  <c r="CQ36" i="1" s="1"/>
  <c r="P36" i="1" s="1"/>
  <c r="AE36" i="1"/>
  <c r="CS36" i="1" s="1"/>
  <c r="R36" i="1" s="1"/>
  <c r="GK36" i="1" s="1"/>
  <c r="AF36" i="1"/>
  <c r="CT36" i="1" s="1"/>
  <c r="S36" i="1" s="1"/>
  <c r="AG36" i="1"/>
  <c r="CU36" i="1" s="1"/>
  <c r="T36" i="1" s="1"/>
  <c r="AH36" i="1"/>
  <c r="CV36" i="1" s="1"/>
  <c r="U36" i="1" s="1"/>
  <c r="AI36" i="1"/>
  <c r="AJ36" i="1"/>
  <c r="CR36" i="1"/>
  <c r="Q36" i="1" s="1"/>
  <c r="CW36" i="1"/>
  <c r="V36" i="1" s="1"/>
  <c r="CX36" i="1"/>
  <c r="W36" i="1" s="1"/>
  <c r="FR36" i="1"/>
  <c r="GL36" i="1"/>
  <c r="GN36" i="1"/>
  <c r="GO36" i="1"/>
  <c r="GV36" i="1"/>
  <c r="GX36" i="1"/>
  <c r="HC36" i="1"/>
  <c r="C37" i="1"/>
  <c r="D37" i="1"/>
  <c r="W37" i="1"/>
  <c r="AC37" i="1"/>
  <c r="AE37" i="1"/>
  <c r="CS37" i="1" s="1"/>
  <c r="R37" i="1" s="1"/>
  <c r="GK37" i="1" s="1"/>
  <c r="AF37" i="1"/>
  <c r="AG37" i="1"/>
  <c r="CU37" i="1" s="1"/>
  <c r="T37" i="1" s="1"/>
  <c r="AH37" i="1"/>
  <c r="AI37" i="1"/>
  <c r="AJ37" i="1"/>
  <c r="CX37" i="1" s="1"/>
  <c r="CQ37" i="1"/>
  <c r="P37" i="1" s="1"/>
  <c r="CP37" i="1" s="1"/>
  <c r="O37" i="1" s="1"/>
  <c r="CR37" i="1"/>
  <c r="Q37" i="1" s="1"/>
  <c r="CT37" i="1"/>
  <c r="S37" i="1" s="1"/>
  <c r="CV37" i="1"/>
  <c r="U37" i="1" s="1"/>
  <c r="CW37" i="1"/>
  <c r="V37" i="1" s="1"/>
  <c r="FR37" i="1"/>
  <c r="GL37" i="1"/>
  <c r="BZ47" i="1" s="1"/>
  <c r="GN37" i="1"/>
  <c r="GO37" i="1"/>
  <c r="GV37" i="1"/>
  <c r="HC37" i="1" s="1"/>
  <c r="GX37" i="1" s="1"/>
  <c r="I38" i="1"/>
  <c r="AC38" i="1"/>
  <c r="AE38" i="1"/>
  <c r="AF38" i="1"/>
  <c r="CT38" i="1" s="1"/>
  <c r="S38" i="1" s="1"/>
  <c r="AG38" i="1"/>
  <c r="CU38" i="1" s="1"/>
  <c r="T38" i="1" s="1"/>
  <c r="AH38" i="1"/>
  <c r="AI38" i="1"/>
  <c r="AJ38" i="1"/>
  <c r="CQ38" i="1"/>
  <c r="P38" i="1" s="1"/>
  <c r="CV38" i="1"/>
  <c r="U38" i="1" s="1"/>
  <c r="CW38" i="1"/>
  <c r="V38" i="1" s="1"/>
  <c r="CX38" i="1"/>
  <c r="W38" i="1" s="1"/>
  <c r="FR38" i="1"/>
  <c r="GL38" i="1"/>
  <c r="GN38" i="1"/>
  <c r="GO38" i="1"/>
  <c r="GV38" i="1"/>
  <c r="HC38" i="1" s="1"/>
  <c r="GX38" i="1" s="1"/>
  <c r="CJ47" i="1" s="1"/>
  <c r="I39" i="1"/>
  <c r="T39" i="1" s="1"/>
  <c r="W39" i="1"/>
  <c r="AC39" i="1"/>
  <c r="AE39" i="1"/>
  <c r="CS39" i="1" s="1"/>
  <c r="R39" i="1" s="1"/>
  <c r="AF39" i="1"/>
  <c r="AG39" i="1"/>
  <c r="AH39" i="1"/>
  <c r="AI39" i="1"/>
  <c r="AJ39" i="1"/>
  <c r="CX39" i="1" s="1"/>
  <c r="CQ39" i="1"/>
  <c r="P39" i="1" s="1"/>
  <c r="CR39" i="1"/>
  <c r="Q39" i="1" s="1"/>
  <c r="CP39" i="1" s="1"/>
  <c r="O39" i="1" s="1"/>
  <c r="CT39" i="1"/>
  <c r="S39" i="1" s="1"/>
  <c r="CU39" i="1"/>
  <c r="CV39" i="1"/>
  <c r="U39" i="1" s="1"/>
  <c r="CW39" i="1"/>
  <c r="V39" i="1" s="1"/>
  <c r="FR39" i="1"/>
  <c r="GK39" i="1"/>
  <c r="GL39" i="1"/>
  <c r="GN39" i="1"/>
  <c r="GO39" i="1"/>
  <c r="GV39" i="1"/>
  <c r="HC39" i="1" s="1"/>
  <c r="GX39" i="1" s="1"/>
  <c r="I40" i="1"/>
  <c r="AC40" i="1"/>
  <c r="AE40" i="1"/>
  <c r="AF40" i="1"/>
  <c r="CT40" i="1" s="1"/>
  <c r="S40" i="1" s="1"/>
  <c r="AG40" i="1"/>
  <c r="CU40" i="1" s="1"/>
  <c r="T40" i="1" s="1"/>
  <c r="AH40" i="1"/>
  <c r="AI40" i="1"/>
  <c r="AJ40" i="1"/>
  <c r="CQ40" i="1"/>
  <c r="P40" i="1" s="1"/>
  <c r="CV40" i="1"/>
  <c r="U40" i="1" s="1"/>
  <c r="CW40" i="1"/>
  <c r="V40" i="1" s="1"/>
  <c r="CX40" i="1"/>
  <c r="W40" i="1" s="1"/>
  <c r="FR40" i="1"/>
  <c r="GL40" i="1"/>
  <c r="GN40" i="1"/>
  <c r="GO40" i="1"/>
  <c r="GV40" i="1"/>
  <c r="HC40" i="1" s="1"/>
  <c r="GX40" i="1" s="1"/>
  <c r="I41" i="1"/>
  <c r="W41" i="1"/>
  <c r="AC41" i="1"/>
  <c r="AE41" i="1"/>
  <c r="CS41" i="1" s="1"/>
  <c r="R41" i="1" s="1"/>
  <c r="AF41" i="1"/>
  <c r="AG41" i="1"/>
  <c r="CU41" i="1" s="1"/>
  <c r="T41" i="1" s="1"/>
  <c r="AH41" i="1"/>
  <c r="AI41" i="1"/>
  <c r="AJ41" i="1"/>
  <c r="CP41" i="1"/>
  <c r="O41" i="1" s="1"/>
  <c r="CQ41" i="1"/>
  <c r="P41" i="1" s="1"/>
  <c r="CR41" i="1"/>
  <c r="Q41" i="1" s="1"/>
  <c r="CT41" i="1"/>
  <c r="S41" i="1" s="1"/>
  <c r="CV41" i="1"/>
  <c r="U41" i="1" s="1"/>
  <c r="CW41" i="1"/>
  <c r="V41" i="1" s="1"/>
  <c r="CX41" i="1"/>
  <c r="FR41" i="1"/>
  <c r="GK41" i="1"/>
  <c r="GL41" i="1"/>
  <c r="GN41" i="1"/>
  <c r="GO41" i="1"/>
  <c r="GV41" i="1"/>
  <c r="HC41" i="1" s="1"/>
  <c r="GX41" i="1" s="1"/>
  <c r="I42" i="1"/>
  <c r="AC42" i="1"/>
  <c r="AE42" i="1"/>
  <c r="AF42" i="1"/>
  <c r="CT42" i="1" s="1"/>
  <c r="S42" i="1" s="1"/>
  <c r="AG42" i="1"/>
  <c r="CU42" i="1" s="1"/>
  <c r="T42" i="1" s="1"/>
  <c r="AH42" i="1"/>
  <c r="AI42" i="1"/>
  <c r="AJ42" i="1"/>
  <c r="CQ42" i="1"/>
  <c r="P42" i="1" s="1"/>
  <c r="CV42" i="1"/>
  <c r="U42" i="1" s="1"/>
  <c r="CW42" i="1"/>
  <c r="V42" i="1" s="1"/>
  <c r="CX42" i="1"/>
  <c r="W42" i="1" s="1"/>
  <c r="FR42" i="1"/>
  <c r="GL42" i="1"/>
  <c r="GN42" i="1"/>
  <c r="GO42" i="1"/>
  <c r="GV42" i="1"/>
  <c r="HC42" i="1" s="1"/>
  <c r="GX42" i="1" s="1"/>
  <c r="I43" i="1"/>
  <c r="T43" i="1" s="1"/>
  <c r="W43" i="1"/>
  <c r="AC43" i="1"/>
  <c r="AE43" i="1"/>
  <c r="CS43" i="1" s="1"/>
  <c r="R43" i="1" s="1"/>
  <c r="GK43" i="1" s="1"/>
  <c r="AF43" i="1"/>
  <c r="AG43" i="1"/>
  <c r="AH43" i="1"/>
  <c r="AI43" i="1"/>
  <c r="AJ43" i="1"/>
  <c r="CP43" i="1"/>
  <c r="O43" i="1" s="1"/>
  <c r="CQ43" i="1"/>
  <c r="P43" i="1" s="1"/>
  <c r="CR43" i="1"/>
  <c r="Q43" i="1" s="1"/>
  <c r="CT43" i="1"/>
  <c r="S43" i="1" s="1"/>
  <c r="CU43" i="1"/>
  <c r="CV43" i="1"/>
  <c r="U43" i="1" s="1"/>
  <c r="CW43" i="1"/>
  <c r="V43" i="1" s="1"/>
  <c r="CX43" i="1"/>
  <c r="FR43" i="1"/>
  <c r="GL43" i="1"/>
  <c r="GN43" i="1"/>
  <c r="GO43" i="1"/>
  <c r="GV43" i="1"/>
  <c r="HC43" i="1" s="1"/>
  <c r="GX43" i="1" s="1"/>
  <c r="C44" i="1"/>
  <c r="D44" i="1"/>
  <c r="AC44" i="1"/>
  <c r="CQ44" i="1" s="1"/>
  <c r="P44" i="1" s="1"/>
  <c r="AD44" i="1"/>
  <c r="AE44" i="1"/>
  <c r="AF44" i="1"/>
  <c r="CT44" i="1" s="1"/>
  <c r="S44" i="1" s="1"/>
  <c r="AG44" i="1"/>
  <c r="AH44" i="1"/>
  <c r="AI44" i="1"/>
  <c r="AJ44" i="1"/>
  <c r="CX44" i="1" s="1"/>
  <c r="W44" i="1" s="1"/>
  <c r="CU44" i="1"/>
  <c r="T44" i="1" s="1"/>
  <c r="CV44" i="1"/>
  <c r="U44" i="1" s="1"/>
  <c r="CW44" i="1"/>
  <c r="V44" i="1" s="1"/>
  <c r="FR44" i="1"/>
  <c r="GL44" i="1"/>
  <c r="GN44" i="1"/>
  <c r="GO44" i="1"/>
  <c r="GV44" i="1"/>
  <c r="HC44" i="1" s="1"/>
  <c r="GX44" i="1" s="1"/>
  <c r="C45" i="1"/>
  <c r="D45" i="1"/>
  <c r="U45" i="1"/>
  <c r="V45" i="1"/>
  <c r="AC45" i="1"/>
  <c r="CQ45" i="1" s="1"/>
  <c r="P45" i="1" s="1"/>
  <c r="AD45" i="1"/>
  <c r="AE45" i="1"/>
  <c r="CS45" i="1" s="1"/>
  <c r="R45" i="1" s="1"/>
  <c r="GK45" i="1" s="1"/>
  <c r="AF45" i="1"/>
  <c r="AG45" i="1"/>
  <c r="AH45" i="1"/>
  <c r="AI45" i="1"/>
  <c r="CW45" i="1" s="1"/>
  <c r="AJ45" i="1"/>
  <c r="CX45" i="1" s="1"/>
  <c r="W45" i="1" s="1"/>
  <c r="CR45" i="1"/>
  <c r="Q45" i="1" s="1"/>
  <c r="CT45" i="1"/>
  <c r="S45" i="1" s="1"/>
  <c r="CY45" i="1" s="1"/>
  <c r="X45" i="1" s="1"/>
  <c r="CU45" i="1"/>
  <c r="T45" i="1" s="1"/>
  <c r="CV45" i="1"/>
  <c r="FR45" i="1"/>
  <c r="GL45" i="1"/>
  <c r="GN45" i="1"/>
  <c r="GO45" i="1"/>
  <c r="GV45" i="1"/>
  <c r="HC45" i="1" s="1"/>
  <c r="GX45" i="1" s="1"/>
  <c r="B47" i="1"/>
  <c r="B26" i="1" s="1"/>
  <c r="C47" i="1"/>
  <c r="C26" i="1" s="1"/>
  <c r="D47" i="1"/>
  <c r="D26" i="1" s="1"/>
  <c r="F47" i="1"/>
  <c r="G47" i="1"/>
  <c r="G26" i="1" s="1"/>
  <c r="AP47" i="1"/>
  <c r="AP26" i="1" s="1"/>
  <c r="BB47" i="1"/>
  <c r="BB26" i="1" s="1"/>
  <c r="BX47" i="1"/>
  <c r="BY47" i="1"/>
  <c r="BY26" i="1" s="1"/>
  <c r="CB47" i="1"/>
  <c r="CB26" i="1" s="1"/>
  <c r="CC47" i="1"/>
  <c r="CC26" i="1" s="1"/>
  <c r="CK47" i="1"/>
  <c r="CK26" i="1" s="1"/>
  <c r="CL47" i="1"/>
  <c r="CL26" i="1" s="1"/>
  <c r="D76" i="1"/>
  <c r="E78" i="1"/>
  <c r="Z78" i="1"/>
  <c r="AA78" i="1"/>
  <c r="AM78" i="1"/>
  <c r="AN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C80" i="1"/>
  <c r="D80" i="1"/>
  <c r="R80" i="1"/>
  <c r="GK80" i="1" s="1"/>
  <c r="S80" i="1"/>
  <c r="AB80" i="1"/>
  <c r="AC80" i="1"/>
  <c r="CQ80" i="1" s="1"/>
  <c r="P80" i="1" s="1"/>
  <c r="AD80" i="1"/>
  <c r="AE80" i="1"/>
  <c r="AF80" i="1"/>
  <c r="AG80" i="1"/>
  <c r="CU80" i="1" s="1"/>
  <c r="T80" i="1" s="1"/>
  <c r="AH80" i="1"/>
  <c r="CV80" i="1" s="1"/>
  <c r="U80" i="1" s="1"/>
  <c r="AI80" i="1"/>
  <c r="CW80" i="1" s="1"/>
  <c r="V80" i="1" s="1"/>
  <c r="AJ80" i="1"/>
  <c r="CR80" i="1"/>
  <c r="Q80" i="1" s="1"/>
  <c r="CS80" i="1"/>
  <c r="CT80" i="1"/>
  <c r="CX80" i="1"/>
  <c r="W80" i="1" s="1"/>
  <c r="CY80" i="1"/>
  <c r="X80" i="1" s="1"/>
  <c r="CZ80" i="1"/>
  <c r="Y80" i="1" s="1"/>
  <c r="FR80" i="1"/>
  <c r="GL80" i="1"/>
  <c r="GN80" i="1"/>
  <c r="GO80" i="1"/>
  <c r="GV80" i="1"/>
  <c r="HC80" i="1"/>
  <c r="GX80" i="1" s="1"/>
  <c r="C81" i="1"/>
  <c r="D81" i="1"/>
  <c r="P81" i="1"/>
  <c r="T81" i="1"/>
  <c r="AB81" i="1"/>
  <c r="AC81" i="1"/>
  <c r="AD81" i="1"/>
  <c r="AE81" i="1"/>
  <c r="AF81" i="1"/>
  <c r="CT81" i="1" s="1"/>
  <c r="S81" i="1" s="1"/>
  <c r="AG81" i="1"/>
  <c r="AH81" i="1"/>
  <c r="CV81" i="1" s="1"/>
  <c r="U81" i="1" s="1"/>
  <c r="AI81" i="1"/>
  <c r="CW81" i="1" s="1"/>
  <c r="V81" i="1" s="1"/>
  <c r="AJ81" i="1"/>
  <c r="CQ81" i="1"/>
  <c r="CR81" i="1"/>
  <c r="Q81" i="1" s="1"/>
  <c r="CS81" i="1"/>
  <c r="R81" i="1" s="1"/>
  <c r="GK81" i="1" s="1"/>
  <c r="CU81" i="1"/>
  <c r="CX81" i="1"/>
  <c r="W81" i="1" s="1"/>
  <c r="FR81" i="1"/>
  <c r="GL81" i="1"/>
  <c r="GN81" i="1"/>
  <c r="GO81" i="1"/>
  <c r="GV81" i="1"/>
  <c r="HC81" i="1" s="1"/>
  <c r="GX81" i="1" s="1"/>
  <c r="C82" i="1"/>
  <c r="D82" i="1"/>
  <c r="S82" i="1"/>
  <c r="CY82" i="1" s="1"/>
  <c r="X82" i="1" s="1"/>
  <c r="U82" i="1"/>
  <c r="AC82" i="1"/>
  <c r="CQ82" i="1" s="1"/>
  <c r="P82" i="1" s="1"/>
  <c r="AD82" i="1"/>
  <c r="AE82" i="1"/>
  <c r="CS82" i="1" s="1"/>
  <c r="R82" i="1" s="1"/>
  <c r="AF82" i="1"/>
  <c r="AG82" i="1"/>
  <c r="AH82" i="1"/>
  <c r="AI82" i="1"/>
  <c r="CW82" i="1" s="1"/>
  <c r="V82" i="1" s="1"/>
  <c r="AJ82" i="1"/>
  <c r="CX82" i="1" s="1"/>
  <c r="W82" i="1" s="1"/>
  <c r="CR82" i="1"/>
  <c r="Q82" i="1" s="1"/>
  <c r="CT82" i="1"/>
  <c r="CU82" i="1"/>
  <c r="T82" i="1" s="1"/>
  <c r="CV82" i="1"/>
  <c r="CZ82" i="1"/>
  <c r="Y82" i="1" s="1"/>
  <c r="FR82" i="1"/>
  <c r="GL82" i="1"/>
  <c r="GN82" i="1"/>
  <c r="GO82" i="1"/>
  <c r="GV82" i="1"/>
  <c r="HC82" i="1" s="1"/>
  <c r="GX82" i="1" s="1"/>
  <c r="C83" i="1"/>
  <c r="D83" i="1"/>
  <c r="P83" i="1"/>
  <c r="V83" i="1"/>
  <c r="AC83" i="1"/>
  <c r="AD83" i="1"/>
  <c r="AE83" i="1"/>
  <c r="CS83" i="1" s="1"/>
  <c r="R83" i="1" s="1"/>
  <c r="AF83" i="1"/>
  <c r="CT83" i="1" s="1"/>
  <c r="S83" i="1" s="1"/>
  <c r="AG83" i="1"/>
  <c r="CU83" i="1" s="1"/>
  <c r="T83" i="1" s="1"/>
  <c r="AH83" i="1"/>
  <c r="AI83" i="1"/>
  <c r="AJ83" i="1"/>
  <c r="CQ83" i="1"/>
  <c r="CV83" i="1"/>
  <c r="U83" i="1" s="1"/>
  <c r="CW83" i="1"/>
  <c r="CX83" i="1"/>
  <c r="W83" i="1" s="1"/>
  <c r="FR83" i="1"/>
  <c r="GL83" i="1"/>
  <c r="GN83" i="1"/>
  <c r="GO83" i="1"/>
  <c r="GV83" i="1"/>
  <c r="GX83" i="1"/>
  <c r="HC83" i="1"/>
  <c r="C84" i="1"/>
  <c r="D84" i="1"/>
  <c r="AC84" i="1"/>
  <c r="AE84" i="1"/>
  <c r="AD84" i="1" s="1"/>
  <c r="AB84" i="1" s="1"/>
  <c r="AF84" i="1"/>
  <c r="AG84" i="1"/>
  <c r="CU84" i="1" s="1"/>
  <c r="T84" i="1" s="1"/>
  <c r="AH84" i="1"/>
  <c r="AI84" i="1"/>
  <c r="CW84" i="1" s="1"/>
  <c r="V84" i="1" s="1"/>
  <c r="AJ84" i="1"/>
  <c r="CQ84" i="1"/>
  <c r="P84" i="1" s="1"/>
  <c r="CP84" i="1" s="1"/>
  <c r="O84" i="1" s="1"/>
  <c r="CR84" i="1"/>
  <c r="Q84" i="1" s="1"/>
  <c r="CS84" i="1"/>
  <c r="R84" i="1" s="1"/>
  <c r="GK84" i="1" s="1"/>
  <c r="CT84" i="1"/>
  <c r="S84" i="1" s="1"/>
  <c r="CV84" i="1"/>
  <c r="U84" i="1" s="1"/>
  <c r="CX84" i="1"/>
  <c r="W84" i="1" s="1"/>
  <c r="FR84" i="1"/>
  <c r="GL84" i="1"/>
  <c r="GN84" i="1"/>
  <c r="GO84" i="1"/>
  <c r="GV84" i="1"/>
  <c r="GX84" i="1"/>
  <c r="HC84" i="1"/>
  <c r="C85" i="1"/>
  <c r="D85" i="1"/>
  <c r="R85" i="1"/>
  <c r="GK85" i="1" s="1"/>
  <c r="AB85" i="1"/>
  <c r="AC85" i="1"/>
  <c r="AD85" i="1"/>
  <c r="AE85" i="1"/>
  <c r="CR85" i="1" s="1"/>
  <c r="Q85" i="1" s="1"/>
  <c r="AF85" i="1"/>
  <c r="AG85" i="1"/>
  <c r="CU85" i="1" s="1"/>
  <c r="T85" i="1" s="1"/>
  <c r="AH85" i="1"/>
  <c r="CV85" i="1" s="1"/>
  <c r="U85" i="1" s="1"/>
  <c r="AI85" i="1"/>
  <c r="CW85" i="1" s="1"/>
  <c r="V85" i="1" s="1"/>
  <c r="AJ85" i="1"/>
  <c r="CX85" i="1" s="1"/>
  <c r="W85" i="1" s="1"/>
  <c r="CQ85" i="1"/>
  <c r="P85" i="1" s="1"/>
  <c r="CS85" i="1"/>
  <c r="CT85" i="1"/>
  <c r="S85" i="1" s="1"/>
  <c r="CZ85" i="1" s="1"/>
  <c r="Y85" i="1" s="1"/>
  <c r="CY85" i="1"/>
  <c r="X85" i="1" s="1"/>
  <c r="FR85" i="1"/>
  <c r="GL85" i="1"/>
  <c r="GN85" i="1"/>
  <c r="GO85" i="1"/>
  <c r="GV85" i="1"/>
  <c r="HC85" i="1" s="1"/>
  <c r="GX85" i="1" s="1"/>
  <c r="C86" i="1"/>
  <c r="D86" i="1"/>
  <c r="V86" i="1"/>
  <c r="AC86" i="1"/>
  <c r="AE86" i="1"/>
  <c r="CS86" i="1" s="1"/>
  <c r="R86" i="1" s="1"/>
  <c r="GK86" i="1" s="1"/>
  <c r="AF86" i="1"/>
  <c r="AG86" i="1"/>
  <c r="AH86" i="1"/>
  <c r="AI86" i="1"/>
  <c r="CW86" i="1" s="1"/>
  <c r="AJ86" i="1"/>
  <c r="CX86" i="1" s="1"/>
  <c r="W86" i="1" s="1"/>
  <c r="CT86" i="1"/>
  <c r="S86" i="1" s="1"/>
  <c r="CU86" i="1"/>
  <c r="T86" i="1" s="1"/>
  <c r="CV86" i="1"/>
  <c r="U86" i="1" s="1"/>
  <c r="FR86" i="1"/>
  <c r="GL86" i="1"/>
  <c r="GN86" i="1"/>
  <c r="GO86" i="1"/>
  <c r="GV86" i="1"/>
  <c r="HC86" i="1" s="1"/>
  <c r="GX86" i="1" s="1"/>
  <c r="I87" i="1"/>
  <c r="V87" i="1"/>
  <c r="AC87" i="1"/>
  <c r="AE87" i="1"/>
  <c r="CR87" i="1" s="1"/>
  <c r="Q87" i="1" s="1"/>
  <c r="AF87" i="1"/>
  <c r="AG87" i="1"/>
  <c r="CU87" i="1" s="1"/>
  <c r="T87" i="1" s="1"/>
  <c r="AH87" i="1"/>
  <c r="AI87" i="1"/>
  <c r="AJ87" i="1"/>
  <c r="CX87" i="1" s="1"/>
  <c r="W87" i="1" s="1"/>
  <c r="CQ87" i="1"/>
  <c r="P87" i="1" s="1"/>
  <c r="CP87" i="1" s="1"/>
  <c r="O87" i="1" s="1"/>
  <c r="CT87" i="1"/>
  <c r="S87" i="1" s="1"/>
  <c r="CV87" i="1"/>
  <c r="U87" i="1" s="1"/>
  <c r="CW87" i="1"/>
  <c r="FR87" i="1"/>
  <c r="BY99" i="1" s="1"/>
  <c r="GL87" i="1"/>
  <c r="BZ99" i="1" s="1"/>
  <c r="GN87" i="1"/>
  <c r="GO87" i="1"/>
  <c r="GV87" i="1"/>
  <c r="HC87" i="1" s="1"/>
  <c r="GX87" i="1" s="1"/>
  <c r="I88" i="1"/>
  <c r="P88" i="1"/>
  <c r="CP88" i="1" s="1"/>
  <c r="O88" i="1" s="1"/>
  <c r="W88" i="1"/>
  <c r="AC88" i="1"/>
  <c r="AD88" i="1"/>
  <c r="AE88" i="1"/>
  <c r="CR88" i="1" s="1"/>
  <c r="Q88" i="1" s="1"/>
  <c r="AF88" i="1"/>
  <c r="CT88" i="1" s="1"/>
  <c r="S88" i="1" s="1"/>
  <c r="AG88" i="1"/>
  <c r="AH88" i="1"/>
  <c r="AI88" i="1"/>
  <c r="AJ88" i="1"/>
  <c r="CQ88" i="1"/>
  <c r="CU88" i="1"/>
  <c r="T88" i="1" s="1"/>
  <c r="CV88" i="1"/>
  <c r="U88" i="1" s="1"/>
  <c r="CW88" i="1"/>
  <c r="V88" i="1" s="1"/>
  <c r="CX88" i="1"/>
  <c r="FR88" i="1"/>
  <c r="GL88" i="1"/>
  <c r="GN88" i="1"/>
  <c r="GO88" i="1"/>
  <c r="GV88" i="1"/>
  <c r="HC88" i="1" s="1"/>
  <c r="GX88" i="1" s="1"/>
  <c r="C89" i="1"/>
  <c r="D89" i="1"/>
  <c r="P89" i="1"/>
  <c r="U89" i="1"/>
  <c r="AC89" i="1"/>
  <c r="AD89" i="1"/>
  <c r="AB89" i="1" s="1"/>
  <c r="AE89" i="1"/>
  <c r="CR89" i="1" s="1"/>
  <c r="Q89" i="1" s="1"/>
  <c r="AF89" i="1"/>
  <c r="CT89" i="1" s="1"/>
  <c r="S89" i="1" s="1"/>
  <c r="CY89" i="1" s="1"/>
  <c r="X89" i="1" s="1"/>
  <c r="AG89" i="1"/>
  <c r="AH89" i="1"/>
  <c r="AI89" i="1"/>
  <c r="CW89" i="1" s="1"/>
  <c r="V89" i="1" s="1"/>
  <c r="AJ89" i="1"/>
  <c r="CX89" i="1" s="1"/>
  <c r="W89" i="1" s="1"/>
  <c r="AJ99" i="1" s="1"/>
  <c r="CP89" i="1"/>
  <c r="O89" i="1" s="1"/>
  <c r="CQ89" i="1"/>
  <c r="CS89" i="1"/>
  <c r="R89" i="1" s="1"/>
  <c r="GK89" i="1" s="1"/>
  <c r="CU89" i="1"/>
  <c r="T89" i="1" s="1"/>
  <c r="CV89" i="1"/>
  <c r="FR89" i="1"/>
  <c r="GL89" i="1"/>
  <c r="GN89" i="1"/>
  <c r="GO89" i="1"/>
  <c r="GV89" i="1"/>
  <c r="HC89" i="1" s="1"/>
  <c r="GX89" i="1" s="1"/>
  <c r="I90" i="1"/>
  <c r="V90" i="1"/>
  <c r="AC90" i="1"/>
  <c r="AD90" i="1"/>
  <c r="AE90" i="1"/>
  <c r="AF90" i="1"/>
  <c r="AG90" i="1"/>
  <c r="AH90" i="1"/>
  <c r="AI90" i="1"/>
  <c r="AJ90" i="1"/>
  <c r="CX90" i="1" s="1"/>
  <c r="W90" i="1" s="1"/>
  <c r="CT90" i="1"/>
  <c r="S90" i="1" s="1"/>
  <c r="CU90" i="1"/>
  <c r="T90" i="1" s="1"/>
  <c r="CV90" i="1"/>
  <c r="U90" i="1" s="1"/>
  <c r="CW90" i="1"/>
  <c r="FR90" i="1"/>
  <c r="GL90" i="1"/>
  <c r="GN90" i="1"/>
  <c r="GO90" i="1"/>
  <c r="GV90" i="1"/>
  <c r="HC90" i="1" s="1"/>
  <c r="GX90" i="1" s="1"/>
  <c r="I91" i="1"/>
  <c r="P91" i="1"/>
  <c r="U91" i="1"/>
  <c r="AC91" i="1"/>
  <c r="AD91" i="1"/>
  <c r="AB91" i="1" s="1"/>
  <c r="AE91" i="1"/>
  <c r="CR91" i="1" s="1"/>
  <c r="Q91" i="1" s="1"/>
  <c r="AF91" i="1"/>
  <c r="CT91" i="1" s="1"/>
  <c r="S91" i="1" s="1"/>
  <c r="CY91" i="1" s="1"/>
  <c r="X91" i="1" s="1"/>
  <c r="AG91" i="1"/>
  <c r="AH91" i="1"/>
  <c r="AI91" i="1"/>
  <c r="CW91" i="1" s="1"/>
  <c r="V91" i="1" s="1"/>
  <c r="AJ91" i="1"/>
  <c r="CX91" i="1" s="1"/>
  <c r="W91" i="1" s="1"/>
  <c r="CP91" i="1"/>
  <c r="O91" i="1" s="1"/>
  <c r="CQ91" i="1"/>
  <c r="CS91" i="1"/>
  <c r="R91" i="1" s="1"/>
  <c r="GK91" i="1" s="1"/>
  <c r="CU91" i="1"/>
  <c r="T91" i="1" s="1"/>
  <c r="CV91" i="1"/>
  <c r="CZ91" i="1"/>
  <c r="Y91" i="1" s="1"/>
  <c r="FR91" i="1"/>
  <c r="GL91" i="1"/>
  <c r="GN91" i="1"/>
  <c r="GO91" i="1"/>
  <c r="GV91" i="1"/>
  <c r="HC91" i="1" s="1"/>
  <c r="GX91" i="1" s="1"/>
  <c r="I92" i="1"/>
  <c r="V92" i="1"/>
  <c r="AC92" i="1"/>
  <c r="AE92" i="1"/>
  <c r="AF92" i="1"/>
  <c r="AG92" i="1"/>
  <c r="AH92" i="1"/>
  <c r="CV92" i="1" s="1"/>
  <c r="U92" i="1" s="1"/>
  <c r="AI92" i="1"/>
  <c r="AJ92" i="1"/>
  <c r="CX92" i="1" s="1"/>
  <c r="W92" i="1" s="1"/>
  <c r="CT92" i="1"/>
  <c r="S92" i="1" s="1"/>
  <c r="CZ92" i="1" s="1"/>
  <c r="Y92" i="1" s="1"/>
  <c r="CU92" i="1"/>
  <c r="T92" i="1" s="1"/>
  <c r="CW92" i="1"/>
  <c r="FR92" i="1"/>
  <c r="GL92" i="1"/>
  <c r="GN92" i="1"/>
  <c r="GO92" i="1"/>
  <c r="GV92" i="1"/>
  <c r="HC92" i="1" s="1"/>
  <c r="GX92" i="1"/>
  <c r="I93" i="1"/>
  <c r="V93" i="1" s="1"/>
  <c r="W93" i="1"/>
  <c r="AB93" i="1"/>
  <c r="AC93" i="1"/>
  <c r="AD93" i="1"/>
  <c r="AE93" i="1"/>
  <c r="CR93" i="1" s="1"/>
  <c r="AF93" i="1"/>
  <c r="CT93" i="1" s="1"/>
  <c r="S93" i="1" s="1"/>
  <c r="CY93" i="1" s="1"/>
  <c r="X93" i="1" s="1"/>
  <c r="AG93" i="1"/>
  <c r="AH93" i="1"/>
  <c r="AI93" i="1"/>
  <c r="CW93" i="1" s="1"/>
  <c r="AJ93" i="1"/>
  <c r="CX93" i="1" s="1"/>
  <c r="CQ93" i="1"/>
  <c r="P93" i="1" s="1"/>
  <c r="CS93" i="1"/>
  <c r="CU93" i="1"/>
  <c r="T93" i="1" s="1"/>
  <c r="CV93" i="1"/>
  <c r="U93" i="1" s="1"/>
  <c r="FR93" i="1"/>
  <c r="GL93" i="1"/>
  <c r="GN93" i="1"/>
  <c r="GO93" i="1"/>
  <c r="GV93" i="1"/>
  <c r="HC93" i="1" s="1"/>
  <c r="I94" i="1"/>
  <c r="V94" i="1"/>
  <c r="W94" i="1"/>
  <c r="AC94" i="1"/>
  <c r="AD94" i="1"/>
  <c r="AE94" i="1"/>
  <c r="AF94" i="1"/>
  <c r="CT94" i="1" s="1"/>
  <c r="S94" i="1" s="1"/>
  <c r="AG94" i="1"/>
  <c r="AH94" i="1"/>
  <c r="AI94" i="1"/>
  <c r="AJ94" i="1"/>
  <c r="CX94" i="1" s="1"/>
  <c r="CU94" i="1"/>
  <c r="T94" i="1" s="1"/>
  <c r="CV94" i="1"/>
  <c r="U94" i="1" s="1"/>
  <c r="CW94" i="1"/>
  <c r="FR94" i="1"/>
  <c r="GL94" i="1"/>
  <c r="GN94" i="1"/>
  <c r="GO94" i="1"/>
  <c r="CC99" i="1" s="1"/>
  <c r="CC78" i="1" s="1"/>
  <c r="GV94" i="1"/>
  <c r="HC94" i="1" s="1"/>
  <c r="GX94" i="1" s="1"/>
  <c r="I95" i="1"/>
  <c r="W95" i="1" s="1"/>
  <c r="AC95" i="1"/>
  <c r="AE95" i="1"/>
  <c r="CR95" i="1" s="1"/>
  <c r="AF95" i="1"/>
  <c r="CT95" i="1" s="1"/>
  <c r="AG95" i="1"/>
  <c r="AH95" i="1"/>
  <c r="AI95" i="1"/>
  <c r="CW95" i="1" s="1"/>
  <c r="V95" i="1" s="1"/>
  <c r="AJ95" i="1"/>
  <c r="CX95" i="1" s="1"/>
  <c r="CQ95" i="1"/>
  <c r="CS95" i="1"/>
  <c r="CU95" i="1"/>
  <c r="CV95" i="1"/>
  <c r="U95" i="1" s="1"/>
  <c r="FR95" i="1"/>
  <c r="GL95" i="1"/>
  <c r="GN95" i="1"/>
  <c r="GO95" i="1"/>
  <c r="GV95" i="1"/>
  <c r="HC95" i="1" s="1"/>
  <c r="C96" i="1"/>
  <c r="D96" i="1"/>
  <c r="P96" i="1"/>
  <c r="CP96" i="1" s="1"/>
  <c r="O96" i="1" s="1"/>
  <c r="Q96" i="1"/>
  <c r="S96" i="1"/>
  <c r="CY96" i="1" s="1"/>
  <c r="X96" i="1" s="1"/>
  <c r="V96" i="1"/>
  <c r="AB96" i="1"/>
  <c r="AC96" i="1"/>
  <c r="CQ96" i="1" s="1"/>
  <c r="AD96" i="1"/>
  <c r="AE96" i="1"/>
  <c r="CR96" i="1" s="1"/>
  <c r="AF96" i="1"/>
  <c r="AG96" i="1"/>
  <c r="AH96" i="1"/>
  <c r="AI96" i="1"/>
  <c r="CW96" i="1" s="1"/>
  <c r="AJ96" i="1"/>
  <c r="CS96" i="1"/>
  <c r="R96" i="1" s="1"/>
  <c r="GK96" i="1" s="1"/>
  <c r="CT96" i="1"/>
  <c r="CU96" i="1"/>
  <c r="T96" i="1" s="1"/>
  <c r="CV96" i="1"/>
  <c r="U96" i="1" s="1"/>
  <c r="CX96" i="1"/>
  <c r="W96" i="1" s="1"/>
  <c r="FR96" i="1"/>
  <c r="GL96" i="1"/>
  <c r="GN96" i="1"/>
  <c r="GO96" i="1"/>
  <c r="GV96" i="1"/>
  <c r="HC96" i="1" s="1"/>
  <c r="GX96" i="1" s="1"/>
  <c r="C97" i="1"/>
  <c r="D97" i="1"/>
  <c r="U97" i="1"/>
  <c r="V97" i="1"/>
  <c r="AC97" i="1"/>
  <c r="AB97" i="1" s="1"/>
  <c r="AD97" i="1"/>
  <c r="AE97" i="1"/>
  <c r="AF97" i="1"/>
  <c r="AG97" i="1"/>
  <c r="CU97" i="1" s="1"/>
  <c r="T97" i="1" s="1"/>
  <c r="AH97" i="1"/>
  <c r="CV97" i="1" s="1"/>
  <c r="AI97" i="1"/>
  <c r="CW97" i="1" s="1"/>
  <c r="AJ97" i="1"/>
  <c r="CX97" i="1" s="1"/>
  <c r="W97" i="1" s="1"/>
  <c r="CQ97" i="1"/>
  <c r="P97" i="1" s="1"/>
  <c r="CP97" i="1" s="1"/>
  <c r="O97" i="1" s="1"/>
  <c r="CR97" i="1"/>
  <c r="Q97" i="1" s="1"/>
  <c r="CS97" i="1"/>
  <c r="R97" i="1" s="1"/>
  <c r="GK97" i="1" s="1"/>
  <c r="CT97" i="1"/>
  <c r="S97" i="1" s="1"/>
  <c r="FR97" i="1"/>
  <c r="GL97" i="1"/>
  <c r="GN97" i="1"/>
  <c r="GO97" i="1"/>
  <c r="GV97" i="1"/>
  <c r="HC97" i="1"/>
  <c r="GX97" i="1" s="1"/>
  <c r="B99" i="1"/>
  <c r="B78" i="1" s="1"/>
  <c r="C99" i="1"/>
  <c r="C78" i="1" s="1"/>
  <c r="D99" i="1"/>
  <c r="D78" i="1" s="1"/>
  <c r="F99" i="1"/>
  <c r="F78" i="1" s="1"/>
  <c r="G99" i="1"/>
  <c r="G78" i="1" s="1"/>
  <c r="AI99" i="1"/>
  <c r="AT99" i="1"/>
  <c r="BB99" i="1"/>
  <c r="BB78" i="1" s="1"/>
  <c r="BX99" i="1"/>
  <c r="CK99" i="1"/>
  <c r="CK78" i="1" s="1"/>
  <c r="CL99" i="1"/>
  <c r="F112" i="1"/>
  <c r="D128" i="1"/>
  <c r="B130" i="1"/>
  <c r="D130" i="1"/>
  <c r="E130" i="1"/>
  <c r="Z130" i="1"/>
  <c r="AA130" i="1"/>
  <c r="AM130" i="1"/>
  <c r="AN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CK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C132" i="1"/>
  <c r="D132" i="1"/>
  <c r="W132" i="1"/>
  <c r="AC132" i="1"/>
  <c r="CQ132" i="1" s="1"/>
  <c r="P132" i="1" s="1"/>
  <c r="AD132" i="1"/>
  <c r="AE132" i="1"/>
  <c r="AF132" i="1"/>
  <c r="CT132" i="1" s="1"/>
  <c r="S132" i="1" s="1"/>
  <c r="AG132" i="1"/>
  <c r="CU132" i="1" s="1"/>
  <c r="T132" i="1" s="1"/>
  <c r="AH132" i="1"/>
  <c r="CV132" i="1" s="1"/>
  <c r="U132" i="1" s="1"/>
  <c r="AI132" i="1"/>
  <c r="AJ132" i="1"/>
  <c r="CR132" i="1"/>
  <c r="Q132" i="1" s="1"/>
  <c r="CS132" i="1"/>
  <c r="R132" i="1" s="1"/>
  <c r="CW132" i="1"/>
  <c r="V132" i="1" s="1"/>
  <c r="CX132" i="1"/>
  <c r="FR132" i="1"/>
  <c r="GL132" i="1"/>
  <c r="GN132" i="1"/>
  <c r="GO132" i="1"/>
  <c r="GV132" i="1"/>
  <c r="GX132" i="1"/>
  <c r="HC132" i="1"/>
  <c r="C133" i="1"/>
  <c r="D133" i="1"/>
  <c r="P133" i="1"/>
  <c r="S133" i="1"/>
  <c r="W133" i="1"/>
  <c r="AB133" i="1"/>
  <c r="AC133" i="1"/>
  <c r="AD133" i="1"/>
  <c r="AE133" i="1"/>
  <c r="AF133" i="1"/>
  <c r="CT133" i="1" s="1"/>
  <c r="AG133" i="1"/>
  <c r="AH133" i="1"/>
  <c r="CV133" i="1" s="1"/>
  <c r="U133" i="1" s="1"/>
  <c r="AI133" i="1"/>
  <c r="AJ133" i="1"/>
  <c r="CQ133" i="1"/>
  <c r="CR133" i="1"/>
  <c r="Q133" i="1" s="1"/>
  <c r="CS133" i="1"/>
  <c r="R133" i="1" s="1"/>
  <c r="GK133" i="1" s="1"/>
  <c r="CU133" i="1"/>
  <c r="T133" i="1" s="1"/>
  <c r="CW133" i="1"/>
  <c r="V133" i="1" s="1"/>
  <c r="CX133" i="1"/>
  <c r="FR133" i="1"/>
  <c r="GL133" i="1"/>
  <c r="GN133" i="1"/>
  <c r="GO133" i="1"/>
  <c r="GV133" i="1"/>
  <c r="GX133" i="1"/>
  <c r="HC133" i="1"/>
  <c r="C134" i="1"/>
  <c r="D134" i="1"/>
  <c r="P134" i="1"/>
  <c r="R134" i="1"/>
  <c r="GK134" i="1" s="1"/>
  <c r="AC134" i="1"/>
  <c r="AD134" i="1"/>
  <c r="AE134" i="1"/>
  <c r="CS134" i="1" s="1"/>
  <c r="AF134" i="1"/>
  <c r="CT134" i="1" s="1"/>
  <c r="S134" i="1" s="1"/>
  <c r="AG134" i="1"/>
  <c r="CU134" i="1" s="1"/>
  <c r="T134" i="1" s="1"/>
  <c r="AH134" i="1"/>
  <c r="AI134" i="1"/>
  <c r="CW134" i="1" s="1"/>
  <c r="V134" i="1" s="1"/>
  <c r="AJ134" i="1"/>
  <c r="CQ134" i="1"/>
  <c r="CR134" i="1"/>
  <c r="Q134" i="1" s="1"/>
  <c r="CV134" i="1"/>
  <c r="U134" i="1" s="1"/>
  <c r="CX134" i="1"/>
  <c r="W134" i="1" s="1"/>
  <c r="FR134" i="1"/>
  <c r="GL134" i="1"/>
  <c r="GN134" i="1"/>
  <c r="GO134" i="1"/>
  <c r="GV134" i="1"/>
  <c r="HC134" i="1" s="1"/>
  <c r="GX134" i="1"/>
  <c r="C135" i="1"/>
  <c r="D135" i="1"/>
  <c r="P135" i="1"/>
  <c r="CP135" i="1" s="1"/>
  <c r="O135" i="1" s="1"/>
  <c r="Q135" i="1"/>
  <c r="X135" i="1"/>
  <c r="AB135" i="1"/>
  <c r="AC135" i="1"/>
  <c r="AD135" i="1"/>
  <c r="AE135" i="1"/>
  <c r="CR135" i="1" s="1"/>
  <c r="AF135" i="1"/>
  <c r="CT135" i="1" s="1"/>
  <c r="S135" i="1" s="1"/>
  <c r="CY135" i="1" s="1"/>
  <c r="AG135" i="1"/>
  <c r="AH135" i="1"/>
  <c r="AI135" i="1"/>
  <c r="CW135" i="1" s="1"/>
  <c r="V135" i="1" s="1"/>
  <c r="AJ135" i="1"/>
  <c r="CX135" i="1" s="1"/>
  <c r="W135" i="1" s="1"/>
  <c r="CQ135" i="1"/>
  <c r="CS135" i="1"/>
  <c r="R135" i="1" s="1"/>
  <c r="GK135" i="1" s="1"/>
  <c r="CU135" i="1"/>
  <c r="T135" i="1" s="1"/>
  <c r="CV135" i="1"/>
  <c r="U135" i="1" s="1"/>
  <c r="FR135" i="1"/>
  <c r="GL135" i="1"/>
  <c r="GN135" i="1"/>
  <c r="GO135" i="1"/>
  <c r="GV135" i="1"/>
  <c r="HC135" i="1" s="1"/>
  <c r="GX135" i="1"/>
  <c r="C136" i="1"/>
  <c r="D136" i="1"/>
  <c r="S136" i="1"/>
  <c r="CY136" i="1" s="1"/>
  <c r="X136" i="1" s="1"/>
  <c r="U136" i="1"/>
  <c r="V136" i="1"/>
  <c r="AC136" i="1"/>
  <c r="CQ136" i="1" s="1"/>
  <c r="P136" i="1" s="1"/>
  <c r="CP136" i="1" s="1"/>
  <c r="O136" i="1" s="1"/>
  <c r="AD136" i="1"/>
  <c r="AB136" i="1" s="1"/>
  <c r="AE136" i="1"/>
  <c r="CR136" i="1" s="1"/>
  <c r="Q136" i="1" s="1"/>
  <c r="AF136" i="1"/>
  <c r="AG136" i="1"/>
  <c r="AH136" i="1"/>
  <c r="AI136" i="1"/>
  <c r="CW136" i="1" s="1"/>
  <c r="AJ136" i="1"/>
  <c r="CT136" i="1"/>
  <c r="CU136" i="1"/>
  <c r="T136" i="1" s="1"/>
  <c r="CV136" i="1"/>
  <c r="CX136" i="1"/>
  <c r="W136" i="1" s="1"/>
  <c r="CZ136" i="1"/>
  <c r="Y136" i="1" s="1"/>
  <c r="FR136" i="1"/>
  <c r="GL136" i="1"/>
  <c r="GN136" i="1"/>
  <c r="GO136" i="1"/>
  <c r="GV136" i="1"/>
  <c r="HC136" i="1" s="1"/>
  <c r="GX136" i="1" s="1"/>
  <c r="C137" i="1"/>
  <c r="D137" i="1"/>
  <c r="T137" i="1"/>
  <c r="U137" i="1"/>
  <c r="AC137" i="1"/>
  <c r="CQ137" i="1" s="1"/>
  <c r="P137" i="1" s="1"/>
  <c r="AD137" i="1"/>
  <c r="AE137" i="1"/>
  <c r="CR137" i="1" s="1"/>
  <c r="Q137" i="1" s="1"/>
  <c r="AF137" i="1"/>
  <c r="AG137" i="1"/>
  <c r="AH137" i="1"/>
  <c r="CV137" i="1" s="1"/>
  <c r="AI137" i="1"/>
  <c r="CW137" i="1" s="1"/>
  <c r="V137" i="1" s="1"/>
  <c r="AJ137" i="1"/>
  <c r="CX137" i="1" s="1"/>
  <c r="W137" i="1" s="1"/>
  <c r="CS137" i="1"/>
  <c r="R137" i="1" s="1"/>
  <c r="CT137" i="1"/>
  <c r="S137" i="1" s="1"/>
  <c r="CU137" i="1"/>
  <c r="CY137" i="1"/>
  <c r="X137" i="1" s="1"/>
  <c r="CZ137" i="1"/>
  <c r="Y137" i="1" s="1"/>
  <c r="FR137" i="1"/>
  <c r="BY162" i="1" s="1"/>
  <c r="GL137" i="1"/>
  <c r="GN137" i="1"/>
  <c r="GO137" i="1"/>
  <c r="CC162" i="1" s="1"/>
  <c r="GV137" i="1"/>
  <c r="HC137" i="1" s="1"/>
  <c r="GX137" i="1" s="1"/>
  <c r="C138" i="1"/>
  <c r="D138" i="1"/>
  <c r="P138" i="1"/>
  <c r="R138" i="1"/>
  <c r="T138" i="1"/>
  <c r="AC138" i="1"/>
  <c r="CQ138" i="1" s="1"/>
  <c r="AD138" i="1"/>
  <c r="AE138" i="1"/>
  <c r="AF138" i="1"/>
  <c r="CT138" i="1" s="1"/>
  <c r="S138" i="1" s="1"/>
  <c r="AG138" i="1"/>
  <c r="AH138" i="1"/>
  <c r="CV138" i="1" s="1"/>
  <c r="U138" i="1" s="1"/>
  <c r="AI138" i="1"/>
  <c r="CW138" i="1" s="1"/>
  <c r="V138" i="1" s="1"/>
  <c r="AJ138" i="1"/>
  <c r="CX138" i="1" s="1"/>
  <c r="W138" i="1" s="1"/>
  <c r="CR138" i="1"/>
  <c r="Q138" i="1" s="1"/>
  <c r="CS138" i="1"/>
  <c r="CU138" i="1"/>
  <c r="FR138" i="1"/>
  <c r="GL138" i="1"/>
  <c r="GN138" i="1"/>
  <c r="GO138" i="1"/>
  <c r="GV138" i="1"/>
  <c r="HC138" i="1" s="1"/>
  <c r="GX138" i="1" s="1"/>
  <c r="C139" i="1"/>
  <c r="D139" i="1"/>
  <c r="AB139" i="1"/>
  <c r="AC139" i="1"/>
  <c r="CQ139" i="1" s="1"/>
  <c r="P139" i="1" s="1"/>
  <c r="CP139" i="1" s="1"/>
  <c r="O139" i="1" s="1"/>
  <c r="AD139" i="1"/>
  <c r="AE139" i="1"/>
  <c r="CR139" i="1" s="1"/>
  <c r="Q139" i="1" s="1"/>
  <c r="AF139" i="1"/>
  <c r="AG139" i="1"/>
  <c r="AH139" i="1"/>
  <c r="CV139" i="1" s="1"/>
  <c r="U139" i="1" s="1"/>
  <c r="AI139" i="1"/>
  <c r="CW139" i="1" s="1"/>
  <c r="V139" i="1" s="1"/>
  <c r="AJ139" i="1"/>
  <c r="CX139" i="1" s="1"/>
  <c r="W139" i="1" s="1"/>
  <c r="CS139" i="1"/>
  <c r="R139" i="1" s="1"/>
  <c r="GK139" i="1" s="1"/>
  <c r="CT139" i="1"/>
  <c r="S139" i="1" s="1"/>
  <c r="CZ139" i="1" s="1"/>
  <c r="Y139" i="1" s="1"/>
  <c r="CU139" i="1"/>
  <c r="T139" i="1" s="1"/>
  <c r="CY139" i="1"/>
  <c r="X139" i="1" s="1"/>
  <c r="FR139" i="1"/>
  <c r="GL139" i="1"/>
  <c r="GN139" i="1"/>
  <c r="GO139" i="1"/>
  <c r="GV139" i="1"/>
  <c r="HC139" i="1"/>
  <c r="GX139" i="1" s="1"/>
  <c r="C140" i="1"/>
  <c r="D140" i="1"/>
  <c r="AB140" i="1"/>
  <c r="AC140" i="1"/>
  <c r="CQ140" i="1" s="1"/>
  <c r="P140" i="1" s="1"/>
  <c r="AE140" i="1"/>
  <c r="AD140" i="1" s="1"/>
  <c r="AF140" i="1"/>
  <c r="AG140" i="1"/>
  <c r="CU140" i="1" s="1"/>
  <c r="T140" i="1" s="1"/>
  <c r="AH140" i="1"/>
  <c r="AI140" i="1"/>
  <c r="CW140" i="1" s="1"/>
  <c r="V140" i="1" s="1"/>
  <c r="AJ140" i="1"/>
  <c r="CS140" i="1"/>
  <c r="R140" i="1" s="1"/>
  <c r="GK140" i="1" s="1"/>
  <c r="CT140" i="1"/>
  <c r="S140" i="1" s="1"/>
  <c r="CV140" i="1"/>
  <c r="U140" i="1" s="1"/>
  <c r="CX140" i="1"/>
  <c r="W140" i="1" s="1"/>
  <c r="FR140" i="1"/>
  <c r="GL140" i="1"/>
  <c r="GN140" i="1"/>
  <c r="GO140" i="1"/>
  <c r="GV140" i="1"/>
  <c r="HC140" i="1"/>
  <c r="GX140" i="1" s="1"/>
  <c r="C141" i="1"/>
  <c r="D141" i="1"/>
  <c r="T141" i="1"/>
  <c r="V141" i="1"/>
  <c r="AC141" i="1"/>
  <c r="AE141" i="1"/>
  <c r="AD141" i="1" s="1"/>
  <c r="AB141" i="1" s="1"/>
  <c r="AF141" i="1"/>
  <c r="CT141" i="1" s="1"/>
  <c r="S141" i="1" s="1"/>
  <c r="AG141" i="1"/>
  <c r="CU141" i="1" s="1"/>
  <c r="AH141" i="1"/>
  <c r="CV141" i="1" s="1"/>
  <c r="U141" i="1" s="1"/>
  <c r="AI141" i="1"/>
  <c r="AJ141" i="1"/>
  <c r="CX141" i="1" s="1"/>
  <c r="W141" i="1" s="1"/>
  <c r="CQ141" i="1"/>
  <c r="P141" i="1" s="1"/>
  <c r="CW141" i="1"/>
  <c r="FR141" i="1"/>
  <c r="GL141" i="1"/>
  <c r="GN141" i="1"/>
  <c r="GO141" i="1"/>
  <c r="GV141" i="1"/>
  <c r="HC141" i="1" s="1"/>
  <c r="GX141" i="1" s="1"/>
  <c r="I142" i="1"/>
  <c r="S142" i="1"/>
  <c r="CZ142" i="1" s="1"/>
  <c r="Y142" i="1" s="1"/>
  <c r="W142" i="1"/>
  <c r="AC142" i="1"/>
  <c r="AD142" i="1"/>
  <c r="AB142" i="1" s="1"/>
  <c r="AE142" i="1"/>
  <c r="AF142" i="1"/>
  <c r="CT142" i="1" s="1"/>
  <c r="AG142" i="1"/>
  <c r="AH142" i="1"/>
  <c r="CV142" i="1" s="1"/>
  <c r="AI142" i="1"/>
  <c r="AJ142" i="1"/>
  <c r="CQ142" i="1"/>
  <c r="P142" i="1" s="1"/>
  <c r="CR142" i="1"/>
  <c r="CS142" i="1"/>
  <c r="R142" i="1" s="1"/>
  <c r="GK142" i="1" s="1"/>
  <c r="CU142" i="1"/>
  <c r="T142" i="1" s="1"/>
  <c r="CW142" i="1"/>
  <c r="V142" i="1" s="1"/>
  <c r="CX142" i="1"/>
  <c r="FR142" i="1"/>
  <c r="GL142" i="1"/>
  <c r="GN142" i="1"/>
  <c r="GO142" i="1"/>
  <c r="GV142" i="1"/>
  <c r="GX142" i="1"/>
  <c r="HC142" i="1"/>
  <c r="I143" i="1"/>
  <c r="V143" i="1" s="1"/>
  <c r="T143" i="1"/>
  <c r="AC143" i="1"/>
  <c r="AE143" i="1"/>
  <c r="AD143" i="1" s="1"/>
  <c r="AB143" i="1" s="1"/>
  <c r="AF143" i="1"/>
  <c r="CT143" i="1" s="1"/>
  <c r="S143" i="1" s="1"/>
  <c r="AG143" i="1"/>
  <c r="CU143" i="1" s="1"/>
  <c r="AH143" i="1"/>
  <c r="AI143" i="1"/>
  <c r="AJ143" i="1"/>
  <c r="CQ143" i="1"/>
  <c r="P143" i="1" s="1"/>
  <c r="CV143" i="1"/>
  <c r="CW143" i="1"/>
  <c r="CX143" i="1"/>
  <c r="FR143" i="1"/>
  <c r="GL143" i="1"/>
  <c r="GN143" i="1"/>
  <c r="GO143" i="1"/>
  <c r="GV143" i="1"/>
  <c r="HC143" i="1" s="1"/>
  <c r="GX143" i="1" s="1"/>
  <c r="C144" i="1"/>
  <c r="D144" i="1"/>
  <c r="AC144" i="1"/>
  <c r="CQ144" i="1" s="1"/>
  <c r="P144" i="1" s="1"/>
  <c r="AE144" i="1"/>
  <c r="AF144" i="1"/>
  <c r="CT144" i="1" s="1"/>
  <c r="S144" i="1" s="1"/>
  <c r="AG144" i="1"/>
  <c r="CU144" i="1" s="1"/>
  <c r="T144" i="1" s="1"/>
  <c r="AH144" i="1"/>
  <c r="AI144" i="1"/>
  <c r="AJ144" i="1"/>
  <c r="CV144" i="1"/>
  <c r="U144" i="1" s="1"/>
  <c r="CW144" i="1"/>
  <c r="V144" i="1" s="1"/>
  <c r="CX144" i="1"/>
  <c r="W144" i="1" s="1"/>
  <c r="FR144" i="1"/>
  <c r="GL144" i="1"/>
  <c r="GN144" i="1"/>
  <c r="GO144" i="1"/>
  <c r="GV144" i="1"/>
  <c r="HC144" i="1" s="1"/>
  <c r="GX144" i="1" s="1"/>
  <c r="C145" i="1"/>
  <c r="D145" i="1"/>
  <c r="T145" i="1"/>
  <c r="V145" i="1"/>
  <c r="W145" i="1"/>
  <c r="AC145" i="1"/>
  <c r="AE145" i="1"/>
  <c r="AF145" i="1"/>
  <c r="AG145" i="1"/>
  <c r="AH145" i="1"/>
  <c r="CV145" i="1" s="1"/>
  <c r="U145" i="1" s="1"/>
  <c r="AI145" i="1"/>
  <c r="AJ145" i="1"/>
  <c r="CX145" i="1" s="1"/>
  <c r="CQ145" i="1"/>
  <c r="P145" i="1" s="1"/>
  <c r="CT145" i="1"/>
  <c r="S145" i="1" s="1"/>
  <c r="CZ145" i="1" s="1"/>
  <c r="Y145" i="1" s="1"/>
  <c r="CU145" i="1"/>
  <c r="CW145" i="1"/>
  <c r="CY145" i="1"/>
  <c r="X145" i="1" s="1"/>
  <c r="FR145" i="1"/>
  <c r="GL145" i="1"/>
  <c r="GN145" i="1"/>
  <c r="GO145" i="1"/>
  <c r="GV145" i="1"/>
  <c r="HC145" i="1" s="1"/>
  <c r="GX145" i="1"/>
  <c r="C146" i="1"/>
  <c r="D146" i="1"/>
  <c r="AC146" i="1"/>
  <c r="AD146" i="1"/>
  <c r="AE146" i="1"/>
  <c r="CS146" i="1" s="1"/>
  <c r="R146" i="1" s="1"/>
  <c r="GK146" i="1" s="1"/>
  <c r="AF146" i="1"/>
  <c r="AG146" i="1"/>
  <c r="AH146" i="1"/>
  <c r="CV146" i="1" s="1"/>
  <c r="U146" i="1" s="1"/>
  <c r="AI146" i="1"/>
  <c r="CW146" i="1" s="1"/>
  <c r="V146" i="1" s="1"/>
  <c r="AJ146" i="1"/>
  <c r="CX146" i="1" s="1"/>
  <c r="W146" i="1" s="1"/>
  <c r="CT146" i="1"/>
  <c r="S146" i="1" s="1"/>
  <c r="CZ146" i="1" s="1"/>
  <c r="Y146" i="1" s="1"/>
  <c r="CU146" i="1"/>
  <c r="T146" i="1" s="1"/>
  <c r="CY146" i="1"/>
  <c r="X146" i="1" s="1"/>
  <c r="FR146" i="1"/>
  <c r="GL146" i="1"/>
  <c r="GN146" i="1"/>
  <c r="GO146" i="1"/>
  <c r="GV146" i="1"/>
  <c r="HC146" i="1" s="1"/>
  <c r="GX146" i="1" s="1"/>
  <c r="I147" i="1"/>
  <c r="V147" i="1" s="1"/>
  <c r="AC147" i="1"/>
  <c r="CQ147" i="1" s="1"/>
  <c r="AE147" i="1"/>
  <c r="CR147" i="1" s="1"/>
  <c r="Q147" i="1" s="1"/>
  <c r="AF147" i="1"/>
  <c r="AG147" i="1"/>
  <c r="AH147" i="1"/>
  <c r="AI147" i="1"/>
  <c r="CW147" i="1" s="1"/>
  <c r="AJ147" i="1"/>
  <c r="CS147" i="1"/>
  <c r="R147" i="1" s="1"/>
  <c r="GK147" i="1" s="1"/>
  <c r="CT147" i="1"/>
  <c r="S147" i="1" s="1"/>
  <c r="CU147" i="1"/>
  <c r="CV147" i="1"/>
  <c r="U147" i="1" s="1"/>
  <c r="CX147" i="1"/>
  <c r="FR147" i="1"/>
  <c r="GL147" i="1"/>
  <c r="GN147" i="1"/>
  <c r="GO147" i="1"/>
  <c r="GV147" i="1"/>
  <c r="HC147" i="1" s="1"/>
  <c r="GX147" i="1" s="1"/>
  <c r="I148" i="1"/>
  <c r="T148" i="1"/>
  <c r="V148" i="1"/>
  <c r="AC148" i="1"/>
  <c r="AD148" i="1"/>
  <c r="AE148" i="1"/>
  <c r="CS148" i="1" s="1"/>
  <c r="R148" i="1" s="1"/>
  <c r="GK148" i="1" s="1"/>
  <c r="AF148" i="1"/>
  <c r="AG148" i="1"/>
  <c r="AH148" i="1"/>
  <c r="CV148" i="1" s="1"/>
  <c r="U148" i="1" s="1"/>
  <c r="AI148" i="1"/>
  <c r="CW148" i="1" s="1"/>
  <c r="AJ148" i="1"/>
  <c r="CX148" i="1" s="1"/>
  <c r="W148" i="1" s="1"/>
  <c r="CR148" i="1"/>
  <c r="Q148" i="1" s="1"/>
  <c r="CT148" i="1"/>
  <c r="S148" i="1" s="1"/>
  <c r="CU148" i="1"/>
  <c r="CY148" i="1"/>
  <c r="X148" i="1" s="1"/>
  <c r="CZ148" i="1"/>
  <c r="Y148" i="1" s="1"/>
  <c r="FR148" i="1"/>
  <c r="GL148" i="1"/>
  <c r="GN148" i="1"/>
  <c r="GO148" i="1"/>
  <c r="GV148" i="1"/>
  <c r="HC148" i="1" s="1"/>
  <c r="GX148" i="1" s="1"/>
  <c r="C149" i="1"/>
  <c r="D149" i="1"/>
  <c r="R149" i="1"/>
  <c r="GK149" i="1" s="1"/>
  <c r="AC149" i="1"/>
  <c r="CQ149" i="1" s="1"/>
  <c r="P149" i="1" s="1"/>
  <c r="CP149" i="1" s="1"/>
  <c r="O149" i="1" s="1"/>
  <c r="AD149" i="1"/>
  <c r="AE149" i="1"/>
  <c r="AF149" i="1"/>
  <c r="AG149" i="1"/>
  <c r="AH149" i="1"/>
  <c r="CV149" i="1" s="1"/>
  <c r="U149" i="1" s="1"/>
  <c r="AI149" i="1"/>
  <c r="AJ149" i="1"/>
  <c r="CX149" i="1" s="1"/>
  <c r="W149" i="1" s="1"/>
  <c r="CR149" i="1"/>
  <c r="Q149" i="1" s="1"/>
  <c r="CS149" i="1"/>
  <c r="CT149" i="1"/>
  <c r="S149" i="1" s="1"/>
  <c r="CZ149" i="1" s="1"/>
  <c r="Y149" i="1" s="1"/>
  <c r="CU149" i="1"/>
  <c r="T149" i="1" s="1"/>
  <c r="CW149" i="1"/>
  <c r="V149" i="1" s="1"/>
  <c r="FR149" i="1"/>
  <c r="GL149" i="1"/>
  <c r="GN149" i="1"/>
  <c r="GO149" i="1"/>
  <c r="GV149" i="1"/>
  <c r="HC149" i="1" s="1"/>
  <c r="GX149" i="1"/>
  <c r="C150" i="1"/>
  <c r="D150" i="1"/>
  <c r="T150" i="1"/>
  <c r="U150" i="1"/>
  <c r="AC150" i="1"/>
  <c r="CQ150" i="1" s="1"/>
  <c r="P150" i="1" s="1"/>
  <c r="AD150" i="1"/>
  <c r="AE150" i="1"/>
  <c r="AF150" i="1"/>
  <c r="CT150" i="1" s="1"/>
  <c r="S150" i="1" s="1"/>
  <c r="AG150" i="1"/>
  <c r="CU150" i="1" s="1"/>
  <c r="AH150" i="1"/>
  <c r="CV150" i="1" s="1"/>
  <c r="AI150" i="1"/>
  <c r="AJ150" i="1"/>
  <c r="CR150" i="1"/>
  <c r="Q150" i="1" s="1"/>
  <c r="CP150" i="1" s="1"/>
  <c r="O150" i="1" s="1"/>
  <c r="CS150" i="1"/>
  <c r="R150" i="1" s="1"/>
  <c r="GK150" i="1" s="1"/>
  <c r="CW150" i="1"/>
  <c r="V150" i="1" s="1"/>
  <c r="CX150" i="1"/>
  <c r="W150" i="1" s="1"/>
  <c r="FR150" i="1"/>
  <c r="GL150" i="1"/>
  <c r="GN150" i="1"/>
  <c r="GO150" i="1"/>
  <c r="GV150" i="1"/>
  <c r="HC150" i="1"/>
  <c r="GX150" i="1" s="1"/>
  <c r="I151" i="1"/>
  <c r="Q151" i="1" s="1"/>
  <c r="AB151" i="1"/>
  <c r="AC151" i="1"/>
  <c r="CQ151" i="1" s="1"/>
  <c r="P151" i="1" s="1"/>
  <c r="AE151" i="1"/>
  <c r="AD151" i="1" s="1"/>
  <c r="AF151" i="1"/>
  <c r="AG151" i="1"/>
  <c r="CU151" i="1" s="1"/>
  <c r="T151" i="1" s="1"/>
  <c r="AH151" i="1"/>
  <c r="AI151" i="1"/>
  <c r="CW151" i="1" s="1"/>
  <c r="AJ151" i="1"/>
  <c r="CR151" i="1"/>
  <c r="CS151" i="1"/>
  <c r="R151" i="1" s="1"/>
  <c r="GK151" i="1" s="1"/>
  <c r="CT151" i="1"/>
  <c r="S151" i="1" s="1"/>
  <c r="CV151" i="1"/>
  <c r="U151" i="1" s="1"/>
  <c r="CX151" i="1"/>
  <c r="FR151" i="1"/>
  <c r="GL151" i="1"/>
  <c r="GN151" i="1"/>
  <c r="GO151" i="1"/>
  <c r="GV151" i="1"/>
  <c r="HC151" i="1"/>
  <c r="GX151" i="1" s="1"/>
  <c r="I152" i="1"/>
  <c r="W152" i="1" s="1"/>
  <c r="U152" i="1"/>
  <c r="AC152" i="1"/>
  <c r="CQ152" i="1" s="1"/>
  <c r="AD152" i="1"/>
  <c r="AE152" i="1"/>
  <c r="AF152" i="1"/>
  <c r="AB152" i="1" s="1"/>
  <c r="AG152" i="1"/>
  <c r="CU152" i="1" s="1"/>
  <c r="T152" i="1" s="1"/>
  <c r="AH152" i="1"/>
  <c r="CV152" i="1" s="1"/>
  <c r="AI152" i="1"/>
  <c r="CW152" i="1" s="1"/>
  <c r="V152" i="1" s="1"/>
  <c r="AJ152" i="1"/>
  <c r="CR152" i="1"/>
  <c r="CS152" i="1"/>
  <c r="R152" i="1" s="1"/>
  <c r="GK152" i="1" s="1"/>
  <c r="CX152" i="1"/>
  <c r="FR152" i="1"/>
  <c r="GL152" i="1"/>
  <c r="GN152" i="1"/>
  <c r="GO152" i="1"/>
  <c r="GV152" i="1"/>
  <c r="HC152" i="1"/>
  <c r="I153" i="1"/>
  <c r="T153" i="1"/>
  <c r="AC153" i="1"/>
  <c r="CQ153" i="1" s="1"/>
  <c r="P153" i="1" s="1"/>
  <c r="AE153" i="1"/>
  <c r="AD153" i="1" s="1"/>
  <c r="AF153" i="1"/>
  <c r="AG153" i="1"/>
  <c r="CU153" i="1" s="1"/>
  <c r="AH153" i="1"/>
  <c r="CV153" i="1" s="1"/>
  <c r="U153" i="1" s="1"/>
  <c r="AI153" i="1"/>
  <c r="CW153" i="1" s="1"/>
  <c r="V153" i="1" s="1"/>
  <c r="AJ153" i="1"/>
  <c r="CS153" i="1"/>
  <c r="R153" i="1" s="1"/>
  <c r="GK153" i="1" s="1"/>
  <c r="CT153" i="1"/>
  <c r="S153" i="1" s="1"/>
  <c r="CX153" i="1"/>
  <c r="W153" i="1" s="1"/>
  <c r="FR153" i="1"/>
  <c r="GL153" i="1"/>
  <c r="GN153" i="1"/>
  <c r="GO153" i="1"/>
  <c r="GV153" i="1"/>
  <c r="HC153" i="1"/>
  <c r="GX153" i="1" s="1"/>
  <c r="I154" i="1"/>
  <c r="GX154" i="1" s="1"/>
  <c r="W154" i="1"/>
  <c r="AC154" i="1"/>
  <c r="CQ154" i="1" s="1"/>
  <c r="AD154" i="1"/>
  <c r="AE154" i="1"/>
  <c r="AF154" i="1"/>
  <c r="AB154" i="1" s="1"/>
  <c r="AG154" i="1"/>
  <c r="CU154" i="1" s="1"/>
  <c r="T154" i="1" s="1"/>
  <c r="AH154" i="1"/>
  <c r="CV154" i="1" s="1"/>
  <c r="U154" i="1" s="1"/>
  <c r="AI154" i="1"/>
  <c r="AJ154" i="1"/>
  <c r="CR154" i="1"/>
  <c r="Q154" i="1" s="1"/>
  <c r="CS154" i="1"/>
  <c r="CW154" i="1"/>
  <c r="CX154" i="1"/>
  <c r="FR154" i="1"/>
  <c r="GL154" i="1"/>
  <c r="GN154" i="1"/>
  <c r="GO154" i="1"/>
  <c r="GV154" i="1"/>
  <c r="HC154" i="1"/>
  <c r="I155" i="1"/>
  <c r="S155" i="1"/>
  <c r="CZ155" i="1" s="1"/>
  <c r="Y155" i="1" s="1"/>
  <c r="T155" i="1"/>
  <c r="AB155" i="1"/>
  <c r="AC155" i="1"/>
  <c r="AE155" i="1"/>
  <c r="AD155" i="1" s="1"/>
  <c r="AF155" i="1"/>
  <c r="AG155" i="1"/>
  <c r="CU155" i="1" s="1"/>
  <c r="AH155" i="1"/>
  <c r="AI155" i="1"/>
  <c r="CW155" i="1" s="1"/>
  <c r="V155" i="1" s="1"/>
  <c r="AJ155" i="1"/>
  <c r="CQ155" i="1"/>
  <c r="P155" i="1" s="1"/>
  <c r="CT155" i="1"/>
  <c r="CV155" i="1"/>
  <c r="U155" i="1" s="1"/>
  <c r="CX155" i="1"/>
  <c r="W155" i="1" s="1"/>
  <c r="CY155" i="1"/>
  <c r="X155" i="1" s="1"/>
  <c r="FR155" i="1"/>
  <c r="GL155" i="1"/>
  <c r="GN155" i="1"/>
  <c r="GO155" i="1"/>
  <c r="GV155" i="1"/>
  <c r="HC155" i="1" s="1"/>
  <c r="GX155" i="1" s="1"/>
  <c r="I156" i="1"/>
  <c r="S156" i="1"/>
  <c r="CY156" i="1" s="1"/>
  <c r="X156" i="1" s="1"/>
  <c r="W156" i="1"/>
  <c r="AC156" i="1"/>
  <c r="CQ156" i="1" s="1"/>
  <c r="P156" i="1" s="1"/>
  <c r="CP156" i="1" s="1"/>
  <c r="O156" i="1" s="1"/>
  <c r="AD156" i="1"/>
  <c r="AE156" i="1"/>
  <c r="AF156" i="1"/>
  <c r="AG156" i="1"/>
  <c r="CU156" i="1" s="1"/>
  <c r="T156" i="1" s="1"/>
  <c r="AH156" i="1"/>
  <c r="CV156" i="1" s="1"/>
  <c r="U156" i="1" s="1"/>
  <c r="AI156" i="1"/>
  <c r="AJ156" i="1"/>
  <c r="CR156" i="1"/>
  <c r="Q156" i="1" s="1"/>
  <c r="CS156" i="1"/>
  <c r="R156" i="1" s="1"/>
  <c r="GK156" i="1" s="1"/>
  <c r="CT156" i="1"/>
  <c r="CW156" i="1"/>
  <c r="V156" i="1" s="1"/>
  <c r="CX156" i="1"/>
  <c r="FR156" i="1"/>
  <c r="GL156" i="1"/>
  <c r="GN156" i="1"/>
  <c r="GO156" i="1"/>
  <c r="GV156" i="1"/>
  <c r="HC156" i="1"/>
  <c r="GX156" i="1" s="1"/>
  <c r="I157" i="1"/>
  <c r="S157" i="1"/>
  <c r="T157" i="1"/>
  <c r="U157" i="1"/>
  <c r="AC157" i="1"/>
  <c r="AE157" i="1"/>
  <c r="AD157" i="1" s="1"/>
  <c r="AF157" i="1"/>
  <c r="AG157" i="1"/>
  <c r="CU157" i="1" s="1"/>
  <c r="AH157" i="1"/>
  <c r="AI157" i="1"/>
  <c r="CW157" i="1" s="1"/>
  <c r="AJ157" i="1"/>
  <c r="CR157" i="1"/>
  <c r="Q157" i="1" s="1"/>
  <c r="CT157" i="1"/>
  <c r="CV157" i="1"/>
  <c r="CX157" i="1"/>
  <c r="W157" i="1" s="1"/>
  <c r="FR157" i="1"/>
  <c r="GL157" i="1"/>
  <c r="GN157" i="1"/>
  <c r="GO157" i="1"/>
  <c r="GV157" i="1"/>
  <c r="HC157" i="1" s="1"/>
  <c r="GX157" i="1" s="1"/>
  <c r="I158" i="1"/>
  <c r="R158" i="1"/>
  <c r="T158" i="1"/>
  <c r="AB158" i="1"/>
  <c r="AC158" i="1"/>
  <c r="CQ158" i="1" s="1"/>
  <c r="P158" i="1" s="1"/>
  <c r="AD158" i="1"/>
  <c r="AE158" i="1"/>
  <c r="AF158" i="1"/>
  <c r="AG158" i="1"/>
  <c r="CU158" i="1" s="1"/>
  <c r="AH158" i="1"/>
  <c r="CV158" i="1" s="1"/>
  <c r="U158" i="1" s="1"/>
  <c r="AI158" i="1"/>
  <c r="AJ158" i="1"/>
  <c r="CR158" i="1"/>
  <c r="CS158" i="1"/>
  <c r="CT158" i="1"/>
  <c r="S158" i="1" s="1"/>
  <c r="CW158" i="1"/>
  <c r="V158" i="1" s="1"/>
  <c r="CX158" i="1"/>
  <c r="W158" i="1" s="1"/>
  <c r="FR158" i="1"/>
  <c r="GK158" i="1"/>
  <c r="GL158" i="1"/>
  <c r="GN158" i="1"/>
  <c r="GO158" i="1"/>
  <c r="GV158" i="1"/>
  <c r="GX158" i="1"/>
  <c r="HC158" i="1"/>
  <c r="C159" i="1"/>
  <c r="D159" i="1"/>
  <c r="R159" i="1"/>
  <c r="S159" i="1"/>
  <c r="AC159" i="1"/>
  <c r="AD159" i="1"/>
  <c r="AB159" i="1" s="1"/>
  <c r="AE159" i="1"/>
  <c r="AF159" i="1"/>
  <c r="CT159" i="1" s="1"/>
  <c r="AG159" i="1"/>
  <c r="AH159" i="1"/>
  <c r="CV159" i="1" s="1"/>
  <c r="U159" i="1" s="1"/>
  <c r="AI159" i="1"/>
  <c r="AJ159" i="1"/>
  <c r="CQ159" i="1"/>
  <c r="P159" i="1" s="1"/>
  <c r="CP159" i="1" s="1"/>
  <c r="O159" i="1" s="1"/>
  <c r="CR159" i="1"/>
  <c r="Q159" i="1" s="1"/>
  <c r="CS159" i="1"/>
  <c r="CU159" i="1"/>
  <c r="T159" i="1" s="1"/>
  <c r="CW159" i="1"/>
  <c r="V159" i="1" s="1"/>
  <c r="CX159" i="1"/>
  <c r="W159" i="1" s="1"/>
  <c r="FR159" i="1"/>
  <c r="GK159" i="1"/>
  <c r="GL159" i="1"/>
  <c r="GN159" i="1"/>
  <c r="GO159" i="1"/>
  <c r="GV159" i="1"/>
  <c r="GX159" i="1"/>
  <c r="HC159" i="1"/>
  <c r="C160" i="1"/>
  <c r="D160" i="1"/>
  <c r="R160" i="1"/>
  <c r="GK160" i="1" s="1"/>
  <c r="S160" i="1"/>
  <c r="CY160" i="1" s="1"/>
  <c r="X160" i="1" s="1"/>
  <c r="AC160" i="1"/>
  <c r="AE160" i="1"/>
  <c r="CS160" i="1" s="1"/>
  <c r="AF160" i="1"/>
  <c r="CT160" i="1" s="1"/>
  <c r="AG160" i="1"/>
  <c r="CU160" i="1" s="1"/>
  <c r="T160" i="1" s="1"/>
  <c r="AH160" i="1"/>
  <c r="AI160" i="1"/>
  <c r="CW160" i="1" s="1"/>
  <c r="V160" i="1" s="1"/>
  <c r="AJ160" i="1"/>
  <c r="CQ160" i="1"/>
  <c r="P160" i="1" s="1"/>
  <c r="CV160" i="1"/>
  <c r="U160" i="1" s="1"/>
  <c r="CX160" i="1"/>
  <c r="W160" i="1" s="1"/>
  <c r="FR160" i="1"/>
  <c r="GL160" i="1"/>
  <c r="BZ162" i="1" s="1"/>
  <c r="GN160" i="1"/>
  <c r="GO160" i="1"/>
  <c r="GV160" i="1"/>
  <c r="GX160" i="1"/>
  <c r="HC160" i="1"/>
  <c r="B162" i="1"/>
  <c r="C162" i="1"/>
  <c r="C130" i="1" s="1"/>
  <c r="D162" i="1"/>
  <c r="F162" i="1"/>
  <c r="F130" i="1" s="1"/>
  <c r="G162" i="1"/>
  <c r="G130" i="1" s="1"/>
  <c r="AO162" i="1"/>
  <c r="AO130" i="1" s="1"/>
  <c r="BB162" i="1"/>
  <c r="BB130" i="1" s="1"/>
  <c r="BX162" i="1"/>
  <c r="BX130" i="1" s="1"/>
  <c r="CB162" i="1"/>
  <c r="CK162" i="1"/>
  <c r="CL162" i="1"/>
  <c r="F166" i="1"/>
  <c r="F175" i="1"/>
  <c r="D191" i="1"/>
  <c r="E193" i="1"/>
  <c r="Z193" i="1"/>
  <c r="AA193" i="1"/>
  <c r="AM193" i="1"/>
  <c r="AN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C195" i="1"/>
  <c r="D195" i="1"/>
  <c r="W195" i="1"/>
  <c r="AC195" i="1"/>
  <c r="AE195" i="1"/>
  <c r="AF195" i="1"/>
  <c r="AG195" i="1"/>
  <c r="AH195" i="1"/>
  <c r="AI195" i="1"/>
  <c r="CW195" i="1" s="1"/>
  <c r="V195" i="1" s="1"/>
  <c r="AJ195" i="1"/>
  <c r="CX195" i="1" s="1"/>
  <c r="CT195" i="1"/>
  <c r="S195" i="1" s="1"/>
  <c r="CY195" i="1" s="1"/>
  <c r="X195" i="1" s="1"/>
  <c r="CU195" i="1"/>
  <c r="T195" i="1" s="1"/>
  <c r="CV195" i="1"/>
  <c r="U195" i="1" s="1"/>
  <c r="CZ195" i="1"/>
  <c r="Y195" i="1" s="1"/>
  <c r="FR195" i="1"/>
  <c r="GL195" i="1"/>
  <c r="GN195" i="1"/>
  <c r="GO195" i="1"/>
  <c r="GV195" i="1"/>
  <c r="HC195" i="1" s="1"/>
  <c r="GX195" i="1" s="1"/>
  <c r="C196" i="1"/>
  <c r="D196" i="1"/>
  <c r="AB196" i="1"/>
  <c r="AC196" i="1"/>
  <c r="CQ196" i="1" s="1"/>
  <c r="P196" i="1" s="1"/>
  <c r="CP196" i="1" s="1"/>
  <c r="O196" i="1" s="1"/>
  <c r="AD196" i="1"/>
  <c r="AE196" i="1"/>
  <c r="AF196" i="1"/>
  <c r="AG196" i="1"/>
  <c r="AH196" i="1"/>
  <c r="CV196" i="1" s="1"/>
  <c r="U196" i="1" s="1"/>
  <c r="AI196" i="1"/>
  <c r="CW196" i="1" s="1"/>
  <c r="V196" i="1" s="1"/>
  <c r="AJ196" i="1"/>
  <c r="CX196" i="1" s="1"/>
  <c r="W196" i="1" s="1"/>
  <c r="CR196" i="1"/>
  <c r="Q196" i="1" s="1"/>
  <c r="CS196" i="1"/>
  <c r="R196" i="1" s="1"/>
  <c r="GK196" i="1" s="1"/>
  <c r="CT196" i="1"/>
  <c r="S196" i="1" s="1"/>
  <c r="CZ196" i="1" s="1"/>
  <c r="Y196" i="1" s="1"/>
  <c r="CU196" i="1"/>
  <c r="T196" i="1" s="1"/>
  <c r="CY196" i="1"/>
  <c r="X196" i="1" s="1"/>
  <c r="FR196" i="1"/>
  <c r="GL196" i="1"/>
  <c r="GN196" i="1"/>
  <c r="GO196" i="1"/>
  <c r="GV196" i="1"/>
  <c r="HC196" i="1" s="1"/>
  <c r="GX196" i="1" s="1"/>
  <c r="C197" i="1"/>
  <c r="D197" i="1"/>
  <c r="U197" i="1"/>
  <c r="AC197" i="1"/>
  <c r="AD197" i="1"/>
  <c r="AE197" i="1"/>
  <c r="AF197" i="1"/>
  <c r="AG197" i="1"/>
  <c r="CU197" i="1" s="1"/>
  <c r="T197" i="1" s="1"/>
  <c r="AH197" i="1"/>
  <c r="CV197" i="1" s="1"/>
  <c r="AI197" i="1"/>
  <c r="CW197" i="1" s="1"/>
  <c r="V197" i="1" s="1"/>
  <c r="AJ197" i="1"/>
  <c r="CR197" i="1"/>
  <c r="Q197" i="1" s="1"/>
  <c r="CS197" i="1"/>
  <c r="R197" i="1" s="1"/>
  <c r="GK197" i="1" s="1"/>
  <c r="CT197" i="1"/>
  <c r="S197" i="1" s="1"/>
  <c r="CX197" i="1"/>
  <c r="W197" i="1" s="1"/>
  <c r="FR197" i="1"/>
  <c r="GL197" i="1"/>
  <c r="GN197" i="1"/>
  <c r="GO197" i="1"/>
  <c r="GV197" i="1"/>
  <c r="HC197" i="1"/>
  <c r="GX197" i="1" s="1"/>
  <c r="C198" i="1"/>
  <c r="D198" i="1"/>
  <c r="R198" i="1"/>
  <c r="GK198" i="1" s="1"/>
  <c r="T198" i="1"/>
  <c r="AC198" i="1"/>
  <c r="AE198" i="1"/>
  <c r="AD198" i="1" s="1"/>
  <c r="AF198" i="1"/>
  <c r="CT198" i="1" s="1"/>
  <c r="S198" i="1" s="1"/>
  <c r="CZ198" i="1" s="1"/>
  <c r="Y198" i="1" s="1"/>
  <c r="AG198" i="1"/>
  <c r="CU198" i="1" s="1"/>
  <c r="AH198" i="1"/>
  <c r="CV198" i="1" s="1"/>
  <c r="U198" i="1" s="1"/>
  <c r="AI198" i="1"/>
  <c r="AJ198" i="1"/>
  <c r="CQ198" i="1"/>
  <c r="P198" i="1" s="1"/>
  <c r="CR198" i="1"/>
  <c r="Q198" i="1" s="1"/>
  <c r="CS198" i="1"/>
  <c r="CW198" i="1"/>
  <c r="V198" i="1" s="1"/>
  <c r="CX198" i="1"/>
  <c r="W198" i="1" s="1"/>
  <c r="FR198" i="1"/>
  <c r="GL198" i="1"/>
  <c r="GN198" i="1"/>
  <c r="GO198" i="1"/>
  <c r="GV198" i="1"/>
  <c r="GX198" i="1"/>
  <c r="HC198" i="1"/>
  <c r="C199" i="1"/>
  <c r="D199" i="1"/>
  <c r="AC199" i="1"/>
  <c r="AE199" i="1"/>
  <c r="AF199" i="1"/>
  <c r="CT199" i="1" s="1"/>
  <c r="S199" i="1" s="1"/>
  <c r="AG199" i="1"/>
  <c r="CU199" i="1" s="1"/>
  <c r="T199" i="1" s="1"/>
  <c r="AH199" i="1"/>
  <c r="AI199" i="1"/>
  <c r="AJ199" i="1"/>
  <c r="CQ199" i="1"/>
  <c r="P199" i="1" s="1"/>
  <c r="CV199" i="1"/>
  <c r="U199" i="1" s="1"/>
  <c r="CW199" i="1"/>
  <c r="V199" i="1" s="1"/>
  <c r="CX199" i="1"/>
  <c r="W199" i="1" s="1"/>
  <c r="FR199" i="1"/>
  <c r="GL199" i="1"/>
  <c r="GN199" i="1"/>
  <c r="GO199" i="1"/>
  <c r="GV199" i="1"/>
  <c r="HC199" i="1" s="1"/>
  <c r="GX199" i="1" s="1"/>
  <c r="CJ217" i="1" s="1"/>
  <c r="C200" i="1"/>
  <c r="D200" i="1"/>
  <c r="P200" i="1"/>
  <c r="V200" i="1"/>
  <c r="AC200" i="1"/>
  <c r="AD200" i="1"/>
  <c r="AE200" i="1"/>
  <c r="AF200" i="1"/>
  <c r="CT200" i="1" s="1"/>
  <c r="S200" i="1" s="1"/>
  <c r="AG200" i="1"/>
  <c r="AH200" i="1"/>
  <c r="AI200" i="1"/>
  <c r="AJ200" i="1"/>
  <c r="CX200" i="1" s="1"/>
  <c r="W200" i="1" s="1"/>
  <c r="CQ200" i="1"/>
  <c r="CU200" i="1"/>
  <c r="T200" i="1" s="1"/>
  <c r="CV200" i="1"/>
  <c r="U200" i="1" s="1"/>
  <c r="CW200" i="1"/>
  <c r="FR200" i="1"/>
  <c r="GL200" i="1"/>
  <c r="GN200" i="1"/>
  <c r="GO200" i="1"/>
  <c r="GV200" i="1"/>
  <c r="HC200" i="1" s="1"/>
  <c r="GX200" i="1"/>
  <c r="C201" i="1"/>
  <c r="D201" i="1"/>
  <c r="V201" i="1"/>
  <c r="W201" i="1"/>
  <c r="AC201" i="1"/>
  <c r="AD201" i="1"/>
  <c r="AE201" i="1"/>
  <c r="AF201" i="1"/>
  <c r="AG201" i="1"/>
  <c r="AH201" i="1"/>
  <c r="AI201" i="1"/>
  <c r="CW201" i="1" s="1"/>
  <c r="AJ201" i="1"/>
  <c r="CX201" i="1" s="1"/>
  <c r="CT201" i="1"/>
  <c r="S201" i="1" s="1"/>
  <c r="CY201" i="1" s="1"/>
  <c r="X201" i="1" s="1"/>
  <c r="CU201" i="1"/>
  <c r="T201" i="1" s="1"/>
  <c r="CV201" i="1"/>
  <c r="U201" i="1" s="1"/>
  <c r="CZ201" i="1"/>
  <c r="Y201" i="1" s="1"/>
  <c r="FR201" i="1"/>
  <c r="GL201" i="1"/>
  <c r="GN201" i="1"/>
  <c r="GO201" i="1"/>
  <c r="GV201" i="1"/>
  <c r="HC201" i="1" s="1"/>
  <c r="GX201" i="1" s="1"/>
  <c r="I202" i="1"/>
  <c r="U202" i="1"/>
  <c r="V202" i="1"/>
  <c r="AC202" i="1"/>
  <c r="AD202" i="1"/>
  <c r="AE202" i="1"/>
  <c r="AF202" i="1"/>
  <c r="AG202" i="1"/>
  <c r="AH202" i="1"/>
  <c r="AI202" i="1"/>
  <c r="CW202" i="1" s="1"/>
  <c r="AJ202" i="1"/>
  <c r="CX202" i="1" s="1"/>
  <c r="W202" i="1" s="1"/>
  <c r="CT202" i="1"/>
  <c r="S202" i="1" s="1"/>
  <c r="CY202" i="1" s="1"/>
  <c r="X202" i="1" s="1"/>
  <c r="CU202" i="1"/>
  <c r="T202" i="1" s="1"/>
  <c r="CV202" i="1"/>
  <c r="FR202" i="1"/>
  <c r="GL202" i="1"/>
  <c r="GN202" i="1"/>
  <c r="GO202" i="1"/>
  <c r="GV202" i="1"/>
  <c r="HC202" i="1" s="1"/>
  <c r="GX202" i="1" s="1"/>
  <c r="I203" i="1"/>
  <c r="V203" i="1"/>
  <c r="W203" i="1"/>
  <c r="AC203" i="1"/>
  <c r="AD203" i="1"/>
  <c r="AE203" i="1"/>
  <c r="AF203" i="1"/>
  <c r="AG203" i="1"/>
  <c r="AH203" i="1"/>
  <c r="AI203" i="1"/>
  <c r="CW203" i="1" s="1"/>
  <c r="AJ203" i="1"/>
  <c r="CX203" i="1" s="1"/>
  <c r="CT203" i="1"/>
  <c r="S203" i="1" s="1"/>
  <c r="CY203" i="1" s="1"/>
  <c r="X203" i="1" s="1"/>
  <c r="CU203" i="1"/>
  <c r="T203" i="1" s="1"/>
  <c r="CV203" i="1"/>
  <c r="U203" i="1" s="1"/>
  <c r="CZ203" i="1"/>
  <c r="Y203" i="1" s="1"/>
  <c r="FR203" i="1"/>
  <c r="GL203" i="1"/>
  <c r="GN203" i="1"/>
  <c r="GO203" i="1"/>
  <c r="GV203" i="1"/>
  <c r="HC203" i="1" s="1"/>
  <c r="GX203" i="1" s="1"/>
  <c r="C204" i="1"/>
  <c r="D204" i="1"/>
  <c r="S204" i="1"/>
  <c r="CY204" i="1" s="1"/>
  <c r="X204" i="1" s="1"/>
  <c r="T204" i="1"/>
  <c r="AB204" i="1"/>
  <c r="AC204" i="1"/>
  <c r="CQ204" i="1" s="1"/>
  <c r="P204" i="1" s="1"/>
  <c r="CP204" i="1" s="1"/>
  <c r="O204" i="1" s="1"/>
  <c r="AD204" i="1"/>
  <c r="AE204" i="1"/>
  <c r="CR204" i="1" s="1"/>
  <c r="Q204" i="1" s="1"/>
  <c r="AF204" i="1"/>
  <c r="AG204" i="1"/>
  <c r="AH204" i="1"/>
  <c r="CV204" i="1" s="1"/>
  <c r="U204" i="1" s="1"/>
  <c r="AI204" i="1"/>
  <c r="CW204" i="1" s="1"/>
  <c r="V204" i="1" s="1"/>
  <c r="AJ204" i="1"/>
  <c r="CS204" i="1"/>
  <c r="R204" i="1" s="1"/>
  <c r="GK204" i="1" s="1"/>
  <c r="CT204" i="1"/>
  <c r="CU204" i="1"/>
  <c r="CX204" i="1"/>
  <c r="W204" i="1" s="1"/>
  <c r="CZ204" i="1"/>
  <c r="Y204" i="1" s="1"/>
  <c r="FR204" i="1"/>
  <c r="GL204" i="1"/>
  <c r="GN204" i="1"/>
  <c r="GO204" i="1"/>
  <c r="CC217" i="1" s="1"/>
  <c r="GV204" i="1"/>
  <c r="HC204" i="1"/>
  <c r="GX204" i="1" s="1"/>
  <c r="I205" i="1"/>
  <c r="T205" i="1"/>
  <c r="U205" i="1"/>
  <c r="AC205" i="1"/>
  <c r="CQ205" i="1" s="1"/>
  <c r="P205" i="1" s="1"/>
  <c r="AD205" i="1"/>
  <c r="AE205" i="1"/>
  <c r="AF205" i="1"/>
  <c r="AG205" i="1"/>
  <c r="AH205" i="1"/>
  <c r="CV205" i="1" s="1"/>
  <c r="AI205" i="1"/>
  <c r="CW205" i="1" s="1"/>
  <c r="V205" i="1" s="1"/>
  <c r="AJ205" i="1"/>
  <c r="CX205" i="1" s="1"/>
  <c r="W205" i="1" s="1"/>
  <c r="CR205" i="1"/>
  <c r="Q205" i="1" s="1"/>
  <c r="CS205" i="1"/>
  <c r="R205" i="1" s="1"/>
  <c r="GK205" i="1" s="1"/>
  <c r="CT205" i="1"/>
  <c r="CU205" i="1"/>
  <c r="FR205" i="1"/>
  <c r="GL205" i="1"/>
  <c r="GN205" i="1"/>
  <c r="GO205" i="1"/>
  <c r="GV205" i="1"/>
  <c r="HC205" i="1" s="1"/>
  <c r="GX205" i="1" s="1"/>
  <c r="I206" i="1"/>
  <c r="S206" i="1"/>
  <c r="CZ206" i="1" s="1"/>
  <c r="Y206" i="1" s="1"/>
  <c r="U206" i="1"/>
  <c r="V206" i="1"/>
  <c r="AC206" i="1"/>
  <c r="CQ206" i="1" s="1"/>
  <c r="P206" i="1" s="1"/>
  <c r="AD206" i="1"/>
  <c r="AE206" i="1"/>
  <c r="AF206" i="1"/>
  <c r="AG206" i="1"/>
  <c r="CU206" i="1" s="1"/>
  <c r="T206" i="1" s="1"/>
  <c r="AH206" i="1"/>
  <c r="CV206" i="1" s="1"/>
  <c r="AI206" i="1"/>
  <c r="CW206" i="1" s="1"/>
  <c r="AJ206" i="1"/>
  <c r="CX206" i="1" s="1"/>
  <c r="W206" i="1" s="1"/>
  <c r="CR206" i="1"/>
  <c r="CS206" i="1"/>
  <c r="R206" i="1" s="1"/>
  <c r="GK206" i="1" s="1"/>
  <c r="CT206" i="1"/>
  <c r="CY206" i="1"/>
  <c r="X206" i="1" s="1"/>
  <c r="FR206" i="1"/>
  <c r="BY217" i="1" s="1"/>
  <c r="GL206" i="1"/>
  <c r="GN206" i="1"/>
  <c r="GO206" i="1"/>
  <c r="GV206" i="1"/>
  <c r="HC206" i="1"/>
  <c r="GX206" i="1" s="1"/>
  <c r="I207" i="1"/>
  <c r="P207" i="1" s="1"/>
  <c r="CP207" i="1" s="1"/>
  <c r="O207" i="1" s="1"/>
  <c r="T207" i="1"/>
  <c r="U207" i="1"/>
  <c r="V207" i="1"/>
  <c r="AC207" i="1"/>
  <c r="CQ207" i="1" s="1"/>
  <c r="AD207" i="1"/>
  <c r="AE207" i="1"/>
  <c r="AF207" i="1"/>
  <c r="AG207" i="1"/>
  <c r="AH207" i="1"/>
  <c r="CV207" i="1" s="1"/>
  <c r="AI207" i="1"/>
  <c r="CW207" i="1" s="1"/>
  <c r="AJ207" i="1"/>
  <c r="CX207" i="1" s="1"/>
  <c r="W207" i="1" s="1"/>
  <c r="CR207" i="1"/>
  <c r="Q207" i="1" s="1"/>
  <c r="CS207" i="1"/>
  <c r="R207" i="1" s="1"/>
  <c r="GK207" i="1" s="1"/>
  <c r="CT207" i="1"/>
  <c r="S207" i="1" s="1"/>
  <c r="CY207" i="1" s="1"/>
  <c r="X207" i="1" s="1"/>
  <c r="CU207" i="1"/>
  <c r="CZ207" i="1"/>
  <c r="Y207" i="1" s="1"/>
  <c r="FR207" i="1"/>
  <c r="GL207" i="1"/>
  <c r="GN207" i="1"/>
  <c r="GO207" i="1"/>
  <c r="GV207" i="1"/>
  <c r="HC207" i="1"/>
  <c r="GX207" i="1" s="1"/>
  <c r="I208" i="1"/>
  <c r="V208" i="1" s="1"/>
  <c r="S208" i="1"/>
  <c r="CZ208" i="1" s="1"/>
  <c r="Y208" i="1" s="1"/>
  <c r="U208" i="1"/>
  <c r="AC208" i="1"/>
  <c r="CQ208" i="1" s="1"/>
  <c r="P208" i="1" s="1"/>
  <c r="AD208" i="1"/>
  <c r="AE208" i="1"/>
  <c r="AF208" i="1"/>
  <c r="AG208" i="1"/>
  <c r="CU208" i="1" s="1"/>
  <c r="T208" i="1" s="1"/>
  <c r="AH208" i="1"/>
  <c r="CV208" i="1" s="1"/>
  <c r="AI208" i="1"/>
  <c r="CW208" i="1" s="1"/>
  <c r="AJ208" i="1"/>
  <c r="CX208" i="1" s="1"/>
  <c r="W208" i="1" s="1"/>
  <c r="CR208" i="1"/>
  <c r="CS208" i="1"/>
  <c r="R208" i="1" s="1"/>
  <c r="GK208" i="1" s="1"/>
  <c r="CT208" i="1"/>
  <c r="CY208" i="1"/>
  <c r="X208" i="1" s="1"/>
  <c r="FR208" i="1"/>
  <c r="GL208" i="1"/>
  <c r="GN208" i="1"/>
  <c r="GO208" i="1"/>
  <c r="GV208" i="1"/>
  <c r="HC208" i="1"/>
  <c r="GX208" i="1" s="1"/>
  <c r="I209" i="1"/>
  <c r="P209" i="1" s="1"/>
  <c r="CP209" i="1" s="1"/>
  <c r="O209" i="1" s="1"/>
  <c r="T209" i="1"/>
  <c r="U209" i="1"/>
  <c r="V209" i="1"/>
  <c r="AC209" i="1"/>
  <c r="CQ209" i="1" s="1"/>
  <c r="AD209" i="1"/>
  <c r="AE209" i="1"/>
  <c r="AF209" i="1"/>
  <c r="AG209" i="1"/>
  <c r="AH209" i="1"/>
  <c r="CV209" i="1" s="1"/>
  <c r="AI209" i="1"/>
  <c r="CW209" i="1" s="1"/>
  <c r="AJ209" i="1"/>
  <c r="CX209" i="1" s="1"/>
  <c r="W209" i="1" s="1"/>
  <c r="CR209" i="1"/>
  <c r="Q209" i="1" s="1"/>
  <c r="CS209" i="1"/>
  <c r="R209" i="1" s="1"/>
  <c r="GK209" i="1" s="1"/>
  <c r="CT209" i="1"/>
  <c r="S209" i="1" s="1"/>
  <c r="CY209" i="1" s="1"/>
  <c r="X209" i="1" s="1"/>
  <c r="CU209" i="1"/>
  <c r="CZ209" i="1"/>
  <c r="Y209" i="1" s="1"/>
  <c r="FR209" i="1"/>
  <c r="GL209" i="1"/>
  <c r="GN209" i="1"/>
  <c r="GO209" i="1"/>
  <c r="GV209" i="1"/>
  <c r="HC209" i="1"/>
  <c r="GX209" i="1" s="1"/>
  <c r="I210" i="1"/>
  <c r="V210" i="1" s="1"/>
  <c r="S210" i="1"/>
  <c r="CZ210" i="1" s="1"/>
  <c r="Y210" i="1" s="1"/>
  <c r="U210" i="1"/>
  <c r="AC210" i="1"/>
  <c r="CQ210" i="1" s="1"/>
  <c r="P210" i="1" s="1"/>
  <c r="AD210" i="1"/>
  <c r="AE210" i="1"/>
  <c r="AF210" i="1"/>
  <c r="AG210" i="1"/>
  <c r="CU210" i="1" s="1"/>
  <c r="T210" i="1" s="1"/>
  <c r="AH210" i="1"/>
  <c r="CV210" i="1" s="1"/>
  <c r="AI210" i="1"/>
  <c r="CW210" i="1" s="1"/>
  <c r="AJ210" i="1"/>
  <c r="CX210" i="1" s="1"/>
  <c r="W210" i="1" s="1"/>
  <c r="CR210" i="1"/>
  <c r="CS210" i="1"/>
  <c r="R210" i="1" s="1"/>
  <c r="GK210" i="1" s="1"/>
  <c r="CT210" i="1"/>
  <c r="CY210" i="1"/>
  <c r="X210" i="1" s="1"/>
  <c r="FR210" i="1"/>
  <c r="GL210" i="1"/>
  <c r="GN210" i="1"/>
  <c r="GO210" i="1"/>
  <c r="GV210" i="1"/>
  <c r="HC210" i="1"/>
  <c r="GX210" i="1" s="1"/>
  <c r="I211" i="1"/>
  <c r="U211" i="1"/>
  <c r="AC211" i="1"/>
  <c r="CQ211" i="1" s="1"/>
  <c r="P211" i="1" s="1"/>
  <c r="CP211" i="1" s="1"/>
  <c r="O211" i="1" s="1"/>
  <c r="AD211" i="1"/>
  <c r="AE211" i="1"/>
  <c r="AF211" i="1"/>
  <c r="CT211" i="1" s="1"/>
  <c r="S211" i="1" s="1"/>
  <c r="AG211" i="1"/>
  <c r="AH211" i="1"/>
  <c r="CV211" i="1" s="1"/>
  <c r="AI211" i="1"/>
  <c r="CW211" i="1" s="1"/>
  <c r="V211" i="1" s="1"/>
  <c r="AJ211" i="1"/>
  <c r="CR211" i="1"/>
  <c r="Q211" i="1" s="1"/>
  <c r="CS211" i="1"/>
  <c r="CU211" i="1"/>
  <c r="T211" i="1" s="1"/>
  <c r="CX211" i="1"/>
  <c r="W211" i="1" s="1"/>
  <c r="FR211" i="1"/>
  <c r="GL211" i="1"/>
  <c r="GN211" i="1"/>
  <c r="CB217" i="1" s="1"/>
  <c r="GO211" i="1"/>
  <c r="GV211" i="1"/>
  <c r="GX211" i="1"/>
  <c r="HC211" i="1"/>
  <c r="I212" i="1"/>
  <c r="R212" i="1" s="1"/>
  <c r="GK212" i="1" s="1"/>
  <c r="AB212" i="1"/>
  <c r="AC212" i="1"/>
  <c r="AD212" i="1"/>
  <c r="AE212" i="1"/>
  <c r="AF212" i="1"/>
  <c r="AG212" i="1"/>
  <c r="AH212" i="1"/>
  <c r="CV212" i="1" s="1"/>
  <c r="U212" i="1" s="1"/>
  <c r="AI212" i="1"/>
  <c r="AJ212" i="1"/>
  <c r="CX212" i="1" s="1"/>
  <c r="W212" i="1" s="1"/>
  <c r="CQ212" i="1"/>
  <c r="P212" i="1" s="1"/>
  <c r="CR212" i="1"/>
  <c r="CS212" i="1"/>
  <c r="CT212" i="1"/>
  <c r="S212" i="1" s="1"/>
  <c r="CU212" i="1"/>
  <c r="CW212" i="1"/>
  <c r="V212" i="1" s="1"/>
  <c r="FR212" i="1"/>
  <c r="GL212" i="1"/>
  <c r="GN212" i="1"/>
  <c r="GO212" i="1"/>
  <c r="GV212" i="1"/>
  <c r="HC212" i="1" s="1"/>
  <c r="GX212" i="1" s="1"/>
  <c r="I213" i="1"/>
  <c r="P213" i="1"/>
  <c r="AC213" i="1"/>
  <c r="AB213" i="1" s="1"/>
  <c r="AD213" i="1"/>
  <c r="AE213" i="1"/>
  <c r="CS213" i="1" s="1"/>
  <c r="R213" i="1" s="1"/>
  <c r="GK213" i="1" s="1"/>
  <c r="AF213" i="1"/>
  <c r="CT213" i="1" s="1"/>
  <c r="S213" i="1" s="1"/>
  <c r="AG213" i="1"/>
  <c r="AH213" i="1"/>
  <c r="AI213" i="1"/>
  <c r="AJ213" i="1"/>
  <c r="CX213" i="1" s="1"/>
  <c r="W213" i="1" s="1"/>
  <c r="CQ213" i="1"/>
  <c r="CU213" i="1"/>
  <c r="T213" i="1" s="1"/>
  <c r="CV213" i="1"/>
  <c r="U213" i="1" s="1"/>
  <c r="CW213" i="1"/>
  <c r="V213" i="1" s="1"/>
  <c r="FR213" i="1"/>
  <c r="GL213" i="1"/>
  <c r="GN213" i="1"/>
  <c r="GO213" i="1"/>
  <c r="GV213" i="1"/>
  <c r="HC213" i="1" s="1"/>
  <c r="GX213" i="1" s="1"/>
  <c r="C214" i="1"/>
  <c r="D214" i="1"/>
  <c r="U214" i="1"/>
  <c r="AC214" i="1"/>
  <c r="CQ214" i="1" s="1"/>
  <c r="P214" i="1" s="1"/>
  <c r="CP214" i="1" s="1"/>
  <c r="O214" i="1" s="1"/>
  <c r="AE214" i="1"/>
  <c r="CR214" i="1" s="1"/>
  <c r="Q214" i="1" s="1"/>
  <c r="AF214" i="1"/>
  <c r="AG214" i="1"/>
  <c r="AH214" i="1"/>
  <c r="AI214" i="1"/>
  <c r="CW214" i="1" s="1"/>
  <c r="V214" i="1" s="1"/>
  <c r="AJ214" i="1"/>
  <c r="CX214" i="1" s="1"/>
  <c r="W214" i="1" s="1"/>
  <c r="CT214" i="1"/>
  <c r="S214" i="1" s="1"/>
  <c r="CU214" i="1"/>
  <c r="T214" i="1" s="1"/>
  <c r="CV214" i="1"/>
  <c r="FR214" i="1"/>
  <c r="GL214" i="1"/>
  <c r="GN214" i="1"/>
  <c r="GO214" i="1"/>
  <c r="GV214" i="1"/>
  <c r="HC214" i="1" s="1"/>
  <c r="GX214" i="1" s="1"/>
  <c r="C215" i="1"/>
  <c r="D215" i="1"/>
  <c r="AB215" i="1"/>
  <c r="AC215" i="1"/>
  <c r="CQ215" i="1" s="1"/>
  <c r="P215" i="1" s="1"/>
  <c r="CP215" i="1" s="1"/>
  <c r="O215" i="1" s="1"/>
  <c r="AD215" i="1"/>
  <c r="AE215" i="1"/>
  <c r="CR215" i="1" s="1"/>
  <c r="Q215" i="1" s="1"/>
  <c r="AF215" i="1"/>
  <c r="AG215" i="1"/>
  <c r="AH215" i="1"/>
  <c r="CV215" i="1" s="1"/>
  <c r="U215" i="1" s="1"/>
  <c r="AI215" i="1"/>
  <c r="CW215" i="1" s="1"/>
  <c r="V215" i="1" s="1"/>
  <c r="AJ215" i="1"/>
  <c r="CX215" i="1" s="1"/>
  <c r="W215" i="1" s="1"/>
  <c r="CS215" i="1"/>
  <c r="R215" i="1" s="1"/>
  <c r="GK215" i="1" s="1"/>
  <c r="CT215" i="1"/>
  <c r="S215" i="1" s="1"/>
  <c r="CU215" i="1"/>
  <c r="T215" i="1" s="1"/>
  <c r="FR215" i="1"/>
  <c r="GL215" i="1"/>
  <c r="GN215" i="1"/>
  <c r="GO215" i="1"/>
  <c r="GV215" i="1"/>
  <c r="HC215" i="1" s="1"/>
  <c r="GX215" i="1" s="1"/>
  <c r="B217" i="1"/>
  <c r="B193" i="1" s="1"/>
  <c r="C217" i="1"/>
  <c r="C193" i="1" s="1"/>
  <c r="D217" i="1"/>
  <c r="D193" i="1" s="1"/>
  <c r="F217" i="1"/>
  <c r="F193" i="1" s="1"/>
  <c r="G217" i="1"/>
  <c r="G193" i="1" s="1"/>
  <c r="BX217" i="1"/>
  <c r="BX193" i="1" s="1"/>
  <c r="BZ217" i="1"/>
  <c r="BZ193" i="1" s="1"/>
  <c r="CK217" i="1"/>
  <c r="CK193" i="1" s="1"/>
  <c r="CL217" i="1"/>
  <c r="CL193" i="1" s="1"/>
  <c r="D246" i="1"/>
  <c r="B248" i="1"/>
  <c r="C248" i="1"/>
  <c r="D248" i="1"/>
  <c r="E248" i="1"/>
  <c r="Z248" i="1"/>
  <c r="AA248" i="1"/>
  <c r="AM248" i="1"/>
  <c r="AN248" i="1"/>
  <c r="AO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C250" i="1"/>
  <c r="D250" i="1"/>
  <c r="AC250" i="1"/>
  <c r="CQ250" i="1" s="1"/>
  <c r="P250" i="1" s="1"/>
  <c r="AD250" i="1"/>
  <c r="AE250" i="1"/>
  <c r="AF250" i="1"/>
  <c r="AG250" i="1"/>
  <c r="CU250" i="1" s="1"/>
  <c r="T250" i="1" s="1"/>
  <c r="AG254" i="1" s="1"/>
  <c r="AH250" i="1"/>
  <c r="CV250" i="1" s="1"/>
  <c r="U250" i="1" s="1"/>
  <c r="AH254" i="1" s="1"/>
  <c r="AI250" i="1"/>
  <c r="CW250" i="1" s="1"/>
  <c r="V250" i="1" s="1"/>
  <c r="AJ250" i="1"/>
  <c r="CR250" i="1"/>
  <c r="Q250" i="1" s="1"/>
  <c r="CS250" i="1"/>
  <c r="R250" i="1" s="1"/>
  <c r="CT250" i="1"/>
  <c r="S250" i="1" s="1"/>
  <c r="CX250" i="1"/>
  <c r="W250" i="1" s="1"/>
  <c r="AJ254" i="1" s="1"/>
  <c r="FR250" i="1"/>
  <c r="BY254" i="1" s="1"/>
  <c r="GL250" i="1"/>
  <c r="GN250" i="1"/>
  <c r="CB254" i="1" s="1"/>
  <c r="GO250" i="1"/>
  <c r="CC254" i="1" s="1"/>
  <c r="GV250" i="1"/>
  <c r="HC250" i="1"/>
  <c r="GX250" i="1" s="1"/>
  <c r="CJ254" i="1" s="1"/>
  <c r="C251" i="1"/>
  <c r="D251" i="1"/>
  <c r="I251" i="1"/>
  <c r="AC251" i="1"/>
  <c r="AE251" i="1"/>
  <c r="AD251" i="1" s="1"/>
  <c r="AB251" i="1" s="1"/>
  <c r="AF251" i="1"/>
  <c r="CT251" i="1" s="1"/>
  <c r="S251" i="1" s="1"/>
  <c r="AG251" i="1"/>
  <c r="CU251" i="1" s="1"/>
  <c r="T251" i="1" s="1"/>
  <c r="AH251" i="1"/>
  <c r="AI251" i="1"/>
  <c r="AJ251" i="1"/>
  <c r="CQ251" i="1"/>
  <c r="P251" i="1" s="1"/>
  <c r="CV251" i="1"/>
  <c r="U251" i="1" s="1"/>
  <c r="CW251" i="1"/>
  <c r="V251" i="1" s="1"/>
  <c r="CX251" i="1"/>
  <c r="W251" i="1" s="1"/>
  <c r="FR251" i="1"/>
  <c r="GL251" i="1"/>
  <c r="BZ254" i="1" s="1"/>
  <c r="GN251" i="1"/>
  <c r="GO251" i="1"/>
  <c r="GV251" i="1"/>
  <c r="GX251" i="1"/>
  <c r="HC251" i="1"/>
  <c r="C252" i="1"/>
  <c r="D252" i="1"/>
  <c r="I252" i="1"/>
  <c r="AC252" i="1"/>
  <c r="AB252" i="1" s="1"/>
  <c r="AD252" i="1"/>
  <c r="AE252" i="1"/>
  <c r="CR252" i="1" s="1"/>
  <c r="Q252" i="1" s="1"/>
  <c r="AF252" i="1"/>
  <c r="CT252" i="1" s="1"/>
  <c r="S252" i="1" s="1"/>
  <c r="AG252" i="1"/>
  <c r="AH252" i="1"/>
  <c r="AI252" i="1"/>
  <c r="AJ252" i="1"/>
  <c r="CX252" i="1" s="1"/>
  <c r="W252" i="1" s="1"/>
  <c r="CQ252" i="1"/>
  <c r="P252" i="1" s="1"/>
  <c r="CU252" i="1"/>
  <c r="T252" i="1" s="1"/>
  <c r="CV252" i="1"/>
  <c r="U252" i="1" s="1"/>
  <c r="CW252" i="1"/>
  <c r="V252" i="1" s="1"/>
  <c r="FR252" i="1"/>
  <c r="GL252" i="1"/>
  <c r="GN252" i="1"/>
  <c r="GO252" i="1"/>
  <c r="GV252" i="1"/>
  <c r="HC252" i="1"/>
  <c r="GX252" i="1" s="1"/>
  <c r="B254" i="1"/>
  <c r="C254" i="1"/>
  <c r="D254" i="1"/>
  <c r="F254" i="1"/>
  <c r="F248" i="1" s="1"/>
  <c r="G254" i="1"/>
  <c r="G248" i="1" s="1"/>
  <c r="AO254" i="1"/>
  <c r="BB254" i="1"/>
  <c r="BB248" i="1" s="1"/>
  <c r="BC254" i="1"/>
  <c r="BC248" i="1" s="1"/>
  <c r="BX254" i="1"/>
  <c r="BX248" i="1" s="1"/>
  <c r="CK254" i="1"/>
  <c r="CL254" i="1"/>
  <c r="F258" i="1"/>
  <c r="B283" i="1"/>
  <c r="B22" i="1" s="1"/>
  <c r="C283" i="1"/>
  <c r="C22" i="1" s="1"/>
  <c r="D283" i="1"/>
  <c r="D22" i="1" s="1"/>
  <c r="F283" i="1"/>
  <c r="F22" i="1" s="1"/>
  <c r="G283" i="1"/>
  <c r="G22" i="1" s="1"/>
  <c r="B312" i="1"/>
  <c r="B18" i="1" s="1"/>
  <c r="C312" i="1"/>
  <c r="C18" i="1" s="1"/>
  <c r="D312" i="1"/>
  <c r="D18" i="1" s="1"/>
  <c r="F312" i="1"/>
  <c r="F18" i="1" s="1"/>
  <c r="G312" i="1"/>
  <c r="F342" i="1"/>
  <c r="G18" i="1" l="1"/>
  <c r="AF486" i="5"/>
  <c r="A3" i="7"/>
  <c r="A486" i="5"/>
  <c r="AH248" i="1"/>
  <c r="U254" i="1"/>
  <c r="AP254" i="1"/>
  <c r="BY248" i="1"/>
  <c r="CI254" i="1"/>
  <c r="CP250" i="1"/>
  <c r="O250" i="1" s="1"/>
  <c r="AC254" i="1"/>
  <c r="CZ211" i="1"/>
  <c r="Y211" i="1" s="1"/>
  <c r="CY211" i="1"/>
  <c r="X211" i="1" s="1"/>
  <c r="CP205" i="1"/>
  <c r="O205" i="1" s="1"/>
  <c r="BZ130" i="1"/>
  <c r="AQ162" i="1"/>
  <c r="CG162" i="1"/>
  <c r="GP215" i="1"/>
  <c r="GP209" i="1"/>
  <c r="GM209" i="1"/>
  <c r="CY251" i="1"/>
  <c r="X251" i="1" s="1"/>
  <c r="CZ251" i="1"/>
  <c r="Y251" i="1" s="1"/>
  <c r="CY197" i="1"/>
  <c r="X197" i="1" s="1"/>
  <c r="CZ197" i="1"/>
  <c r="Y197" i="1" s="1"/>
  <c r="AF217" i="1"/>
  <c r="W254" i="1"/>
  <c r="AJ248" i="1"/>
  <c r="CG254" i="1"/>
  <c r="BZ248" i="1"/>
  <c r="AQ254" i="1"/>
  <c r="GK250" i="1"/>
  <c r="CZ199" i="1"/>
  <c r="Y199" i="1" s="1"/>
  <c r="CY199" i="1"/>
  <c r="X199" i="1" s="1"/>
  <c r="CB193" i="1"/>
  <c r="AS217" i="1"/>
  <c r="AF254" i="1"/>
  <c r="CY250" i="1"/>
  <c r="X250" i="1" s="1"/>
  <c r="CZ250" i="1"/>
  <c r="Y250" i="1" s="1"/>
  <c r="GP211" i="1"/>
  <c r="CY252" i="1"/>
  <c r="X252" i="1" s="1"/>
  <c r="CZ252" i="1"/>
  <c r="Y252" i="1" s="1"/>
  <c r="AP217" i="1"/>
  <c r="CI217" i="1"/>
  <c r="BY193" i="1"/>
  <c r="CJ193" i="1"/>
  <c r="BA217" i="1"/>
  <c r="AI254" i="1"/>
  <c r="CY214" i="1"/>
  <c r="X214" i="1" s="1"/>
  <c r="GM214" i="1" s="1"/>
  <c r="CZ214" i="1"/>
  <c r="Y214" i="1" s="1"/>
  <c r="CY213" i="1"/>
  <c r="X213" i="1" s="1"/>
  <c r="CZ213" i="1"/>
  <c r="Y213" i="1" s="1"/>
  <c r="CC193" i="1"/>
  <c r="AT217" i="1"/>
  <c r="AJ217" i="1"/>
  <c r="AH217" i="1"/>
  <c r="BA254" i="1"/>
  <c r="CJ248" i="1"/>
  <c r="AT254" i="1"/>
  <c r="CC248" i="1"/>
  <c r="GM196" i="1"/>
  <c r="GP196" i="1"/>
  <c r="AS254" i="1"/>
  <c r="CB248" i="1"/>
  <c r="CY215" i="1"/>
  <c r="X215" i="1" s="1"/>
  <c r="GM215" i="1" s="1"/>
  <c r="CZ215" i="1"/>
  <c r="Y215" i="1" s="1"/>
  <c r="CP212" i="1"/>
  <c r="O212" i="1" s="1"/>
  <c r="GM204" i="1"/>
  <c r="GP204" i="1"/>
  <c r="CY212" i="1"/>
  <c r="X212" i="1" s="1"/>
  <c r="CZ212" i="1"/>
  <c r="Y212" i="1" s="1"/>
  <c r="AG248" i="1"/>
  <c r="T254" i="1"/>
  <c r="GP207" i="1"/>
  <c r="GM207" i="1"/>
  <c r="CP252" i="1"/>
  <c r="O252" i="1" s="1"/>
  <c r="AI217" i="1"/>
  <c r="CS251" i="1"/>
  <c r="R251" i="1" s="1"/>
  <c r="AE254" i="1" s="1"/>
  <c r="CX243" i="3"/>
  <c r="CX244" i="3"/>
  <c r="CG217" i="1"/>
  <c r="AO217" i="1"/>
  <c r="CR213" i="1"/>
  <c r="Q213" i="1" s="1"/>
  <c r="CP213" i="1" s="1"/>
  <c r="O213" i="1" s="1"/>
  <c r="AS162" i="1"/>
  <c r="CB130" i="1"/>
  <c r="CP151" i="1"/>
  <c r="O151" i="1" s="1"/>
  <c r="CR251" i="1"/>
  <c r="Q251" i="1" s="1"/>
  <c r="CP251" i="1" s="1"/>
  <c r="O251" i="1" s="1"/>
  <c r="CQ203" i="1"/>
  <c r="P203" i="1" s="1"/>
  <c r="CP203" i="1" s="1"/>
  <c r="O203" i="1" s="1"/>
  <c r="AB203" i="1"/>
  <c r="CS199" i="1"/>
  <c r="R199" i="1" s="1"/>
  <c r="GK199" i="1" s="1"/>
  <c r="AD199" i="1"/>
  <c r="AB199" i="1" s="1"/>
  <c r="CP160" i="1"/>
  <c r="O160" i="1" s="1"/>
  <c r="CY158" i="1"/>
  <c r="X158" i="1" s="1"/>
  <c r="CZ158" i="1"/>
  <c r="Y158" i="1" s="1"/>
  <c r="CZ153" i="1"/>
  <c r="Y153" i="1" s="1"/>
  <c r="CY153" i="1"/>
  <c r="X153" i="1" s="1"/>
  <c r="CZ143" i="1"/>
  <c r="Y143" i="1" s="1"/>
  <c r="CY143" i="1"/>
  <c r="X143" i="1" s="1"/>
  <c r="GM139" i="1"/>
  <c r="GP139" i="1"/>
  <c r="F270" i="1"/>
  <c r="AD214" i="1"/>
  <c r="AB214" i="1" s="1"/>
  <c r="Q210" i="1"/>
  <c r="CP210" i="1" s="1"/>
  <c r="O210" i="1" s="1"/>
  <c r="Q208" i="1"/>
  <c r="CP208" i="1" s="1"/>
  <c r="O208" i="1" s="1"/>
  <c r="Q206" i="1"/>
  <c r="CP206" i="1" s="1"/>
  <c r="O206" i="1" s="1"/>
  <c r="CR202" i="1"/>
  <c r="Q202" i="1" s="1"/>
  <c r="CS202" i="1"/>
  <c r="R202" i="1" s="1"/>
  <c r="GK202" i="1" s="1"/>
  <c r="CP200" i="1"/>
  <c r="O200" i="1" s="1"/>
  <c r="CY151" i="1"/>
  <c r="X151" i="1" s="1"/>
  <c r="CZ151" i="1"/>
  <c r="Y151" i="1" s="1"/>
  <c r="AT162" i="1"/>
  <c r="CC130" i="1"/>
  <c r="CY132" i="1"/>
  <c r="X132" i="1" s="1"/>
  <c r="CZ132" i="1"/>
  <c r="Y132" i="1" s="1"/>
  <c r="F267" i="1"/>
  <c r="CS214" i="1"/>
  <c r="R214" i="1" s="1"/>
  <c r="GK214" i="1" s="1"/>
  <c r="AB211" i="1"/>
  <c r="AB205" i="1"/>
  <c r="CZ202" i="1"/>
  <c r="Y202" i="1" s="1"/>
  <c r="AB202" i="1"/>
  <c r="CQ202" i="1"/>
  <c r="P202" i="1" s="1"/>
  <c r="CY147" i="1"/>
  <c r="X147" i="1" s="1"/>
  <c r="CZ147" i="1"/>
  <c r="Y147" i="1" s="1"/>
  <c r="CP140" i="1"/>
  <c r="O140" i="1" s="1"/>
  <c r="CS252" i="1"/>
  <c r="R252" i="1" s="1"/>
  <c r="CX246" i="3"/>
  <c r="CX245" i="3"/>
  <c r="Q212" i="1"/>
  <c r="R211" i="1"/>
  <c r="GK211" i="1" s="1"/>
  <c r="GM211" i="1" s="1"/>
  <c r="AB209" i="1"/>
  <c r="AB207" i="1"/>
  <c r="S205" i="1"/>
  <c r="CR201" i="1"/>
  <c r="Q201" i="1" s="1"/>
  <c r="CS201" i="1"/>
  <c r="R201" i="1" s="1"/>
  <c r="GK201" i="1" s="1"/>
  <c r="CR199" i="1"/>
  <c r="Q199" i="1" s="1"/>
  <c r="CP199" i="1" s="1"/>
  <c r="O199" i="1" s="1"/>
  <c r="CY198" i="1"/>
  <c r="X198" i="1" s="1"/>
  <c r="CY150" i="1"/>
  <c r="X150" i="1" s="1"/>
  <c r="GP150" i="1" s="1"/>
  <c r="CZ150" i="1"/>
  <c r="Y150" i="1" s="1"/>
  <c r="CZ141" i="1"/>
  <c r="Y141" i="1" s="1"/>
  <c r="CY141" i="1"/>
  <c r="X141" i="1" s="1"/>
  <c r="CY138" i="1"/>
  <c r="X138" i="1" s="1"/>
  <c r="CZ138" i="1"/>
  <c r="Y138" i="1" s="1"/>
  <c r="GM136" i="1"/>
  <c r="AB198" i="1"/>
  <c r="AP162" i="1"/>
  <c r="BY130" i="1"/>
  <c r="CI162" i="1"/>
  <c r="CQ201" i="1"/>
  <c r="P201" i="1" s="1"/>
  <c r="AB201" i="1"/>
  <c r="CY200" i="1"/>
  <c r="X200" i="1" s="1"/>
  <c r="CZ200" i="1"/>
  <c r="Y200" i="1" s="1"/>
  <c r="CQ197" i="1"/>
  <c r="P197" i="1" s="1"/>
  <c r="CP197" i="1" s="1"/>
  <c r="O197" i="1" s="1"/>
  <c r="AB197" i="1"/>
  <c r="CR195" i="1"/>
  <c r="Q195" i="1" s="1"/>
  <c r="CS195" i="1"/>
  <c r="R195" i="1" s="1"/>
  <c r="AD195" i="1"/>
  <c r="CQ157" i="1"/>
  <c r="P157" i="1" s="1"/>
  <c r="CP157" i="1" s="1"/>
  <c r="O157" i="1" s="1"/>
  <c r="AB157" i="1"/>
  <c r="CZ144" i="1"/>
  <c r="Y144" i="1" s="1"/>
  <c r="CY144" i="1"/>
  <c r="X144" i="1" s="1"/>
  <c r="CP137" i="1"/>
  <c r="O137" i="1" s="1"/>
  <c r="AB250" i="1"/>
  <c r="T212" i="1"/>
  <c r="AG217" i="1" s="1"/>
  <c r="CS200" i="1"/>
  <c r="R200" i="1" s="1"/>
  <c r="GK200" i="1" s="1"/>
  <c r="CR200" i="1"/>
  <c r="Q200" i="1" s="1"/>
  <c r="AB195" i="1"/>
  <c r="CQ195" i="1"/>
  <c r="P195" i="1" s="1"/>
  <c r="CL130" i="1"/>
  <c r="BC162" i="1"/>
  <c r="CY140" i="1"/>
  <c r="X140" i="1" s="1"/>
  <c r="CZ140" i="1"/>
  <c r="Y140" i="1" s="1"/>
  <c r="CP153" i="1"/>
  <c r="O153" i="1" s="1"/>
  <c r="CP144" i="1"/>
  <c r="O144" i="1" s="1"/>
  <c r="GK132" i="1"/>
  <c r="BC217" i="1"/>
  <c r="AQ217" i="1"/>
  <c r="AB200" i="1"/>
  <c r="CP198" i="1"/>
  <c r="O198" i="1" s="1"/>
  <c r="CY157" i="1"/>
  <c r="X157" i="1" s="1"/>
  <c r="CZ157" i="1"/>
  <c r="Y157" i="1" s="1"/>
  <c r="BB217" i="1"/>
  <c r="AB210" i="1"/>
  <c r="AB208" i="1"/>
  <c r="AB206" i="1"/>
  <c r="CR203" i="1"/>
  <c r="Q203" i="1" s="1"/>
  <c r="CS203" i="1"/>
  <c r="R203" i="1" s="1"/>
  <c r="GK203" i="1" s="1"/>
  <c r="CZ159" i="1"/>
  <c r="Y159" i="1" s="1"/>
  <c r="CY159" i="1"/>
  <c r="X159" i="1" s="1"/>
  <c r="GP159" i="1" s="1"/>
  <c r="CP158" i="1"/>
  <c r="O158" i="1" s="1"/>
  <c r="CR155" i="1"/>
  <c r="Q155" i="1" s="1"/>
  <c r="CP155" i="1" s="1"/>
  <c r="O155" i="1" s="1"/>
  <c r="GX152" i="1"/>
  <c r="CJ162" i="1" s="1"/>
  <c r="CT152" i="1"/>
  <c r="S152" i="1" s="1"/>
  <c r="CY149" i="1"/>
  <c r="X149" i="1" s="1"/>
  <c r="GP149" i="1" s="1"/>
  <c r="CY142" i="1"/>
  <c r="X142" i="1" s="1"/>
  <c r="CP133" i="1"/>
  <c r="O133" i="1" s="1"/>
  <c r="CP132" i="1"/>
  <c r="O132" i="1" s="1"/>
  <c r="R154" i="1"/>
  <c r="GK154" i="1" s="1"/>
  <c r="V151" i="1"/>
  <c r="AI162" i="1" s="1"/>
  <c r="P147" i="1"/>
  <c r="CP147" i="1" s="1"/>
  <c r="O147" i="1" s="1"/>
  <c r="CS141" i="1"/>
  <c r="R141" i="1" s="1"/>
  <c r="GK141" i="1" s="1"/>
  <c r="AB132" i="1"/>
  <c r="AB156" i="1"/>
  <c r="AB153" i="1"/>
  <c r="Q152" i="1"/>
  <c r="AB149" i="1"/>
  <c r="CQ146" i="1"/>
  <c r="P146" i="1" s="1"/>
  <c r="AB146" i="1"/>
  <c r="CR141" i="1"/>
  <c r="Q141" i="1" s="1"/>
  <c r="CP141" i="1" s="1"/>
  <c r="O141" i="1" s="1"/>
  <c r="AT78" i="1"/>
  <c r="F117" i="1"/>
  <c r="CP138" i="1"/>
  <c r="O138" i="1" s="1"/>
  <c r="AI78" i="1"/>
  <c r="V99" i="1"/>
  <c r="CZ94" i="1"/>
  <c r="Y94" i="1" s="1"/>
  <c r="CY94" i="1"/>
  <c r="X94" i="1" s="1"/>
  <c r="AJ78" i="1"/>
  <c r="W99" i="1"/>
  <c r="BZ78" i="1"/>
  <c r="AQ99" i="1"/>
  <c r="W143" i="1"/>
  <c r="AJ162" i="1" s="1"/>
  <c r="AB137" i="1"/>
  <c r="CI99" i="1"/>
  <c r="BY78" i="1"/>
  <c r="AP99" i="1"/>
  <c r="CR153" i="1"/>
  <c r="Q153" i="1" s="1"/>
  <c r="AB150" i="1"/>
  <c r="AD147" i="1"/>
  <c r="AB147" i="1" s="1"/>
  <c r="CR146" i="1"/>
  <c r="Q146" i="1" s="1"/>
  <c r="Q142" i="1"/>
  <c r="CP142" i="1" s="1"/>
  <c r="O142" i="1" s="1"/>
  <c r="CP134" i="1"/>
  <c r="O134" i="1" s="1"/>
  <c r="CY97" i="1"/>
  <c r="X97" i="1" s="1"/>
  <c r="CZ97" i="1"/>
  <c r="Y97" i="1" s="1"/>
  <c r="CZ160" i="1"/>
  <c r="Y160" i="1" s="1"/>
  <c r="CS157" i="1"/>
  <c r="R157" i="1" s="1"/>
  <c r="GK157" i="1" s="1"/>
  <c r="V154" i="1"/>
  <c r="P154" i="1"/>
  <c r="W151" i="1"/>
  <c r="U143" i="1"/>
  <c r="AH162" i="1" s="1"/>
  <c r="CT154" i="1"/>
  <c r="S154" i="1" s="1"/>
  <c r="AF162" i="1" s="1"/>
  <c r="T147" i="1"/>
  <c r="AG162" i="1" s="1"/>
  <c r="CS144" i="1"/>
  <c r="R144" i="1" s="1"/>
  <c r="GK144" i="1" s="1"/>
  <c r="AD144" i="1"/>
  <c r="CS143" i="1"/>
  <c r="R143" i="1" s="1"/>
  <c r="GK143" i="1" s="1"/>
  <c r="BC99" i="1"/>
  <c r="CL78" i="1"/>
  <c r="GM96" i="1"/>
  <c r="AD160" i="1"/>
  <c r="AB160" i="1" s="1"/>
  <c r="W147" i="1"/>
  <c r="AB144" i="1"/>
  <c r="CR143" i="1"/>
  <c r="Q143" i="1" s="1"/>
  <c r="CP143" i="1" s="1"/>
  <c r="O143" i="1" s="1"/>
  <c r="GM97" i="1"/>
  <c r="GP97" i="1"/>
  <c r="CS145" i="1"/>
  <c r="R145" i="1" s="1"/>
  <c r="GK145" i="1" s="1"/>
  <c r="CR145" i="1"/>
  <c r="Q145" i="1" s="1"/>
  <c r="CP145" i="1" s="1"/>
  <c r="O145" i="1" s="1"/>
  <c r="CY134" i="1"/>
  <c r="X134" i="1" s="1"/>
  <c r="CZ134" i="1"/>
  <c r="Y134" i="1" s="1"/>
  <c r="V157" i="1"/>
  <c r="CZ156" i="1"/>
  <c r="Y156" i="1" s="1"/>
  <c r="GP156" i="1" s="1"/>
  <c r="CQ148" i="1"/>
  <c r="P148" i="1" s="1"/>
  <c r="CP148" i="1" s="1"/>
  <c r="O148" i="1" s="1"/>
  <c r="AB148" i="1"/>
  <c r="AD145" i="1"/>
  <c r="U142" i="1"/>
  <c r="CR140" i="1"/>
  <c r="Q140" i="1" s="1"/>
  <c r="AD162" i="1" s="1"/>
  <c r="AB138" i="1"/>
  <c r="CZ133" i="1"/>
  <c r="Y133" i="1" s="1"/>
  <c r="CY133" i="1"/>
  <c r="X133" i="1" s="1"/>
  <c r="CR160" i="1"/>
  <c r="Q160" i="1" s="1"/>
  <c r="Q158" i="1"/>
  <c r="CS155" i="1"/>
  <c r="R155" i="1" s="1"/>
  <c r="GK155" i="1" s="1"/>
  <c r="P152" i="1"/>
  <c r="CP152" i="1" s="1"/>
  <c r="O152" i="1" s="1"/>
  <c r="AB145" i="1"/>
  <c r="CR144" i="1"/>
  <c r="Q144" i="1" s="1"/>
  <c r="CS136" i="1"/>
  <c r="R136" i="1" s="1"/>
  <c r="GK136" i="1" s="1"/>
  <c r="GP136" i="1" s="1"/>
  <c r="AB134" i="1"/>
  <c r="CZ96" i="1"/>
  <c r="Y96" i="1" s="1"/>
  <c r="GP96" i="1" s="1"/>
  <c r="Q93" i="1"/>
  <c r="CP93" i="1" s="1"/>
  <c r="O93" i="1" s="1"/>
  <c r="CQ92" i="1"/>
  <c r="P92" i="1" s="1"/>
  <c r="CP81" i="1"/>
  <c r="O81" i="1" s="1"/>
  <c r="CY36" i="1"/>
  <c r="X36" i="1" s="1"/>
  <c r="CZ36" i="1"/>
  <c r="Y36" i="1" s="1"/>
  <c r="AO99" i="1"/>
  <c r="CG99" i="1"/>
  <c r="BX78" i="1"/>
  <c r="Q95" i="1"/>
  <c r="AB94" i="1"/>
  <c r="CQ94" i="1"/>
  <c r="P94" i="1" s="1"/>
  <c r="CS90" i="1"/>
  <c r="R90" i="1" s="1"/>
  <c r="GK90" i="1" s="1"/>
  <c r="CR90" i="1"/>
  <c r="Q90" i="1" s="1"/>
  <c r="CY86" i="1"/>
  <c r="X86" i="1" s="1"/>
  <c r="CZ86" i="1"/>
  <c r="Y86" i="1" s="1"/>
  <c r="P95" i="1"/>
  <c r="AB87" i="1"/>
  <c r="AB90" i="1"/>
  <c r="CQ90" i="1"/>
  <c r="P90" i="1" s="1"/>
  <c r="CY88" i="1"/>
  <c r="X88" i="1" s="1"/>
  <c r="CZ88" i="1"/>
  <c r="Y88" i="1" s="1"/>
  <c r="GP88" i="1" s="1"/>
  <c r="S95" i="1"/>
  <c r="CZ89" i="1"/>
  <c r="Y89" i="1" s="1"/>
  <c r="CZ93" i="1"/>
  <c r="Y93" i="1" s="1"/>
  <c r="AH99" i="1"/>
  <c r="BZ26" i="1"/>
  <c r="CI47" i="1"/>
  <c r="AQ47" i="1"/>
  <c r="AD95" i="1"/>
  <c r="AB95" i="1" s="1"/>
  <c r="AB88" i="1"/>
  <c r="CZ87" i="1"/>
  <c r="Y87" i="1" s="1"/>
  <c r="CY87" i="1"/>
  <c r="X87" i="1" s="1"/>
  <c r="GM87" i="1" s="1"/>
  <c r="CY84" i="1"/>
  <c r="X84" i="1" s="1"/>
  <c r="GP84" i="1" s="1"/>
  <c r="CZ84" i="1"/>
  <c r="Y84" i="1" s="1"/>
  <c r="CY81" i="1"/>
  <c r="X81" i="1" s="1"/>
  <c r="CZ81" i="1"/>
  <c r="Y81" i="1" s="1"/>
  <c r="CB99" i="1"/>
  <c r="AG99" i="1"/>
  <c r="GM91" i="1"/>
  <c r="CY90" i="1"/>
  <c r="X90" i="1" s="1"/>
  <c r="CZ90" i="1"/>
  <c r="Y90" i="1" s="1"/>
  <c r="T95" i="1"/>
  <c r="R93" i="1"/>
  <c r="GK93" i="1" s="1"/>
  <c r="GP91" i="1"/>
  <c r="CQ86" i="1"/>
  <c r="P86" i="1" s="1"/>
  <c r="CP85" i="1"/>
  <c r="O85" i="1" s="1"/>
  <c r="R95" i="1"/>
  <c r="GK95" i="1" s="1"/>
  <c r="GM89" i="1"/>
  <c r="BA47" i="1"/>
  <c r="CJ26" i="1"/>
  <c r="GX93" i="1"/>
  <c r="CJ99" i="1" s="1"/>
  <c r="CS92" i="1"/>
  <c r="R92" i="1" s="1"/>
  <c r="GK92" i="1" s="1"/>
  <c r="CR92" i="1"/>
  <c r="Q92" i="1" s="1"/>
  <c r="GP89" i="1"/>
  <c r="CY83" i="1"/>
  <c r="X83" i="1" s="1"/>
  <c r="CZ83" i="1"/>
  <c r="Y83" i="1" s="1"/>
  <c r="CP80" i="1"/>
  <c r="O80" i="1" s="1"/>
  <c r="AC99" i="1"/>
  <c r="CZ135" i="1"/>
  <c r="Y135" i="1" s="1"/>
  <c r="GP135" i="1" s="1"/>
  <c r="GX95" i="1"/>
  <c r="CS94" i="1"/>
  <c r="R94" i="1" s="1"/>
  <c r="GK94" i="1" s="1"/>
  <c r="CR94" i="1"/>
  <c r="Q94" i="1" s="1"/>
  <c r="CY92" i="1"/>
  <c r="X92" i="1" s="1"/>
  <c r="AD92" i="1"/>
  <c r="AB92" i="1" s="1"/>
  <c r="CP82" i="1"/>
  <c r="O82" i="1" s="1"/>
  <c r="GM37" i="1"/>
  <c r="GP37" i="1"/>
  <c r="CS88" i="1"/>
  <c r="R88" i="1" s="1"/>
  <c r="GK88" i="1" s="1"/>
  <c r="GM88" i="1" s="1"/>
  <c r="CR86" i="1"/>
  <c r="Q86" i="1" s="1"/>
  <c r="F56" i="1"/>
  <c r="CZ45" i="1"/>
  <c r="Y45" i="1" s="1"/>
  <c r="CP45" i="1"/>
  <c r="O45" i="1" s="1"/>
  <c r="CY43" i="1"/>
  <c r="X43" i="1" s="1"/>
  <c r="CZ43" i="1"/>
  <c r="Y43" i="1" s="1"/>
  <c r="GM43" i="1" s="1"/>
  <c r="CR40" i="1"/>
  <c r="Q40" i="1" s="1"/>
  <c r="CS40" i="1"/>
  <c r="R40" i="1" s="1"/>
  <c r="GK40" i="1" s="1"/>
  <c r="AD40" i="1"/>
  <c r="AB40" i="1" s="1"/>
  <c r="AB39" i="1"/>
  <c r="CY33" i="1"/>
  <c r="X33" i="1" s="1"/>
  <c r="GP33" i="1" s="1"/>
  <c r="CZ33" i="1"/>
  <c r="Y33" i="1" s="1"/>
  <c r="GM33" i="1" s="1"/>
  <c r="CR83" i="1"/>
  <c r="Q83" i="1" s="1"/>
  <c r="CY39" i="1"/>
  <c r="X39" i="1" s="1"/>
  <c r="GP39" i="1" s="1"/>
  <c r="CZ39" i="1"/>
  <c r="Y39" i="1" s="1"/>
  <c r="CY29" i="1"/>
  <c r="X29" i="1" s="1"/>
  <c r="GM29" i="1" s="1"/>
  <c r="CZ29" i="1"/>
  <c r="Y29" i="1" s="1"/>
  <c r="AF47" i="1"/>
  <c r="CY28" i="1"/>
  <c r="X28" i="1" s="1"/>
  <c r="CZ28" i="1"/>
  <c r="Y28" i="1" s="1"/>
  <c r="GP43" i="1"/>
  <c r="CP36" i="1"/>
  <c r="O36" i="1" s="1"/>
  <c r="AD87" i="1"/>
  <c r="AB82" i="1"/>
  <c r="CY42" i="1"/>
  <c r="X42" i="1" s="1"/>
  <c r="CZ42" i="1"/>
  <c r="Y42" i="1" s="1"/>
  <c r="CP31" i="1"/>
  <c r="O31" i="1" s="1"/>
  <c r="CY30" i="1"/>
  <c r="X30" i="1" s="1"/>
  <c r="AI47" i="1"/>
  <c r="CP28" i="1"/>
  <c r="O28" i="1" s="1"/>
  <c r="AC47" i="1"/>
  <c r="AT47" i="1"/>
  <c r="CR42" i="1"/>
  <c r="Q42" i="1" s="1"/>
  <c r="CS42" i="1"/>
  <c r="R42" i="1" s="1"/>
  <c r="GK42" i="1" s="1"/>
  <c r="AD42" i="1"/>
  <c r="AB42" i="1" s="1"/>
  <c r="AB32" i="1"/>
  <c r="CS87" i="1"/>
  <c r="R87" i="1" s="1"/>
  <c r="GK87" i="1" s="1"/>
  <c r="AS47" i="1"/>
  <c r="CY44" i="1"/>
  <c r="X44" i="1" s="1"/>
  <c r="CZ44" i="1"/>
  <c r="Y44" i="1" s="1"/>
  <c r="CP40" i="1"/>
  <c r="O40" i="1" s="1"/>
  <c r="CY38" i="1"/>
  <c r="X38" i="1" s="1"/>
  <c r="CZ38" i="1"/>
  <c r="Y38" i="1" s="1"/>
  <c r="CY35" i="1"/>
  <c r="X35" i="1" s="1"/>
  <c r="CZ35" i="1"/>
  <c r="Y35" i="1" s="1"/>
  <c r="CP30" i="1"/>
  <c r="O30" i="1" s="1"/>
  <c r="CR44" i="1"/>
  <c r="Q44" i="1" s="1"/>
  <c r="CP44" i="1" s="1"/>
  <c r="O44" i="1" s="1"/>
  <c r="CS44" i="1"/>
  <c r="R44" i="1" s="1"/>
  <c r="GK44" i="1" s="1"/>
  <c r="CY41" i="1"/>
  <c r="X41" i="1" s="1"/>
  <c r="CZ41" i="1"/>
  <c r="Y41" i="1" s="1"/>
  <c r="CR38" i="1"/>
  <c r="Q38" i="1" s="1"/>
  <c r="CP38" i="1" s="1"/>
  <c r="O38" i="1" s="1"/>
  <c r="CS38" i="1"/>
  <c r="R38" i="1" s="1"/>
  <c r="GK38" i="1" s="1"/>
  <c r="AD38" i="1"/>
  <c r="AB38" i="1" s="1"/>
  <c r="CY31" i="1"/>
  <c r="X31" i="1" s="1"/>
  <c r="CZ31" i="1"/>
  <c r="Y31" i="1" s="1"/>
  <c r="F60" i="1"/>
  <c r="AO47" i="1"/>
  <c r="CG47" i="1"/>
  <c r="BX26" i="1"/>
  <c r="CY37" i="1"/>
  <c r="X37" i="1" s="1"/>
  <c r="CZ37" i="1"/>
  <c r="Y37" i="1" s="1"/>
  <c r="GP35" i="1"/>
  <c r="CY32" i="1"/>
  <c r="X32" i="1" s="1"/>
  <c r="GM32" i="1" s="1"/>
  <c r="AG47" i="1"/>
  <c r="AD86" i="1"/>
  <c r="AB86" i="1" s="1"/>
  <c r="BC47" i="1"/>
  <c r="CY34" i="1"/>
  <c r="X34" i="1" s="1"/>
  <c r="CZ34" i="1"/>
  <c r="Y34" i="1" s="1"/>
  <c r="GK28" i="1"/>
  <c r="AE47" i="1"/>
  <c r="GM41" i="1"/>
  <c r="GP41" i="1"/>
  <c r="GP32" i="1"/>
  <c r="GP29" i="1"/>
  <c r="AJ47" i="1"/>
  <c r="AB83" i="1"/>
  <c r="CP42" i="1"/>
  <c r="O42" i="1" s="1"/>
  <c r="CY40" i="1"/>
  <c r="X40" i="1" s="1"/>
  <c r="CZ40" i="1"/>
  <c r="Y40" i="1" s="1"/>
  <c r="GM35" i="1"/>
  <c r="CP34" i="1"/>
  <c r="O34" i="1" s="1"/>
  <c r="CS29" i="1"/>
  <c r="R29" i="1" s="1"/>
  <c r="GK29" i="1" s="1"/>
  <c r="AB29" i="1"/>
  <c r="AB44" i="1"/>
  <c r="AD36" i="1"/>
  <c r="AB36" i="1" s="1"/>
  <c r="AD34" i="1"/>
  <c r="U35" i="1"/>
  <c r="AH47" i="1" s="1"/>
  <c r="AB34" i="1"/>
  <c r="AD32" i="1"/>
  <c r="AD30" i="1"/>
  <c r="AB30" i="1" s="1"/>
  <c r="CS32" i="1"/>
  <c r="R32" i="1" s="1"/>
  <c r="GK32" i="1" s="1"/>
  <c r="CS30" i="1"/>
  <c r="R30" i="1" s="1"/>
  <c r="AD28" i="1"/>
  <c r="AB28" i="1" s="1"/>
  <c r="AB45" i="1"/>
  <c r="AD43" i="1"/>
  <c r="AB43" i="1" s="1"/>
  <c r="AD41" i="1"/>
  <c r="AB41" i="1" s="1"/>
  <c r="AD39" i="1"/>
  <c r="AD37" i="1"/>
  <c r="AB37" i="1" s="1"/>
  <c r="GP143" i="1" l="1"/>
  <c r="GM143" i="1"/>
  <c r="AJ130" i="1"/>
  <c r="W162" i="1"/>
  <c r="BA99" i="1"/>
  <c r="CJ78" i="1"/>
  <c r="GM142" i="1"/>
  <c r="GP142" i="1"/>
  <c r="AH26" i="1"/>
  <c r="U47" i="1"/>
  <c r="GP251" i="1"/>
  <c r="GM251" i="1"/>
  <c r="GM145" i="1"/>
  <c r="GP145" i="1"/>
  <c r="GM93" i="1"/>
  <c r="GP93" i="1"/>
  <c r="T162" i="1"/>
  <c r="AG130" i="1"/>
  <c r="GP141" i="1"/>
  <c r="GM141" i="1"/>
  <c r="AL99" i="1"/>
  <c r="AD130" i="1"/>
  <c r="Q162" i="1"/>
  <c r="AF130" i="1"/>
  <c r="S162" i="1"/>
  <c r="CJ130" i="1"/>
  <c r="BA162" i="1"/>
  <c r="GP213" i="1"/>
  <c r="GM213" i="1"/>
  <c r="GM206" i="1"/>
  <c r="GP206" i="1"/>
  <c r="GM38" i="1"/>
  <c r="GP38" i="1"/>
  <c r="GP155" i="1"/>
  <c r="GM155" i="1"/>
  <c r="GM208" i="1"/>
  <c r="GP208" i="1"/>
  <c r="AG193" i="1"/>
  <c r="T217" i="1"/>
  <c r="GM210" i="1"/>
  <c r="GP210" i="1"/>
  <c r="U162" i="1"/>
  <c r="AH130" i="1"/>
  <c r="GM44" i="1"/>
  <c r="GP44" i="1"/>
  <c r="V162" i="1"/>
  <c r="AI130" i="1"/>
  <c r="AE248" i="1"/>
  <c r="R254" i="1"/>
  <c r="CG26" i="1"/>
  <c r="AX47" i="1"/>
  <c r="GP153" i="1"/>
  <c r="GM153" i="1"/>
  <c r="BC26" i="1"/>
  <c r="F63" i="1"/>
  <c r="BC283" i="1"/>
  <c r="GM36" i="1"/>
  <c r="GP36" i="1"/>
  <c r="CP83" i="1"/>
  <c r="O83" i="1" s="1"/>
  <c r="AD99" i="1"/>
  <c r="GM39" i="1"/>
  <c r="GM84" i="1"/>
  <c r="CG78" i="1"/>
  <c r="AX99" i="1"/>
  <c r="GM134" i="1"/>
  <c r="GP134" i="1"/>
  <c r="GM135" i="1"/>
  <c r="GM149" i="1"/>
  <c r="AZ162" i="1"/>
  <c r="CI130" i="1"/>
  <c r="GP151" i="1"/>
  <c r="GM151" i="1"/>
  <c r="F274" i="1"/>
  <c r="BA248" i="1"/>
  <c r="S254" i="1"/>
  <c r="AF248" i="1"/>
  <c r="AQ130" i="1"/>
  <c r="F172" i="1"/>
  <c r="AQ78" i="1"/>
  <c r="F109" i="1"/>
  <c r="GP158" i="1"/>
  <c r="GM158" i="1"/>
  <c r="GP198" i="1"/>
  <c r="GM198" i="1"/>
  <c r="AC217" i="1"/>
  <c r="CP195" i="1"/>
  <c r="O195" i="1" s="1"/>
  <c r="AH193" i="1"/>
  <c r="U217" i="1"/>
  <c r="CI193" i="1"/>
  <c r="AZ217" i="1"/>
  <c r="AS193" i="1"/>
  <c r="F234" i="1"/>
  <c r="F278" i="1"/>
  <c r="W248" i="1"/>
  <c r="AQ26" i="1"/>
  <c r="F57" i="1"/>
  <c r="AQ283" i="1"/>
  <c r="GM80" i="1"/>
  <c r="GP80" i="1"/>
  <c r="CY154" i="1"/>
  <c r="X154" i="1" s="1"/>
  <c r="CZ154" i="1"/>
  <c r="Y154" i="1" s="1"/>
  <c r="GP157" i="1"/>
  <c r="GM157" i="1"/>
  <c r="AP130" i="1"/>
  <c r="F171" i="1"/>
  <c r="GP140" i="1"/>
  <c r="GM140" i="1"/>
  <c r="AL162" i="1"/>
  <c r="AS130" i="1"/>
  <c r="F179" i="1"/>
  <c r="F275" i="1"/>
  <c r="T248" i="1"/>
  <c r="AS248" i="1"/>
  <c r="F271" i="1"/>
  <c r="AJ193" i="1"/>
  <c r="W217" i="1"/>
  <c r="AP193" i="1"/>
  <c r="F226" i="1"/>
  <c r="AF193" i="1"/>
  <c r="S217" i="1"/>
  <c r="AC78" i="1"/>
  <c r="CE99" i="1"/>
  <c r="CH99" i="1"/>
  <c r="P99" i="1"/>
  <c r="CF99" i="1"/>
  <c r="AG26" i="1"/>
  <c r="T47" i="1"/>
  <c r="GM147" i="1"/>
  <c r="GP147" i="1"/>
  <c r="GM28" i="1"/>
  <c r="AB47" i="1"/>
  <c r="GP28" i="1"/>
  <c r="T99" i="1"/>
  <c r="AG78" i="1"/>
  <c r="F227" i="1"/>
  <c r="AQ193" i="1"/>
  <c r="GP199" i="1"/>
  <c r="GM199" i="1"/>
  <c r="GP160" i="1"/>
  <c r="GM160" i="1"/>
  <c r="AT193" i="1"/>
  <c r="F235" i="1"/>
  <c r="AO78" i="1"/>
  <c r="F103" i="1"/>
  <c r="CI26" i="1"/>
  <c r="AZ47" i="1"/>
  <c r="GM40" i="1"/>
  <c r="GP40" i="1"/>
  <c r="AI26" i="1"/>
  <c r="V47" i="1"/>
  <c r="AK47" i="1"/>
  <c r="GM82" i="1"/>
  <c r="GP82" i="1"/>
  <c r="GM85" i="1"/>
  <c r="GP85" i="1"/>
  <c r="CB78" i="1"/>
  <c r="AS99" i="1"/>
  <c r="AH78" i="1"/>
  <c r="U99" i="1"/>
  <c r="GM81" i="1"/>
  <c r="GP81" i="1"/>
  <c r="W78" i="1"/>
  <c r="F123" i="1"/>
  <c r="F233" i="1"/>
  <c r="BC193" i="1"/>
  <c r="AE217" i="1"/>
  <c r="GK195" i="1"/>
  <c r="AO193" i="1"/>
  <c r="F221" i="1"/>
  <c r="AC26" i="1"/>
  <c r="P47" i="1"/>
  <c r="CH47" i="1"/>
  <c r="CE47" i="1"/>
  <c r="CF47" i="1"/>
  <c r="AL47" i="1"/>
  <c r="GM34" i="1"/>
  <c r="GP34" i="1"/>
  <c r="AF26" i="1"/>
  <c r="S47" i="1"/>
  <c r="CP86" i="1"/>
  <c r="O86" i="1" s="1"/>
  <c r="CP92" i="1"/>
  <c r="O92" i="1" s="1"/>
  <c r="CP146" i="1"/>
  <c r="O146" i="1" s="1"/>
  <c r="AD217" i="1"/>
  <c r="CP202" i="1"/>
  <c r="O202" i="1" s="1"/>
  <c r="AT130" i="1"/>
  <c r="F180" i="1"/>
  <c r="AX217" i="1"/>
  <c r="CG193" i="1"/>
  <c r="GP214" i="1"/>
  <c r="CE254" i="1"/>
  <c r="CF254" i="1"/>
  <c r="CH254" i="1"/>
  <c r="AC248" i="1"/>
  <c r="P254" i="1"/>
  <c r="GM148" i="1"/>
  <c r="GP148" i="1"/>
  <c r="CP95" i="1"/>
  <c r="O95" i="1" s="1"/>
  <c r="AS26" i="1"/>
  <c r="F64" i="1"/>
  <c r="AS283" i="1"/>
  <c r="GP31" i="1"/>
  <c r="GM31" i="1"/>
  <c r="AE99" i="1"/>
  <c r="CP154" i="1"/>
  <c r="O154" i="1" s="1"/>
  <c r="AP78" i="1"/>
  <c r="F108" i="1"/>
  <c r="AP283" i="1"/>
  <c r="GP132" i="1"/>
  <c r="GM132" i="1"/>
  <c r="AE162" i="1"/>
  <c r="CY205" i="1"/>
  <c r="X205" i="1" s="1"/>
  <c r="GM205" i="1" s="1"/>
  <c r="CZ205" i="1"/>
  <c r="Y205" i="1" s="1"/>
  <c r="AL217" i="1" s="1"/>
  <c r="F272" i="1"/>
  <c r="AT248" i="1"/>
  <c r="GM250" i="1"/>
  <c r="AB254" i="1"/>
  <c r="GP250" i="1"/>
  <c r="AE26" i="1"/>
  <c r="R47" i="1"/>
  <c r="GM133" i="1"/>
  <c r="GP133" i="1"/>
  <c r="GP144" i="1"/>
  <c r="GM144" i="1"/>
  <c r="AC162" i="1"/>
  <c r="GP197" i="1"/>
  <c r="GM197" i="1"/>
  <c r="GM203" i="1"/>
  <c r="GP203" i="1"/>
  <c r="AD254" i="1"/>
  <c r="CI248" i="1"/>
  <c r="AZ254" i="1"/>
  <c r="CP94" i="1"/>
  <c r="O94" i="1" s="1"/>
  <c r="CI78" i="1"/>
  <c r="AZ99" i="1"/>
  <c r="GM137" i="1"/>
  <c r="GP137" i="1"/>
  <c r="GM200" i="1"/>
  <c r="GP200" i="1"/>
  <c r="GM156" i="1"/>
  <c r="AT26" i="1"/>
  <c r="F65" i="1"/>
  <c r="AT283" i="1"/>
  <c r="CY95" i="1"/>
  <c r="X95" i="1" s="1"/>
  <c r="AK99" i="1" s="1"/>
  <c r="CZ95" i="1"/>
  <c r="Y95" i="1" s="1"/>
  <c r="GM42" i="1"/>
  <c r="GP42" i="1"/>
  <c r="BC78" i="1"/>
  <c r="F115" i="1"/>
  <c r="BB193" i="1"/>
  <c r="BB283" i="1"/>
  <c r="F230" i="1"/>
  <c r="GM159" i="1"/>
  <c r="AI193" i="1"/>
  <c r="V217" i="1"/>
  <c r="GM212" i="1"/>
  <c r="GP212" i="1"/>
  <c r="AI248" i="1"/>
  <c r="V254" i="1"/>
  <c r="F264" i="1"/>
  <c r="AQ248" i="1"/>
  <c r="F263" i="1"/>
  <c r="AP248" i="1"/>
  <c r="V78" i="1"/>
  <c r="F122" i="1"/>
  <c r="GM30" i="1"/>
  <c r="GP30" i="1"/>
  <c r="AF99" i="1"/>
  <c r="F67" i="1"/>
  <c r="BA26" i="1"/>
  <c r="BA283" i="1"/>
  <c r="GP87" i="1"/>
  <c r="CY152" i="1"/>
  <c r="X152" i="1" s="1"/>
  <c r="AK162" i="1" s="1"/>
  <c r="CZ152" i="1"/>
  <c r="Y152" i="1" s="1"/>
  <c r="GM150" i="1"/>
  <c r="BA193" i="1"/>
  <c r="F237" i="1"/>
  <c r="AL254" i="1"/>
  <c r="F276" i="1"/>
  <c r="U248" i="1"/>
  <c r="AO26" i="1"/>
  <c r="F51" i="1"/>
  <c r="AO283" i="1"/>
  <c r="GM45" i="1"/>
  <c r="GP45" i="1"/>
  <c r="AJ26" i="1"/>
  <c r="W47" i="1"/>
  <c r="AD47" i="1"/>
  <c r="CP90" i="1"/>
  <c r="O90" i="1" s="1"/>
  <c r="GM138" i="1"/>
  <c r="GP138" i="1"/>
  <c r="BC130" i="1"/>
  <c r="F178" i="1"/>
  <c r="CP201" i="1"/>
  <c r="O201" i="1" s="1"/>
  <c r="GM252" i="1"/>
  <c r="GP252" i="1"/>
  <c r="AK254" i="1"/>
  <c r="CG248" i="1"/>
  <c r="AX254" i="1"/>
  <c r="CG130" i="1"/>
  <c r="AX162" i="1"/>
  <c r="AL193" i="1" l="1"/>
  <c r="Y217" i="1"/>
  <c r="X162" i="1"/>
  <c r="AK130" i="1"/>
  <c r="AK78" i="1"/>
  <c r="X99" i="1"/>
  <c r="AS22" i="1"/>
  <c r="AS312" i="1"/>
  <c r="F300" i="1"/>
  <c r="E16" i="2" s="1"/>
  <c r="AL130" i="1"/>
  <c r="Y162" i="1"/>
  <c r="V193" i="1"/>
  <c r="F240" i="1"/>
  <c r="AT22" i="1"/>
  <c r="F301" i="1"/>
  <c r="F16" i="2" s="1"/>
  <c r="F18" i="2" s="1"/>
  <c r="AT312" i="1"/>
  <c r="AP22" i="1"/>
  <c r="F292" i="1"/>
  <c r="G16" i="2" s="1"/>
  <c r="G18" i="2" s="1"/>
  <c r="AP312" i="1"/>
  <c r="AD193" i="1"/>
  <c r="Q217" i="1"/>
  <c r="P26" i="1"/>
  <c r="F50" i="1"/>
  <c r="F241" i="1"/>
  <c r="W193" i="1"/>
  <c r="GM83" i="1"/>
  <c r="GP83" i="1"/>
  <c r="U78" i="1"/>
  <c r="F121" i="1"/>
  <c r="V130" i="1"/>
  <c r="F185" i="1"/>
  <c r="F174" i="1"/>
  <c r="Q130" i="1"/>
  <c r="AK217" i="1"/>
  <c r="AZ26" i="1"/>
  <c r="F58" i="1"/>
  <c r="AZ283" i="1"/>
  <c r="F102" i="1"/>
  <c r="P78" i="1"/>
  <c r="F173" i="1"/>
  <c r="AZ130" i="1"/>
  <c r="U26" i="1"/>
  <c r="F69" i="1"/>
  <c r="U283" i="1"/>
  <c r="AL248" i="1"/>
  <c r="Y254" i="1"/>
  <c r="GM146" i="1"/>
  <c r="GP146" i="1"/>
  <c r="CF78" i="1"/>
  <c r="AW99" i="1"/>
  <c r="GM90" i="1"/>
  <c r="GP90" i="1"/>
  <c r="AD248" i="1"/>
  <c r="Q254" i="1"/>
  <c r="AD26" i="1"/>
  <c r="Q47" i="1"/>
  <c r="GP154" i="1"/>
  <c r="CD162" i="1" s="1"/>
  <c r="GM154" i="1"/>
  <c r="AY254" i="1"/>
  <c r="CH248" i="1"/>
  <c r="GM152" i="1"/>
  <c r="Y99" i="1"/>
  <c r="AL78" i="1"/>
  <c r="AE78" i="1"/>
  <c r="R99" i="1"/>
  <c r="AW254" i="1"/>
  <c r="CF248" i="1"/>
  <c r="S26" i="1"/>
  <c r="F62" i="1"/>
  <c r="S283" i="1"/>
  <c r="AV99" i="1"/>
  <c r="CE78" i="1"/>
  <c r="GP152" i="1"/>
  <c r="CD254" i="1"/>
  <c r="AX130" i="1"/>
  <c r="F169" i="1"/>
  <c r="AB248" i="1"/>
  <c r="O254" i="1"/>
  <c r="CA254" i="1"/>
  <c r="GM86" i="1"/>
  <c r="GP86" i="1"/>
  <c r="CD99" i="1" s="1"/>
  <c r="AS78" i="1"/>
  <c r="F116" i="1"/>
  <c r="CH78" i="1"/>
  <c r="AY99" i="1"/>
  <c r="AZ193" i="1"/>
  <c r="F228" i="1"/>
  <c r="BC22" i="1"/>
  <c r="BC312" i="1"/>
  <c r="F299" i="1"/>
  <c r="AX248" i="1"/>
  <c r="F261" i="1"/>
  <c r="W26" i="1"/>
  <c r="F71" i="1"/>
  <c r="W283" i="1"/>
  <c r="BB22" i="1"/>
  <c r="BB312" i="1"/>
  <c r="F296" i="1"/>
  <c r="AV254" i="1"/>
  <c r="CE248" i="1"/>
  <c r="T78" i="1"/>
  <c r="F120" i="1"/>
  <c r="AB99" i="1"/>
  <c r="U193" i="1"/>
  <c r="F239" i="1"/>
  <c r="U130" i="1"/>
  <c r="F184" i="1"/>
  <c r="P248" i="1"/>
  <c r="F257" i="1"/>
  <c r="GM92" i="1"/>
  <c r="GP92" i="1"/>
  <c r="AK248" i="1"/>
  <c r="X254" i="1"/>
  <c r="AC130" i="1"/>
  <c r="P162" i="1"/>
  <c r="P283" i="1" s="1"/>
  <c r="CE162" i="1"/>
  <c r="CF162" i="1"/>
  <c r="CH162" i="1"/>
  <c r="AE193" i="1"/>
  <c r="R217" i="1"/>
  <c r="CD47" i="1"/>
  <c r="GP205" i="1"/>
  <c r="CA99" i="1"/>
  <c r="GM195" i="1"/>
  <c r="GP195" i="1"/>
  <c r="AB217" i="1"/>
  <c r="AX78" i="1"/>
  <c r="F106" i="1"/>
  <c r="T130" i="1"/>
  <c r="F183" i="1"/>
  <c r="F119" i="1"/>
  <c r="BA78" i="1"/>
  <c r="AO22" i="1"/>
  <c r="F287" i="1"/>
  <c r="AO312" i="1"/>
  <c r="F277" i="1"/>
  <c r="V248" i="1"/>
  <c r="AX193" i="1"/>
  <c r="F224" i="1"/>
  <c r="F232" i="1"/>
  <c r="S193" i="1"/>
  <c r="AQ22" i="1"/>
  <c r="AQ312" i="1"/>
  <c r="F293" i="1"/>
  <c r="AC193" i="1"/>
  <c r="CH217" i="1"/>
  <c r="P217" i="1"/>
  <c r="CE217" i="1"/>
  <c r="CF217" i="1"/>
  <c r="S248" i="1"/>
  <c r="F269" i="1"/>
  <c r="AX26" i="1"/>
  <c r="F54" i="1"/>
  <c r="AX283" i="1"/>
  <c r="T193" i="1"/>
  <c r="F238" i="1"/>
  <c r="W130" i="1"/>
  <c r="F186" i="1"/>
  <c r="AL26" i="1"/>
  <c r="Y47" i="1"/>
  <c r="BA22" i="1"/>
  <c r="F303" i="1"/>
  <c r="BA312" i="1"/>
  <c r="AZ78" i="1"/>
  <c r="F110" i="1"/>
  <c r="CA47" i="1"/>
  <c r="AK26" i="1"/>
  <c r="X47" i="1"/>
  <c r="GM94" i="1"/>
  <c r="GP94" i="1"/>
  <c r="CA162" i="1"/>
  <c r="GM95" i="1"/>
  <c r="GP95" i="1"/>
  <c r="CE26" i="1"/>
  <c r="AV47" i="1"/>
  <c r="V26" i="1"/>
  <c r="F70" i="1"/>
  <c r="V283" i="1"/>
  <c r="R248" i="1"/>
  <c r="F268" i="1"/>
  <c r="AB26" i="1"/>
  <c r="O47" i="1"/>
  <c r="AE130" i="1"/>
  <c r="R162" i="1"/>
  <c r="R283" i="1" s="1"/>
  <c r="GM201" i="1"/>
  <c r="GP201" i="1"/>
  <c r="AB162" i="1"/>
  <c r="CF26" i="1"/>
  <c r="AW47" i="1"/>
  <c r="BA130" i="1"/>
  <c r="F182" i="1"/>
  <c r="AF78" i="1"/>
  <c r="S99" i="1"/>
  <c r="AZ248" i="1"/>
  <c r="F265" i="1"/>
  <c r="R26" i="1"/>
  <c r="F61" i="1"/>
  <c r="GM202" i="1"/>
  <c r="GP202" i="1"/>
  <c r="CH26" i="1"/>
  <c r="AY47" i="1"/>
  <c r="T26" i="1"/>
  <c r="F68" i="1"/>
  <c r="T283" i="1"/>
  <c r="AD78" i="1"/>
  <c r="Q99" i="1"/>
  <c r="S130" i="1"/>
  <c r="F177" i="1"/>
  <c r="CD78" i="1" l="1"/>
  <c r="AU99" i="1"/>
  <c r="P22" i="1"/>
  <c r="P312" i="1"/>
  <c r="F286" i="1"/>
  <c r="CD130" i="1"/>
  <c r="AU162" i="1"/>
  <c r="R22" i="1"/>
  <c r="R312" i="1"/>
  <c r="F297" i="1"/>
  <c r="T22" i="1"/>
  <c r="F304" i="1"/>
  <c r="T312" i="1"/>
  <c r="CH193" i="1"/>
  <c r="AY217" i="1"/>
  <c r="V22" i="1"/>
  <c r="F306" i="1"/>
  <c r="V312" i="1"/>
  <c r="CA26" i="1"/>
  <c r="AR47" i="1"/>
  <c r="AX22" i="1"/>
  <c r="AX312" i="1"/>
  <c r="F290" i="1"/>
  <c r="W22" i="1"/>
  <c r="F307" i="1"/>
  <c r="W312" i="1"/>
  <c r="AV78" i="1"/>
  <c r="F104" i="1"/>
  <c r="AY248" i="1"/>
  <c r="F262" i="1"/>
  <c r="CF130" i="1"/>
  <c r="AW162" i="1"/>
  <c r="AV26" i="1"/>
  <c r="F52" i="1"/>
  <c r="AV283" i="1"/>
  <c r="Q26" i="1"/>
  <c r="F59" i="1"/>
  <c r="Q283" i="1"/>
  <c r="F229" i="1"/>
  <c r="Q193" i="1"/>
  <c r="E18" i="2"/>
  <c r="AK193" i="1"/>
  <c r="X217" i="1"/>
  <c r="BA18" i="1"/>
  <c r="F332" i="1"/>
  <c r="U22" i="1"/>
  <c r="F305" i="1"/>
  <c r="U312" i="1"/>
  <c r="AB193" i="1"/>
  <c r="O217" i="1"/>
  <c r="P130" i="1"/>
  <c r="F165" i="1"/>
  <c r="AB78" i="1"/>
  <c r="O99" i="1"/>
  <c r="AR254" i="1"/>
  <c r="CA248" i="1"/>
  <c r="AS18" i="1"/>
  <c r="F329" i="1"/>
  <c r="CH130" i="1"/>
  <c r="AY162" i="1"/>
  <c r="Y248" i="1"/>
  <c r="F280" i="1"/>
  <c r="AB130" i="1"/>
  <c r="O162" i="1"/>
  <c r="CE130" i="1"/>
  <c r="AV162" i="1"/>
  <c r="CF193" i="1"/>
  <c r="AW217" i="1"/>
  <c r="CD217" i="1"/>
  <c r="O248" i="1"/>
  <c r="F256" i="1"/>
  <c r="AW248" i="1"/>
  <c r="F260" i="1"/>
  <c r="Q248" i="1"/>
  <c r="F266" i="1"/>
  <c r="AP18" i="1"/>
  <c r="F321" i="1"/>
  <c r="S22" i="1"/>
  <c r="S312" i="1"/>
  <c r="F298" i="1"/>
  <c r="J16" i="2" s="1"/>
  <c r="J18" i="2" s="1"/>
  <c r="F188" i="1"/>
  <c r="Y130" i="1"/>
  <c r="Q78" i="1"/>
  <c r="F111" i="1"/>
  <c r="R130" i="1"/>
  <c r="F176" i="1"/>
  <c r="Y26" i="1"/>
  <c r="F73" i="1"/>
  <c r="Y283" i="1"/>
  <c r="AV217" i="1"/>
  <c r="CE193" i="1"/>
  <c r="CA217" i="1"/>
  <c r="F279" i="1"/>
  <c r="X248" i="1"/>
  <c r="BC18" i="1"/>
  <c r="F328" i="1"/>
  <c r="R78" i="1"/>
  <c r="F113" i="1"/>
  <c r="X78" i="1"/>
  <c r="F124" i="1"/>
  <c r="AW26" i="1"/>
  <c r="F53" i="1"/>
  <c r="P193" i="1"/>
  <c r="F220" i="1"/>
  <c r="O26" i="1"/>
  <c r="F49" i="1"/>
  <c r="F114" i="1"/>
  <c r="S78" i="1"/>
  <c r="CA130" i="1"/>
  <c r="AR162" i="1"/>
  <c r="AO18" i="1"/>
  <c r="F316" i="1"/>
  <c r="Y78" i="1"/>
  <c r="F125" i="1"/>
  <c r="AW78" i="1"/>
  <c r="F105" i="1"/>
  <c r="X130" i="1"/>
  <c r="F187" i="1"/>
  <c r="X26" i="1"/>
  <c r="F72" i="1"/>
  <c r="X283" i="1"/>
  <c r="BB18" i="1"/>
  <c r="F325" i="1"/>
  <c r="F107" i="1"/>
  <c r="AY78" i="1"/>
  <c r="AZ22" i="1"/>
  <c r="AZ312" i="1"/>
  <c r="F294" i="1"/>
  <c r="F243" i="1"/>
  <c r="Y193" i="1"/>
  <c r="CA78" i="1"/>
  <c r="AR99" i="1"/>
  <c r="AV248" i="1"/>
  <c r="F259" i="1"/>
  <c r="AT18" i="1"/>
  <c r="F330" i="1"/>
  <c r="AU254" i="1"/>
  <c r="CD248" i="1"/>
  <c r="CD26" i="1"/>
  <c r="AU47" i="1"/>
  <c r="F55" i="1"/>
  <c r="AY26" i="1"/>
  <c r="AY283" i="1"/>
  <c r="AQ18" i="1"/>
  <c r="F322" i="1"/>
  <c r="R193" i="1"/>
  <c r="F231" i="1"/>
  <c r="AR217" i="1" l="1"/>
  <c r="CA193" i="1"/>
  <c r="AW193" i="1"/>
  <c r="F223" i="1"/>
  <c r="R18" i="1"/>
  <c r="F326" i="1"/>
  <c r="AV22" i="1"/>
  <c r="AV312" i="1"/>
  <c r="F288" i="1"/>
  <c r="AW283" i="1"/>
  <c r="S18" i="1"/>
  <c r="F327" i="1"/>
  <c r="AR248" i="1"/>
  <c r="F281" i="1"/>
  <c r="X193" i="1"/>
  <c r="F242" i="1"/>
  <c r="AW130" i="1"/>
  <c r="F168" i="1"/>
  <c r="AR26" i="1"/>
  <c r="F74" i="1"/>
  <c r="AR283" i="1"/>
  <c r="CD193" i="1"/>
  <c r="AU217" i="1"/>
  <c r="AX18" i="1"/>
  <c r="F319" i="1"/>
  <c r="F273" i="1"/>
  <c r="AU248" i="1"/>
  <c r="AV193" i="1"/>
  <c r="F222" i="1"/>
  <c r="AV130" i="1"/>
  <c r="F167" i="1"/>
  <c r="O78" i="1"/>
  <c r="F101" i="1"/>
  <c r="AU130" i="1"/>
  <c r="F181" i="1"/>
  <c r="AU26" i="1"/>
  <c r="F66" i="1"/>
  <c r="Y22" i="1"/>
  <c r="F309" i="1"/>
  <c r="Y312" i="1"/>
  <c r="V18" i="1"/>
  <c r="F335" i="1"/>
  <c r="AZ18" i="1"/>
  <c r="F323" i="1"/>
  <c r="AR130" i="1"/>
  <c r="F189" i="1"/>
  <c r="F126" i="1"/>
  <c r="AR78" i="1"/>
  <c r="O193" i="1"/>
  <c r="F219" i="1"/>
  <c r="AY193" i="1"/>
  <c r="F225" i="1"/>
  <c r="P18" i="1"/>
  <c r="F315" i="1"/>
  <c r="Q22" i="1"/>
  <c r="Q312" i="1"/>
  <c r="F295" i="1"/>
  <c r="W18" i="1"/>
  <c r="F336" i="1"/>
  <c r="AU78" i="1"/>
  <c r="F118" i="1"/>
  <c r="O130" i="1"/>
  <c r="F164" i="1"/>
  <c r="X22" i="1"/>
  <c r="X312" i="1"/>
  <c r="F308" i="1"/>
  <c r="AY22" i="1"/>
  <c r="AY312" i="1"/>
  <c r="F291" i="1"/>
  <c r="O283" i="1"/>
  <c r="AY130" i="1"/>
  <c r="F170" i="1"/>
  <c r="U18" i="1"/>
  <c r="F334" i="1"/>
  <c r="T18" i="1"/>
  <c r="F333" i="1"/>
  <c r="Q18" i="1" l="1"/>
  <c r="F324" i="1"/>
  <c r="AW22" i="1"/>
  <c r="AW312" i="1"/>
  <c r="F289" i="1"/>
  <c r="AV18" i="1"/>
  <c r="F317" i="1"/>
  <c r="AU193" i="1"/>
  <c r="F236" i="1"/>
  <c r="AY18" i="1"/>
  <c r="F320" i="1"/>
  <c r="O22" i="1"/>
  <c r="O312" i="1"/>
  <c r="F285" i="1"/>
  <c r="X18" i="1"/>
  <c r="F337" i="1"/>
  <c r="Y18" i="1"/>
  <c r="F338" i="1"/>
  <c r="AU283" i="1"/>
  <c r="AR22" i="1"/>
  <c r="AR312" i="1"/>
  <c r="F310" i="1"/>
  <c r="AR193" i="1"/>
  <c r="F244" i="1"/>
  <c r="AU22" i="1" l="1"/>
  <c r="AU312" i="1"/>
  <c r="F302" i="1"/>
  <c r="H16" i="2" s="1"/>
  <c r="AR18" i="1"/>
  <c r="F339" i="1"/>
  <c r="AW18" i="1"/>
  <c r="F318" i="1"/>
  <c r="O18" i="1"/>
  <c r="F314" i="1"/>
  <c r="F340" i="1" l="1"/>
  <c r="F341" i="1"/>
  <c r="H18" i="2"/>
  <c r="I16" i="2"/>
  <c r="I18" i="2" s="1"/>
  <c r="AU18" i="1"/>
  <c r="F331" i="1"/>
</calcChain>
</file>

<file path=xl/sharedStrings.xml><?xml version="1.0" encoding="utf-8"?>
<sst xmlns="http://schemas.openxmlformats.org/spreadsheetml/2006/main" count="7868" uniqueCount="498">
  <si>
    <t>Smeta.RU  (495) 974-1589</t>
  </si>
  <si>
    <t>_PS_</t>
  </si>
  <si>
    <t>Smeta.RU</t>
  </si>
  <si>
    <t/>
  </si>
  <si>
    <t>++3 - Замена ограждения ГБПОУ МКАГ - ул. 12-я Парковая, д.13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</si>
  <si>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</si>
  <si>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</si>
  <si>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</si>
  <si>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</si>
  <si>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</si>
  <si>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</si>
  <si>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</si>
  <si>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</si>
  <si>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Установка ограждения - Участок 1</t>
  </si>
  <si>
    <t>1</t>
  </si>
  <si>
    <t>2.49-3201-14-1/1</t>
  </si>
  <si>
    <t>Разработка грунта вручную в траншеях глубиной до 2 м без креплений с откосами, группа грунтов 1-3</t>
  </si>
  <si>
    <t>100 м3</t>
  </si>
  <si>
    <t>СН-2012-2021.2. Доп.1. Сб.49-3201-14-1/1</t>
  </si>
  <si>
    <t>СН-2012</t>
  </si>
  <si>
    <t>Подрядные работы, гл. 1-5,7</t>
  </si>
  <si>
    <t>работа</t>
  </si>
  <si>
    <t>2</t>
  </si>
  <si>
    <t>1.1-3101-6-1/1</t>
  </si>
  <si>
    <t>Погрузка грунта вручную в автомобили-самосвалы с выгрузкой</t>
  </si>
  <si>
    <t>СН-2012-2021.1. Доп.1. Сб.1-3101-6-1/1</t>
  </si>
  <si>
    <t>3</t>
  </si>
  <si>
    <t>2.49-3401-1-1/1</t>
  </si>
  <si>
    <t>Перевозка грунта автосамосвалами грузоподъемностью до 10 т на расстояние 1 км</t>
  </si>
  <si>
    <t>м3</t>
  </si>
  <si>
    <t>СН-2012-2021.2. Доп.1. Сб.49-3401-1-1/1</t>
  </si>
  <si>
    <t>Подрядные работы, гл. 1 перевозка мусора</t>
  </si>
  <si>
    <t>4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</si>
  <si>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</si>
  <si>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</si>
  <si>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СН-2012-2021.2. Доп.1. Сб.49-3401-1-2/1</t>
  </si>
  <si>
    <t>)*32</t>
  </si>
  <si>
    <t>5</t>
  </si>
  <si>
    <t>5.3-5202-3-3/1</t>
  </si>
  <si>
    <t>Устройство вручную набивных дорожек и площадок с добавлением щебня слоем 20 см (подушки под столбы)</t>
  </si>
  <si>
    <t>м2</t>
  </si>
  <si>
    <t>СН-2012-2021.5. Доп.1. Сб.3-5202-3-3/1</t>
  </si>
  <si>
    <t>6</t>
  </si>
  <si>
    <t>5.3-5202-2-1/1</t>
  </si>
  <si>
    <t>Устройство основания из песка толщиной 10 см для дорожек и площадок вручную (подушки под столбы)</t>
  </si>
  <si>
    <t>СН-2012-2021.5. Доп.1. Сб.3-5202-2-1/1</t>
  </si>
  <si>
    <t>7</t>
  </si>
  <si>
    <t>1.2-3103-2-15/1</t>
  </si>
  <si>
    <t>Устройство фундаментных плит железобетонных плоских</t>
  </si>
  <si>
    <t>СН-2012-2021.1. Доп.1. Сб.2-3103-2-15/1</t>
  </si>
  <si>
    <t>7,1</t>
  </si>
  <si>
    <t>21.3-1-83</t>
  </si>
  <si>
    <t>Смеси бетонные, БСГ, тяжелого бетона на гранитном щебне, фракция 5-20, класс прочности: В22,5 (М300); П3, F200, W6</t>
  </si>
  <si>
    <t>СН-2012-2021.21. Доп.1. Р.3, о.1, поз.83</t>
  </si>
  <si>
    <t>7,2</t>
  </si>
  <si>
    <t>21.3-1-69</t>
  </si>
  <si>
    <t>Смеси бетонные, БСГ, тяжелого бетона на гранитном щебне, класс прочности: В15 (М200); П3, фракция 5-20, F50-100, W0-2</t>
  </si>
  <si>
    <t>СН-2012-2021.21. Доп.1. Р.3, о.1, поз.69</t>
  </si>
  <si>
    <t>8</t>
  </si>
  <si>
    <t>5.3-3203-2-1/1</t>
  </si>
  <si>
    <t>Изготовление и установка секций металлического ограждения, калиток, ворот из профилированной трубы, масса секции до 150 кг</t>
  </si>
  <si>
    <t>СН-2012-2021.5. Доп.1. Сб.3-3203-2-1/1</t>
  </si>
  <si>
    <t>8,1</t>
  </si>
  <si>
    <t>21.1-10-47</t>
  </si>
  <si>
    <t>Профили стальные электросварные квадратного сечения трубчатые, размер стороны 80 мм, толщина стенки 3-6 мм (толщ.4 мм, расход 9,33 кг/м.п., L=75,0 м.п.)</t>
  </si>
  <si>
    <t>т</t>
  </si>
  <si>
    <t>СН-2012-2021.21. Доп.1. Р.1, о.10, поз.47</t>
  </si>
  <si>
    <t>8,2</t>
  </si>
  <si>
    <t>21.1-10-111</t>
  </si>
  <si>
    <t>Профили стальные электросварные прямоугольного сечения трубчатые, размер 40х60 мм, толщина стенки 3,0 мм (расход 4,30 кг/м.п., L=211,6 м.п.)</t>
  </si>
  <si>
    <t>СН-2012-2021.21. Доп.1. Р.1, о.10, поз.111</t>
  </si>
  <si>
    <t>8,3</t>
  </si>
  <si>
    <t>21.1-10-34</t>
  </si>
  <si>
    <t>Профили стальные электросварные квадратного сечения трубчатые, размер стороны 20 мм, толщина стенки 2 мм (расход 1,075 кг/м.п., L=1908,0 м.п.)</t>
  </si>
  <si>
    <t>СН-2012-2021.21. Доп.1. Р.1, о.10, поз.34</t>
  </si>
  <si>
    <t>8,4</t>
  </si>
  <si>
    <t>Цена поставщика</t>
  </si>
  <si>
    <t>Пластиковая заглушка для труб 80х80 мм</t>
  </si>
  <si>
    <t>ШТ</t>
  </si>
  <si>
    <t>[45 / 1,2]</t>
  </si>
  <si>
    <t>8,5</t>
  </si>
  <si>
    <t>Пластиковая заглушка для труб 60х40 мм</t>
  </si>
  <si>
    <t>[19,83 / 1,2]</t>
  </si>
  <si>
    <t>8,6</t>
  </si>
  <si>
    <t>21.1-10-28</t>
  </si>
  <si>
    <t>Профили стальные электросварные квадратного сечения трубчатые, размер стороны 40 мм, толщина стенки 2 мм</t>
  </si>
  <si>
    <t>СН-2012-2021.21. Доп.1. Р.1, о.10, поз.28</t>
  </si>
  <si>
    <t>9</t>
  </si>
  <si>
    <t>1.13-3205-2-2/1</t>
  </si>
  <si>
    <t>Антикоррозионная огрунтовка металлических поверхностей грунтовкой ГФ-021 за один раз</t>
  </si>
  <si>
    <t>100 м2</t>
  </si>
  <si>
    <t>СН-2012-2021.1. Доп.1. Сб.13-3205-2-2/1</t>
  </si>
  <si>
    <t>10</t>
  </si>
  <si>
    <t>1.13-3205-4-8/1</t>
  </si>
  <si>
    <t>Антикоррозионная окраска огрунтованных металлических поверхностей эмалями ПФ-115</t>
  </si>
  <si>
    <t>СН-2012-2021.1. Доп.1. Сб.13-3205-4-8/1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</si>
  <si>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</si>
  <si>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</si>
  <si>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</si>
  <si>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</si>
  <si>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</si>
  <si>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</si>
  <si>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</si>
  <si>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</si>
  <si>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</si>
  <si>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</si>
  <si>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</si>
  <si>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</si>
  <si>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</si>
  <si>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</si>
  <si>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</si>
  <si>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</si>
  <si>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</si>
  <si>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</si>
  <si>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</si>
  <si>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</si>
  <si>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</si>
  <si>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</si>
  <si>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</si>
  <si>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</si>
  <si>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</si>
  <si>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</si>
  <si>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</si>
  <si>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</si>
  <si>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</si>
  <si>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</si>
  <si>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</si>
  <si>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</si>
  <si>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</si>
  <si>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</si>
  <si>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</si>
  <si>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</si>
  <si>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</si>
  <si>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</si>
  <si>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</si>
  <si>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</si>
  <si>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</si>
  <si>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</si>
  <si>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</si>
  <si>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</si>
  <si>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</si>
  <si>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</si>
  <si>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</si>
  <si>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</si>
  <si>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</si>
  <si>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</si>
  <si>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</si>
  <si>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</si>
  <si>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Установка ограждения - Участок 2</t>
  </si>
  <si>
    <t>11</t>
  </si>
  <si>
    <t>12</t>
  </si>
  <si>
    <t>13</t>
  </si>
  <si>
    <t>14</t>
  </si>
  <si>
    <t>15</t>
  </si>
  <si>
    <t>16</t>
  </si>
  <si>
    <t>17</t>
  </si>
  <si>
    <t>17,1</t>
  </si>
  <si>
    <t>17,2</t>
  </si>
  <si>
    <t>18</t>
  </si>
  <si>
    <t>18,1</t>
  </si>
  <si>
    <t>Профили стальные электросварные квадратного сечения трубчатые, размер стороны 80 мм, толщина стенки 3-6 мм (толщ.4 мм, расход 9,33 кг/м.п., L=72,0 м.п.)</t>
  </si>
  <si>
    <t>18,2</t>
  </si>
  <si>
    <t>Профили стальные электросварные прямоугольного сечения трубчатые, размер 40х60 мм, толщина стенки 3,0 мм (расход 4,30 кг/м.п., L=198,6 м.п.)</t>
  </si>
  <si>
    <t>18,3</t>
  </si>
  <si>
    <t>Профили стальные электросварные квадратного сечения трубчатые, размер стороны 20 мм, толщина стенки 2 мм (расход 1,075 кг/м.п., L=1753,2 м.п.)</t>
  </si>
  <si>
    <t>18,4</t>
  </si>
  <si>
    <t>18,5</t>
  </si>
  <si>
    <t>18,6</t>
  </si>
  <si>
    <t>19</t>
  </si>
  <si>
    <t>20</t>
  </si>
  <si>
    <t>Установка ограждения - Участок 3</t>
  </si>
  <si>
    <t>21</t>
  </si>
  <si>
    <t>(демонтаж) Изготовление и установка секций металлического ограждения, калиток, ворот из профилированной трубы, масса секции до 150 кг</t>
  </si>
  <si>
    <t>)*0</t>
  </si>
  <si>
    <t>)*0,2</t>
  </si>
  <si>
    <t>Поправка: СН-2012 О.П. п.22</t>
  </si>
  <si>
    <t>22</t>
  </si>
  <si>
    <t>1.2-3104-1-2/1</t>
  </si>
  <si>
    <t>Разборка фундаментов бетонных</t>
  </si>
  <si>
    <t>СН-2012-2021.1. Доп.1. Сб.2-3104-1-2/1</t>
  </si>
  <si>
    <t>23</t>
  </si>
  <si>
    <t>24</t>
  </si>
  <si>
    <t>1.1-3303-3-1/1</t>
  </si>
  <si>
    <t>Засыпка вручную траншей, пазух котлованов и ям группа грунтов 1-3</t>
  </si>
  <si>
    <t>СН-2012-2021.1. Доп.1. Сб.1-3303-3-1/1</t>
  </si>
  <si>
    <t>25</t>
  </si>
  <si>
    <t>26</t>
  </si>
  <si>
    <t>27</t>
  </si>
  <si>
    <t>28</t>
  </si>
  <si>
    <t>29</t>
  </si>
  <si>
    <t>30</t>
  </si>
  <si>
    <t>30,1</t>
  </si>
  <si>
    <t>30,2</t>
  </si>
  <si>
    <t>31</t>
  </si>
  <si>
    <t>1.13-3204-1-1/1</t>
  </si>
  <si>
    <t>Расчистка поверхностей от старых покрасок (шпателем, щетками и т.д.)</t>
  </si>
  <si>
    <t>СН-2012-2021.1. Доп.1. Сб.13-3204-1-1/1</t>
  </si>
  <si>
    <t>32</t>
  </si>
  <si>
    <t>1.14-3101-1-1/1</t>
  </si>
  <si>
    <t>Ремонт штукатурки гладких фасадов по камню и бетону с земли и лесов цементно-известковым раствором при площади до 5 м2 толщиной слоя до 20 мм</t>
  </si>
  <si>
    <t>СН-2012-2021.1. Доп.1. Сб.14-3101-1-1/1</t>
  </si>
  <si>
    <t>33</t>
  </si>
  <si>
    <t>1.14-3201-6-4/2</t>
  </si>
  <si>
    <t>Окраска перхлорвиниловыми красками марка ХВ-161 (белая) по подготовленной поверхности фасадов простых за 2 раза с земли и лесов</t>
  </si>
  <si>
    <t>СН-2012-2021.1. Доп.1. Сб.14-3201-6-4/2</t>
  </si>
  <si>
    <t>33,1</t>
  </si>
  <si>
    <t>21.1-6-58</t>
  </si>
  <si>
    <t>Краски фасадные перхлорвиниловые, марка ХВ-161 "Б" (цветная)</t>
  </si>
  <si>
    <t>СН-2012-2021.21. Доп.1. Р.1, о.6, поз.58</t>
  </si>
  <si>
    <t>33,2</t>
  </si>
  <si>
    <t>21.1-6-55</t>
  </si>
  <si>
    <t>Краски фасадные перхлорвиниловые, марка ХВ-161 (белая)</t>
  </si>
  <si>
    <t>СН-2012-2021.21. Доп.1. Р.1, о.6, поз.55</t>
  </si>
  <si>
    <t>34</t>
  </si>
  <si>
    <t>1.7-3203-7-1/1</t>
  </si>
  <si>
    <t>Устройство мелких покрытий (брандмауэры, парапеты, свесы и т.п.) из листовой оцинкованной стали</t>
  </si>
  <si>
    <t>СН-2012-2021.1. Доп.1. Сб.7-3203-7-1/1</t>
  </si>
  <si>
    <t>35</t>
  </si>
  <si>
    <t>35,1</t>
  </si>
  <si>
    <t>Профили стальные электросварные квадратного сечения трубчатые, размер стороны 80 мм, толщина стенки 3-6 мм (толщ.4 мм, расход 9,33 кг/м.п., L=69,0 м.п.)</t>
  </si>
  <si>
    <t>35,2</t>
  </si>
  <si>
    <t>Профили стальные электросварные прямоугольного сечения трубчатые, размер 40х60 мм, толщина стенки 3,0 мм (расход 4,30 кг/м.п., L=192,6 м.п.)</t>
  </si>
  <si>
    <t>35,3</t>
  </si>
  <si>
    <t>Профили стальные электросварные квадратного сечения трубчатые, размер стороны 20 мм, толщина стенки 2 мм (расход 1,075 кг/м.п., L=1666,8 м.п.)</t>
  </si>
  <si>
    <t>35,4</t>
  </si>
  <si>
    <t>35,5</t>
  </si>
  <si>
    <t>35,6</t>
  </si>
  <si>
    <t>Петля приварная</t>
  </si>
  <si>
    <t>[264,94 / 1,2]</t>
  </si>
  <si>
    <t>35,7</t>
  </si>
  <si>
    <t>Засов воротный оцинкованный 430 мм</t>
  </si>
  <si>
    <t>[809 / 1,2]</t>
  </si>
  <si>
    <t>35,8</t>
  </si>
  <si>
    <t>36</t>
  </si>
  <si>
    <t>37</t>
  </si>
  <si>
    <t>Установка ограждения - Участок 4</t>
  </si>
  <si>
    <t>38</t>
  </si>
  <si>
    <t>39</t>
  </si>
  <si>
    <t>40</t>
  </si>
  <si>
    <t>41</t>
  </si>
  <si>
    <t>42</t>
  </si>
  <si>
    <t>43</t>
  </si>
  <si>
    <t>44</t>
  </si>
  <si>
    <t>44,1</t>
  </si>
  <si>
    <t>44,2</t>
  </si>
  <si>
    <t>45</t>
  </si>
  <si>
    <t>45,1</t>
  </si>
  <si>
    <t>45,2</t>
  </si>
  <si>
    <t>Профили стальные электросварные прямоугольного сечения трубчатые, размер 40х60 мм, толщина стенки 3,0 мм (расход 4,30 кг/м.п., L=196,2 м.п.)</t>
  </si>
  <si>
    <t>45,3</t>
  </si>
  <si>
    <t>Профили стальные электросварные квадратного сечения трубчатые, размер стороны 20 мм, толщина стенки 2 мм (расход 1,075 кг/м.п., L=1724,4 м.п.)</t>
  </si>
  <si>
    <t>45,4</t>
  </si>
  <si>
    <t>45,5</t>
  </si>
  <si>
    <t>45,6</t>
  </si>
  <si>
    <t>45,7</t>
  </si>
  <si>
    <t>45,8</t>
  </si>
  <si>
    <t>Задвижка черн.лист 100мм GAH 116064</t>
  </si>
  <si>
    <t>[236,67 / 1,2]</t>
  </si>
  <si>
    <t>45,9</t>
  </si>
  <si>
    <t>46</t>
  </si>
  <si>
    <t>47</t>
  </si>
  <si>
    <t>Прочие затраты</t>
  </si>
  <si>
    <t>48</t>
  </si>
  <si>
    <t>1.49-9101-7-1/1</t>
  </si>
  <si>
    <t>Механизированная погрузка строительного мусора в автомобили-самосвалы</t>
  </si>
  <si>
    <t>СН-2012-2021.1. Доп.1. Сб.49-9101-7-1/1</t>
  </si>
  <si>
    <t>49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</si>
  <si>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</si>
  <si>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</si>
  <si>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Доп.1. Сб.49-9201-1-2/1</t>
  </si>
  <si>
    <t>50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</si>
  <si>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</si>
  <si>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 (ВАО)</t>
  </si>
  <si>
    <t>СН-2012-2021.1. Доп.1. Сб.49-9201-1-3/1</t>
  </si>
  <si>
    <t>*32</t>
  </si>
  <si>
    <t>НДС 20%</t>
  </si>
  <si>
    <t>ИТОГО с НДС</t>
  </si>
  <si>
    <t>Возврат лома: сталь 5,828тх23000,00</t>
  </si>
  <si>
    <t>Уровень цен на 01.10.2020 г</t>
  </si>
  <si>
    <t>_OBSM_</t>
  </si>
  <si>
    <t>9999990008</t>
  </si>
  <si>
    <t>Трудозатраты рабочих</t>
  </si>
  <si>
    <t>чел.-ч.</t>
  </si>
  <si>
    <t>22.1-18-13</t>
  </si>
  <si>
    <t>СН-2012-2021.22. Доп.1. п.1-18-13 (184002)</t>
  </si>
  <si>
    <t>Автомобили-самосвалы, грузоподъемность до 10 т</t>
  </si>
  <si>
    <t>маш.-ч</t>
  </si>
  <si>
    <t>21.1-12-35</t>
  </si>
  <si>
    <t>СН-2012-2021.21. Доп.1. Р.1, о.12, поз.35</t>
  </si>
  <si>
    <t>Щебень из естественного камня для строительных работ, марка 1200-800, фракция 10-20 мм</t>
  </si>
  <si>
    <t>21.1-12-36</t>
  </si>
  <si>
    <t>СН-2012-2021.21. Доп.1. Р.1, о.12, поз.36</t>
  </si>
  <si>
    <t>Щебень из естественного камня для строительных работ, марка 1200-800, фракция 20-40 мм</t>
  </si>
  <si>
    <t>21.1-25-13</t>
  </si>
  <si>
    <t>СН-2012-2021.21. Доп.1. Р.1, о.25, поз.13</t>
  </si>
  <si>
    <t>Вода</t>
  </si>
  <si>
    <t>22.1-5-17</t>
  </si>
  <si>
    <t>СН-2012-2021.22. Доп.1. п.1-5-17 (050901)</t>
  </si>
  <si>
    <t>Поливомоечные машины, емкость цистерны до 5000 л</t>
  </si>
  <si>
    <t>21.1-12-11</t>
  </si>
  <si>
    <t>СН-2012-2021.21. Доп.1. Р.1, о.12, поз.11</t>
  </si>
  <si>
    <t>Песок для строительных работ, рядовой</t>
  </si>
  <si>
    <t>22.1-13-14</t>
  </si>
  <si>
    <t>СН-2012-2021.22. Доп.1. п.1-13-14 (136001)</t>
  </si>
  <si>
    <t>Установки для сварки ручной дуговой (постоянного тока)</t>
  </si>
  <si>
    <t>22.1-30-26</t>
  </si>
  <si>
    <t>СН-2012-2021.22. Доп.1. п.1-30-26 (306001)</t>
  </si>
  <si>
    <t>Пилы ручные электрические</t>
  </si>
  <si>
    <t>22.1-4-12</t>
  </si>
  <si>
    <t>СН-2012-2021.22. Доп.1. п.1-4-12 (040205)</t>
  </si>
  <si>
    <t>Погрузчики на автомобильном ходу, грузоподъемность до 5 т</t>
  </si>
  <si>
    <t>22.1-6-52</t>
  </si>
  <si>
    <t>СН-2012-2021.22. Доп.1. п.1-6-52 (069402)</t>
  </si>
  <si>
    <t>Вибраторы глубинные</t>
  </si>
  <si>
    <t>21.1-11-46</t>
  </si>
  <si>
    <t>СН-2012-2021.21. Доп.1. Р.1, о.11, поз.46</t>
  </si>
  <si>
    <t>Гвозди строительные</t>
  </si>
  <si>
    <t>21.1-20-17</t>
  </si>
  <si>
    <t>СН-2012-2021.21. Доп.1. Р.1, о.20, поз.17</t>
  </si>
  <si>
    <t>Мешковина</t>
  </si>
  <si>
    <t>21.1-23-9</t>
  </si>
  <si>
    <t>СН-2012-2021.21. Доп.1. Р.1, о.23, поз.9</t>
  </si>
  <si>
    <t>Электроды, тип Э-42, 46, 50, диаметр 4 - 6 мм</t>
  </si>
  <si>
    <t>21.1-2-4</t>
  </si>
  <si>
    <t>СН-2012-2021.21. Доп.1. Р.1, о.2, поз.4</t>
  </si>
  <si>
    <t>Известь негашеная комовая</t>
  </si>
  <si>
    <t>21.1-9-57</t>
  </si>
  <si>
    <t>СН-2012-2021.21. Доп.1. Р.1, о.9, поз.57</t>
  </si>
  <si>
    <t>Доски хвойных пород, обрезные, длина 2-6,5 м, сорт III, толщина 40-60 мм</t>
  </si>
  <si>
    <t>21.3-4-18</t>
  </si>
  <si>
    <t>СН-2012-2021.21. Доп.1. Р.3, о.4, поз.18</t>
  </si>
  <si>
    <t>Арматурные заготовки (стержни, хомуты и т.п.), не собранные в каркасы или сетки, арматурная сталь периодического профиля, класс А-III, диаметр 16-18 мм</t>
  </si>
  <si>
    <t>21.9-11-3</t>
  </si>
  <si>
    <t>СН-2012-2021.21. Доп.1. Р.9, о.11, поз.3</t>
  </si>
  <si>
    <t>Щиты деревянные для фундаментов, колонн, балок, перекрытий, стен, перегородок и других конструкций из досок, толщина 40мм</t>
  </si>
  <si>
    <t>22.1-13-15</t>
  </si>
  <si>
    <t>СН-2012-2021.22. Доп.1. п.1-13-15 (136201)</t>
  </si>
  <si>
    <t>Аппараты сварочные</t>
  </si>
  <si>
    <t>22.1-30-19</t>
  </si>
  <si>
    <t>СН-2012-2021.22. Доп.1. п.1-30-19 (305001)</t>
  </si>
  <si>
    <t>Машины шлифовальные электрические</t>
  </si>
  <si>
    <t>22.1-30-43</t>
  </si>
  <si>
    <t>СН-2012-2021.22. Доп.1. п.1-30-43 (307501)</t>
  </si>
  <si>
    <t>Станки трубоотрезные</t>
  </si>
  <si>
    <t>21.1-10-171</t>
  </si>
  <si>
    <t>СН-2012-2021.21. Доп.1. Р.1, о.10, поз.171</t>
  </si>
  <si>
    <t>Сталь полосовая, марка Ст1кп-Ст4кп, Ст1пс-Ст6пс, Ст1Гпс-Ст5Гпс, кипящая и полуспокойная,</t>
  </si>
  <si>
    <t>21.7-3-6</t>
  </si>
  <si>
    <t>СН-2012-2021.21. Доп.1. Р.7, о.3, поз.6</t>
  </si>
  <si>
    <t>Диск отрезной абразивный для резки по металлу, диаметр 125 мм</t>
  </si>
  <si>
    <t>шт.</t>
  </si>
  <si>
    <t>22.1-10-12</t>
  </si>
  <si>
    <t>СН-2012-2021.22. Доп.1. п.1-10-12 (105001)</t>
  </si>
  <si>
    <t>Электрокомпрессоры прицепные, производительность до 3,5 м3/мин</t>
  </si>
  <si>
    <t>22.1-4-30</t>
  </si>
  <si>
    <t>СН-2012-2021.22. Доп.1. п.1-4-30 (042901)</t>
  </si>
  <si>
    <t>Лебедки электрические, грузоподъемность до 0,5 т</t>
  </si>
  <si>
    <t>21.1-16-57</t>
  </si>
  <si>
    <t>Ксилол нефтяной, марка А</t>
  </si>
  <si>
    <t>кг</t>
  </si>
  <si>
    <t>21.1-6-12</t>
  </si>
  <si>
    <t>СН-2012-2021.21. Доп.1. Р.1, о.6, поз.12</t>
  </si>
  <si>
    <t>Грунтовка глифталевая, ГФ-021</t>
  </si>
  <si>
    <t>21.1-6-114</t>
  </si>
  <si>
    <t>СН-2012-2021.21. Доп.1. Р.1, о.6, поз.114</t>
  </si>
  <si>
    <t>Растворитель "Уайт-спирит"</t>
  </si>
  <si>
    <t>21.1-6-139</t>
  </si>
  <si>
    <t>СН-2012-2021.21. Доп.1. Р.1, о.6, поз.139</t>
  </si>
  <si>
    <t>Эмаль, марка ПФ-115 (цветная), пентафталевая</t>
  </si>
  <si>
    <t>22.1-10-4</t>
  </si>
  <si>
    <t>СН-2012-2021.22. Доп.1. п.1-10-4 (101001)</t>
  </si>
  <si>
    <t>Компрессоры с дизельным двигателем прицепные до 2,5 м3/мин</t>
  </si>
  <si>
    <t>22.1-30-54</t>
  </si>
  <si>
    <t>СН-2012-2021.22. Доп.1. п.1-30-54 (308901)</t>
  </si>
  <si>
    <t>Молотки отбойные</t>
  </si>
  <si>
    <t>9999990001</t>
  </si>
  <si>
    <t>Масса мусора</t>
  </si>
  <si>
    <t>21.3-2-10</t>
  </si>
  <si>
    <t>СН-2012-2021.21. Доп.1. Р.3, о.2, поз.10</t>
  </si>
  <si>
    <t>Растворы цементно-известковые, марка 75</t>
  </si>
  <si>
    <t>22.1-14-11</t>
  </si>
  <si>
    <t>СН-2012-2021.22. Доп.1. п.1-14-11 (148001)</t>
  </si>
  <si>
    <t>Пистолеты-напылители</t>
  </si>
  <si>
    <t>21.1-20-7</t>
  </si>
  <si>
    <t>СН-2012-2021.21. Доп.1. Р.1, о.20, поз.7</t>
  </si>
  <si>
    <t>Ветошь</t>
  </si>
  <si>
    <t>21.1-10-165</t>
  </si>
  <si>
    <t>СН-2012-2021.21. Доп.1. Р.1, о.10, поз.165</t>
  </si>
  <si>
    <t>Сталь листовая, оцинкованная, толщина 0,5 мм</t>
  </si>
  <si>
    <t>22.1-1-5</t>
  </si>
  <si>
    <t>СН-2012-2021.22. Доп.1. п.1-1-5 (010109)</t>
  </si>
  <si>
    <t>Экскаваторы на гусеничном ходу гидравлические, объем ковша до 0,65 м3</t>
  </si>
  <si>
    <t>22.1-18-12</t>
  </si>
  <si>
    <t>СН-2012-2021.22. Доп.1. п.1-18-12 (184001)</t>
  </si>
  <si>
    <t>Автомобили-самосвалы, грузоподъемность до 7 т</t>
  </si>
  <si>
    <t>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</si>
  <si>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</si>
  <si>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</si>
  <si>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</si>
  <si>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</si>
  <si>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</si>
  <si>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</si>
  <si>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</si>
  <si>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</si>
  <si>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</si>
  <si>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</si>
  <si>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</si>
  <si>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</si>
  <si>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</si>
  <si>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</si>
  <si>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</si>
  <si>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</si>
  <si>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</si>
  <si>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</si>
  <si>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</si>
  <si>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</si>
  <si>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</si>
  <si>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</si>
  <si>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</si>
  <si>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</si>
  <si>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</si>
  <si>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</si>
  <si>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</si>
  <si>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</si>
  <si>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НР от ЗП</t>
  </si>
  <si>
    <t>%</t>
  </si>
  <si>
    <t>СП от ЗП</t>
  </si>
  <si>
    <t>ЗТР</t>
  </si>
  <si>
    <t>чел-ч</t>
  </si>
  <si>
    <t>ЭМ</t>
  </si>
  <si>
    <t>в т.ч. ЗПМ</t>
  </si>
  <si>
    <t>МР</t>
  </si>
  <si>
    <t>НР и СП от ЗПМ</t>
  </si>
  <si>
    <r>
      <t>Пластиковая заглушка для труб 80х80 мм</t>
    </r>
    <r>
      <rPr>
        <i/>
        <sz val="10"/>
        <rFont val="Arial"/>
        <family val="2"/>
        <charset val="204"/>
      </rPr>
      <t xml:space="preserve">
Базисная стоимость: 37,50 = [45 / 1,2]</t>
    </r>
  </si>
  <si>
    <r>
      <t>Пластиковая заглушка для труб 60х40 мм</t>
    </r>
    <r>
      <rPr>
        <i/>
        <sz val="10"/>
        <rFont val="Arial"/>
        <family val="2"/>
        <charset val="204"/>
      </rPr>
      <t xml:space="preserve">
Базисная стоимость: 16,53 = [19,83 / 1,2]</t>
    </r>
  </si>
  <si>
    <r>
      <t>5.3-3203-2-1/1</t>
    </r>
    <r>
      <rPr>
        <i/>
        <sz val="10"/>
        <rFont val="Arial"/>
        <family val="2"/>
        <charset val="204"/>
      </rPr>
      <t xml:space="preserve">
Поправка: СН-2012 О.П. п.22</t>
    </r>
  </si>
  <si>
    <r>
      <t>(демонтаж) Изготовление и установка секций металлического ограждения, калиток, ворот из профилированной трубы, масса секции до 150 кг</t>
    </r>
    <r>
      <rPr>
        <i/>
        <sz val="10"/>
        <rFont val="Arial"/>
        <family val="2"/>
        <charset val="204"/>
      </rPr>
      <t xml:space="preserve">
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  </r>
  </si>
  <si>
    <r>
      <t>Петля приварная</t>
    </r>
    <r>
      <rPr>
        <i/>
        <sz val="10"/>
        <rFont val="Arial"/>
        <family val="2"/>
        <charset val="204"/>
      </rPr>
      <t xml:space="preserve">
Базисная стоимость: 220,78 = [264,94 / 1,2]</t>
    </r>
  </si>
  <si>
    <r>
      <t>Засов воротный оцинкованный 430 мм</t>
    </r>
    <r>
      <rPr>
        <i/>
        <sz val="10"/>
        <rFont val="Arial"/>
        <family val="2"/>
        <charset val="204"/>
      </rPr>
      <t xml:space="preserve">
Базисная стоимость: 674,17 = [809 / 1,2]</t>
    </r>
  </si>
  <si>
    <r>
      <t>Задвижка черн.лист 100мм GAH 116064</t>
    </r>
    <r>
      <rPr>
        <i/>
        <sz val="10"/>
        <rFont val="Arial"/>
        <family val="2"/>
        <charset val="204"/>
      </rPr>
      <t xml:space="preserve">
Базисная стоимость: 197,23 = [236,67 / 1,2]</t>
    </r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</si>
  <si>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</si>
  <si>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</si>
  <si>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</si>
  <si>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</si>
  <si>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</si>
  <si>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</si>
  <si>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</si>
  <si>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</si>
  <si>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</si>
  <si>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</si>
  <si>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</si>
  <si>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</si>
  <si>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</si>
  <si>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</si>
  <si>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</si>
  <si>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</si>
  <si>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</si>
  <si>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</si>
  <si>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</si>
  <si>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</si>
  <si>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</si>
  <si>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</si>
  <si>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</si>
  <si>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</si>
  <si>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</si>
  <si>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</si>
  <si>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</si>
  <si>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</si>
  <si>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</si>
  <si>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</si>
  <si>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</si>
  <si>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</si>
  <si>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</si>
  <si>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</si>
  <si>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</si>
  <si>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</si>
  <si>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</si>
  <si>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</si>
  <si>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</si>
  <si>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</si>
  <si>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</si>
  <si>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</si>
  <si>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</si>
  <si>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</si>
  <si>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</si>
  <si>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</si>
  <si>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</si>
  <si>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</si>
  <si>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</si>
  <si>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</si>
  <si>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</si>
  <si>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</si>
  <si>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</si>
  <si>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</si>
  <si>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</si>
  <si>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</si>
  <si>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</si>
  <si>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>3 - Замена ограждения ГБПОУ МКАГ - ул. 12-я Парковая, д.13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</si>
</sst>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164" fontId="9" fillId="0" borderId="0" xfId="0" applyNumberFormat="1" applyFont="1"/>
    <xf numFmtId="1" fontId="9" fillId="0" borderId="0" xfId="0" applyNumberFormat="1" applyFont="1"/>
    <xf numFmtId="0" fontId="1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0" fillId="0" borderId="0" xfId="0" applyNumberFormat="1"/>
    <xf numFmtId="0" fontId="16" fillId="0" borderId="0" xfId="0" applyFont="1" applyAlignment="1">
      <alignment horizontal="right"/>
    </xf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166" fontId="14" fillId="0" borderId="0" xfId="0" applyNumberFormat="1" applyFont="1" applyAlignment="1">
      <alignment horizontal="right"/>
    </xf>
    <xf numFmtId="0" fontId="9" fillId="0" borderId="0" xfId="0" quotePrefix="1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9" fillId="0" borderId="1" xfId="0" applyFont="1" applyBorder="1"/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horizontal="right" wrapText="1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49" fontId="9" fillId="0" borderId="3" xfId="0" applyNumberFormat="1" applyFont="1" applyBorder="1" applyAlignment="1">
      <alignment horizontal="left" vertical="top" wrapText="1"/>
    </xf>
    <xf numFmtId="166" fontId="9" fillId="0" borderId="3" xfId="0" applyNumberFormat="1" applyFont="1" applyBorder="1" applyAlignment="1">
      <alignment horizontal="right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applyNumberFormat="1" applyFont="1" applyAlignment="1">
      <alignment horizontal="right"/>
    </xf>
    <xf numFmtId="0" fontId="13" fillId="0" borderId="1" xfId="0" applyFont="1" applyBorder="1" applyAlignment="1">
      <alignment horizontal="center" wrapText="1"/>
    </xf>
    <xf numFmtId="0" fontId="0" fillId="0" borderId="0" xfId="0" applyAlignment="1"/>
    <xf numFmtId="0" fontId="9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6" fontId="16" fillId="0" borderId="6" xfId="0" applyNumberFormat="1" applyFont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6" fillId="0" borderId="0" xfId="0" applyFont="1" applyAlignment="1">
      <alignment horizontal="left" wrapText="1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8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6" fillId="0" borderId="0" xfId="0" applyFont="1" applyBorder="1" applyAlignment="1">
      <alignment horizontal="right"/>
    </xf>
    <xf numFmtId="0" fontId="11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right"/>
    </xf>
    <xf numFmtId="166" fontId="16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96"/>
  <sheetViews>
    <sheetView tabSelected="1" topLeftCell="A40" zoomScaleNormal="100" workbookViewId="0">
      <selection activeCell="AL29" sqref="AL29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8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51" t="s">
        <v>398</v>
      </c>
      <c r="K2" s="51"/>
    </row>
    <row r="3" spans="1:11" ht="16.5" x14ac:dyDescent="0.25">
      <c r="A3" s="11"/>
      <c r="B3" s="56" t="s">
        <v>396</v>
      </c>
      <c r="C3" s="56"/>
      <c r="D3" s="56"/>
      <c r="E3" s="56"/>
      <c r="F3" s="10"/>
      <c r="G3" s="56" t="s">
        <v>397</v>
      </c>
      <c r="H3" s="56"/>
      <c r="I3" s="56"/>
      <c r="J3" s="56"/>
      <c r="K3" s="56"/>
    </row>
    <row r="4" spans="1:11" ht="14.25" x14ac:dyDescent="0.2">
      <c r="A4" s="10"/>
      <c r="B4" s="57"/>
      <c r="C4" s="57"/>
      <c r="D4" s="57"/>
      <c r="E4" s="57"/>
      <c r="F4" s="10"/>
      <c r="G4" s="57"/>
      <c r="H4" s="57"/>
      <c r="I4" s="57"/>
      <c r="J4" s="57"/>
      <c r="K4" s="57"/>
    </row>
    <row r="5" spans="1:1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14.25" x14ac:dyDescent="0.2">
      <c r="A6" s="14"/>
      <c r="B6" s="57" t="str">
        <f>CONCATENATE("______________________ ", IF(Source!AL12&lt;&gt;"", Source!AL12, ""))</f>
        <v xml:space="preserve">______________________ </v>
      </c>
      <c r="C6" s="57"/>
      <c r="D6" s="57"/>
      <c r="E6" s="57"/>
      <c r="F6" s="10"/>
      <c r="G6" s="57" t="str">
        <f>CONCATENATE("______________________ ", IF(Source!AH12&lt;&gt;"", Source!AH12, ""))</f>
        <v xml:space="preserve">______________________ </v>
      </c>
      <c r="H6" s="57"/>
      <c r="I6" s="57"/>
      <c r="J6" s="57"/>
      <c r="K6" s="57"/>
    </row>
    <row r="7" spans="1:11" ht="14.25" x14ac:dyDescent="0.2">
      <c r="A7" s="15"/>
      <c r="B7" s="50" t="s">
        <v>399</v>
      </c>
      <c r="C7" s="50"/>
      <c r="D7" s="50"/>
      <c r="E7" s="50"/>
      <c r="F7" s="10"/>
      <c r="G7" s="50" t="s">
        <v>399</v>
      </c>
      <c r="H7" s="50"/>
      <c r="I7" s="50"/>
      <c r="J7" s="50"/>
      <c r="K7" s="50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52" t="str">
        <f>CONCATENATE( "ЛОКАЛЬНАЯ СМЕТА № ",IF(Source!F12&lt;&gt;"Новый объект", Source!F12, ""))</f>
        <v xml:space="preserve">ЛОКАЛЬНАЯ СМЕТА № 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1" x14ac:dyDescent="0.2">
      <c r="A11" s="54" t="s">
        <v>400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hidden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8" x14ac:dyDescent="0.25">
      <c r="A15" s="59" t="str">
        <f>IF(Source!G12&lt;&gt;"Новый объект", Source!G12, "")</f>
        <v>3 - Замена ограждения ГБПОУ МКАГ - ул. 12-я Парковая, д.13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</row>
    <row r="16" spans="1:11" x14ac:dyDescent="0.2">
      <c r="A16" s="54" t="s">
        <v>401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61" t="str">
        <f>CONCATENATE( "Основание: чертежи № ", Source!J12)</f>
        <v xml:space="preserve">Основание: чертежи № 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57" t="s">
        <v>402</v>
      </c>
      <c r="G20" s="57"/>
      <c r="H20" s="57"/>
      <c r="I20" s="58">
        <f>(Source!F341/1000)</f>
        <v>2212.9947200000001</v>
      </c>
      <c r="J20" s="51"/>
      <c r="K20" s="10" t="s">
        <v>403</v>
      </c>
    </row>
    <row r="21" spans="1:11" ht="14.25" hidden="1" x14ac:dyDescent="0.2">
      <c r="A21" s="10"/>
      <c r="B21" s="10"/>
      <c r="C21" s="10"/>
      <c r="D21" s="10"/>
      <c r="E21" s="10"/>
      <c r="F21" s="57" t="s">
        <v>404</v>
      </c>
      <c r="G21" s="57"/>
      <c r="H21" s="57"/>
      <c r="I21" s="58">
        <f>(Source!F329)/1000</f>
        <v>0</v>
      </c>
      <c r="J21" s="51"/>
      <c r="K21" s="10" t="s">
        <v>403</v>
      </c>
    </row>
    <row r="22" spans="1:11" ht="14.25" hidden="1" x14ac:dyDescent="0.2">
      <c r="A22" s="10"/>
      <c r="B22" s="10"/>
      <c r="C22" s="10"/>
      <c r="D22" s="10"/>
      <c r="E22" s="10"/>
      <c r="F22" s="57" t="s">
        <v>405</v>
      </c>
      <c r="G22" s="57"/>
      <c r="H22" s="57"/>
      <c r="I22" s="58">
        <f>(Source!F330)/1000</f>
        <v>0</v>
      </c>
      <c r="J22" s="51"/>
      <c r="K22" s="10" t="s">
        <v>403</v>
      </c>
    </row>
    <row r="23" spans="1:11" ht="14.25" hidden="1" x14ac:dyDescent="0.2">
      <c r="A23" s="10"/>
      <c r="B23" s="10"/>
      <c r="C23" s="10"/>
      <c r="D23" s="10"/>
      <c r="E23" s="10"/>
      <c r="F23" s="57" t="s">
        <v>406</v>
      </c>
      <c r="G23" s="57"/>
      <c r="H23" s="57"/>
      <c r="I23" s="58">
        <f>(Source!F321)/1000</f>
        <v>0</v>
      </c>
      <c r="J23" s="51"/>
      <c r="K23" s="10" t="s">
        <v>403</v>
      </c>
    </row>
    <row r="24" spans="1:11" ht="14.25" hidden="1" x14ac:dyDescent="0.2">
      <c r="A24" s="10"/>
      <c r="B24" s="10"/>
      <c r="C24" s="10"/>
      <c r="D24" s="10"/>
      <c r="E24" s="10"/>
      <c r="F24" s="57" t="s">
        <v>407</v>
      </c>
      <c r="G24" s="57"/>
      <c r="H24" s="57"/>
      <c r="I24" s="58">
        <f>(Source!F331+Source!F332)/1000</f>
        <v>1844.16227</v>
      </c>
      <c r="J24" s="51"/>
      <c r="K24" s="10" t="s">
        <v>403</v>
      </c>
    </row>
    <row r="25" spans="1:11" ht="14.25" x14ac:dyDescent="0.2">
      <c r="A25" s="10"/>
      <c r="B25" s="10"/>
      <c r="C25" s="10"/>
      <c r="D25" s="10"/>
      <c r="E25" s="10"/>
      <c r="F25" s="57" t="s">
        <v>408</v>
      </c>
      <c r="G25" s="57"/>
      <c r="H25" s="57"/>
      <c r="I25" s="58">
        <f>(Source!F327+ Source!F326)/1000</f>
        <v>590.02975000000004</v>
      </c>
      <c r="J25" s="51"/>
      <c r="K25" s="10" t="s">
        <v>403</v>
      </c>
    </row>
    <row r="26" spans="1:11" ht="14.25" x14ac:dyDescent="0.2">
      <c r="A26" s="10" t="s">
        <v>422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62" t="s">
        <v>409</v>
      </c>
      <c r="B27" s="62" t="s">
        <v>410</v>
      </c>
      <c r="C27" s="62" t="s">
        <v>411</v>
      </c>
      <c r="D27" s="62" t="s">
        <v>412</v>
      </c>
      <c r="E27" s="62" t="s">
        <v>413</v>
      </c>
      <c r="F27" s="62" t="s">
        <v>414</v>
      </c>
      <c r="G27" s="62" t="s">
        <v>415</v>
      </c>
      <c r="H27" s="62" t="s">
        <v>416</v>
      </c>
      <c r="I27" s="62" t="s">
        <v>417</v>
      </c>
      <c r="J27" s="62" t="s">
        <v>418</v>
      </c>
      <c r="K27" s="18" t="s">
        <v>419</v>
      </c>
    </row>
    <row r="28" spans="1:11" ht="28.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19" t="s">
        <v>420</v>
      </c>
    </row>
    <row r="29" spans="1:11" ht="28.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19" t="s">
        <v>421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65" t="str">
        <f>CONCATENATE("Локальная смета: ",IF(Source!G20&lt;&gt;"Новая локальная смета", Source!G20, ""))</f>
        <v xml:space="preserve">Локальная смета: 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4" spans="1:22" ht="16.5" x14ac:dyDescent="0.25">
      <c r="A34" s="65" t="str">
        <f>CONCATENATE("Раздел: ",IF(Source!G24&lt;&gt;"Новый раздел", Source!G24, ""))</f>
        <v>Раздел: Установка ограждения - Участок 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22" ht="42.75" x14ac:dyDescent="0.2">
      <c r="A35" s="20" t="str">
        <f>Source!E28</f>
        <v>1</v>
      </c>
      <c r="B35" s="21" t="str">
        <f>Source!F28</f>
        <v>2.49-3201-14-1/1</v>
      </c>
      <c r="C35" s="21" t="str">
        <f>Source!G28</f>
        <v>Разработка грунта вручную в траншеях глубиной до 2 м без креплений с откосами, группа грунтов 1-3</v>
      </c>
      <c r="D35" s="22" t="str">
        <f>Source!H28</f>
        <v>100 м3</v>
      </c>
      <c r="E35" s="9">
        <f>Source!I28</f>
        <v>2.7E-2</v>
      </c>
      <c r="F35" s="24"/>
      <c r="G35" s="23"/>
      <c r="H35" s="9"/>
      <c r="I35" s="9"/>
      <c r="J35" s="25"/>
      <c r="K35" s="25"/>
      <c r="Q35">
        <f>ROUND((Source!BZ28/100)*ROUND((Source!AF28*Source!AV28)*Source!I28, 2), 2)</f>
        <v>792.88</v>
      </c>
      <c r="R35">
        <f>Source!X28</f>
        <v>792.88</v>
      </c>
      <c r="S35">
        <f>ROUND((Source!CA28/100)*ROUND((Source!AF28*Source!AV28)*Source!I28, 2), 2)</f>
        <v>113.27</v>
      </c>
      <c r="T35">
        <f>Source!Y28</f>
        <v>113.27</v>
      </c>
      <c r="U35">
        <f>ROUND((175/100)*ROUND((Source!AE28*Source!AV28)*Source!I28, 2), 2)</f>
        <v>0</v>
      </c>
      <c r="V35">
        <f>ROUND((108/100)*ROUND(Source!CS28*Source!I28, 2), 2)</f>
        <v>0</v>
      </c>
    </row>
    <row r="36" spans="1:22" ht="14.25" x14ac:dyDescent="0.2">
      <c r="A36" s="20"/>
      <c r="B36" s="21"/>
      <c r="C36" s="21" t="s">
        <v>423</v>
      </c>
      <c r="D36" s="22"/>
      <c r="E36" s="9"/>
      <c r="F36" s="24">
        <f>Source!AO28</f>
        <v>41951.1</v>
      </c>
      <c r="G36" s="23" t="str">
        <f>Source!DG28</f>
        <v/>
      </c>
      <c r="H36" s="9">
        <f>Source!AV28</f>
        <v>1</v>
      </c>
      <c r="I36" s="9">
        <f>IF(Source!BA28&lt;&gt; 0, Source!BA28, 1)</f>
        <v>1</v>
      </c>
      <c r="J36" s="25">
        <f>Source!S28</f>
        <v>1132.68</v>
      </c>
      <c r="K36" s="25"/>
    </row>
    <row r="37" spans="1:22" ht="14.25" x14ac:dyDescent="0.2">
      <c r="A37" s="20"/>
      <c r="B37" s="21"/>
      <c r="C37" s="21" t="s">
        <v>424</v>
      </c>
      <c r="D37" s="22" t="s">
        <v>425</v>
      </c>
      <c r="E37" s="9">
        <f>Source!AT28</f>
        <v>70</v>
      </c>
      <c r="F37" s="24"/>
      <c r="G37" s="23"/>
      <c r="H37" s="9"/>
      <c r="I37" s="9"/>
      <c r="J37" s="25">
        <f>SUM(R35:R36)</f>
        <v>792.88</v>
      </c>
      <c r="K37" s="25"/>
    </row>
    <row r="38" spans="1:22" ht="14.25" x14ac:dyDescent="0.2">
      <c r="A38" s="20"/>
      <c r="B38" s="21"/>
      <c r="C38" s="21" t="s">
        <v>426</v>
      </c>
      <c r="D38" s="22" t="s">
        <v>425</v>
      </c>
      <c r="E38" s="9">
        <f>Source!AU28</f>
        <v>10</v>
      </c>
      <c r="F38" s="24"/>
      <c r="G38" s="23"/>
      <c r="H38" s="9"/>
      <c r="I38" s="9"/>
      <c r="J38" s="25">
        <f>SUM(T35:T37)</f>
        <v>113.27</v>
      </c>
      <c r="K38" s="25"/>
    </row>
    <row r="39" spans="1:22" ht="14.25" x14ac:dyDescent="0.2">
      <c r="A39" s="20"/>
      <c r="B39" s="21"/>
      <c r="C39" s="21" t="s">
        <v>427</v>
      </c>
      <c r="D39" s="22" t="s">
        <v>428</v>
      </c>
      <c r="E39" s="9">
        <f>Source!AQ28</f>
        <v>221.6</v>
      </c>
      <c r="F39" s="24"/>
      <c r="G39" s="23" t="str">
        <f>Source!DI28</f>
        <v/>
      </c>
      <c r="H39" s="9">
        <f>Source!AV28</f>
        <v>1</v>
      </c>
      <c r="I39" s="9"/>
      <c r="J39" s="25"/>
      <c r="K39" s="25">
        <f>Source!U28</f>
        <v>5.9832000000000001</v>
      </c>
    </row>
    <row r="40" spans="1:22" ht="15" x14ac:dyDescent="0.25">
      <c r="A40" s="28"/>
      <c r="B40" s="28"/>
      <c r="C40" s="28"/>
      <c r="D40" s="28"/>
      <c r="E40" s="28"/>
      <c r="F40" s="28"/>
      <c r="G40" s="28"/>
      <c r="H40" s="28"/>
      <c r="I40" s="64">
        <f>J36+J37+J38</f>
        <v>2038.83</v>
      </c>
      <c r="J40" s="64"/>
      <c r="K40" s="29">
        <f>IF(Source!I28&lt;&gt;0, ROUND(I40/Source!I28, 2), 0)</f>
        <v>75512.22</v>
      </c>
      <c r="P40" s="26">
        <f>I40</f>
        <v>2038.83</v>
      </c>
    </row>
    <row r="41" spans="1:22" ht="28.5" x14ac:dyDescent="0.2">
      <c r="A41" s="20" t="str">
        <f>Source!E29</f>
        <v>2</v>
      </c>
      <c r="B41" s="21" t="str">
        <f>Source!F29</f>
        <v>1.1-3101-6-1/1</v>
      </c>
      <c r="C41" s="21" t="str">
        <f>Source!G29</f>
        <v>Погрузка грунта вручную в автомобили-самосвалы с выгрузкой</v>
      </c>
      <c r="D41" s="22" t="str">
        <f>Source!H29</f>
        <v>100 м3</v>
      </c>
      <c r="E41" s="9">
        <f>Source!I29</f>
        <v>2.7E-2</v>
      </c>
      <c r="F41" s="24"/>
      <c r="G41" s="23"/>
      <c r="H41" s="9"/>
      <c r="I41" s="9"/>
      <c r="J41" s="25"/>
      <c r="K41" s="25"/>
      <c r="Q41">
        <f>ROUND((Source!BZ29/100)*ROUND((Source!AF29*Source!AV29)*Source!I29, 2), 2)</f>
        <v>210.36</v>
      </c>
      <c r="R41">
        <f>Source!X29</f>
        <v>210.36</v>
      </c>
      <c r="S41">
        <f>ROUND((Source!CA29/100)*ROUND((Source!AF29*Source!AV29)*Source!I29, 2), 2)</f>
        <v>30.05</v>
      </c>
      <c r="T41">
        <f>Source!Y29</f>
        <v>30.05</v>
      </c>
      <c r="U41">
        <f>ROUND((175/100)*ROUND((Source!AE29*Source!AV29)*Source!I29, 2), 2)</f>
        <v>0</v>
      </c>
      <c r="V41">
        <f>ROUND((108/100)*ROUND(Source!CS29*Source!I29, 2), 2)</f>
        <v>0</v>
      </c>
    </row>
    <row r="42" spans="1:22" ht="14.25" x14ac:dyDescent="0.2">
      <c r="A42" s="20"/>
      <c r="B42" s="21"/>
      <c r="C42" s="21" t="s">
        <v>423</v>
      </c>
      <c r="D42" s="22"/>
      <c r="E42" s="9"/>
      <c r="F42" s="24">
        <f>Source!AO29</f>
        <v>11130.3</v>
      </c>
      <c r="G42" s="23" t="str">
        <f>Source!DG29</f>
        <v/>
      </c>
      <c r="H42" s="9">
        <f>Source!AV29</f>
        <v>1</v>
      </c>
      <c r="I42" s="9">
        <f>IF(Source!BA29&lt;&gt; 0, Source!BA29, 1)</f>
        <v>1</v>
      </c>
      <c r="J42" s="25">
        <f>Source!S29</f>
        <v>300.52</v>
      </c>
      <c r="K42" s="25"/>
    </row>
    <row r="43" spans="1:22" ht="14.25" x14ac:dyDescent="0.2">
      <c r="A43" s="20"/>
      <c r="B43" s="21"/>
      <c r="C43" s="21" t="s">
        <v>424</v>
      </c>
      <c r="D43" s="22" t="s">
        <v>425</v>
      </c>
      <c r="E43" s="9">
        <f>Source!AT29</f>
        <v>70</v>
      </c>
      <c r="F43" s="24"/>
      <c r="G43" s="23"/>
      <c r="H43" s="9"/>
      <c r="I43" s="9"/>
      <c r="J43" s="25">
        <f>SUM(R41:R42)</f>
        <v>210.36</v>
      </c>
      <c r="K43" s="25"/>
    </row>
    <row r="44" spans="1:22" ht="14.25" x14ac:dyDescent="0.2">
      <c r="A44" s="20"/>
      <c r="B44" s="21"/>
      <c r="C44" s="21" t="s">
        <v>426</v>
      </c>
      <c r="D44" s="22" t="s">
        <v>425</v>
      </c>
      <c r="E44" s="9">
        <f>Source!AU29</f>
        <v>10</v>
      </c>
      <c r="F44" s="24"/>
      <c r="G44" s="23"/>
      <c r="H44" s="9"/>
      <c r="I44" s="9"/>
      <c r="J44" s="25">
        <f>SUM(T41:T43)</f>
        <v>30.05</v>
      </c>
      <c r="K44" s="25"/>
    </row>
    <row r="45" spans="1:22" ht="14.25" x14ac:dyDescent="0.2">
      <c r="A45" s="20"/>
      <c r="B45" s="21"/>
      <c r="C45" s="21" t="s">
        <v>427</v>
      </c>
      <c r="D45" s="22" t="s">
        <v>428</v>
      </c>
      <c r="E45" s="9">
        <f>Source!AQ29</f>
        <v>83</v>
      </c>
      <c r="F45" s="24"/>
      <c r="G45" s="23" t="str">
        <f>Source!DI29</f>
        <v/>
      </c>
      <c r="H45" s="9">
        <f>Source!AV29</f>
        <v>1</v>
      </c>
      <c r="I45" s="9"/>
      <c r="J45" s="25"/>
      <c r="K45" s="25">
        <f>Source!U29</f>
        <v>2.2410000000000001</v>
      </c>
    </row>
    <row r="46" spans="1:22" ht="15" x14ac:dyDescent="0.25">
      <c r="A46" s="28"/>
      <c r="B46" s="28"/>
      <c r="C46" s="28"/>
      <c r="D46" s="28"/>
      <c r="E46" s="28"/>
      <c r="F46" s="28"/>
      <c r="G46" s="28"/>
      <c r="H46" s="28"/>
      <c r="I46" s="64">
        <f>J42+J43+J44</f>
        <v>540.92999999999995</v>
      </c>
      <c r="J46" s="64"/>
      <c r="K46" s="29">
        <f>IF(Source!I29&lt;&gt;0, ROUND(I46/Source!I29, 2), 0)</f>
        <v>20034.439999999999</v>
      </c>
      <c r="P46" s="26">
        <f>I46</f>
        <v>540.92999999999995</v>
      </c>
    </row>
    <row r="47" spans="1:22" ht="42.75" x14ac:dyDescent="0.2">
      <c r="A47" s="20" t="str">
        <f>Source!E30</f>
        <v>3</v>
      </c>
      <c r="B47" s="21" t="str">
        <f>Source!F30</f>
        <v>2.49-3401-1-1/1</v>
      </c>
      <c r="C47" s="21" t="str">
        <f>Source!G30</f>
        <v>Перевозка грунта автосамосвалами грузоподъемностью до 10 т на расстояние 1 км</v>
      </c>
      <c r="D47" s="22" t="str">
        <f>Source!H30</f>
        <v>м3</v>
      </c>
      <c r="E47" s="9">
        <f>Source!I30</f>
        <v>2.7</v>
      </c>
      <c r="F47" s="24"/>
      <c r="G47" s="23"/>
      <c r="H47" s="9"/>
      <c r="I47" s="9"/>
      <c r="J47" s="25"/>
      <c r="K47" s="25"/>
      <c r="Q47">
        <f>ROUND((Source!BZ30/100)*ROUND((Source!AF30*Source!AV30)*Source!I30, 2), 2)</f>
        <v>0</v>
      </c>
      <c r="R47">
        <f>Source!X30</f>
        <v>0</v>
      </c>
      <c r="S47">
        <f>ROUND((Source!CA30/100)*ROUND((Source!AF30*Source!AV30)*Source!I30, 2), 2)</f>
        <v>0</v>
      </c>
      <c r="T47">
        <f>Source!Y30</f>
        <v>0</v>
      </c>
      <c r="U47">
        <f>ROUND((175/100)*ROUND((Source!AE30*Source!AV30)*Source!I30, 2), 2)</f>
        <v>121.24</v>
      </c>
      <c r="V47">
        <f>ROUND((108/100)*ROUND(Source!CS30*Source!I30, 2), 2)</f>
        <v>74.819999999999993</v>
      </c>
    </row>
    <row r="48" spans="1:22" ht="14.25" x14ac:dyDescent="0.2">
      <c r="A48" s="20"/>
      <c r="B48" s="21"/>
      <c r="C48" s="21" t="s">
        <v>429</v>
      </c>
      <c r="D48" s="22"/>
      <c r="E48" s="9"/>
      <c r="F48" s="24">
        <f>Source!AM30</f>
        <v>47.27</v>
      </c>
      <c r="G48" s="23" t="str">
        <f>Source!DE30</f>
        <v/>
      </c>
      <c r="H48" s="9">
        <f>Source!AV30</f>
        <v>1</v>
      </c>
      <c r="I48" s="9">
        <f>IF(Source!BB30&lt;&gt; 0, Source!BB30, 1)</f>
        <v>1</v>
      </c>
      <c r="J48" s="25">
        <f>Source!Q30</f>
        <v>127.63</v>
      </c>
      <c r="K48" s="25"/>
    </row>
    <row r="49" spans="1:22" ht="14.25" x14ac:dyDescent="0.2">
      <c r="A49" s="20"/>
      <c r="B49" s="21"/>
      <c r="C49" s="21" t="s">
        <v>430</v>
      </c>
      <c r="D49" s="22"/>
      <c r="E49" s="9"/>
      <c r="F49" s="24">
        <f>Source!AN30</f>
        <v>25.66</v>
      </c>
      <c r="G49" s="23" t="str">
        <f>Source!DF30</f>
        <v/>
      </c>
      <c r="H49" s="9">
        <f>Source!AV30</f>
        <v>1</v>
      </c>
      <c r="I49" s="9">
        <f>IF(Source!BS30&lt;&gt; 0, Source!BS30, 1)</f>
        <v>1</v>
      </c>
      <c r="J49" s="30">
        <f>Source!R30</f>
        <v>69.28</v>
      </c>
      <c r="K49" s="25"/>
    </row>
    <row r="50" spans="1:22" ht="15" x14ac:dyDescent="0.25">
      <c r="A50" s="28"/>
      <c r="B50" s="28"/>
      <c r="C50" s="28"/>
      <c r="D50" s="28"/>
      <c r="E50" s="28"/>
      <c r="F50" s="28"/>
      <c r="G50" s="28"/>
      <c r="H50" s="28"/>
      <c r="I50" s="64">
        <f>J48</f>
        <v>127.63</v>
      </c>
      <c r="J50" s="64"/>
      <c r="K50" s="29">
        <f>IF(Source!I30&lt;&gt;0, ROUND(I50/Source!I30, 2), 0)</f>
        <v>47.27</v>
      </c>
      <c r="P50" s="26">
        <f>I50</f>
        <v>127.63</v>
      </c>
    </row>
    <row r="51" spans="1:22" ht="57" x14ac:dyDescent="0.2">
      <c r="A51" s="20" t="str">
        <f>Source!E31</f>
        <v>4</v>
      </c>
      <c r="B51" s="21" t="str">
        <f>Source!F31</f>
        <v>2.49-3401-1-2/1</v>
      </c>
      <c r="C51" s="21" t="str">
        <f>Source!G31</f>
        <v>Перевозка грунта автосамосвалами грузоподъемностью до 10 т - добавляется на каждый последующий 1 км до 100 км (к поз. 49-3401-1-1)</v>
      </c>
      <c r="D51" s="22" t="str">
        <f>Source!H31</f>
        <v>м3</v>
      </c>
      <c r="E51" s="9">
        <f>Source!I31</f>
        <v>2.7</v>
      </c>
      <c r="F51" s="24"/>
      <c r="G51" s="23"/>
      <c r="H51" s="9"/>
      <c r="I51" s="9"/>
      <c r="J51" s="25"/>
      <c r="K51" s="25"/>
      <c r="Q51">
        <f>ROUND((Source!BZ31/100)*ROUND((Source!AF31*Source!AV31)*Source!I31, 2), 2)</f>
        <v>0</v>
      </c>
      <c r="R51">
        <f>Source!X31</f>
        <v>0</v>
      </c>
      <c r="S51">
        <f>ROUND((Source!CA31/100)*ROUND((Source!AF31*Source!AV31)*Source!I31, 2), 2)</f>
        <v>0</v>
      </c>
      <c r="T51">
        <f>Source!Y31</f>
        <v>0</v>
      </c>
      <c r="U51">
        <f>ROUND((175/100)*ROUND((Source!AE31*Source!AV31)*Source!I31, 2), 2)</f>
        <v>1251.93</v>
      </c>
      <c r="V51">
        <f>ROUND((108/100)*ROUND(Source!CS31*Source!I31, 2), 2)</f>
        <v>772.62</v>
      </c>
    </row>
    <row r="52" spans="1:22" ht="14.25" x14ac:dyDescent="0.2">
      <c r="A52" s="20"/>
      <c r="B52" s="21"/>
      <c r="C52" s="21" t="s">
        <v>429</v>
      </c>
      <c r="D52" s="22"/>
      <c r="E52" s="9"/>
      <c r="F52" s="24">
        <f>Source!AM31</f>
        <v>15.25</v>
      </c>
      <c r="G52" s="23" t="str">
        <f>Source!DE31</f>
        <v>)*32</v>
      </c>
      <c r="H52" s="9">
        <f>Source!AV31</f>
        <v>1</v>
      </c>
      <c r="I52" s="9">
        <f>IF(Source!BB31&lt;&gt; 0, Source!BB31, 1)</f>
        <v>1</v>
      </c>
      <c r="J52" s="25">
        <f>Source!Q31</f>
        <v>1317.6</v>
      </c>
      <c r="K52" s="25"/>
    </row>
    <row r="53" spans="1:22" ht="14.25" x14ac:dyDescent="0.2">
      <c r="A53" s="20"/>
      <c r="B53" s="21"/>
      <c r="C53" s="21" t="s">
        <v>430</v>
      </c>
      <c r="D53" s="22"/>
      <c r="E53" s="9"/>
      <c r="F53" s="24">
        <f>Source!AN31</f>
        <v>8.2799999999999994</v>
      </c>
      <c r="G53" s="23" t="str">
        <f>Source!DF31</f>
        <v>)*32</v>
      </c>
      <c r="H53" s="9">
        <f>Source!AV31</f>
        <v>1</v>
      </c>
      <c r="I53" s="9">
        <f>IF(Source!BS31&lt;&gt; 0, Source!BS31, 1)</f>
        <v>1</v>
      </c>
      <c r="J53" s="30">
        <f>Source!R31</f>
        <v>715.39</v>
      </c>
      <c r="K53" s="25"/>
    </row>
    <row r="54" spans="1:22" ht="15" x14ac:dyDescent="0.25">
      <c r="A54" s="28"/>
      <c r="B54" s="28"/>
      <c r="C54" s="28"/>
      <c r="D54" s="28"/>
      <c r="E54" s="28"/>
      <c r="F54" s="28"/>
      <c r="G54" s="28"/>
      <c r="H54" s="28"/>
      <c r="I54" s="64">
        <f>J52</f>
        <v>1317.6</v>
      </c>
      <c r="J54" s="64"/>
      <c r="K54" s="29">
        <f>IF(Source!I31&lt;&gt;0, ROUND(I54/Source!I31, 2), 0)</f>
        <v>488</v>
      </c>
      <c r="P54" s="26">
        <f>I54</f>
        <v>1317.6</v>
      </c>
    </row>
    <row r="55" spans="1:22" ht="57" x14ac:dyDescent="0.2">
      <c r="A55" s="20" t="str">
        <f>Source!E32</f>
        <v>5</v>
      </c>
      <c r="B55" s="21" t="str">
        <f>Source!F32</f>
        <v>5.3-5202-3-3/1</v>
      </c>
      <c r="C55" s="21" t="str">
        <f>Source!G32</f>
        <v>Устройство вручную набивных дорожек и площадок с добавлением щебня слоем 20 см (подушки под столбы)</v>
      </c>
      <c r="D55" s="22" t="str">
        <f>Source!H32</f>
        <v>м2</v>
      </c>
      <c r="E55" s="9">
        <f>Source!I32</f>
        <v>2.2999999999999998</v>
      </c>
      <c r="F55" s="24"/>
      <c r="G55" s="23"/>
      <c r="H55" s="9"/>
      <c r="I55" s="9"/>
      <c r="J55" s="25"/>
      <c r="K55" s="25"/>
      <c r="Q55">
        <f>ROUND((Source!BZ32/100)*ROUND((Source!AF32*Source!AV32)*Source!I32, 2), 2)</f>
        <v>442.39</v>
      </c>
      <c r="R55">
        <f>Source!X32</f>
        <v>442.39</v>
      </c>
      <c r="S55">
        <f>ROUND((Source!CA32/100)*ROUND((Source!AF32*Source!AV32)*Source!I32, 2), 2)</f>
        <v>63.2</v>
      </c>
      <c r="T55">
        <f>Source!Y32</f>
        <v>63.2</v>
      </c>
      <c r="U55">
        <f>ROUND((175/100)*ROUND((Source!AE32*Source!AV32)*Source!I32, 2), 2)</f>
        <v>0</v>
      </c>
      <c r="V55">
        <f>ROUND((108/100)*ROUND(Source!CS32*Source!I32, 2), 2)</f>
        <v>0</v>
      </c>
    </row>
    <row r="56" spans="1:22" ht="14.25" x14ac:dyDescent="0.2">
      <c r="A56" s="20"/>
      <c r="B56" s="21"/>
      <c r="C56" s="21" t="s">
        <v>423</v>
      </c>
      <c r="D56" s="22"/>
      <c r="E56" s="9"/>
      <c r="F56" s="24">
        <f>Source!AO32</f>
        <v>274.77999999999997</v>
      </c>
      <c r="G56" s="23" t="str">
        <f>Source!DG32</f>
        <v/>
      </c>
      <c r="H56" s="9">
        <f>Source!AV32</f>
        <v>1</v>
      </c>
      <c r="I56" s="9">
        <f>IF(Source!BA32&lt;&gt; 0, Source!BA32, 1)</f>
        <v>1</v>
      </c>
      <c r="J56" s="25">
        <f>Source!S32</f>
        <v>631.99</v>
      </c>
      <c r="K56" s="25"/>
    </row>
    <row r="57" spans="1:22" ht="14.25" x14ac:dyDescent="0.2">
      <c r="A57" s="20"/>
      <c r="B57" s="21"/>
      <c r="C57" s="21" t="s">
        <v>431</v>
      </c>
      <c r="D57" s="22"/>
      <c r="E57" s="9"/>
      <c r="F57" s="24">
        <f>Source!AL32</f>
        <v>536.29999999999995</v>
      </c>
      <c r="G57" s="23" t="str">
        <f>Source!DD32</f>
        <v/>
      </c>
      <c r="H57" s="9">
        <f>Source!AW32</f>
        <v>1</v>
      </c>
      <c r="I57" s="9">
        <f>IF(Source!BC32&lt;&gt; 0, Source!BC32, 1)</f>
        <v>1</v>
      </c>
      <c r="J57" s="25">
        <f>Source!P32</f>
        <v>1233.49</v>
      </c>
      <c r="K57" s="25"/>
    </row>
    <row r="58" spans="1:22" ht="14.25" x14ac:dyDescent="0.2">
      <c r="A58" s="20"/>
      <c r="B58" s="21"/>
      <c r="C58" s="21" t="s">
        <v>424</v>
      </c>
      <c r="D58" s="22" t="s">
        <v>425</v>
      </c>
      <c r="E58" s="9">
        <f>Source!AT32</f>
        <v>70</v>
      </c>
      <c r="F58" s="24"/>
      <c r="G58" s="23"/>
      <c r="H58" s="9"/>
      <c r="I58" s="9"/>
      <c r="J58" s="25">
        <f>SUM(R55:R57)</f>
        <v>442.39</v>
      </c>
      <c r="K58" s="25"/>
    </row>
    <row r="59" spans="1:22" ht="14.25" x14ac:dyDescent="0.2">
      <c r="A59" s="20"/>
      <c r="B59" s="21"/>
      <c r="C59" s="21" t="s">
        <v>426</v>
      </c>
      <c r="D59" s="22" t="s">
        <v>425</v>
      </c>
      <c r="E59" s="9">
        <f>Source!AU32</f>
        <v>10</v>
      </c>
      <c r="F59" s="24"/>
      <c r="G59" s="23"/>
      <c r="H59" s="9"/>
      <c r="I59" s="9"/>
      <c r="J59" s="25">
        <f>SUM(T55:T58)</f>
        <v>63.2</v>
      </c>
      <c r="K59" s="25"/>
    </row>
    <row r="60" spans="1:22" ht="14.25" x14ac:dyDescent="0.2">
      <c r="A60" s="20"/>
      <c r="B60" s="21"/>
      <c r="C60" s="21" t="s">
        <v>427</v>
      </c>
      <c r="D60" s="22" t="s">
        <v>428</v>
      </c>
      <c r="E60" s="9">
        <f>Source!AQ32</f>
        <v>1.25</v>
      </c>
      <c r="F60" s="24"/>
      <c r="G60" s="23" t="str">
        <f>Source!DI32</f>
        <v/>
      </c>
      <c r="H60" s="9">
        <f>Source!AV32</f>
        <v>1</v>
      </c>
      <c r="I60" s="9"/>
      <c r="J60" s="25"/>
      <c r="K60" s="25">
        <f>Source!U32</f>
        <v>2.875</v>
      </c>
    </row>
    <row r="61" spans="1:22" ht="15" x14ac:dyDescent="0.25">
      <c r="A61" s="28"/>
      <c r="B61" s="28"/>
      <c r="C61" s="28"/>
      <c r="D61" s="28"/>
      <c r="E61" s="28"/>
      <c r="F61" s="28"/>
      <c r="G61" s="28"/>
      <c r="H61" s="28"/>
      <c r="I61" s="64">
        <f>J56+J57+J58+J59</f>
        <v>2371.0699999999997</v>
      </c>
      <c r="J61" s="64"/>
      <c r="K61" s="29">
        <f>IF(Source!I32&lt;&gt;0, ROUND(I61/Source!I32, 2), 0)</f>
        <v>1030.9000000000001</v>
      </c>
      <c r="P61" s="26">
        <f>I61</f>
        <v>2371.0699999999997</v>
      </c>
    </row>
    <row r="62" spans="1:22" ht="57" x14ac:dyDescent="0.2">
      <c r="A62" s="20" t="str">
        <f>Source!E33</f>
        <v>6</v>
      </c>
      <c r="B62" s="21" t="str">
        <f>Source!F33</f>
        <v>5.3-5202-2-1/1</v>
      </c>
      <c r="C62" s="21" t="str">
        <f>Source!G33</f>
        <v>Устройство основания из песка толщиной 10 см для дорожек и площадок вручную (подушки под столбы)</v>
      </c>
      <c r="D62" s="22" t="str">
        <f>Source!H33</f>
        <v>м2</v>
      </c>
      <c r="E62" s="9">
        <f>Source!I33</f>
        <v>2.2999999999999998</v>
      </c>
      <c r="F62" s="24"/>
      <c r="G62" s="23"/>
      <c r="H62" s="9"/>
      <c r="I62" s="9"/>
      <c r="J62" s="25"/>
      <c r="K62" s="25"/>
      <c r="Q62">
        <f>ROUND((Source!BZ33/100)*ROUND((Source!AF33*Source!AV33)*Source!I33, 2), 2)</f>
        <v>125.69</v>
      </c>
      <c r="R62">
        <f>Source!X33</f>
        <v>125.69</v>
      </c>
      <c r="S62">
        <f>ROUND((Source!CA33/100)*ROUND((Source!AF33*Source!AV33)*Source!I33, 2), 2)</f>
        <v>17.96</v>
      </c>
      <c r="T62">
        <f>Source!Y33</f>
        <v>17.96</v>
      </c>
      <c r="U62">
        <f>ROUND((175/100)*ROUND((Source!AE33*Source!AV33)*Source!I33, 2), 2)</f>
        <v>5.95</v>
      </c>
      <c r="V62">
        <f>ROUND((108/100)*ROUND(Source!CS33*Source!I33, 2), 2)</f>
        <v>3.67</v>
      </c>
    </row>
    <row r="63" spans="1:22" ht="14.25" x14ac:dyDescent="0.2">
      <c r="A63" s="20"/>
      <c r="B63" s="21"/>
      <c r="C63" s="21" t="s">
        <v>423</v>
      </c>
      <c r="D63" s="22"/>
      <c r="E63" s="9"/>
      <c r="F63" s="24">
        <f>Source!AO33</f>
        <v>78.069999999999993</v>
      </c>
      <c r="G63" s="23" t="str">
        <f>Source!DG33</f>
        <v/>
      </c>
      <c r="H63" s="9">
        <f>Source!AV33</f>
        <v>1</v>
      </c>
      <c r="I63" s="9">
        <f>IF(Source!BA33&lt;&gt; 0, Source!BA33, 1)</f>
        <v>1</v>
      </c>
      <c r="J63" s="25">
        <f>Source!S33</f>
        <v>179.56</v>
      </c>
      <c r="K63" s="25"/>
    </row>
    <row r="64" spans="1:22" ht="14.25" x14ac:dyDescent="0.2">
      <c r="A64" s="20"/>
      <c r="B64" s="21"/>
      <c r="C64" s="21" t="s">
        <v>429</v>
      </c>
      <c r="D64" s="22"/>
      <c r="E64" s="9"/>
      <c r="F64" s="24">
        <f>Source!AM33</f>
        <v>3.81</v>
      </c>
      <c r="G64" s="23" t="str">
        <f>Source!DE33</f>
        <v/>
      </c>
      <c r="H64" s="9">
        <f>Source!AV33</f>
        <v>1</v>
      </c>
      <c r="I64" s="9">
        <f>IF(Source!BB33&lt;&gt; 0, Source!BB33, 1)</f>
        <v>1</v>
      </c>
      <c r="J64" s="25">
        <f>Source!Q33</f>
        <v>8.76</v>
      </c>
      <c r="K64" s="25"/>
    </row>
    <row r="65" spans="1:22" ht="14.25" x14ac:dyDescent="0.2">
      <c r="A65" s="20"/>
      <c r="B65" s="21"/>
      <c r="C65" s="21" t="s">
        <v>430</v>
      </c>
      <c r="D65" s="22"/>
      <c r="E65" s="9"/>
      <c r="F65" s="24">
        <f>Source!AN33</f>
        <v>1.48</v>
      </c>
      <c r="G65" s="23" t="str">
        <f>Source!DF33</f>
        <v/>
      </c>
      <c r="H65" s="9">
        <f>Source!AV33</f>
        <v>1</v>
      </c>
      <c r="I65" s="9">
        <f>IF(Source!BS33&lt;&gt; 0, Source!BS33, 1)</f>
        <v>1</v>
      </c>
      <c r="J65" s="30">
        <f>Source!R33</f>
        <v>3.4</v>
      </c>
      <c r="K65" s="25"/>
    </row>
    <row r="66" spans="1:22" ht="14.25" x14ac:dyDescent="0.2">
      <c r="A66" s="20"/>
      <c r="B66" s="21"/>
      <c r="C66" s="21" t="s">
        <v>431</v>
      </c>
      <c r="D66" s="22"/>
      <c r="E66" s="9"/>
      <c r="F66" s="24">
        <f>Source!AL33</f>
        <v>62.38</v>
      </c>
      <c r="G66" s="23" t="str">
        <f>Source!DD33</f>
        <v/>
      </c>
      <c r="H66" s="9">
        <f>Source!AW33</f>
        <v>1</v>
      </c>
      <c r="I66" s="9">
        <f>IF(Source!BC33&lt;&gt; 0, Source!BC33, 1)</f>
        <v>1</v>
      </c>
      <c r="J66" s="25">
        <f>Source!P33</f>
        <v>143.47</v>
      </c>
      <c r="K66" s="25"/>
    </row>
    <row r="67" spans="1:22" ht="14.25" x14ac:dyDescent="0.2">
      <c r="A67" s="20"/>
      <c r="B67" s="21"/>
      <c r="C67" s="21" t="s">
        <v>424</v>
      </c>
      <c r="D67" s="22" t="s">
        <v>425</v>
      </c>
      <c r="E67" s="9">
        <f>Source!AT33</f>
        <v>70</v>
      </c>
      <c r="F67" s="24"/>
      <c r="G67" s="23"/>
      <c r="H67" s="9"/>
      <c r="I67" s="9"/>
      <c r="J67" s="25">
        <f>SUM(R62:R66)</f>
        <v>125.69</v>
      </c>
      <c r="K67" s="25"/>
    </row>
    <row r="68" spans="1:22" ht="14.25" x14ac:dyDescent="0.2">
      <c r="A68" s="20"/>
      <c r="B68" s="21"/>
      <c r="C68" s="21" t="s">
        <v>426</v>
      </c>
      <c r="D68" s="22" t="s">
        <v>425</v>
      </c>
      <c r="E68" s="9">
        <f>Source!AU33</f>
        <v>10</v>
      </c>
      <c r="F68" s="24"/>
      <c r="G68" s="23"/>
      <c r="H68" s="9"/>
      <c r="I68" s="9"/>
      <c r="J68" s="25">
        <f>SUM(T62:T67)</f>
        <v>17.96</v>
      </c>
      <c r="K68" s="25"/>
    </row>
    <row r="69" spans="1:22" ht="14.25" x14ac:dyDescent="0.2">
      <c r="A69" s="20"/>
      <c r="B69" s="21"/>
      <c r="C69" s="21" t="s">
        <v>432</v>
      </c>
      <c r="D69" s="22" t="s">
        <v>425</v>
      </c>
      <c r="E69" s="9">
        <f>108</f>
        <v>108</v>
      </c>
      <c r="F69" s="24"/>
      <c r="G69" s="23"/>
      <c r="H69" s="9"/>
      <c r="I69" s="9"/>
      <c r="J69" s="25">
        <f>SUM(V62:V68)</f>
        <v>3.67</v>
      </c>
      <c r="K69" s="25"/>
    </row>
    <row r="70" spans="1:22" ht="14.25" x14ac:dyDescent="0.2">
      <c r="A70" s="20"/>
      <c r="B70" s="21"/>
      <c r="C70" s="21" t="s">
        <v>427</v>
      </c>
      <c r="D70" s="22" t="s">
        <v>428</v>
      </c>
      <c r="E70" s="9">
        <f>Source!AQ33</f>
        <v>0.37</v>
      </c>
      <c r="F70" s="24"/>
      <c r="G70" s="23" t="str">
        <f>Source!DI33</f>
        <v/>
      </c>
      <c r="H70" s="9">
        <f>Source!AV33</f>
        <v>1</v>
      </c>
      <c r="I70" s="9"/>
      <c r="J70" s="25"/>
      <c r="K70" s="25">
        <f>Source!U33</f>
        <v>0.85099999999999998</v>
      </c>
    </row>
    <row r="71" spans="1:22" ht="15" x14ac:dyDescent="0.25">
      <c r="A71" s="28"/>
      <c r="B71" s="28"/>
      <c r="C71" s="28"/>
      <c r="D71" s="28"/>
      <c r="E71" s="28"/>
      <c r="F71" s="28"/>
      <c r="G71" s="28"/>
      <c r="H71" s="28"/>
      <c r="I71" s="64">
        <f>J63+J64+J66+J67+J68+J69</f>
        <v>479.10999999999996</v>
      </c>
      <c r="J71" s="64"/>
      <c r="K71" s="29">
        <f>IF(Source!I33&lt;&gt;0, ROUND(I71/Source!I33, 2), 0)</f>
        <v>208.31</v>
      </c>
      <c r="P71" s="26">
        <f>I71</f>
        <v>479.10999999999996</v>
      </c>
    </row>
    <row r="72" spans="1:22" ht="28.5" x14ac:dyDescent="0.2">
      <c r="A72" s="20" t="str">
        <f>Source!E34</f>
        <v>7</v>
      </c>
      <c r="B72" s="21" t="str">
        <f>Source!F34</f>
        <v>1.2-3103-2-15/1</v>
      </c>
      <c r="C72" s="21" t="str">
        <f>Source!G34</f>
        <v>Устройство фундаментных плит железобетонных плоских</v>
      </c>
      <c r="D72" s="22" t="str">
        <f>Source!H34</f>
        <v>100 м3</v>
      </c>
      <c r="E72" s="9">
        <f>Source!I34</f>
        <v>2.2499999999999999E-2</v>
      </c>
      <c r="F72" s="24"/>
      <c r="G72" s="23"/>
      <c r="H72" s="9"/>
      <c r="I72" s="9"/>
      <c r="J72" s="25"/>
      <c r="K72" s="25"/>
      <c r="Q72">
        <f>ROUND((Source!BZ34/100)*ROUND((Source!AF34*Source!AV34)*Source!I34, 2), 2)</f>
        <v>655.43</v>
      </c>
      <c r="R72">
        <f>Source!X34</f>
        <v>655.43</v>
      </c>
      <c r="S72">
        <f>ROUND((Source!CA34/100)*ROUND((Source!AF34*Source!AV34)*Source!I34, 2), 2)</f>
        <v>93.63</v>
      </c>
      <c r="T72">
        <f>Source!Y34</f>
        <v>93.63</v>
      </c>
      <c r="U72">
        <f>ROUND((175/100)*ROUND((Source!AE34*Source!AV34)*Source!I34, 2), 2)</f>
        <v>6.62</v>
      </c>
      <c r="V72">
        <f>ROUND((108/100)*ROUND(Source!CS34*Source!I34, 2), 2)</f>
        <v>4.08</v>
      </c>
    </row>
    <row r="73" spans="1:22" ht="14.25" x14ac:dyDescent="0.2">
      <c r="A73" s="20"/>
      <c r="B73" s="21"/>
      <c r="C73" s="21" t="s">
        <v>423</v>
      </c>
      <c r="D73" s="22"/>
      <c r="E73" s="9"/>
      <c r="F73" s="24">
        <f>Source!AO34</f>
        <v>41614.639999999999</v>
      </c>
      <c r="G73" s="23" t="str">
        <f>Source!DG34</f>
        <v/>
      </c>
      <c r="H73" s="9">
        <f>Source!AV34</f>
        <v>1</v>
      </c>
      <c r="I73" s="9">
        <f>IF(Source!BA34&lt;&gt; 0, Source!BA34, 1)</f>
        <v>1</v>
      </c>
      <c r="J73" s="25">
        <f>Source!S34</f>
        <v>936.33</v>
      </c>
      <c r="K73" s="25"/>
    </row>
    <row r="74" spans="1:22" ht="14.25" x14ac:dyDescent="0.2">
      <c r="A74" s="20"/>
      <c r="B74" s="21"/>
      <c r="C74" s="21" t="s">
        <v>429</v>
      </c>
      <c r="D74" s="22"/>
      <c r="E74" s="9"/>
      <c r="F74" s="24">
        <f>Source!AM34</f>
        <v>4415.67</v>
      </c>
      <c r="G74" s="23" t="str">
        <f>Source!DE34</f>
        <v/>
      </c>
      <c r="H74" s="9">
        <f>Source!AV34</f>
        <v>1</v>
      </c>
      <c r="I74" s="9">
        <f>IF(Source!BB34&lt;&gt; 0, Source!BB34, 1)</f>
        <v>1</v>
      </c>
      <c r="J74" s="25">
        <f>Source!Q34</f>
        <v>99.35</v>
      </c>
      <c r="K74" s="25"/>
    </row>
    <row r="75" spans="1:22" ht="14.25" x14ac:dyDescent="0.2">
      <c r="A75" s="20"/>
      <c r="B75" s="21"/>
      <c r="C75" s="21" t="s">
        <v>430</v>
      </c>
      <c r="D75" s="22"/>
      <c r="E75" s="9"/>
      <c r="F75" s="24">
        <f>Source!AN34</f>
        <v>168.01</v>
      </c>
      <c r="G75" s="23" t="str">
        <f>Source!DF34</f>
        <v/>
      </c>
      <c r="H75" s="9">
        <f>Source!AV34</f>
        <v>1</v>
      </c>
      <c r="I75" s="9">
        <f>IF(Source!BS34&lt;&gt; 0, Source!BS34, 1)</f>
        <v>1</v>
      </c>
      <c r="J75" s="30">
        <f>Source!R34</f>
        <v>3.78</v>
      </c>
      <c r="K75" s="25"/>
    </row>
    <row r="76" spans="1:22" ht="14.25" x14ac:dyDescent="0.2">
      <c r="A76" s="20"/>
      <c r="B76" s="21"/>
      <c r="C76" s="21" t="s">
        <v>431</v>
      </c>
      <c r="D76" s="22"/>
      <c r="E76" s="9"/>
      <c r="F76" s="24">
        <f>Source!AL34</f>
        <v>680227.7</v>
      </c>
      <c r="G76" s="23" t="str">
        <f>Source!DD34</f>
        <v/>
      </c>
      <c r="H76" s="9">
        <f>Source!AW34</f>
        <v>1</v>
      </c>
      <c r="I76" s="9">
        <f>IF(Source!BC34&lt;&gt; 0, Source!BC34, 1)</f>
        <v>1</v>
      </c>
      <c r="J76" s="25">
        <f>Source!P34</f>
        <v>15305.12</v>
      </c>
      <c r="K76" s="25"/>
    </row>
    <row r="77" spans="1:22" ht="57" x14ac:dyDescent="0.2">
      <c r="A77" s="20" t="str">
        <f>Source!E35</f>
        <v>7,1</v>
      </c>
      <c r="B77" s="21" t="str">
        <f>Source!F35</f>
        <v>21.3-1-83</v>
      </c>
      <c r="C77" s="21" t="str">
        <f>Source!G35</f>
        <v>Смеси бетонные, БСГ, тяжелого бетона на гранитном щебне, фракция 5-20, класс прочности: В22,5 (М300); П3, F200, W6</v>
      </c>
      <c r="D77" s="22" t="str">
        <f>Source!H35</f>
        <v>м3</v>
      </c>
      <c r="E77" s="9">
        <f>Source!I35</f>
        <v>2.2837499999999999</v>
      </c>
      <c r="F77" s="24">
        <f>Source!AK35</f>
        <v>3884.73</v>
      </c>
      <c r="G77" s="31" t="s">
        <v>3</v>
      </c>
      <c r="H77" s="9">
        <f>Source!AW35</f>
        <v>1</v>
      </c>
      <c r="I77" s="9">
        <f>IF(Source!BC35&lt;&gt; 0, Source!BC35, 1)</f>
        <v>1</v>
      </c>
      <c r="J77" s="25">
        <f>Source!O35</f>
        <v>8871.75</v>
      </c>
      <c r="K77" s="25"/>
      <c r="Q77">
        <f>ROUND((Source!BZ35/100)*ROUND((Source!AF35*Source!AV35)*Source!I35, 2), 2)</f>
        <v>0</v>
      </c>
      <c r="R77">
        <f>Source!X35</f>
        <v>0</v>
      </c>
      <c r="S77">
        <f>ROUND((Source!CA35/100)*ROUND((Source!AF35*Source!AV35)*Source!I35, 2), 2)</f>
        <v>0</v>
      </c>
      <c r="T77">
        <f>Source!Y35</f>
        <v>0</v>
      </c>
      <c r="U77">
        <f>ROUND((175/100)*ROUND((Source!AE35*Source!AV35)*Source!I35, 2), 2)</f>
        <v>0</v>
      </c>
      <c r="V77">
        <f>ROUND((108/100)*ROUND(Source!CS35*Source!I35, 2), 2)</f>
        <v>0</v>
      </c>
    </row>
    <row r="78" spans="1:22" ht="57" x14ac:dyDescent="0.2">
      <c r="A78" s="20" t="str">
        <f>Source!E36</f>
        <v>7,2</v>
      </c>
      <c r="B78" s="21" t="str">
        <f>Source!F36</f>
        <v>21.3-1-69</v>
      </c>
      <c r="C78" s="21" t="str">
        <f>Source!G36</f>
        <v>Смеси бетонные, БСГ, тяжелого бетона на гранитном щебне, класс прочности: В15 (М200); П3, фракция 5-20, F50-100, W0-2</v>
      </c>
      <c r="D78" s="22" t="str">
        <f>Source!H36</f>
        <v>м3</v>
      </c>
      <c r="E78" s="9">
        <f>Source!I36</f>
        <v>-2.2837499999999999</v>
      </c>
      <c r="F78" s="24">
        <f>Source!AK36</f>
        <v>3714.73</v>
      </c>
      <c r="G78" s="31" t="s">
        <v>3</v>
      </c>
      <c r="H78" s="9">
        <f>Source!AW36</f>
        <v>1</v>
      </c>
      <c r="I78" s="9">
        <f>IF(Source!BC36&lt;&gt; 0, Source!BC36, 1)</f>
        <v>1</v>
      </c>
      <c r="J78" s="25">
        <f>Source!O36</f>
        <v>-8483.51</v>
      </c>
      <c r="K78" s="25"/>
      <c r="Q78">
        <f>ROUND((Source!BZ36/100)*ROUND((Source!AF36*Source!AV36)*Source!I36, 2), 2)</f>
        <v>0</v>
      </c>
      <c r="R78">
        <f>Source!X36</f>
        <v>0</v>
      </c>
      <c r="S78">
        <f>ROUND((Source!CA36/100)*ROUND((Source!AF36*Source!AV36)*Source!I36, 2), 2)</f>
        <v>0</v>
      </c>
      <c r="T78">
        <f>Source!Y36</f>
        <v>0</v>
      </c>
      <c r="U78">
        <f>ROUND((175/100)*ROUND((Source!AE36*Source!AV36)*Source!I36, 2), 2)</f>
        <v>0</v>
      </c>
      <c r="V78">
        <f>ROUND((108/100)*ROUND(Source!CS36*Source!I36, 2), 2)</f>
        <v>0</v>
      </c>
    </row>
    <row r="79" spans="1:22" ht="14.25" x14ac:dyDescent="0.2">
      <c r="A79" s="20"/>
      <c r="B79" s="21"/>
      <c r="C79" s="21" t="s">
        <v>424</v>
      </c>
      <c r="D79" s="22" t="s">
        <v>425</v>
      </c>
      <c r="E79" s="9">
        <f>Source!AT34</f>
        <v>70</v>
      </c>
      <c r="F79" s="24"/>
      <c r="G79" s="23"/>
      <c r="H79" s="9"/>
      <c r="I79" s="9"/>
      <c r="J79" s="25">
        <f>SUM(R72:R78)</f>
        <v>655.43</v>
      </c>
      <c r="K79" s="25"/>
    </row>
    <row r="80" spans="1:22" ht="14.25" x14ac:dyDescent="0.2">
      <c r="A80" s="20"/>
      <c r="B80" s="21"/>
      <c r="C80" s="21" t="s">
        <v>426</v>
      </c>
      <c r="D80" s="22" t="s">
        <v>425</v>
      </c>
      <c r="E80" s="9">
        <f>Source!AU34</f>
        <v>10</v>
      </c>
      <c r="F80" s="24"/>
      <c r="G80" s="23"/>
      <c r="H80" s="9"/>
      <c r="I80" s="9"/>
      <c r="J80" s="25">
        <f>SUM(T72:T79)</f>
        <v>93.63</v>
      </c>
      <c r="K80" s="25"/>
    </row>
    <row r="81" spans="1:22" ht="14.25" x14ac:dyDescent="0.2">
      <c r="A81" s="20"/>
      <c r="B81" s="21"/>
      <c r="C81" s="21" t="s">
        <v>432</v>
      </c>
      <c r="D81" s="22" t="s">
        <v>425</v>
      </c>
      <c r="E81" s="9">
        <f>108</f>
        <v>108</v>
      </c>
      <c r="F81" s="24"/>
      <c r="G81" s="23"/>
      <c r="H81" s="9"/>
      <c r="I81" s="9"/>
      <c r="J81" s="25">
        <f>SUM(V72:V80)</f>
        <v>4.08</v>
      </c>
      <c r="K81" s="25"/>
    </row>
    <row r="82" spans="1:22" ht="14.25" x14ac:dyDescent="0.2">
      <c r="A82" s="20"/>
      <c r="B82" s="21"/>
      <c r="C82" s="21" t="s">
        <v>427</v>
      </c>
      <c r="D82" s="22" t="s">
        <v>428</v>
      </c>
      <c r="E82" s="9">
        <f>Source!AQ34</f>
        <v>205.85</v>
      </c>
      <c r="F82" s="24"/>
      <c r="G82" s="23" t="str">
        <f>Source!DI34</f>
        <v/>
      </c>
      <c r="H82" s="9">
        <f>Source!AV34</f>
        <v>1</v>
      </c>
      <c r="I82" s="9"/>
      <c r="J82" s="25"/>
      <c r="K82" s="25">
        <f>Source!U34</f>
        <v>4.6316249999999997</v>
      </c>
    </row>
    <row r="83" spans="1:22" ht="15" x14ac:dyDescent="0.25">
      <c r="A83" s="28"/>
      <c r="B83" s="28"/>
      <c r="C83" s="28"/>
      <c r="D83" s="28"/>
      <c r="E83" s="28"/>
      <c r="F83" s="28"/>
      <c r="G83" s="28"/>
      <c r="H83" s="28"/>
      <c r="I83" s="64">
        <f>J73+J74+J76+J79+J80+J81+SUM(J77:J78)</f>
        <v>17482.18</v>
      </c>
      <c r="J83" s="64"/>
      <c r="K83" s="29">
        <f>IF(Source!I34&lt;&gt;0, ROUND(I83/Source!I34, 2), 0)</f>
        <v>776985.78</v>
      </c>
      <c r="P83" s="26">
        <f>I83</f>
        <v>17482.18</v>
      </c>
    </row>
    <row r="84" spans="1:22" ht="57" x14ac:dyDescent="0.2">
      <c r="A84" s="20" t="str">
        <f>Source!E37</f>
        <v>8</v>
      </c>
      <c r="B84" s="21" t="str">
        <f>Source!F37</f>
        <v>5.3-3203-2-1/1</v>
      </c>
      <c r="C84" s="21" t="str">
        <f>Source!G37</f>
        <v>Изготовление и установка секций металлического ограждения, калиток, ворот из профилированной трубы, масса секции до 150 кг</v>
      </c>
      <c r="D84" s="22" t="str">
        <f>Source!H37</f>
        <v>м2</v>
      </c>
      <c r="E84" s="9">
        <f>Source!I37</f>
        <v>125.2</v>
      </c>
      <c r="F84" s="24"/>
      <c r="G84" s="23"/>
      <c r="H84" s="9"/>
      <c r="I84" s="9"/>
      <c r="J84" s="25"/>
      <c r="K84" s="25"/>
      <c r="Q84">
        <f>ROUND((Source!BZ37/100)*ROUND((Source!AF37*Source!AV37)*Source!I37, 2), 2)</f>
        <v>69682.559999999998</v>
      </c>
      <c r="R84">
        <f>Source!X37</f>
        <v>69682.559999999998</v>
      </c>
      <c r="S84">
        <f>ROUND((Source!CA37/100)*ROUND((Source!AF37*Source!AV37)*Source!I37, 2), 2)</f>
        <v>9954.65</v>
      </c>
      <c r="T84">
        <f>Source!Y37</f>
        <v>9954.65</v>
      </c>
      <c r="U84">
        <f>ROUND((175/100)*ROUND((Source!AE37*Source!AV37)*Source!I37, 2), 2)</f>
        <v>64849.23</v>
      </c>
      <c r="V84">
        <f>ROUND((108/100)*ROUND(Source!CS37*Source!I37, 2), 2)</f>
        <v>40021.24</v>
      </c>
    </row>
    <row r="85" spans="1:22" ht="14.25" x14ac:dyDescent="0.2">
      <c r="A85" s="20"/>
      <c r="B85" s="21"/>
      <c r="C85" s="21" t="s">
        <v>423</v>
      </c>
      <c r="D85" s="22"/>
      <c r="E85" s="9"/>
      <c r="F85" s="24">
        <f>Source!AO37</f>
        <v>795.1</v>
      </c>
      <c r="G85" s="23" t="str">
        <f>Source!DG37</f>
        <v/>
      </c>
      <c r="H85" s="9">
        <f>Source!AV37</f>
        <v>1</v>
      </c>
      <c r="I85" s="9">
        <f>IF(Source!BA37&lt;&gt; 0, Source!BA37, 1)</f>
        <v>1</v>
      </c>
      <c r="J85" s="25">
        <f>Source!S37</f>
        <v>99546.52</v>
      </c>
      <c r="K85" s="25"/>
    </row>
    <row r="86" spans="1:22" ht="14.25" x14ac:dyDescent="0.2">
      <c r="A86" s="20"/>
      <c r="B86" s="21"/>
      <c r="C86" s="21" t="s">
        <v>429</v>
      </c>
      <c r="D86" s="22"/>
      <c r="E86" s="9"/>
      <c r="F86" s="24">
        <f>Source!AM37</f>
        <v>464.27</v>
      </c>
      <c r="G86" s="23" t="str">
        <f>Source!DE37</f>
        <v/>
      </c>
      <c r="H86" s="9">
        <f>Source!AV37</f>
        <v>1</v>
      </c>
      <c r="I86" s="9">
        <f>IF(Source!BB37&lt;&gt; 0, Source!BB37, 1)</f>
        <v>1</v>
      </c>
      <c r="J86" s="25">
        <f>Source!Q37</f>
        <v>58126.6</v>
      </c>
      <c r="K86" s="25"/>
    </row>
    <row r="87" spans="1:22" ht="14.25" x14ac:dyDescent="0.2">
      <c r="A87" s="20"/>
      <c r="B87" s="21"/>
      <c r="C87" s="21" t="s">
        <v>430</v>
      </c>
      <c r="D87" s="22"/>
      <c r="E87" s="9"/>
      <c r="F87" s="24">
        <f>Source!AN37</f>
        <v>295.98</v>
      </c>
      <c r="G87" s="23" t="str">
        <f>Source!DF37</f>
        <v/>
      </c>
      <c r="H87" s="9">
        <f>Source!AV37</f>
        <v>1</v>
      </c>
      <c r="I87" s="9">
        <f>IF(Source!BS37&lt;&gt; 0, Source!BS37, 1)</f>
        <v>1</v>
      </c>
      <c r="J87" s="30">
        <f>Source!R37</f>
        <v>37056.699999999997</v>
      </c>
      <c r="K87" s="25"/>
    </row>
    <row r="88" spans="1:22" ht="14.25" x14ac:dyDescent="0.2">
      <c r="A88" s="20"/>
      <c r="B88" s="21"/>
      <c r="C88" s="21" t="s">
        <v>431</v>
      </c>
      <c r="D88" s="22"/>
      <c r="E88" s="9"/>
      <c r="F88" s="24">
        <f>Source!AL37</f>
        <v>5687.37</v>
      </c>
      <c r="G88" s="23" t="str">
        <f>Source!DD37</f>
        <v/>
      </c>
      <c r="H88" s="9">
        <f>Source!AW37</f>
        <v>1</v>
      </c>
      <c r="I88" s="9">
        <f>IF(Source!BC37&lt;&gt; 0, Source!BC37, 1)</f>
        <v>1</v>
      </c>
      <c r="J88" s="25">
        <f>Source!P37</f>
        <v>712058.72</v>
      </c>
      <c r="K88" s="25"/>
    </row>
    <row r="89" spans="1:22" ht="71.25" x14ac:dyDescent="0.2">
      <c r="A89" s="20" t="str">
        <f>Source!E38</f>
        <v>8,1</v>
      </c>
      <c r="B89" s="21" t="str">
        <f>Source!F38</f>
        <v>21.1-10-47</v>
      </c>
      <c r="C89" s="21" t="str">
        <f>Source!G38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D89" s="22" t="str">
        <f>Source!H38</f>
        <v>т</v>
      </c>
      <c r="E89" s="9">
        <f>Source!I38</f>
        <v>0.69974999999999998</v>
      </c>
      <c r="F89" s="24">
        <f>Source!AK38</f>
        <v>37329.29</v>
      </c>
      <c r="G89" s="31" t="s">
        <v>3</v>
      </c>
      <c r="H89" s="9">
        <f>Source!AW38</f>
        <v>1</v>
      </c>
      <c r="I89" s="9">
        <f>IF(Source!BC38&lt;&gt; 0, Source!BC38, 1)</f>
        <v>1</v>
      </c>
      <c r="J89" s="25">
        <f>Source!O38</f>
        <v>26121.17</v>
      </c>
      <c r="K89" s="25"/>
      <c r="Q89">
        <f>ROUND((Source!BZ38/100)*ROUND((Source!AF38*Source!AV38)*Source!I38, 2), 2)</f>
        <v>0</v>
      </c>
      <c r="R89">
        <f>Source!X38</f>
        <v>0</v>
      </c>
      <c r="S89">
        <f>ROUND((Source!CA38/100)*ROUND((Source!AF38*Source!AV38)*Source!I38, 2), 2)</f>
        <v>0</v>
      </c>
      <c r="T89">
        <f>Source!Y38</f>
        <v>0</v>
      </c>
      <c r="U89">
        <f>ROUND((175/100)*ROUND((Source!AE38*Source!AV38)*Source!I38, 2), 2)</f>
        <v>0</v>
      </c>
      <c r="V89">
        <f>ROUND((108/100)*ROUND(Source!CS38*Source!I38, 2), 2)</f>
        <v>0</v>
      </c>
    </row>
    <row r="90" spans="1:22" ht="57" x14ac:dyDescent="0.2">
      <c r="A90" s="20" t="str">
        <f>Source!E39</f>
        <v>8,2</v>
      </c>
      <c r="B90" s="21" t="str">
        <f>Source!F39</f>
        <v>21.1-10-111</v>
      </c>
      <c r="C90" s="21" t="str">
        <f>Source!G39</f>
        <v>Профили стальные электросварные прямоугольного сечения трубчатые, размер 40х60 мм, толщина стенки 3,0 мм (расход 4,30 кг/м.п., L=211,6 м.п.)</v>
      </c>
      <c r="D90" s="22" t="str">
        <f>Source!H39</f>
        <v>т</v>
      </c>
      <c r="E90" s="9">
        <f>Source!I39</f>
        <v>0.90988000000000002</v>
      </c>
      <c r="F90" s="24">
        <f>Source!AK39</f>
        <v>32819.879999999997</v>
      </c>
      <c r="G90" s="31" t="s">
        <v>3</v>
      </c>
      <c r="H90" s="9">
        <f>Source!AW39</f>
        <v>1</v>
      </c>
      <c r="I90" s="9">
        <f>IF(Source!BC39&lt;&gt; 0, Source!BC39, 1)</f>
        <v>1</v>
      </c>
      <c r="J90" s="25">
        <f>Source!O39</f>
        <v>29862.15</v>
      </c>
      <c r="K90" s="25"/>
      <c r="Q90">
        <f>ROUND((Source!BZ39/100)*ROUND((Source!AF39*Source!AV39)*Source!I39, 2), 2)</f>
        <v>0</v>
      </c>
      <c r="R90">
        <f>Source!X39</f>
        <v>0</v>
      </c>
      <c r="S90">
        <f>ROUND((Source!CA39/100)*ROUND((Source!AF39*Source!AV39)*Source!I39, 2), 2)</f>
        <v>0</v>
      </c>
      <c r="T90">
        <f>Source!Y39</f>
        <v>0</v>
      </c>
      <c r="U90">
        <f>ROUND((175/100)*ROUND((Source!AE39*Source!AV39)*Source!I39, 2), 2)</f>
        <v>0</v>
      </c>
      <c r="V90">
        <f>ROUND((108/100)*ROUND(Source!CS39*Source!I39, 2), 2)</f>
        <v>0</v>
      </c>
    </row>
    <row r="91" spans="1:22" ht="71.25" x14ac:dyDescent="0.2">
      <c r="A91" s="20" t="str">
        <f>Source!E40</f>
        <v>8,3</v>
      </c>
      <c r="B91" s="21" t="str">
        <f>Source!F40</f>
        <v>21.1-10-34</v>
      </c>
      <c r="C91" s="21" t="str">
        <f>Source!G40</f>
        <v>Профили стальные электросварные квадратного сечения трубчатые, размер стороны 20 мм, толщина стенки 2 мм (расход 1,075 кг/м.п., L=1908,0 м.п.)</v>
      </c>
      <c r="D91" s="22" t="str">
        <f>Source!H40</f>
        <v>т</v>
      </c>
      <c r="E91" s="9">
        <f>Source!I40</f>
        <v>2.0510999999999999</v>
      </c>
      <c r="F91" s="24">
        <f>Source!AK40</f>
        <v>40597.550000000003</v>
      </c>
      <c r="G91" s="31" t="s">
        <v>3</v>
      </c>
      <c r="H91" s="9">
        <f>Source!AW40</f>
        <v>1</v>
      </c>
      <c r="I91" s="9">
        <f>IF(Source!BC40&lt;&gt; 0, Source!BC40, 1)</f>
        <v>1</v>
      </c>
      <c r="J91" s="25">
        <f>Source!O40</f>
        <v>83269.63</v>
      </c>
      <c r="K91" s="25"/>
      <c r="Q91">
        <f>ROUND((Source!BZ40/100)*ROUND((Source!AF40*Source!AV40)*Source!I40, 2), 2)</f>
        <v>0</v>
      </c>
      <c r="R91">
        <f>Source!X40</f>
        <v>0</v>
      </c>
      <c r="S91">
        <f>ROUND((Source!CA40/100)*ROUND((Source!AF40*Source!AV40)*Source!I40, 2), 2)</f>
        <v>0</v>
      </c>
      <c r="T91">
        <f>Source!Y40</f>
        <v>0</v>
      </c>
      <c r="U91">
        <f>ROUND((175/100)*ROUND((Source!AE40*Source!AV40)*Source!I40, 2), 2)</f>
        <v>0</v>
      </c>
      <c r="V91">
        <f>ROUND((108/100)*ROUND(Source!CS40*Source!I40, 2), 2)</f>
        <v>0</v>
      </c>
    </row>
    <row r="92" spans="1:22" ht="42.75" x14ac:dyDescent="0.2">
      <c r="A92" s="20" t="str">
        <f>Source!E41</f>
        <v>8,4</v>
      </c>
      <c r="B92" s="21" t="str">
        <f>Source!F41</f>
        <v>Цена поставщика</v>
      </c>
      <c r="C92" s="21" t="s">
        <v>433</v>
      </c>
      <c r="D92" s="22" t="str">
        <f>Source!H41</f>
        <v>ШТ</v>
      </c>
      <c r="E92" s="9">
        <f>Source!I41</f>
        <v>25</v>
      </c>
      <c r="F92" s="24">
        <f>Source!AK41</f>
        <v>37.5</v>
      </c>
      <c r="G92" s="31" t="s">
        <v>3</v>
      </c>
      <c r="H92" s="9">
        <f>Source!AW41</f>
        <v>1</v>
      </c>
      <c r="I92" s="9">
        <f>IF(Source!BC41&lt;&gt; 0, Source!BC41, 1)</f>
        <v>1</v>
      </c>
      <c r="J92" s="25">
        <f>Source!O41</f>
        <v>937.5</v>
      </c>
      <c r="K92" s="25"/>
      <c r="Q92">
        <f>ROUND((Source!BZ41/100)*ROUND((Source!AF41*Source!AV41)*Source!I41, 2), 2)</f>
        <v>0</v>
      </c>
      <c r="R92">
        <f>Source!X41</f>
        <v>0</v>
      </c>
      <c r="S92">
        <f>ROUND((Source!CA41/100)*ROUND((Source!AF41*Source!AV41)*Source!I41, 2), 2)</f>
        <v>0</v>
      </c>
      <c r="T92">
        <f>Source!Y41</f>
        <v>0</v>
      </c>
      <c r="U92">
        <f>ROUND((175/100)*ROUND((Source!AE41*Source!AV41)*Source!I41, 2), 2)</f>
        <v>0</v>
      </c>
      <c r="V92">
        <f>ROUND((108/100)*ROUND(Source!CS41*Source!I41, 2), 2)</f>
        <v>0</v>
      </c>
    </row>
    <row r="93" spans="1:22" ht="42.75" x14ac:dyDescent="0.2">
      <c r="A93" s="20" t="str">
        <f>Source!E42</f>
        <v>8,5</v>
      </c>
      <c r="B93" s="21" t="str">
        <f>Source!F42</f>
        <v>Цена поставщика</v>
      </c>
      <c r="C93" s="21" t="s">
        <v>434</v>
      </c>
      <c r="D93" s="22" t="str">
        <f>Source!H42</f>
        <v>ШТ</v>
      </c>
      <c r="E93" s="9">
        <f>Source!I42</f>
        <v>96</v>
      </c>
      <c r="F93" s="24">
        <f>Source!AK42</f>
        <v>16.53</v>
      </c>
      <c r="G93" s="31" t="s">
        <v>3</v>
      </c>
      <c r="H93" s="9">
        <f>Source!AW42</f>
        <v>1</v>
      </c>
      <c r="I93" s="9">
        <f>IF(Source!BC42&lt;&gt; 0, Source!BC42, 1)</f>
        <v>1</v>
      </c>
      <c r="J93" s="25">
        <f>Source!O42</f>
        <v>1586.88</v>
      </c>
      <c r="K93" s="25"/>
      <c r="Q93">
        <f>ROUND((Source!BZ42/100)*ROUND((Source!AF42*Source!AV42)*Source!I42, 2), 2)</f>
        <v>0</v>
      </c>
      <c r="R93">
        <f>Source!X42</f>
        <v>0</v>
      </c>
      <c r="S93">
        <f>ROUND((Source!CA42/100)*ROUND((Source!AF42*Source!AV42)*Source!I42, 2), 2)</f>
        <v>0</v>
      </c>
      <c r="T93">
        <f>Source!Y42</f>
        <v>0</v>
      </c>
      <c r="U93">
        <f>ROUND((175/100)*ROUND((Source!AE42*Source!AV42)*Source!I42, 2), 2)</f>
        <v>0</v>
      </c>
      <c r="V93">
        <f>ROUND((108/100)*ROUND(Source!CS42*Source!I42, 2), 2)</f>
        <v>0</v>
      </c>
    </row>
    <row r="94" spans="1:22" ht="57" x14ac:dyDescent="0.2">
      <c r="A94" s="20" t="str">
        <f>Source!E43</f>
        <v>8,6</v>
      </c>
      <c r="B94" s="21" t="str">
        <f>Source!F43</f>
        <v>21.1-10-28</v>
      </c>
      <c r="C94" s="21" t="str">
        <f>Source!G43</f>
        <v>Профили стальные электросварные квадратного сечения трубчатые, размер стороны 40 мм, толщина стенки 2 мм</v>
      </c>
      <c r="D94" s="22" t="str">
        <f>Source!H43</f>
        <v>т</v>
      </c>
      <c r="E94" s="9">
        <f>Source!I43</f>
        <v>-18.654800000000002</v>
      </c>
      <c r="F94" s="24">
        <f>Source!AK43</f>
        <v>37537.54</v>
      </c>
      <c r="G94" s="31" t="s">
        <v>3</v>
      </c>
      <c r="H94" s="9">
        <f>Source!AW43</f>
        <v>1</v>
      </c>
      <c r="I94" s="9">
        <f>IF(Source!BC43&lt;&gt; 0, Source!BC43, 1)</f>
        <v>1</v>
      </c>
      <c r="J94" s="25">
        <f>Source!O43</f>
        <v>-700255.3</v>
      </c>
      <c r="K94" s="25"/>
      <c r="Q94">
        <f>ROUND((Source!BZ43/100)*ROUND((Source!AF43*Source!AV43)*Source!I43, 2), 2)</f>
        <v>0</v>
      </c>
      <c r="R94">
        <f>Source!X43</f>
        <v>0</v>
      </c>
      <c r="S94">
        <f>ROUND((Source!CA43/100)*ROUND((Source!AF43*Source!AV43)*Source!I43, 2), 2)</f>
        <v>0</v>
      </c>
      <c r="T94">
        <f>Source!Y43</f>
        <v>0</v>
      </c>
      <c r="U94">
        <f>ROUND((175/100)*ROUND((Source!AE43*Source!AV43)*Source!I43, 2), 2)</f>
        <v>0</v>
      </c>
      <c r="V94">
        <f>ROUND((108/100)*ROUND(Source!CS43*Source!I43, 2), 2)</f>
        <v>0</v>
      </c>
    </row>
    <row r="95" spans="1:22" ht="14.25" x14ac:dyDescent="0.2">
      <c r="A95" s="20"/>
      <c r="B95" s="21"/>
      <c r="C95" s="21" t="s">
        <v>424</v>
      </c>
      <c r="D95" s="22" t="s">
        <v>425</v>
      </c>
      <c r="E95" s="9">
        <f>Source!AT37</f>
        <v>70</v>
      </c>
      <c r="F95" s="24"/>
      <c r="G95" s="23"/>
      <c r="H95" s="9"/>
      <c r="I95" s="9"/>
      <c r="J95" s="25">
        <f>SUM(R84:R94)</f>
        <v>69682.559999999998</v>
      </c>
      <c r="K95" s="25"/>
    </row>
    <row r="96" spans="1:22" ht="14.25" x14ac:dyDescent="0.2">
      <c r="A96" s="20"/>
      <c r="B96" s="21"/>
      <c r="C96" s="21" t="s">
        <v>426</v>
      </c>
      <c r="D96" s="22" t="s">
        <v>425</v>
      </c>
      <c r="E96" s="9">
        <f>Source!AU37</f>
        <v>10</v>
      </c>
      <c r="F96" s="24"/>
      <c r="G96" s="23"/>
      <c r="H96" s="9"/>
      <c r="I96" s="9"/>
      <c r="J96" s="25">
        <f>SUM(T84:T95)</f>
        <v>9954.65</v>
      </c>
      <c r="K96" s="25"/>
    </row>
    <row r="97" spans="1:22" ht="14.25" x14ac:dyDescent="0.2">
      <c r="A97" s="20"/>
      <c r="B97" s="21"/>
      <c r="C97" s="21" t="s">
        <v>432</v>
      </c>
      <c r="D97" s="22" t="s">
        <v>425</v>
      </c>
      <c r="E97" s="9">
        <f>108</f>
        <v>108</v>
      </c>
      <c r="F97" s="24"/>
      <c r="G97" s="23"/>
      <c r="H97" s="9"/>
      <c r="I97" s="9"/>
      <c r="J97" s="25">
        <f>SUM(V84:V96)</f>
        <v>40021.24</v>
      </c>
      <c r="K97" s="25"/>
    </row>
    <row r="98" spans="1:22" ht="14.25" x14ac:dyDescent="0.2">
      <c r="A98" s="20"/>
      <c r="B98" s="21"/>
      <c r="C98" s="21" t="s">
        <v>427</v>
      </c>
      <c r="D98" s="22" t="s">
        <v>428</v>
      </c>
      <c r="E98" s="9">
        <f>Source!AQ37</f>
        <v>2.97</v>
      </c>
      <c r="F98" s="24"/>
      <c r="G98" s="23" t="str">
        <f>Source!DI37</f>
        <v/>
      </c>
      <c r="H98" s="9">
        <f>Source!AV37</f>
        <v>1</v>
      </c>
      <c r="I98" s="9"/>
      <c r="J98" s="25"/>
      <c r="K98" s="25">
        <f>Source!U37</f>
        <v>371.84400000000005</v>
      </c>
    </row>
    <row r="99" spans="1:22" ht="15" x14ac:dyDescent="0.25">
      <c r="A99" s="28"/>
      <c r="B99" s="28"/>
      <c r="C99" s="28"/>
      <c r="D99" s="28"/>
      <c r="E99" s="28"/>
      <c r="F99" s="28"/>
      <c r="G99" s="28"/>
      <c r="H99" s="28"/>
      <c r="I99" s="64">
        <f>J85+J86+J88+J95+J96+J97+SUM(J89:J94)</f>
        <v>430912.31999999995</v>
      </c>
      <c r="J99" s="64"/>
      <c r="K99" s="29">
        <f>IF(Source!I37&lt;&gt;0, ROUND(I99/Source!I37, 2), 0)</f>
        <v>3441.79</v>
      </c>
      <c r="P99" s="26">
        <f>I99</f>
        <v>430912.31999999995</v>
      </c>
    </row>
    <row r="100" spans="1:22" ht="42.75" x14ac:dyDescent="0.2">
      <c r="A100" s="20" t="str">
        <f>Source!E44</f>
        <v>9</v>
      </c>
      <c r="B100" s="21" t="str">
        <f>Source!F44</f>
        <v>1.13-3205-2-2/1</v>
      </c>
      <c r="C100" s="21" t="str">
        <f>Source!G44</f>
        <v>Антикоррозионная огрунтовка металлических поверхностей грунтовкой ГФ-021 за один раз</v>
      </c>
      <c r="D100" s="22" t="str">
        <f>Source!H44</f>
        <v>100 м2</v>
      </c>
      <c r="E100" s="9">
        <f>Source!I44</f>
        <v>1.252</v>
      </c>
      <c r="F100" s="24"/>
      <c r="G100" s="23"/>
      <c r="H100" s="9"/>
      <c r="I100" s="9"/>
      <c r="J100" s="25"/>
      <c r="K100" s="25"/>
      <c r="Q100">
        <f>ROUND((Source!BZ44/100)*ROUND((Source!AF44*Source!AV44)*Source!I44, 2), 2)</f>
        <v>1456.67</v>
      </c>
      <c r="R100">
        <f>Source!X44</f>
        <v>1456.67</v>
      </c>
      <c r="S100">
        <f>ROUND((Source!CA44/100)*ROUND((Source!AF44*Source!AV44)*Source!I44, 2), 2)</f>
        <v>208.1</v>
      </c>
      <c r="T100">
        <f>Source!Y44</f>
        <v>208.1</v>
      </c>
      <c r="U100">
        <f>ROUND((175/100)*ROUND((Source!AE44*Source!AV44)*Source!I44, 2), 2)</f>
        <v>109.55</v>
      </c>
      <c r="V100">
        <f>ROUND((108/100)*ROUND(Source!CS44*Source!I44, 2), 2)</f>
        <v>67.61</v>
      </c>
    </row>
    <row r="101" spans="1:22" ht="14.25" x14ac:dyDescent="0.2">
      <c r="A101" s="20"/>
      <c r="B101" s="21"/>
      <c r="C101" s="21" t="s">
        <v>423</v>
      </c>
      <c r="D101" s="22"/>
      <c r="E101" s="9"/>
      <c r="F101" s="24">
        <f>Source!AO44</f>
        <v>1662.1</v>
      </c>
      <c r="G101" s="23" t="str">
        <f>Source!DG44</f>
        <v/>
      </c>
      <c r="H101" s="9">
        <f>Source!AV44</f>
        <v>1</v>
      </c>
      <c r="I101" s="9">
        <f>IF(Source!BA44&lt;&gt; 0, Source!BA44, 1)</f>
        <v>1</v>
      </c>
      <c r="J101" s="25">
        <f>Source!S44</f>
        <v>2080.9499999999998</v>
      </c>
      <c r="K101" s="25"/>
    </row>
    <row r="102" spans="1:22" ht="14.25" x14ac:dyDescent="0.2">
      <c r="A102" s="20"/>
      <c r="B102" s="21"/>
      <c r="C102" s="21" t="s">
        <v>429</v>
      </c>
      <c r="D102" s="22"/>
      <c r="E102" s="9"/>
      <c r="F102" s="24">
        <f>Source!AM44</f>
        <v>144.28</v>
      </c>
      <c r="G102" s="23" t="str">
        <f>Source!DE44</f>
        <v/>
      </c>
      <c r="H102" s="9">
        <f>Source!AV44</f>
        <v>1</v>
      </c>
      <c r="I102" s="9">
        <f>IF(Source!BB44&lt;&gt; 0, Source!BB44, 1)</f>
        <v>1</v>
      </c>
      <c r="J102" s="25">
        <f>Source!Q44</f>
        <v>180.64</v>
      </c>
      <c r="K102" s="25"/>
    </row>
    <row r="103" spans="1:22" ht="14.25" x14ac:dyDescent="0.2">
      <c r="A103" s="20"/>
      <c r="B103" s="21"/>
      <c r="C103" s="21" t="s">
        <v>430</v>
      </c>
      <c r="D103" s="22"/>
      <c r="E103" s="9"/>
      <c r="F103" s="24">
        <f>Source!AN44</f>
        <v>50</v>
      </c>
      <c r="G103" s="23" t="str">
        <f>Source!DF44</f>
        <v/>
      </c>
      <c r="H103" s="9">
        <f>Source!AV44</f>
        <v>1</v>
      </c>
      <c r="I103" s="9">
        <f>IF(Source!BS44&lt;&gt; 0, Source!BS44, 1)</f>
        <v>1</v>
      </c>
      <c r="J103" s="30">
        <f>Source!R44</f>
        <v>62.6</v>
      </c>
      <c r="K103" s="25"/>
    </row>
    <row r="104" spans="1:22" ht="14.25" x14ac:dyDescent="0.2">
      <c r="A104" s="20"/>
      <c r="B104" s="21"/>
      <c r="C104" s="21" t="s">
        <v>431</v>
      </c>
      <c r="D104" s="22"/>
      <c r="E104" s="9"/>
      <c r="F104" s="24">
        <f>Source!AL44</f>
        <v>1022.11</v>
      </c>
      <c r="G104" s="23" t="str">
        <f>Source!DD44</f>
        <v/>
      </c>
      <c r="H104" s="9">
        <f>Source!AW44</f>
        <v>1</v>
      </c>
      <c r="I104" s="9">
        <f>IF(Source!BC44&lt;&gt; 0, Source!BC44, 1)</f>
        <v>1</v>
      </c>
      <c r="J104" s="25">
        <f>Source!P44</f>
        <v>1279.68</v>
      </c>
      <c r="K104" s="25"/>
    </row>
    <row r="105" spans="1:22" ht="14.25" x14ac:dyDescent="0.2">
      <c r="A105" s="20"/>
      <c r="B105" s="21"/>
      <c r="C105" s="21" t="s">
        <v>424</v>
      </c>
      <c r="D105" s="22" t="s">
        <v>425</v>
      </c>
      <c r="E105" s="9">
        <f>Source!AT44</f>
        <v>70</v>
      </c>
      <c r="F105" s="24"/>
      <c r="G105" s="23"/>
      <c r="H105" s="9"/>
      <c r="I105" s="9"/>
      <c r="J105" s="25">
        <f>SUM(R100:R104)</f>
        <v>1456.67</v>
      </c>
      <c r="K105" s="25"/>
    </row>
    <row r="106" spans="1:22" ht="14.25" x14ac:dyDescent="0.2">
      <c r="A106" s="20"/>
      <c r="B106" s="21"/>
      <c r="C106" s="21" t="s">
        <v>426</v>
      </c>
      <c r="D106" s="22" t="s">
        <v>425</v>
      </c>
      <c r="E106" s="9">
        <f>Source!AU44</f>
        <v>10</v>
      </c>
      <c r="F106" s="24"/>
      <c r="G106" s="23"/>
      <c r="H106" s="9"/>
      <c r="I106" s="9"/>
      <c r="J106" s="25">
        <f>SUM(T100:T105)</f>
        <v>208.1</v>
      </c>
      <c r="K106" s="25"/>
    </row>
    <row r="107" spans="1:22" ht="14.25" x14ac:dyDescent="0.2">
      <c r="A107" s="20"/>
      <c r="B107" s="21"/>
      <c r="C107" s="21" t="s">
        <v>432</v>
      </c>
      <c r="D107" s="22" t="s">
        <v>425</v>
      </c>
      <c r="E107" s="9">
        <f>108</f>
        <v>108</v>
      </c>
      <c r="F107" s="24"/>
      <c r="G107" s="23"/>
      <c r="H107" s="9"/>
      <c r="I107" s="9"/>
      <c r="J107" s="25">
        <f>SUM(V100:V106)</f>
        <v>67.61</v>
      </c>
      <c r="K107" s="25"/>
    </row>
    <row r="108" spans="1:22" ht="14.25" x14ac:dyDescent="0.2">
      <c r="A108" s="20"/>
      <c r="B108" s="21"/>
      <c r="C108" s="21" t="s">
        <v>427</v>
      </c>
      <c r="D108" s="22" t="s">
        <v>428</v>
      </c>
      <c r="E108" s="9">
        <f>Source!AQ44</f>
        <v>6.11</v>
      </c>
      <c r="F108" s="24"/>
      <c r="G108" s="23" t="str">
        <f>Source!DI44</f>
        <v/>
      </c>
      <c r="H108" s="9">
        <f>Source!AV44</f>
        <v>1</v>
      </c>
      <c r="I108" s="9"/>
      <c r="J108" s="25"/>
      <c r="K108" s="25">
        <f>Source!U44</f>
        <v>7.6497200000000003</v>
      </c>
    </row>
    <row r="109" spans="1:22" ht="15" x14ac:dyDescent="0.25">
      <c r="A109" s="28"/>
      <c r="B109" s="28"/>
      <c r="C109" s="28"/>
      <c r="D109" s="28"/>
      <c r="E109" s="28"/>
      <c r="F109" s="28"/>
      <c r="G109" s="28"/>
      <c r="H109" s="28"/>
      <c r="I109" s="64">
        <f>J101+J102+J104+J105+J106+J107</f>
        <v>5273.65</v>
      </c>
      <c r="J109" s="64"/>
      <c r="K109" s="29">
        <f>IF(Source!I44&lt;&gt;0, ROUND(I109/Source!I44, 2), 0)</f>
        <v>4212.18</v>
      </c>
      <c r="P109" s="26">
        <f>I109</f>
        <v>5273.65</v>
      </c>
    </row>
    <row r="110" spans="1:22" ht="42.75" x14ac:dyDescent="0.2">
      <c r="A110" s="20" t="str">
        <f>Source!E45</f>
        <v>10</v>
      </c>
      <c r="B110" s="21" t="str">
        <f>Source!F45</f>
        <v>1.13-3205-4-8/1</v>
      </c>
      <c r="C110" s="21" t="str">
        <f>Source!G45</f>
        <v>Антикоррозионная окраска огрунтованных металлических поверхностей эмалями ПФ-115</v>
      </c>
      <c r="D110" s="22" t="str">
        <f>Source!H45</f>
        <v>100 м2</v>
      </c>
      <c r="E110" s="9">
        <f>Source!I45</f>
        <v>1.252</v>
      </c>
      <c r="F110" s="24"/>
      <c r="G110" s="23"/>
      <c r="H110" s="9"/>
      <c r="I110" s="9"/>
      <c r="J110" s="25"/>
      <c r="K110" s="25"/>
      <c r="Q110">
        <f>ROUND((Source!BZ45/100)*ROUND((Source!AF45*Source!AV45)*Source!I45, 2), 2)</f>
        <v>481.46</v>
      </c>
      <c r="R110">
        <f>Source!X45</f>
        <v>481.46</v>
      </c>
      <c r="S110">
        <f>ROUND((Source!CA45/100)*ROUND((Source!AF45*Source!AV45)*Source!I45, 2), 2)</f>
        <v>68.78</v>
      </c>
      <c r="T110">
        <f>Source!Y45</f>
        <v>68.78</v>
      </c>
      <c r="U110">
        <f>ROUND((175/100)*ROUND((Source!AE45*Source!AV45)*Source!I45, 2), 2)</f>
        <v>8.1199999999999992</v>
      </c>
      <c r="V110">
        <f>ROUND((108/100)*ROUND(Source!CS45*Source!I45, 2), 2)</f>
        <v>5.01</v>
      </c>
    </row>
    <row r="111" spans="1:22" ht="14.25" x14ac:dyDescent="0.2">
      <c r="A111" s="20"/>
      <c r="B111" s="21"/>
      <c r="C111" s="21" t="s">
        <v>423</v>
      </c>
      <c r="D111" s="22"/>
      <c r="E111" s="9"/>
      <c r="F111" s="24">
        <f>Source!AO45</f>
        <v>549.36</v>
      </c>
      <c r="G111" s="23" t="str">
        <f>Source!DG45</f>
        <v/>
      </c>
      <c r="H111" s="9">
        <f>Source!AV45</f>
        <v>1</v>
      </c>
      <c r="I111" s="9">
        <f>IF(Source!BA45&lt;&gt; 0, Source!BA45, 1)</f>
        <v>1</v>
      </c>
      <c r="J111" s="25">
        <f>Source!S45</f>
        <v>687.8</v>
      </c>
      <c r="K111" s="25"/>
    </row>
    <row r="112" spans="1:22" ht="14.25" x14ac:dyDescent="0.2">
      <c r="A112" s="20"/>
      <c r="B112" s="21"/>
      <c r="C112" s="21" t="s">
        <v>429</v>
      </c>
      <c r="D112" s="22"/>
      <c r="E112" s="9"/>
      <c r="F112" s="24">
        <f>Source!AM45</f>
        <v>6.84</v>
      </c>
      <c r="G112" s="23" t="str">
        <f>Source!DE45</f>
        <v/>
      </c>
      <c r="H112" s="9">
        <f>Source!AV45</f>
        <v>1</v>
      </c>
      <c r="I112" s="9">
        <f>IF(Source!BB45&lt;&gt; 0, Source!BB45, 1)</f>
        <v>1</v>
      </c>
      <c r="J112" s="25">
        <f>Source!Q45</f>
        <v>8.56</v>
      </c>
      <c r="K112" s="25"/>
    </row>
    <row r="113" spans="1:22" ht="14.25" x14ac:dyDescent="0.2">
      <c r="A113" s="20"/>
      <c r="B113" s="21"/>
      <c r="C113" s="21" t="s">
        <v>430</v>
      </c>
      <c r="D113" s="22"/>
      <c r="E113" s="9"/>
      <c r="F113" s="24">
        <f>Source!AN45</f>
        <v>3.71</v>
      </c>
      <c r="G113" s="23" t="str">
        <f>Source!DF45</f>
        <v/>
      </c>
      <c r="H113" s="9">
        <f>Source!AV45</f>
        <v>1</v>
      </c>
      <c r="I113" s="9">
        <f>IF(Source!BS45&lt;&gt; 0, Source!BS45, 1)</f>
        <v>1</v>
      </c>
      <c r="J113" s="30">
        <f>Source!R45</f>
        <v>4.6399999999999997</v>
      </c>
      <c r="K113" s="25"/>
    </row>
    <row r="114" spans="1:22" ht="14.25" x14ac:dyDescent="0.2">
      <c r="A114" s="20"/>
      <c r="B114" s="21"/>
      <c r="C114" s="21" t="s">
        <v>431</v>
      </c>
      <c r="D114" s="22"/>
      <c r="E114" s="9"/>
      <c r="F114" s="24">
        <f>Source!AL45</f>
        <v>1041.4100000000001</v>
      </c>
      <c r="G114" s="23" t="str">
        <f>Source!DD45</f>
        <v/>
      </c>
      <c r="H114" s="9">
        <f>Source!AW45</f>
        <v>1</v>
      </c>
      <c r="I114" s="9">
        <f>IF(Source!BC45&lt;&gt; 0, Source!BC45, 1)</f>
        <v>1</v>
      </c>
      <c r="J114" s="25">
        <f>Source!P45</f>
        <v>1303.8499999999999</v>
      </c>
      <c r="K114" s="25"/>
    </row>
    <row r="115" spans="1:22" ht="14.25" x14ac:dyDescent="0.2">
      <c r="A115" s="20"/>
      <c r="B115" s="21"/>
      <c r="C115" s="21" t="s">
        <v>424</v>
      </c>
      <c r="D115" s="22" t="s">
        <v>425</v>
      </c>
      <c r="E115" s="9">
        <f>Source!AT45</f>
        <v>70</v>
      </c>
      <c r="F115" s="24"/>
      <c r="G115" s="23"/>
      <c r="H115" s="9"/>
      <c r="I115" s="9"/>
      <c r="J115" s="25">
        <f>SUM(R110:R114)</f>
        <v>481.46</v>
      </c>
      <c r="K115" s="25"/>
    </row>
    <row r="116" spans="1:22" ht="14.25" x14ac:dyDescent="0.2">
      <c r="A116" s="20"/>
      <c r="B116" s="21"/>
      <c r="C116" s="21" t="s">
        <v>426</v>
      </c>
      <c r="D116" s="22" t="s">
        <v>425</v>
      </c>
      <c r="E116" s="9">
        <f>Source!AU45</f>
        <v>10</v>
      </c>
      <c r="F116" s="24"/>
      <c r="G116" s="23"/>
      <c r="H116" s="9"/>
      <c r="I116" s="9"/>
      <c r="J116" s="25">
        <f>SUM(T110:T115)</f>
        <v>68.78</v>
      </c>
      <c r="K116" s="25"/>
    </row>
    <row r="117" spans="1:22" ht="14.25" x14ac:dyDescent="0.2">
      <c r="A117" s="20"/>
      <c r="B117" s="21"/>
      <c r="C117" s="21" t="s">
        <v>432</v>
      </c>
      <c r="D117" s="22" t="s">
        <v>425</v>
      </c>
      <c r="E117" s="9">
        <f>108</f>
        <v>108</v>
      </c>
      <c r="F117" s="24"/>
      <c r="G117" s="23"/>
      <c r="H117" s="9"/>
      <c r="I117" s="9"/>
      <c r="J117" s="25">
        <f>SUM(V110:V116)</f>
        <v>5.01</v>
      </c>
      <c r="K117" s="25"/>
    </row>
    <row r="118" spans="1:22" ht="14.25" x14ac:dyDescent="0.2">
      <c r="A118" s="20"/>
      <c r="B118" s="21"/>
      <c r="C118" s="21" t="s">
        <v>427</v>
      </c>
      <c r="D118" s="22" t="s">
        <v>428</v>
      </c>
      <c r="E118" s="9">
        <f>Source!AQ45</f>
        <v>2.4500000000000002</v>
      </c>
      <c r="F118" s="24"/>
      <c r="G118" s="23" t="str">
        <f>Source!DI45</f>
        <v/>
      </c>
      <c r="H118" s="9">
        <f>Source!AV45</f>
        <v>1</v>
      </c>
      <c r="I118" s="9"/>
      <c r="J118" s="25"/>
      <c r="K118" s="25">
        <f>Source!U45</f>
        <v>3.0674000000000001</v>
      </c>
    </row>
    <row r="119" spans="1:22" ht="15" x14ac:dyDescent="0.25">
      <c r="A119" s="28"/>
      <c r="B119" s="28"/>
      <c r="C119" s="28"/>
      <c r="D119" s="28"/>
      <c r="E119" s="28"/>
      <c r="F119" s="28"/>
      <c r="G119" s="28"/>
      <c r="H119" s="28"/>
      <c r="I119" s="64">
        <f>J111+J112+J114+J115+J116+J117</f>
        <v>2555.46</v>
      </c>
      <c r="J119" s="64"/>
      <c r="K119" s="29">
        <f>IF(Source!I45&lt;&gt;0, ROUND(I119/Source!I45, 2), 0)</f>
        <v>2041.1</v>
      </c>
      <c r="P119" s="26">
        <f>I119</f>
        <v>2555.46</v>
      </c>
    </row>
    <row r="121" spans="1:22" ht="15" x14ac:dyDescent="0.25">
      <c r="A121" s="66" t="str">
        <f>CONCATENATE("Итого по разделу: ",IF(Source!G47&lt;&gt;"Новый раздел", Source!G47, ""))</f>
        <v>Итого по разделу: Установка ограждения - Участок 1</v>
      </c>
      <c r="B121" s="66"/>
      <c r="C121" s="66"/>
      <c r="D121" s="66"/>
      <c r="E121" s="66"/>
      <c r="F121" s="66"/>
      <c r="G121" s="66"/>
      <c r="H121" s="66"/>
      <c r="I121" s="67">
        <f>SUM(P34:P120)</f>
        <v>463098.77999999997</v>
      </c>
      <c r="J121" s="68"/>
      <c r="K121" s="32"/>
    </row>
    <row r="124" spans="1:22" ht="16.5" x14ac:dyDescent="0.25">
      <c r="A124" s="65" t="str">
        <f>CONCATENATE("Раздел: ",IF(Source!G76&lt;&gt;"Новый раздел", Source!G76, ""))</f>
        <v>Раздел: Установка ограждения - Участок 2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</row>
    <row r="125" spans="1:22" ht="42.75" x14ac:dyDescent="0.2">
      <c r="A125" s="20" t="str">
        <f>Source!E80</f>
        <v>11</v>
      </c>
      <c r="B125" s="21" t="str">
        <f>Source!F80</f>
        <v>2.49-3201-14-1/1</v>
      </c>
      <c r="C125" s="21" t="str">
        <f>Source!G80</f>
        <v>Разработка грунта вручную в траншеях глубиной до 2 м без креплений с откосами, группа грунтов 1-3</v>
      </c>
      <c r="D125" s="22" t="str">
        <f>Source!H80</f>
        <v>100 м3</v>
      </c>
      <c r="E125" s="9">
        <f>Source!I80</f>
        <v>2.5999999999999999E-2</v>
      </c>
      <c r="F125" s="24"/>
      <c r="G125" s="23"/>
      <c r="H125" s="9"/>
      <c r="I125" s="9"/>
      <c r="J125" s="25"/>
      <c r="K125" s="25"/>
      <c r="Q125">
        <f>ROUND((Source!BZ80/100)*ROUND((Source!AF80*Source!AV80)*Source!I80, 2), 2)</f>
        <v>763.51</v>
      </c>
      <c r="R125">
        <f>Source!X80</f>
        <v>763.51</v>
      </c>
      <c r="S125">
        <f>ROUND((Source!CA80/100)*ROUND((Source!AF80*Source!AV80)*Source!I80, 2), 2)</f>
        <v>109.07</v>
      </c>
      <c r="T125">
        <f>Source!Y80</f>
        <v>109.07</v>
      </c>
      <c r="U125">
        <f>ROUND((175/100)*ROUND((Source!AE80*Source!AV80)*Source!I80, 2), 2)</f>
        <v>0</v>
      </c>
      <c r="V125">
        <f>ROUND((108/100)*ROUND(Source!CS80*Source!I80, 2), 2)</f>
        <v>0</v>
      </c>
    </row>
    <row r="126" spans="1:22" ht="14.25" x14ac:dyDescent="0.2">
      <c r="A126" s="20"/>
      <c r="B126" s="21"/>
      <c r="C126" s="21" t="s">
        <v>423</v>
      </c>
      <c r="D126" s="22"/>
      <c r="E126" s="9"/>
      <c r="F126" s="24">
        <f>Source!AO80</f>
        <v>41951.1</v>
      </c>
      <c r="G126" s="23" t="str">
        <f>Source!DG80</f>
        <v/>
      </c>
      <c r="H126" s="9">
        <f>Source!AV80</f>
        <v>1</v>
      </c>
      <c r="I126" s="9">
        <f>IF(Source!BA80&lt;&gt; 0, Source!BA80, 1)</f>
        <v>1</v>
      </c>
      <c r="J126" s="25">
        <f>Source!S80</f>
        <v>1090.73</v>
      </c>
      <c r="K126" s="25"/>
    </row>
    <row r="127" spans="1:22" ht="14.25" x14ac:dyDescent="0.2">
      <c r="A127" s="20"/>
      <c r="B127" s="21"/>
      <c r="C127" s="21" t="s">
        <v>424</v>
      </c>
      <c r="D127" s="22" t="s">
        <v>425</v>
      </c>
      <c r="E127" s="9">
        <f>Source!AT80</f>
        <v>70</v>
      </c>
      <c r="F127" s="24"/>
      <c r="G127" s="23"/>
      <c r="H127" s="9"/>
      <c r="I127" s="9"/>
      <c r="J127" s="25">
        <f>SUM(R125:R126)</f>
        <v>763.51</v>
      </c>
      <c r="K127" s="25"/>
    </row>
    <row r="128" spans="1:22" ht="14.25" x14ac:dyDescent="0.2">
      <c r="A128" s="20"/>
      <c r="B128" s="21"/>
      <c r="C128" s="21" t="s">
        <v>426</v>
      </c>
      <c r="D128" s="22" t="s">
        <v>425</v>
      </c>
      <c r="E128" s="9">
        <f>Source!AU80</f>
        <v>10</v>
      </c>
      <c r="F128" s="24"/>
      <c r="G128" s="23"/>
      <c r="H128" s="9"/>
      <c r="I128" s="9"/>
      <c r="J128" s="25">
        <f>SUM(T125:T127)</f>
        <v>109.07</v>
      </c>
      <c r="K128" s="25"/>
    </row>
    <row r="129" spans="1:22" ht="14.25" x14ac:dyDescent="0.2">
      <c r="A129" s="20"/>
      <c r="B129" s="21"/>
      <c r="C129" s="21" t="s">
        <v>427</v>
      </c>
      <c r="D129" s="22" t="s">
        <v>428</v>
      </c>
      <c r="E129" s="9">
        <f>Source!AQ80</f>
        <v>221.6</v>
      </c>
      <c r="F129" s="24"/>
      <c r="G129" s="23" t="str">
        <f>Source!DI80</f>
        <v/>
      </c>
      <c r="H129" s="9">
        <f>Source!AV80</f>
        <v>1</v>
      </c>
      <c r="I129" s="9"/>
      <c r="J129" s="25"/>
      <c r="K129" s="25">
        <f>Source!U80</f>
        <v>5.7615999999999996</v>
      </c>
    </row>
    <row r="130" spans="1:22" ht="15" x14ac:dyDescent="0.25">
      <c r="A130" s="28"/>
      <c r="B130" s="28"/>
      <c r="C130" s="28"/>
      <c r="D130" s="28"/>
      <c r="E130" s="28"/>
      <c r="F130" s="28"/>
      <c r="G130" s="28"/>
      <c r="H130" s="28"/>
      <c r="I130" s="64">
        <f>J126+J127+J128</f>
        <v>1963.31</v>
      </c>
      <c r="J130" s="64"/>
      <c r="K130" s="29">
        <f>IF(Source!I80&lt;&gt;0, ROUND(I130/Source!I80, 2), 0)</f>
        <v>75511.92</v>
      </c>
      <c r="P130" s="26">
        <f>I130</f>
        <v>1963.31</v>
      </c>
    </row>
    <row r="131" spans="1:22" ht="28.5" x14ac:dyDescent="0.2">
      <c r="A131" s="20" t="str">
        <f>Source!E81</f>
        <v>12</v>
      </c>
      <c r="B131" s="21" t="str">
        <f>Source!F81</f>
        <v>1.1-3101-6-1/1</v>
      </c>
      <c r="C131" s="21" t="str">
        <f>Source!G81</f>
        <v>Погрузка грунта вручную в автомобили-самосвалы с выгрузкой</v>
      </c>
      <c r="D131" s="22" t="str">
        <f>Source!H81</f>
        <v>100 м3</v>
      </c>
      <c r="E131" s="9">
        <f>Source!I81</f>
        <v>2.5999999999999999E-2</v>
      </c>
      <c r="F131" s="24"/>
      <c r="G131" s="23"/>
      <c r="H131" s="9"/>
      <c r="I131" s="9"/>
      <c r="J131" s="25"/>
      <c r="K131" s="25"/>
      <c r="Q131">
        <f>ROUND((Source!BZ81/100)*ROUND((Source!AF81*Source!AV81)*Source!I81, 2), 2)</f>
        <v>202.57</v>
      </c>
      <c r="R131">
        <f>Source!X81</f>
        <v>202.57</v>
      </c>
      <c r="S131">
        <f>ROUND((Source!CA81/100)*ROUND((Source!AF81*Source!AV81)*Source!I81, 2), 2)</f>
        <v>28.94</v>
      </c>
      <c r="T131">
        <f>Source!Y81</f>
        <v>28.94</v>
      </c>
      <c r="U131">
        <f>ROUND((175/100)*ROUND((Source!AE81*Source!AV81)*Source!I81, 2), 2)</f>
        <v>0</v>
      </c>
      <c r="V131">
        <f>ROUND((108/100)*ROUND(Source!CS81*Source!I81, 2), 2)</f>
        <v>0</v>
      </c>
    </row>
    <row r="132" spans="1:22" ht="14.25" x14ac:dyDescent="0.2">
      <c r="A132" s="20"/>
      <c r="B132" s="21"/>
      <c r="C132" s="21" t="s">
        <v>423</v>
      </c>
      <c r="D132" s="22"/>
      <c r="E132" s="9"/>
      <c r="F132" s="24">
        <f>Source!AO81</f>
        <v>11130.3</v>
      </c>
      <c r="G132" s="23" t="str">
        <f>Source!DG81</f>
        <v/>
      </c>
      <c r="H132" s="9">
        <f>Source!AV81</f>
        <v>1</v>
      </c>
      <c r="I132" s="9">
        <f>IF(Source!BA81&lt;&gt; 0, Source!BA81, 1)</f>
        <v>1</v>
      </c>
      <c r="J132" s="25">
        <f>Source!S81</f>
        <v>289.39</v>
      </c>
      <c r="K132" s="25"/>
    </row>
    <row r="133" spans="1:22" ht="14.25" x14ac:dyDescent="0.2">
      <c r="A133" s="20"/>
      <c r="B133" s="21"/>
      <c r="C133" s="21" t="s">
        <v>424</v>
      </c>
      <c r="D133" s="22" t="s">
        <v>425</v>
      </c>
      <c r="E133" s="9">
        <f>Source!AT81</f>
        <v>70</v>
      </c>
      <c r="F133" s="24"/>
      <c r="G133" s="23"/>
      <c r="H133" s="9"/>
      <c r="I133" s="9"/>
      <c r="J133" s="25">
        <f>SUM(R131:R132)</f>
        <v>202.57</v>
      </c>
      <c r="K133" s="25"/>
    </row>
    <row r="134" spans="1:22" ht="14.25" x14ac:dyDescent="0.2">
      <c r="A134" s="20"/>
      <c r="B134" s="21"/>
      <c r="C134" s="21" t="s">
        <v>426</v>
      </c>
      <c r="D134" s="22" t="s">
        <v>425</v>
      </c>
      <c r="E134" s="9">
        <f>Source!AU81</f>
        <v>10</v>
      </c>
      <c r="F134" s="24"/>
      <c r="G134" s="23"/>
      <c r="H134" s="9"/>
      <c r="I134" s="9"/>
      <c r="J134" s="25">
        <f>SUM(T131:T133)</f>
        <v>28.94</v>
      </c>
      <c r="K134" s="25"/>
    </row>
    <row r="135" spans="1:22" ht="14.25" x14ac:dyDescent="0.2">
      <c r="A135" s="20"/>
      <c r="B135" s="21"/>
      <c r="C135" s="21" t="s">
        <v>427</v>
      </c>
      <c r="D135" s="22" t="s">
        <v>428</v>
      </c>
      <c r="E135" s="9">
        <f>Source!AQ81</f>
        <v>83</v>
      </c>
      <c r="F135" s="24"/>
      <c r="G135" s="23" t="str">
        <f>Source!DI81</f>
        <v/>
      </c>
      <c r="H135" s="9">
        <f>Source!AV81</f>
        <v>1</v>
      </c>
      <c r="I135" s="9"/>
      <c r="J135" s="25"/>
      <c r="K135" s="25">
        <f>Source!U81</f>
        <v>2.1579999999999999</v>
      </c>
    </row>
    <row r="136" spans="1:22" ht="15" x14ac:dyDescent="0.25">
      <c r="A136" s="28"/>
      <c r="B136" s="28"/>
      <c r="C136" s="28"/>
      <c r="D136" s="28"/>
      <c r="E136" s="28"/>
      <c r="F136" s="28"/>
      <c r="G136" s="28"/>
      <c r="H136" s="28"/>
      <c r="I136" s="64">
        <f>J132+J133+J134</f>
        <v>520.9</v>
      </c>
      <c r="J136" s="64"/>
      <c r="K136" s="29">
        <f>IF(Source!I81&lt;&gt;0, ROUND(I136/Source!I81, 2), 0)</f>
        <v>20034.62</v>
      </c>
      <c r="P136" s="26">
        <f>I136</f>
        <v>520.9</v>
      </c>
    </row>
    <row r="137" spans="1:22" ht="42.75" x14ac:dyDescent="0.2">
      <c r="A137" s="20" t="str">
        <f>Source!E82</f>
        <v>13</v>
      </c>
      <c r="B137" s="21" t="str">
        <f>Source!F82</f>
        <v>2.49-3401-1-1/1</v>
      </c>
      <c r="C137" s="21" t="str">
        <f>Source!G82</f>
        <v>Перевозка грунта автосамосвалами грузоподъемностью до 10 т на расстояние 1 км</v>
      </c>
      <c r="D137" s="22" t="str">
        <f>Source!H82</f>
        <v>м3</v>
      </c>
      <c r="E137" s="9">
        <f>Source!I82</f>
        <v>2.6</v>
      </c>
      <c r="F137" s="24"/>
      <c r="G137" s="23"/>
      <c r="H137" s="9"/>
      <c r="I137" s="9"/>
      <c r="J137" s="25"/>
      <c r="K137" s="25"/>
      <c r="Q137">
        <f>ROUND((Source!BZ82/100)*ROUND((Source!AF82*Source!AV82)*Source!I82, 2), 2)</f>
        <v>0</v>
      </c>
      <c r="R137">
        <f>Source!X82</f>
        <v>0</v>
      </c>
      <c r="S137">
        <f>ROUND((Source!CA82/100)*ROUND((Source!AF82*Source!AV82)*Source!I82, 2), 2)</f>
        <v>0</v>
      </c>
      <c r="T137">
        <f>Source!Y82</f>
        <v>0</v>
      </c>
      <c r="U137">
        <f>ROUND((175/100)*ROUND((Source!AE82*Source!AV82)*Source!I82, 2), 2)</f>
        <v>116.76</v>
      </c>
      <c r="V137">
        <f>ROUND((108/100)*ROUND(Source!CS82*Source!I82, 2), 2)</f>
        <v>72.06</v>
      </c>
    </row>
    <row r="138" spans="1:22" ht="14.25" x14ac:dyDescent="0.2">
      <c r="A138" s="20"/>
      <c r="B138" s="21"/>
      <c r="C138" s="21" t="s">
        <v>429</v>
      </c>
      <c r="D138" s="22"/>
      <c r="E138" s="9"/>
      <c r="F138" s="24">
        <f>Source!AM82</f>
        <v>47.27</v>
      </c>
      <c r="G138" s="23" t="str">
        <f>Source!DE82</f>
        <v/>
      </c>
      <c r="H138" s="9">
        <f>Source!AV82</f>
        <v>1</v>
      </c>
      <c r="I138" s="9">
        <f>IF(Source!BB82&lt;&gt; 0, Source!BB82, 1)</f>
        <v>1</v>
      </c>
      <c r="J138" s="25">
        <f>Source!Q82</f>
        <v>122.9</v>
      </c>
      <c r="K138" s="25"/>
    </row>
    <row r="139" spans="1:22" ht="14.25" x14ac:dyDescent="0.2">
      <c r="A139" s="20"/>
      <c r="B139" s="21"/>
      <c r="C139" s="21" t="s">
        <v>430</v>
      </c>
      <c r="D139" s="22"/>
      <c r="E139" s="9"/>
      <c r="F139" s="24">
        <f>Source!AN82</f>
        <v>25.66</v>
      </c>
      <c r="G139" s="23" t="str">
        <f>Source!DF82</f>
        <v/>
      </c>
      <c r="H139" s="9">
        <f>Source!AV82</f>
        <v>1</v>
      </c>
      <c r="I139" s="9">
        <f>IF(Source!BS82&lt;&gt; 0, Source!BS82, 1)</f>
        <v>1</v>
      </c>
      <c r="J139" s="30">
        <f>Source!R82</f>
        <v>66.72</v>
      </c>
      <c r="K139" s="25"/>
    </row>
    <row r="140" spans="1:22" ht="15" x14ac:dyDescent="0.25">
      <c r="A140" s="28"/>
      <c r="B140" s="28"/>
      <c r="C140" s="28"/>
      <c r="D140" s="28"/>
      <c r="E140" s="28"/>
      <c r="F140" s="28"/>
      <c r="G140" s="28"/>
      <c r="H140" s="28"/>
      <c r="I140" s="64">
        <f>J138</f>
        <v>122.9</v>
      </c>
      <c r="J140" s="64"/>
      <c r="K140" s="29">
        <f>IF(Source!I82&lt;&gt;0, ROUND(I140/Source!I82, 2), 0)</f>
        <v>47.27</v>
      </c>
      <c r="P140" s="26">
        <f>I140</f>
        <v>122.9</v>
      </c>
    </row>
    <row r="141" spans="1:22" ht="57" x14ac:dyDescent="0.2">
      <c r="A141" s="20" t="str">
        <f>Source!E83</f>
        <v>14</v>
      </c>
      <c r="B141" s="21" t="str">
        <f>Source!F83</f>
        <v>2.49-3401-1-2/1</v>
      </c>
      <c r="C141" s="21" t="str">
        <f>Source!G83</f>
        <v>Перевозка грунта автосамосвалами грузоподъемностью до 10 т - добавляется на каждый последующий 1 км до 100 км (к поз. 49-3401-1-1)</v>
      </c>
      <c r="D141" s="22" t="str">
        <f>Source!H83</f>
        <v>м3</v>
      </c>
      <c r="E141" s="9">
        <f>Source!I83</f>
        <v>2.6</v>
      </c>
      <c r="F141" s="24"/>
      <c r="G141" s="23"/>
      <c r="H141" s="9"/>
      <c r="I141" s="9"/>
      <c r="J141" s="25"/>
      <c r="K141" s="25"/>
      <c r="Q141">
        <f>ROUND((Source!BZ83/100)*ROUND((Source!AF83*Source!AV83)*Source!I83, 2), 2)</f>
        <v>0</v>
      </c>
      <c r="R141">
        <f>Source!X83</f>
        <v>0</v>
      </c>
      <c r="S141">
        <f>ROUND((Source!CA83/100)*ROUND((Source!AF83*Source!AV83)*Source!I83, 2), 2)</f>
        <v>0</v>
      </c>
      <c r="T141">
        <f>Source!Y83</f>
        <v>0</v>
      </c>
      <c r="U141">
        <f>ROUND((175/100)*ROUND((Source!AE83*Source!AV83)*Source!I83, 2), 2)</f>
        <v>1205.58</v>
      </c>
      <c r="V141">
        <f>ROUND((108/100)*ROUND(Source!CS83*Source!I83, 2), 2)</f>
        <v>744.01</v>
      </c>
    </row>
    <row r="142" spans="1:22" ht="14.25" x14ac:dyDescent="0.2">
      <c r="A142" s="20"/>
      <c r="B142" s="21"/>
      <c r="C142" s="21" t="s">
        <v>429</v>
      </c>
      <c r="D142" s="22"/>
      <c r="E142" s="9"/>
      <c r="F142" s="24">
        <f>Source!AM83</f>
        <v>15.25</v>
      </c>
      <c r="G142" s="23" t="str">
        <f>Source!DE83</f>
        <v>)*32</v>
      </c>
      <c r="H142" s="9">
        <f>Source!AV83</f>
        <v>1</v>
      </c>
      <c r="I142" s="9">
        <f>IF(Source!BB83&lt;&gt; 0, Source!BB83, 1)</f>
        <v>1</v>
      </c>
      <c r="J142" s="25">
        <f>Source!Q83</f>
        <v>1268.8</v>
      </c>
      <c r="K142" s="25"/>
    </row>
    <row r="143" spans="1:22" ht="14.25" x14ac:dyDescent="0.2">
      <c r="A143" s="20"/>
      <c r="B143" s="21"/>
      <c r="C143" s="21" t="s">
        <v>430</v>
      </c>
      <c r="D143" s="22"/>
      <c r="E143" s="9"/>
      <c r="F143" s="24">
        <f>Source!AN83</f>
        <v>8.2799999999999994</v>
      </c>
      <c r="G143" s="23" t="str">
        <f>Source!DF83</f>
        <v>)*32</v>
      </c>
      <c r="H143" s="9">
        <f>Source!AV83</f>
        <v>1</v>
      </c>
      <c r="I143" s="9">
        <f>IF(Source!BS83&lt;&gt; 0, Source!BS83, 1)</f>
        <v>1</v>
      </c>
      <c r="J143" s="30">
        <f>Source!R83</f>
        <v>688.9</v>
      </c>
      <c r="K143" s="25"/>
    </row>
    <row r="144" spans="1:22" ht="15" x14ac:dyDescent="0.25">
      <c r="A144" s="28"/>
      <c r="B144" s="28"/>
      <c r="C144" s="28"/>
      <c r="D144" s="28"/>
      <c r="E144" s="28"/>
      <c r="F144" s="28"/>
      <c r="G144" s="28"/>
      <c r="H144" s="28"/>
      <c r="I144" s="64">
        <f>J142</f>
        <v>1268.8</v>
      </c>
      <c r="J144" s="64"/>
      <c r="K144" s="29">
        <f>IF(Source!I83&lt;&gt;0, ROUND(I144/Source!I83, 2), 0)</f>
        <v>488</v>
      </c>
      <c r="P144" s="26">
        <f>I144</f>
        <v>1268.8</v>
      </c>
    </row>
    <row r="145" spans="1:22" ht="57" x14ac:dyDescent="0.2">
      <c r="A145" s="20" t="str">
        <f>Source!E84</f>
        <v>15</v>
      </c>
      <c r="B145" s="21" t="str">
        <f>Source!F84</f>
        <v>5.3-5202-3-3/1</v>
      </c>
      <c r="C145" s="21" t="str">
        <f>Source!G84</f>
        <v>Устройство вручную набивных дорожек и площадок с добавлением щебня слоем 20 см (подушки под столбы)</v>
      </c>
      <c r="D145" s="22" t="str">
        <f>Source!H84</f>
        <v>м2</v>
      </c>
      <c r="E145" s="9">
        <f>Source!I84</f>
        <v>2.2000000000000002</v>
      </c>
      <c r="F145" s="24"/>
      <c r="G145" s="23"/>
      <c r="H145" s="9"/>
      <c r="I145" s="9"/>
      <c r="J145" s="25"/>
      <c r="K145" s="25"/>
      <c r="Q145">
        <f>ROUND((Source!BZ84/100)*ROUND((Source!AF84*Source!AV84)*Source!I84, 2), 2)</f>
        <v>423.16</v>
      </c>
      <c r="R145">
        <f>Source!X84</f>
        <v>423.16</v>
      </c>
      <c r="S145">
        <f>ROUND((Source!CA84/100)*ROUND((Source!AF84*Source!AV84)*Source!I84, 2), 2)</f>
        <v>60.45</v>
      </c>
      <c r="T145">
        <f>Source!Y84</f>
        <v>60.45</v>
      </c>
      <c r="U145">
        <f>ROUND((175/100)*ROUND((Source!AE84*Source!AV84)*Source!I84, 2), 2)</f>
        <v>0</v>
      </c>
      <c r="V145">
        <f>ROUND((108/100)*ROUND(Source!CS84*Source!I84, 2), 2)</f>
        <v>0</v>
      </c>
    </row>
    <row r="146" spans="1:22" ht="14.25" x14ac:dyDescent="0.2">
      <c r="A146" s="20"/>
      <c r="B146" s="21"/>
      <c r="C146" s="21" t="s">
        <v>423</v>
      </c>
      <c r="D146" s="22"/>
      <c r="E146" s="9"/>
      <c r="F146" s="24">
        <f>Source!AO84</f>
        <v>274.77999999999997</v>
      </c>
      <c r="G146" s="23" t="str">
        <f>Source!DG84</f>
        <v/>
      </c>
      <c r="H146" s="9">
        <f>Source!AV84</f>
        <v>1</v>
      </c>
      <c r="I146" s="9">
        <f>IF(Source!BA84&lt;&gt; 0, Source!BA84, 1)</f>
        <v>1</v>
      </c>
      <c r="J146" s="25">
        <f>Source!S84</f>
        <v>604.52</v>
      </c>
      <c r="K146" s="25"/>
    </row>
    <row r="147" spans="1:22" ht="14.25" x14ac:dyDescent="0.2">
      <c r="A147" s="20"/>
      <c r="B147" s="21"/>
      <c r="C147" s="21" t="s">
        <v>431</v>
      </c>
      <c r="D147" s="22"/>
      <c r="E147" s="9"/>
      <c r="F147" s="24">
        <f>Source!AL84</f>
        <v>536.29999999999995</v>
      </c>
      <c r="G147" s="23" t="str">
        <f>Source!DD84</f>
        <v/>
      </c>
      <c r="H147" s="9">
        <f>Source!AW84</f>
        <v>1</v>
      </c>
      <c r="I147" s="9">
        <f>IF(Source!BC84&lt;&gt; 0, Source!BC84, 1)</f>
        <v>1</v>
      </c>
      <c r="J147" s="25">
        <f>Source!P84</f>
        <v>1179.8599999999999</v>
      </c>
      <c r="K147" s="25"/>
    </row>
    <row r="148" spans="1:22" ht="14.25" x14ac:dyDescent="0.2">
      <c r="A148" s="20"/>
      <c r="B148" s="21"/>
      <c r="C148" s="21" t="s">
        <v>424</v>
      </c>
      <c r="D148" s="22" t="s">
        <v>425</v>
      </c>
      <c r="E148" s="9">
        <f>Source!AT84</f>
        <v>70</v>
      </c>
      <c r="F148" s="24"/>
      <c r="G148" s="23"/>
      <c r="H148" s="9"/>
      <c r="I148" s="9"/>
      <c r="J148" s="25">
        <f>SUM(R145:R147)</f>
        <v>423.16</v>
      </c>
      <c r="K148" s="25"/>
    </row>
    <row r="149" spans="1:22" ht="14.25" x14ac:dyDescent="0.2">
      <c r="A149" s="20"/>
      <c r="B149" s="21"/>
      <c r="C149" s="21" t="s">
        <v>426</v>
      </c>
      <c r="D149" s="22" t="s">
        <v>425</v>
      </c>
      <c r="E149" s="9">
        <f>Source!AU84</f>
        <v>10</v>
      </c>
      <c r="F149" s="24"/>
      <c r="G149" s="23"/>
      <c r="H149" s="9"/>
      <c r="I149" s="9"/>
      <c r="J149" s="25">
        <f>SUM(T145:T148)</f>
        <v>60.45</v>
      </c>
      <c r="K149" s="25"/>
    </row>
    <row r="150" spans="1:22" ht="14.25" x14ac:dyDescent="0.2">
      <c r="A150" s="20"/>
      <c r="B150" s="21"/>
      <c r="C150" s="21" t="s">
        <v>427</v>
      </c>
      <c r="D150" s="22" t="s">
        <v>428</v>
      </c>
      <c r="E150" s="9">
        <f>Source!AQ84</f>
        <v>1.25</v>
      </c>
      <c r="F150" s="24"/>
      <c r="G150" s="23" t="str">
        <f>Source!DI84</f>
        <v/>
      </c>
      <c r="H150" s="9">
        <f>Source!AV84</f>
        <v>1</v>
      </c>
      <c r="I150" s="9"/>
      <c r="J150" s="25"/>
      <c r="K150" s="25">
        <f>Source!U84</f>
        <v>2.75</v>
      </c>
    </row>
    <row r="151" spans="1:22" ht="15" x14ac:dyDescent="0.25">
      <c r="A151" s="28"/>
      <c r="B151" s="28"/>
      <c r="C151" s="28"/>
      <c r="D151" s="28"/>
      <c r="E151" s="28"/>
      <c r="F151" s="28"/>
      <c r="G151" s="28"/>
      <c r="H151" s="28"/>
      <c r="I151" s="64">
        <f>J146+J147+J148+J149</f>
        <v>2267.9899999999998</v>
      </c>
      <c r="J151" s="64"/>
      <c r="K151" s="29">
        <f>IF(Source!I84&lt;&gt;0, ROUND(I151/Source!I84, 2), 0)</f>
        <v>1030.9000000000001</v>
      </c>
      <c r="P151" s="26">
        <f>I151</f>
        <v>2267.9899999999998</v>
      </c>
    </row>
    <row r="152" spans="1:22" ht="57" x14ac:dyDescent="0.2">
      <c r="A152" s="20" t="str">
        <f>Source!E85</f>
        <v>16</v>
      </c>
      <c r="B152" s="21" t="str">
        <f>Source!F85</f>
        <v>5.3-5202-2-1/1</v>
      </c>
      <c r="C152" s="21" t="str">
        <f>Source!G85</f>
        <v>Устройство основания из песка толщиной 10 см для дорожек и площадок вручную (подушки под столбы)</v>
      </c>
      <c r="D152" s="22" t="str">
        <f>Source!H85</f>
        <v>м2</v>
      </c>
      <c r="E152" s="9">
        <f>Source!I85</f>
        <v>2.2000000000000002</v>
      </c>
      <c r="F152" s="24"/>
      <c r="G152" s="23"/>
      <c r="H152" s="9"/>
      <c r="I152" s="9"/>
      <c r="J152" s="25"/>
      <c r="K152" s="25"/>
      <c r="Q152">
        <f>ROUND((Source!BZ85/100)*ROUND((Source!AF85*Source!AV85)*Source!I85, 2), 2)</f>
        <v>120.23</v>
      </c>
      <c r="R152">
        <f>Source!X85</f>
        <v>120.23</v>
      </c>
      <c r="S152">
        <f>ROUND((Source!CA85/100)*ROUND((Source!AF85*Source!AV85)*Source!I85, 2), 2)</f>
        <v>17.18</v>
      </c>
      <c r="T152">
        <f>Source!Y85</f>
        <v>17.18</v>
      </c>
      <c r="U152">
        <f>ROUND((175/100)*ROUND((Source!AE85*Source!AV85)*Source!I85, 2), 2)</f>
        <v>5.71</v>
      </c>
      <c r="V152">
        <f>ROUND((108/100)*ROUND(Source!CS85*Source!I85, 2), 2)</f>
        <v>3.52</v>
      </c>
    </row>
    <row r="153" spans="1:22" ht="14.25" x14ac:dyDescent="0.2">
      <c r="A153" s="20"/>
      <c r="B153" s="21"/>
      <c r="C153" s="21" t="s">
        <v>423</v>
      </c>
      <c r="D153" s="22"/>
      <c r="E153" s="9"/>
      <c r="F153" s="24">
        <f>Source!AO85</f>
        <v>78.069999999999993</v>
      </c>
      <c r="G153" s="23" t="str">
        <f>Source!DG85</f>
        <v/>
      </c>
      <c r="H153" s="9">
        <f>Source!AV85</f>
        <v>1</v>
      </c>
      <c r="I153" s="9">
        <f>IF(Source!BA85&lt;&gt; 0, Source!BA85, 1)</f>
        <v>1</v>
      </c>
      <c r="J153" s="25">
        <f>Source!S85</f>
        <v>171.75</v>
      </c>
      <c r="K153" s="25"/>
    </row>
    <row r="154" spans="1:22" ht="14.25" x14ac:dyDescent="0.2">
      <c r="A154" s="20"/>
      <c r="B154" s="21"/>
      <c r="C154" s="21" t="s">
        <v>429</v>
      </c>
      <c r="D154" s="22"/>
      <c r="E154" s="9"/>
      <c r="F154" s="24">
        <f>Source!AM85</f>
        <v>3.81</v>
      </c>
      <c r="G154" s="23" t="str">
        <f>Source!DE85</f>
        <v/>
      </c>
      <c r="H154" s="9">
        <f>Source!AV85</f>
        <v>1</v>
      </c>
      <c r="I154" s="9">
        <f>IF(Source!BB85&lt;&gt; 0, Source!BB85, 1)</f>
        <v>1</v>
      </c>
      <c r="J154" s="25">
        <f>Source!Q85</f>
        <v>8.3800000000000008</v>
      </c>
      <c r="K154" s="25"/>
    </row>
    <row r="155" spans="1:22" ht="14.25" x14ac:dyDescent="0.2">
      <c r="A155" s="20"/>
      <c r="B155" s="21"/>
      <c r="C155" s="21" t="s">
        <v>430</v>
      </c>
      <c r="D155" s="22"/>
      <c r="E155" s="9"/>
      <c r="F155" s="24">
        <f>Source!AN85</f>
        <v>1.48</v>
      </c>
      <c r="G155" s="23" t="str">
        <f>Source!DF85</f>
        <v/>
      </c>
      <c r="H155" s="9">
        <f>Source!AV85</f>
        <v>1</v>
      </c>
      <c r="I155" s="9">
        <f>IF(Source!BS85&lt;&gt; 0, Source!BS85, 1)</f>
        <v>1</v>
      </c>
      <c r="J155" s="30">
        <f>Source!R85</f>
        <v>3.26</v>
      </c>
      <c r="K155" s="25"/>
    </row>
    <row r="156" spans="1:22" ht="14.25" x14ac:dyDescent="0.2">
      <c r="A156" s="20"/>
      <c r="B156" s="21"/>
      <c r="C156" s="21" t="s">
        <v>431</v>
      </c>
      <c r="D156" s="22"/>
      <c r="E156" s="9"/>
      <c r="F156" s="24">
        <f>Source!AL85</f>
        <v>62.38</v>
      </c>
      <c r="G156" s="23" t="str">
        <f>Source!DD85</f>
        <v/>
      </c>
      <c r="H156" s="9">
        <f>Source!AW85</f>
        <v>1</v>
      </c>
      <c r="I156" s="9">
        <f>IF(Source!BC85&lt;&gt; 0, Source!BC85, 1)</f>
        <v>1</v>
      </c>
      <c r="J156" s="25">
        <f>Source!P85</f>
        <v>137.24</v>
      </c>
      <c r="K156" s="25"/>
    </row>
    <row r="157" spans="1:22" ht="14.25" x14ac:dyDescent="0.2">
      <c r="A157" s="20"/>
      <c r="B157" s="21"/>
      <c r="C157" s="21" t="s">
        <v>424</v>
      </c>
      <c r="D157" s="22" t="s">
        <v>425</v>
      </c>
      <c r="E157" s="9">
        <f>Source!AT85</f>
        <v>70</v>
      </c>
      <c r="F157" s="24"/>
      <c r="G157" s="23"/>
      <c r="H157" s="9"/>
      <c r="I157" s="9"/>
      <c r="J157" s="25">
        <f>SUM(R152:R156)</f>
        <v>120.23</v>
      </c>
      <c r="K157" s="25"/>
    </row>
    <row r="158" spans="1:22" ht="14.25" x14ac:dyDescent="0.2">
      <c r="A158" s="20"/>
      <c r="B158" s="21"/>
      <c r="C158" s="21" t="s">
        <v>426</v>
      </c>
      <c r="D158" s="22" t="s">
        <v>425</v>
      </c>
      <c r="E158" s="9">
        <f>Source!AU85</f>
        <v>10</v>
      </c>
      <c r="F158" s="24"/>
      <c r="G158" s="23"/>
      <c r="H158" s="9"/>
      <c r="I158" s="9"/>
      <c r="J158" s="25">
        <f>SUM(T152:T157)</f>
        <v>17.18</v>
      </c>
      <c r="K158" s="25"/>
    </row>
    <row r="159" spans="1:22" ht="14.25" x14ac:dyDescent="0.2">
      <c r="A159" s="20"/>
      <c r="B159" s="21"/>
      <c r="C159" s="21" t="s">
        <v>432</v>
      </c>
      <c r="D159" s="22" t="s">
        <v>425</v>
      </c>
      <c r="E159" s="9">
        <f>108</f>
        <v>108</v>
      </c>
      <c r="F159" s="24"/>
      <c r="G159" s="23"/>
      <c r="H159" s="9"/>
      <c r="I159" s="9"/>
      <c r="J159" s="25">
        <f>SUM(V152:V158)</f>
        <v>3.52</v>
      </c>
      <c r="K159" s="25"/>
    </row>
    <row r="160" spans="1:22" ht="14.25" x14ac:dyDescent="0.2">
      <c r="A160" s="20"/>
      <c r="B160" s="21"/>
      <c r="C160" s="21" t="s">
        <v>427</v>
      </c>
      <c r="D160" s="22" t="s">
        <v>428</v>
      </c>
      <c r="E160" s="9">
        <f>Source!AQ85</f>
        <v>0.37</v>
      </c>
      <c r="F160" s="24"/>
      <c r="G160" s="23" t="str">
        <f>Source!DI85</f>
        <v/>
      </c>
      <c r="H160" s="9">
        <f>Source!AV85</f>
        <v>1</v>
      </c>
      <c r="I160" s="9"/>
      <c r="J160" s="25"/>
      <c r="K160" s="25">
        <f>Source!U85</f>
        <v>0.81400000000000006</v>
      </c>
    </row>
    <row r="161" spans="1:22" ht="15" x14ac:dyDescent="0.25">
      <c r="A161" s="28"/>
      <c r="B161" s="28"/>
      <c r="C161" s="28"/>
      <c r="D161" s="28"/>
      <c r="E161" s="28"/>
      <c r="F161" s="28"/>
      <c r="G161" s="28"/>
      <c r="H161" s="28"/>
      <c r="I161" s="64">
        <f>J153+J154+J156+J157+J158+J159</f>
        <v>458.3</v>
      </c>
      <c r="J161" s="64"/>
      <c r="K161" s="29">
        <f>IF(Source!I85&lt;&gt;0, ROUND(I161/Source!I85, 2), 0)</f>
        <v>208.32</v>
      </c>
      <c r="P161" s="26">
        <f>I161</f>
        <v>458.3</v>
      </c>
    </row>
    <row r="162" spans="1:22" ht="28.5" x14ac:dyDescent="0.2">
      <c r="A162" s="20" t="str">
        <f>Source!E86</f>
        <v>17</v>
      </c>
      <c r="B162" s="21" t="str">
        <f>Source!F86</f>
        <v>1.2-3103-2-15/1</v>
      </c>
      <c r="C162" s="21" t="str">
        <f>Source!G86</f>
        <v>Устройство фундаментных плит железобетонных плоских</v>
      </c>
      <c r="D162" s="22" t="str">
        <f>Source!H86</f>
        <v>100 м3</v>
      </c>
      <c r="E162" s="9">
        <f>Source!I86</f>
        <v>2.1600000000000001E-2</v>
      </c>
      <c r="F162" s="24"/>
      <c r="G162" s="23"/>
      <c r="H162" s="9"/>
      <c r="I162" s="9"/>
      <c r="J162" s="25"/>
      <c r="K162" s="25"/>
      <c r="Q162">
        <f>ROUND((Source!BZ86/100)*ROUND((Source!AF86*Source!AV86)*Source!I86, 2), 2)</f>
        <v>629.22</v>
      </c>
      <c r="R162">
        <f>Source!X86</f>
        <v>629.22</v>
      </c>
      <c r="S162">
        <f>ROUND((Source!CA86/100)*ROUND((Source!AF86*Source!AV86)*Source!I86, 2), 2)</f>
        <v>89.89</v>
      </c>
      <c r="T162">
        <f>Source!Y86</f>
        <v>89.89</v>
      </c>
      <c r="U162">
        <f>ROUND((175/100)*ROUND((Source!AE86*Source!AV86)*Source!I86, 2), 2)</f>
        <v>6.35</v>
      </c>
      <c r="V162">
        <f>ROUND((108/100)*ROUND(Source!CS86*Source!I86, 2), 2)</f>
        <v>3.92</v>
      </c>
    </row>
    <row r="163" spans="1:22" ht="14.25" x14ac:dyDescent="0.2">
      <c r="A163" s="20"/>
      <c r="B163" s="21"/>
      <c r="C163" s="21" t="s">
        <v>423</v>
      </c>
      <c r="D163" s="22"/>
      <c r="E163" s="9"/>
      <c r="F163" s="24">
        <f>Source!AO86</f>
        <v>41614.639999999999</v>
      </c>
      <c r="G163" s="23" t="str">
        <f>Source!DG86</f>
        <v/>
      </c>
      <c r="H163" s="9">
        <f>Source!AV86</f>
        <v>1</v>
      </c>
      <c r="I163" s="9">
        <f>IF(Source!BA86&lt;&gt; 0, Source!BA86, 1)</f>
        <v>1</v>
      </c>
      <c r="J163" s="25">
        <f>Source!S86</f>
        <v>898.88</v>
      </c>
      <c r="K163" s="25"/>
    </row>
    <row r="164" spans="1:22" ht="14.25" x14ac:dyDescent="0.2">
      <c r="A164" s="20"/>
      <c r="B164" s="21"/>
      <c r="C164" s="21" t="s">
        <v>429</v>
      </c>
      <c r="D164" s="22"/>
      <c r="E164" s="9"/>
      <c r="F164" s="24">
        <f>Source!AM86</f>
        <v>4415.67</v>
      </c>
      <c r="G164" s="23" t="str">
        <f>Source!DE86</f>
        <v/>
      </c>
      <c r="H164" s="9">
        <f>Source!AV86</f>
        <v>1</v>
      </c>
      <c r="I164" s="9">
        <f>IF(Source!BB86&lt;&gt; 0, Source!BB86, 1)</f>
        <v>1</v>
      </c>
      <c r="J164" s="25">
        <f>Source!Q86</f>
        <v>95.38</v>
      </c>
      <c r="K164" s="25"/>
    </row>
    <row r="165" spans="1:22" ht="14.25" x14ac:dyDescent="0.2">
      <c r="A165" s="20"/>
      <c r="B165" s="21"/>
      <c r="C165" s="21" t="s">
        <v>430</v>
      </c>
      <c r="D165" s="22"/>
      <c r="E165" s="9"/>
      <c r="F165" s="24">
        <f>Source!AN86</f>
        <v>168.01</v>
      </c>
      <c r="G165" s="23" t="str">
        <f>Source!DF86</f>
        <v/>
      </c>
      <c r="H165" s="9">
        <f>Source!AV86</f>
        <v>1</v>
      </c>
      <c r="I165" s="9">
        <f>IF(Source!BS86&lt;&gt; 0, Source!BS86, 1)</f>
        <v>1</v>
      </c>
      <c r="J165" s="30">
        <f>Source!R86</f>
        <v>3.63</v>
      </c>
      <c r="K165" s="25"/>
    </row>
    <row r="166" spans="1:22" ht="14.25" x14ac:dyDescent="0.2">
      <c r="A166" s="20"/>
      <c r="B166" s="21"/>
      <c r="C166" s="21" t="s">
        <v>431</v>
      </c>
      <c r="D166" s="22"/>
      <c r="E166" s="9"/>
      <c r="F166" s="24">
        <f>Source!AL86</f>
        <v>680227.7</v>
      </c>
      <c r="G166" s="23" t="str">
        <f>Source!DD86</f>
        <v/>
      </c>
      <c r="H166" s="9">
        <f>Source!AW86</f>
        <v>1</v>
      </c>
      <c r="I166" s="9">
        <f>IF(Source!BC86&lt;&gt; 0, Source!BC86, 1)</f>
        <v>1</v>
      </c>
      <c r="J166" s="25">
        <f>Source!P86</f>
        <v>14692.92</v>
      </c>
      <c r="K166" s="25"/>
    </row>
    <row r="167" spans="1:22" ht="57" x14ac:dyDescent="0.2">
      <c r="A167" s="20" t="str">
        <f>Source!E87</f>
        <v>17,1</v>
      </c>
      <c r="B167" s="21" t="str">
        <f>Source!F87</f>
        <v>21.3-1-83</v>
      </c>
      <c r="C167" s="21" t="str">
        <f>Source!G87</f>
        <v>Смеси бетонные, БСГ, тяжелого бетона на гранитном щебне, фракция 5-20, класс прочности: В22,5 (М300); П3, F200, W6</v>
      </c>
      <c r="D167" s="22" t="str">
        <f>Source!H87</f>
        <v>м3</v>
      </c>
      <c r="E167" s="9">
        <f>Source!I87</f>
        <v>2.1924000000000001</v>
      </c>
      <c r="F167" s="24">
        <f>Source!AK87</f>
        <v>3884.73</v>
      </c>
      <c r="G167" s="31" t="s">
        <v>3</v>
      </c>
      <c r="H167" s="9">
        <f>Source!AW87</f>
        <v>1</v>
      </c>
      <c r="I167" s="9">
        <f>IF(Source!BC87&lt;&gt; 0, Source!BC87, 1)</f>
        <v>1</v>
      </c>
      <c r="J167" s="25">
        <f>Source!O87</f>
        <v>8516.8799999999992</v>
      </c>
      <c r="K167" s="25"/>
      <c r="Q167">
        <f>ROUND((Source!BZ87/100)*ROUND((Source!AF87*Source!AV87)*Source!I87, 2), 2)</f>
        <v>0</v>
      </c>
      <c r="R167">
        <f>Source!X87</f>
        <v>0</v>
      </c>
      <c r="S167">
        <f>ROUND((Source!CA87/100)*ROUND((Source!AF87*Source!AV87)*Source!I87, 2), 2)</f>
        <v>0</v>
      </c>
      <c r="T167">
        <f>Source!Y87</f>
        <v>0</v>
      </c>
      <c r="U167">
        <f>ROUND((175/100)*ROUND((Source!AE87*Source!AV87)*Source!I87, 2), 2)</f>
        <v>0</v>
      </c>
      <c r="V167">
        <f>ROUND((108/100)*ROUND(Source!CS87*Source!I87, 2), 2)</f>
        <v>0</v>
      </c>
    </row>
    <row r="168" spans="1:22" ht="57" x14ac:dyDescent="0.2">
      <c r="A168" s="20" t="str">
        <f>Source!E88</f>
        <v>17,2</v>
      </c>
      <c r="B168" s="21" t="str">
        <f>Source!F88</f>
        <v>21.3-1-69</v>
      </c>
      <c r="C168" s="21" t="str">
        <f>Source!G88</f>
        <v>Смеси бетонные, БСГ, тяжелого бетона на гранитном щебне, класс прочности: В15 (М200); П3, фракция 5-20, F50-100, W0-2</v>
      </c>
      <c r="D168" s="22" t="str">
        <f>Source!H88</f>
        <v>м3</v>
      </c>
      <c r="E168" s="9">
        <f>Source!I88</f>
        <v>-2.1924000000000001</v>
      </c>
      <c r="F168" s="24">
        <f>Source!AK88</f>
        <v>3714.73</v>
      </c>
      <c r="G168" s="31" t="s">
        <v>3</v>
      </c>
      <c r="H168" s="9">
        <f>Source!AW88</f>
        <v>1</v>
      </c>
      <c r="I168" s="9">
        <f>IF(Source!BC88&lt;&gt; 0, Source!BC88, 1)</f>
        <v>1</v>
      </c>
      <c r="J168" s="25">
        <f>Source!O88</f>
        <v>-8144.17</v>
      </c>
      <c r="K168" s="25"/>
      <c r="Q168">
        <f>ROUND((Source!BZ88/100)*ROUND((Source!AF88*Source!AV88)*Source!I88, 2), 2)</f>
        <v>0</v>
      </c>
      <c r="R168">
        <f>Source!X88</f>
        <v>0</v>
      </c>
      <c r="S168">
        <f>ROUND((Source!CA88/100)*ROUND((Source!AF88*Source!AV88)*Source!I88, 2), 2)</f>
        <v>0</v>
      </c>
      <c r="T168">
        <f>Source!Y88</f>
        <v>0</v>
      </c>
      <c r="U168">
        <f>ROUND((175/100)*ROUND((Source!AE88*Source!AV88)*Source!I88, 2), 2)</f>
        <v>0</v>
      </c>
      <c r="V168">
        <f>ROUND((108/100)*ROUND(Source!CS88*Source!I88, 2), 2)</f>
        <v>0</v>
      </c>
    </row>
    <row r="169" spans="1:22" ht="14.25" x14ac:dyDescent="0.2">
      <c r="A169" s="20"/>
      <c r="B169" s="21"/>
      <c r="C169" s="21" t="s">
        <v>424</v>
      </c>
      <c r="D169" s="22" t="s">
        <v>425</v>
      </c>
      <c r="E169" s="9">
        <f>Source!AT86</f>
        <v>70</v>
      </c>
      <c r="F169" s="24"/>
      <c r="G169" s="23"/>
      <c r="H169" s="9"/>
      <c r="I169" s="9"/>
      <c r="J169" s="25">
        <f>SUM(R162:R168)</f>
        <v>629.22</v>
      </c>
      <c r="K169" s="25"/>
    </row>
    <row r="170" spans="1:22" ht="14.25" x14ac:dyDescent="0.2">
      <c r="A170" s="20"/>
      <c r="B170" s="21"/>
      <c r="C170" s="21" t="s">
        <v>426</v>
      </c>
      <c r="D170" s="22" t="s">
        <v>425</v>
      </c>
      <c r="E170" s="9">
        <f>Source!AU86</f>
        <v>10</v>
      </c>
      <c r="F170" s="24"/>
      <c r="G170" s="23"/>
      <c r="H170" s="9"/>
      <c r="I170" s="9"/>
      <c r="J170" s="25">
        <f>SUM(T162:T169)</f>
        <v>89.89</v>
      </c>
      <c r="K170" s="25"/>
    </row>
    <row r="171" spans="1:22" ht="14.25" x14ac:dyDescent="0.2">
      <c r="A171" s="20"/>
      <c r="B171" s="21"/>
      <c r="C171" s="21" t="s">
        <v>432</v>
      </c>
      <c r="D171" s="22" t="s">
        <v>425</v>
      </c>
      <c r="E171" s="9">
        <f>108</f>
        <v>108</v>
      </c>
      <c r="F171" s="24"/>
      <c r="G171" s="23"/>
      <c r="H171" s="9"/>
      <c r="I171" s="9"/>
      <c r="J171" s="25">
        <f>SUM(V162:V170)</f>
        <v>3.92</v>
      </c>
      <c r="K171" s="25"/>
    </row>
    <row r="172" spans="1:22" ht="14.25" x14ac:dyDescent="0.2">
      <c r="A172" s="20"/>
      <c r="B172" s="21"/>
      <c r="C172" s="21" t="s">
        <v>427</v>
      </c>
      <c r="D172" s="22" t="s">
        <v>428</v>
      </c>
      <c r="E172" s="9">
        <f>Source!AQ86</f>
        <v>205.85</v>
      </c>
      <c r="F172" s="24"/>
      <c r="G172" s="23" t="str">
        <f>Source!DI86</f>
        <v/>
      </c>
      <c r="H172" s="9">
        <f>Source!AV86</f>
        <v>1</v>
      </c>
      <c r="I172" s="9"/>
      <c r="J172" s="25"/>
      <c r="K172" s="25">
        <f>Source!U86</f>
        <v>4.4463600000000003</v>
      </c>
    </row>
    <row r="173" spans="1:22" ht="15" x14ac:dyDescent="0.25">
      <c r="A173" s="28"/>
      <c r="B173" s="28"/>
      <c r="C173" s="28"/>
      <c r="D173" s="28"/>
      <c r="E173" s="28"/>
      <c r="F173" s="28"/>
      <c r="G173" s="28"/>
      <c r="H173" s="28"/>
      <c r="I173" s="64">
        <f>J163+J164+J166+J169+J170+J171+SUM(J167:J168)</f>
        <v>16782.919999999998</v>
      </c>
      <c r="J173" s="64"/>
      <c r="K173" s="29">
        <f>IF(Source!I86&lt;&gt;0, ROUND(I173/Source!I86, 2), 0)</f>
        <v>776987.04</v>
      </c>
      <c r="P173" s="26">
        <f>I173</f>
        <v>16782.919999999998</v>
      </c>
    </row>
    <row r="174" spans="1:22" ht="57" x14ac:dyDescent="0.2">
      <c r="A174" s="20" t="str">
        <f>Source!E89</f>
        <v>18</v>
      </c>
      <c r="B174" s="21" t="str">
        <f>Source!F89</f>
        <v>5.3-3203-2-1/1</v>
      </c>
      <c r="C174" s="21" t="str">
        <f>Source!G89</f>
        <v>Изготовление и установка секций металлического ограждения, калиток, ворот из профилированной трубы, масса секции до 150 кг</v>
      </c>
      <c r="D174" s="22" t="str">
        <f>Source!H89</f>
        <v>м2</v>
      </c>
      <c r="E174" s="9">
        <f>Source!I89</f>
        <v>115.8</v>
      </c>
      <c r="F174" s="24"/>
      <c r="G174" s="23"/>
      <c r="H174" s="9"/>
      <c r="I174" s="9"/>
      <c r="J174" s="25"/>
      <c r="K174" s="25"/>
      <c r="Q174">
        <f>ROUND((Source!BZ89/100)*ROUND((Source!AF89*Source!AV89)*Source!I89, 2), 2)</f>
        <v>64450.81</v>
      </c>
      <c r="R174">
        <f>Source!X89</f>
        <v>64450.81</v>
      </c>
      <c r="S174">
        <f>ROUND((Source!CA89/100)*ROUND((Source!AF89*Source!AV89)*Source!I89, 2), 2)</f>
        <v>9207.26</v>
      </c>
      <c r="T174">
        <f>Source!Y89</f>
        <v>9207.26</v>
      </c>
      <c r="U174">
        <f>ROUND((175/100)*ROUND((Source!AE89*Source!AV89)*Source!I89, 2), 2)</f>
        <v>59980.34</v>
      </c>
      <c r="V174">
        <f>ROUND((108/100)*ROUND(Source!CS89*Source!I89, 2), 2)</f>
        <v>37016.44</v>
      </c>
    </row>
    <row r="175" spans="1:22" ht="14.25" x14ac:dyDescent="0.2">
      <c r="A175" s="20"/>
      <c r="B175" s="21"/>
      <c r="C175" s="21" t="s">
        <v>423</v>
      </c>
      <c r="D175" s="22"/>
      <c r="E175" s="9"/>
      <c r="F175" s="24">
        <f>Source!AO89</f>
        <v>795.1</v>
      </c>
      <c r="G175" s="23" t="str">
        <f>Source!DG89</f>
        <v/>
      </c>
      <c r="H175" s="9">
        <f>Source!AV89</f>
        <v>1</v>
      </c>
      <c r="I175" s="9">
        <f>IF(Source!BA89&lt;&gt; 0, Source!BA89, 1)</f>
        <v>1</v>
      </c>
      <c r="J175" s="25">
        <f>Source!S89</f>
        <v>92072.58</v>
      </c>
      <c r="K175" s="25"/>
    </row>
    <row r="176" spans="1:22" ht="14.25" x14ac:dyDescent="0.2">
      <c r="A176" s="20"/>
      <c r="B176" s="21"/>
      <c r="C176" s="21" t="s">
        <v>429</v>
      </c>
      <c r="D176" s="22"/>
      <c r="E176" s="9"/>
      <c r="F176" s="24">
        <f>Source!AM89</f>
        <v>464.27</v>
      </c>
      <c r="G176" s="23" t="str">
        <f>Source!DE89</f>
        <v/>
      </c>
      <c r="H176" s="9">
        <f>Source!AV89</f>
        <v>1</v>
      </c>
      <c r="I176" s="9">
        <f>IF(Source!BB89&lt;&gt; 0, Source!BB89, 1)</f>
        <v>1</v>
      </c>
      <c r="J176" s="25">
        <f>Source!Q89</f>
        <v>53762.47</v>
      </c>
      <c r="K176" s="25"/>
    </row>
    <row r="177" spans="1:22" ht="14.25" x14ac:dyDescent="0.2">
      <c r="A177" s="20"/>
      <c r="B177" s="21"/>
      <c r="C177" s="21" t="s">
        <v>430</v>
      </c>
      <c r="D177" s="22"/>
      <c r="E177" s="9"/>
      <c r="F177" s="24">
        <f>Source!AN89</f>
        <v>295.98</v>
      </c>
      <c r="G177" s="23" t="str">
        <f>Source!DF89</f>
        <v/>
      </c>
      <c r="H177" s="9">
        <f>Source!AV89</f>
        <v>1</v>
      </c>
      <c r="I177" s="9">
        <f>IF(Source!BS89&lt;&gt; 0, Source!BS89, 1)</f>
        <v>1</v>
      </c>
      <c r="J177" s="30">
        <f>Source!R89</f>
        <v>34274.480000000003</v>
      </c>
      <c r="K177" s="25"/>
    </row>
    <row r="178" spans="1:22" ht="14.25" x14ac:dyDescent="0.2">
      <c r="A178" s="20"/>
      <c r="B178" s="21"/>
      <c r="C178" s="21" t="s">
        <v>431</v>
      </c>
      <c r="D178" s="22"/>
      <c r="E178" s="9"/>
      <c r="F178" s="24">
        <f>Source!AL89</f>
        <v>5687.37</v>
      </c>
      <c r="G178" s="23" t="str">
        <f>Source!DD89</f>
        <v/>
      </c>
      <c r="H178" s="9">
        <f>Source!AW89</f>
        <v>1</v>
      </c>
      <c r="I178" s="9">
        <f>IF(Source!BC89&lt;&gt; 0, Source!BC89, 1)</f>
        <v>1</v>
      </c>
      <c r="J178" s="25">
        <f>Source!P89</f>
        <v>658597.44999999995</v>
      </c>
      <c r="K178" s="25"/>
    </row>
    <row r="179" spans="1:22" ht="71.25" x14ac:dyDescent="0.2">
      <c r="A179" s="20" t="str">
        <f>Source!E90</f>
        <v>18,1</v>
      </c>
      <c r="B179" s="21" t="str">
        <f>Source!F90</f>
        <v>21.1-10-47</v>
      </c>
      <c r="C179" s="21" t="str">
        <f>Source!G90</f>
        <v>Профили стальные электросварные квадратного сечения трубчатые, размер стороны 80 мм, толщина стенки 3-6 мм (толщ.4 мм, расход 9,33 кг/м.п., L=72,0 м.п.)</v>
      </c>
      <c r="D179" s="22" t="str">
        <f>Source!H90</f>
        <v>т</v>
      </c>
      <c r="E179" s="9">
        <f>Source!I90</f>
        <v>0.67176000000000002</v>
      </c>
      <c r="F179" s="24">
        <f>Source!AK90</f>
        <v>37329.29</v>
      </c>
      <c r="G179" s="31" t="s">
        <v>3</v>
      </c>
      <c r="H179" s="9">
        <f>Source!AW90</f>
        <v>1</v>
      </c>
      <c r="I179" s="9">
        <f>IF(Source!BC90&lt;&gt; 0, Source!BC90, 1)</f>
        <v>1</v>
      </c>
      <c r="J179" s="25">
        <f>Source!O90</f>
        <v>25076.32</v>
      </c>
      <c r="K179" s="25"/>
      <c r="Q179">
        <f>ROUND((Source!BZ90/100)*ROUND((Source!AF90*Source!AV90)*Source!I90, 2), 2)</f>
        <v>0</v>
      </c>
      <c r="R179">
        <f>Source!X90</f>
        <v>0</v>
      </c>
      <c r="S179">
        <f>ROUND((Source!CA90/100)*ROUND((Source!AF90*Source!AV90)*Source!I90, 2), 2)</f>
        <v>0</v>
      </c>
      <c r="T179">
        <f>Source!Y90</f>
        <v>0</v>
      </c>
      <c r="U179">
        <f>ROUND((175/100)*ROUND((Source!AE90*Source!AV90)*Source!I90, 2), 2)</f>
        <v>0</v>
      </c>
      <c r="V179">
        <f>ROUND((108/100)*ROUND(Source!CS90*Source!I90, 2), 2)</f>
        <v>0</v>
      </c>
    </row>
    <row r="180" spans="1:22" ht="57" x14ac:dyDescent="0.2">
      <c r="A180" s="20" t="str">
        <f>Source!E91</f>
        <v>18,2</v>
      </c>
      <c r="B180" s="21" t="str">
        <f>Source!F91</f>
        <v>21.1-10-111</v>
      </c>
      <c r="C180" s="21" t="str">
        <f>Source!G91</f>
        <v>Профили стальные электросварные прямоугольного сечения трубчатые, размер 40х60 мм, толщина стенки 3,0 мм (расход 4,30 кг/м.п., L=198,6 м.п.)</v>
      </c>
      <c r="D180" s="22" t="str">
        <f>Source!H91</f>
        <v>т</v>
      </c>
      <c r="E180" s="9">
        <f>Source!I91</f>
        <v>0.85397999999999996</v>
      </c>
      <c r="F180" s="24">
        <f>Source!AK91</f>
        <v>32819.879999999997</v>
      </c>
      <c r="G180" s="31" t="s">
        <v>3</v>
      </c>
      <c r="H180" s="9">
        <f>Source!AW91</f>
        <v>1</v>
      </c>
      <c r="I180" s="9">
        <f>IF(Source!BC91&lt;&gt; 0, Source!BC91, 1)</f>
        <v>1</v>
      </c>
      <c r="J180" s="25">
        <f>Source!O91</f>
        <v>28027.52</v>
      </c>
      <c r="K180" s="25"/>
      <c r="Q180">
        <f>ROUND((Source!BZ91/100)*ROUND((Source!AF91*Source!AV91)*Source!I91, 2), 2)</f>
        <v>0</v>
      </c>
      <c r="R180">
        <f>Source!X91</f>
        <v>0</v>
      </c>
      <c r="S180">
        <f>ROUND((Source!CA91/100)*ROUND((Source!AF91*Source!AV91)*Source!I91, 2), 2)</f>
        <v>0</v>
      </c>
      <c r="T180">
        <f>Source!Y91</f>
        <v>0</v>
      </c>
      <c r="U180">
        <f>ROUND((175/100)*ROUND((Source!AE91*Source!AV91)*Source!I91, 2), 2)</f>
        <v>0</v>
      </c>
      <c r="V180">
        <f>ROUND((108/100)*ROUND(Source!CS91*Source!I91, 2), 2)</f>
        <v>0</v>
      </c>
    </row>
    <row r="181" spans="1:22" ht="71.25" x14ac:dyDescent="0.2">
      <c r="A181" s="20" t="str">
        <f>Source!E92</f>
        <v>18,3</v>
      </c>
      <c r="B181" s="21" t="str">
        <f>Source!F92</f>
        <v>21.1-10-34</v>
      </c>
      <c r="C181" s="21" t="str">
        <f>Source!G92</f>
        <v>Профили стальные электросварные квадратного сечения трубчатые, размер стороны 20 мм, толщина стенки 2 мм (расход 1,075 кг/м.п., L=1753,2 м.п.)</v>
      </c>
      <c r="D181" s="22" t="str">
        <f>Source!H92</f>
        <v>т</v>
      </c>
      <c r="E181" s="9">
        <f>Source!I92</f>
        <v>1.8846900000000002</v>
      </c>
      <c r="F181" s="24">
        <f>Source!AK92</f>
        <v>40597.550000000003</v>
      </c>
      <c r="G181" s="31" t="s">
        <v>3</v>
      </c>
      <c r="H181" s="9">
        <f>Source!AW92</f>
        <v>1</v>
      </c>
      <c r="I181" s="9">
        <f>IF(Source!BC92&lt;&gt; 0, Source!BC92, 1)</f>
        <v>1</v>
      </c>
      <c r="J181" s="25">
        <f>Source!O92</f>
        <v>76513.8</v>
      </c>
      <c r="K181" s="25"/>
      <c r="Q181">
        <f>ROUND((Source!BZ92/100)*ROUND((Source!AF92*Source!AV92)*Source!I92, 2), 2)</f>
        <v>0</v>
      </c>
      <c r="R181">
        <f>Source!X92</f>
        <v>0</v>
      </c>
      <c r="S181">
        <f>ROUND((Source!CA92/100)*ROUND((Source!AF92*Source!AV92)*Source!I92, 2), 2)</f>
        <v>0</v>
      </c>
      <c r="T181">
        <f>Source!Y92</f>
        <v>0</v>
      </c>
      <c r="U181">
        <f>ROUND((175/100)*ROUND((Source!AE92*Source!AV92)*Source!I92, 2), 2)</f>
        <v>0</v>
      </c>
      <c r="V181">
        <f>ROUND((108/100)*ROUND(Source!CS92*Source!I92, 2), 2)</f>
        <v>0</v>
      </c>
    </row>
    <row r="182" spans="1:22" ht="42.75" x14ac:dyDescent="0.2">
      <c r="A182" s="20" t="str">
        <f>Source!E93</f>
        <v>18,4</v>
      </c>
      <c r="B182" s="21" t="str">
        <f>Source!F93</f>
        <v>Цена поставщика</v>
      </c>
      <c r="C182" s="21" t="s">
        <v>433</v>
      </c>
      <c r="D182" s="22" t="str">
        <f>Source!H93</f>
        <v>ШТ</v>
      </c>
      <c r="E182" s="9">
        <f>Source!I93</f>
        <v>24</v>
      </c>
      <c r="F182" s="24">
        <f>Source!AK93</f>
        <v>37.5</v>
      </c>
      <c r="G182" s="31" t="s">
        <v>3</v>
      </c>
      <c r="H182" s="9">
        <f>Source!AW93</f>
        <v>1</v>
      </c>
      <c r="I182" s="9">
        <f>IF(Source!BC93&lt;&gt; 0, Source!BC93, 1)</f>
        <v>1</v>
      </c>
      <c r="J182" s="25">
        <f>Source!O93</f>
        <v>900</v>
      </c>
      <c r="K182" s="25"/>
      <c r="Q182">
        <f>ROUND((Source!BZ93/100)*ROUND((Source!AF93*Source!AV93)*Source!I93, 2), 2)</f>
        <v>0</v>
      </c>
      <c r="R182">
        <f>Source!X93</f>
        <v>0</v>
      </c>
      <c r="S182">
        <f>ROUND((Source!CA93/100)*ROUND((Source!AF93*Source!AV93)*Source!I93, 2), 2)</f>
        <v>0</v>
      </c>
      <c r="T182">
        <f>Source!Y93</f>
        <v>0</v>
      </c>
      <c r="U182">
        <f>ROUND((175/100)*ROUND((Source!AE93*Source!AV93)*Source!I93, 2), 2)</f>
        <v>0</v>
      </c>
      <c r="V182">
        <f>ROUND((108/100)*ROUND(Source!CS93*Source!I93, 2), 2)</f>
        <v>0</v>
      </c>
    </row>
    <row r="183" spans="1:22" ht="42.75" x14ac:dyDescent="0.2">
      <c r="A183" s="20" t="str">
        <f>Source!E94</f>
        <v>18,5</v>
      </c>
      <c r="B183" s="21" t="str">
        <f>Source!F94</f>
        <v>Цена поставщика</v>
      </c>
      <c r="C183" s="21" t="s">
        <v>434</v>
      </c>
      <c r="D183" s="22" t="str">
        <f>Source!H94</f>
        <v>ШТ</v>
      </c>
      <c r="E183" s="9">
        <f>Source!I94</f>
        <v>92</v>
      </c>
      <c r="F183" s="24">
        <f>Source!AK94</f>
        <v>16.53</v>
      </c>
      <c r="G183" s="31" t="s">
        <v>3</v>
      </c>
      <c r="H183" s="9">
        <f>Source!AW94</f>
        <v>1</v>
      </c>
      <c r="I183" s="9">
        <f>IF(Source!BC94&lt;&gt; 0, Source!BC94, 1)</f>
        <v>1</v>
      </c>
      <c r="J183" s="25">
        <f>Source!O94</f>
        <v>1520.76</v>
      </c>
      <c r="K183" s="25"/>
      <c r="Q183">
        <f>ROUND((Source!BZ94/100)*ROUND((Source!AF94*Source!AV94)*Source!I94, 2), 2)</f>
        <v>0</v>
      </c>
      <c r="R183">
        <f>Source!X94</f>
        <v>0</v>
      </c>
      <c r="S183">
        <f>ROUND((Source!CA94/100)*ROUND((Source!AF94*Source!AV94)*Source!I94, 2), 2)</f>
        <v>0</v>
      </c>
      <c r="T183">
        <f>Source!Y94</f>
        <v>0</v>
      </c>
      <c r="U183">
        <f>ROUND((175/100)*ROUND((Source!AE94*Source!AV94)*Source!I94, 2), 2)</f>
        <v>0</v>
      </c>
      <c r="V183">
        <f>ROUND((108/100)*ROUND(Source!CS94*Source!I94, 2), 2)</f>
        <v>0</v>
      </c>
    </row>
    <row r="184" spans="1:22" ht="57" x14ac:dyDescent="0.2">
      <c r="A184" s="20" t="str">
        <f>Source!E95</f>
        <v>18,6</v>
      </c>
      <c r="B184" s="21" t="str">
        <f>Source!F95</f>
        <v>21.1-10-28</v>
      </c>
      <c r="C184" s="21" t="str">
        <f>Source!G95</f>
        <v>Профили стальные электросварные квадратного сечения трубчатые, размер стороны 40 мм, толщина стенки 2 мм</v>
      </c>
      <c r="D184" s="22" t="str">
        <f>Source!H95</f>
        <v>т</v>
      </c>
      <c r="E184" s="9">
        <f>Source!I95</f>
        <v>-17.254200000000001</v>
      </c>
      <c r="F184" s="24">
        <f>Source!AK95</f>
        <v>37537.54</v>
      </c>
      <c r="G184" s="31" t="s">
        <v>3</v>
      </c>
      <c r="H184" s="9">
        <f>Source!AW95</f>
        <v>1</v>
      </c>
      <c r="I184" s="9">
        <f>IF(Source!BC95&lt;&gt; 0, Source!BC95, 1)</f>
        <v>1</v>
      </c>
      <c r="J184" s="25">
        <f>Source!O95</f>
        <v>-647680.22</v>
      </c>
      <c r="K184" s="25"/>
      <c r="Q184">
        <f>ROUND((Source!BZ95/100)*ROUND((Source!AF95*Source!AV95)*Source!I95, 2), 2)</f>
        <v>0</v>
      </c>
      <c r="R184">
        <f>Source!X95</f>
        <v>0</v>
      </c>
      <c r="S184">
        <f>ROUND((Source!CA95/100)*ROUND((Source!AF95*Source!AV95)*Source!I95, 2), 2)</f>
        <v>0</v>
      </c>
      <c r="T184">
        <f>Source!Y95</f>
        <v>0</v>
      </c>
      <c r="U184">
        <f>ROUND((175/100)*ROUND((Source!AE95*Source!AV95)*Source!I95, 2), 2)</f>
        <v>0</v>
      </c>
      <c r="V184">
        <f>ROUND((108/100)*ROUND(Source!CS95*Source!I95, 2), 2)</f>
        <v>0</v>
      </c>
    </row>
    <row r="185" spans="1:22" ht="14.25" x14ac:dyDescent="0.2">
      <c r="A185" s="20"/>
      <c r="B185" s="21"/>
      <c r="C185" s="21" t="s">
        <v>424</v>
      </c>
      <c r="D185" s="22" t="s">
        <v>425</v>
      </c>
      <c r="E185" s="9">
        <f>Source!AT89</f>
        <v>70</v>
      </c>
      <c r="F185" s="24"/>
      <c r="G185" s="23"/>
      <c r="H185" s="9"/>
      <c r="I185" s="9"/>
      <c r="J185" s="25">
        <f>SUM(R174:R184)</f>
        <v>64450.81</v>
      </c>
      <c r="K185" s="25"/>
    </row>
    <row r="186" spans="1:22" ht="14.25" x14ac:dyDescent="0.2">
      <c r="A186" s="20"/>
      <c r="B186" s="21"/>
      <c r="C186" s="21" t="s">
        <v>426</v>
      </c>
      <c r="D186" s="22" t="s">
        <v>425</v>
      </c>
      <c r="E186" s="9">
        <f>Source!AU89</f>
        <v>10</v>
      </c>
      <c r="F186" s="24"/>
      <c r="G186" s="23"/>
      <c r="H186" s="9"/>
      <c r="I186" s="9"/>
      <c r="J186" s="25">
        <f>SUM(T174:T185)</f>
        <v>9207.26</v>
      </c>
      <c r="K186" s="25"/>
    </row>
    <row r="187" spans="1:22" ht="14.25" x14ac:dyDescent="0.2">
      <c r="A187" s="20"/>
      <c r="B187" s="21"/>
      <c r="C187" s="21" t="s">
        <v>432</v>
      </c>
      <c r="D187" s="22" t="s">
        <v>425</v>
      </c>
      <c r="E187" s="9">
        <f>108</f>
        <v>108</v>
      </c>
      <c r="F187" s="24"/>
      <c r="G187" s="23"/>
      <c r="H187" s="9"/>
      <c r="I187" s="9"/>
      <c r="J187" s="25">
        <f>SUM(V174:V186)</f>
        <v>37016.44</v>
      </c>
      <c r="K187" s="25"/>
    </row>
    <row r="188" spans="1:22" ht="14.25" x14ac:dyDescent="0.2">
      <c r="A188" s="20"/>
      <c r="B188" s="21"/>
      <c r="C188" s="21" t="s">
        <v>427</v>
      </c>
      <c r="D188" s="22" t="s">
        <v>428</v>
      </c>
      <c r="E188" s="9">
        <f>Source!AQ89</f>
        <v>2.97</v>
      </c>
      <c r="F188" s="24"/>
      <c r="G188" s="23" t="str">
        <f>Source!DI89</f>
        <v/>
      </c>
      <c r="H188" s="9">
        <f>Source!AV89</f>
        <v>1</v>
      </c>
      <c r="I188" s="9"/>
      <c r="J188" s="25"/>
      <c r="K188" s="25">
        <f>Source!U89</f>
        <v>343.92599999999999</v>
      </c>
    </row>
    <row r="189" spans="1:22" ht="15" x14ac:dyDescent="0.25">
      <c r="A189" s="28"/>
      <c r="B189" s="28"/>
      <c r="C189" s="28"/>
      <c r="D189" s="28"/>
      <c r="E189" s="28"/>
      <c r="F189" s="28"/>
      <c r="G189" s="28"/>
      <c r="H189" s="28"/>
      <c r="I189" s="64">
        <f>J175+J176+J178+J185+J186+J187+SUM(J179:J184)</f>
        <v>399465.19000000006</v>
      </c>
      <c r="J189" s="64"/>
      <c r="K189" s="29">
        <f>IF(Source!I89&lt;&gt;0, ROUND(I189/Source!I89, 2), 0)</f>
        <v>3449.61</v>
      </c>
      <c r="P189" s="26">
        <f>I189</f>
        <v>399465.19000000006</v>
      </c>
    </row>
    <row r="190" spans="1:22" ht="42.75" x14ac:dyDescent="0.2">
      <c r="A190" s="20" t="str">
        <f>Source!E96</f>
        <v>19</v>
      </c>
      <c r="B190" s="21" t="str">
        <f>Source!F96</f>
        <v>1.13-3205-2-2/1</v>
      </c>
      <c r="C190" s="21" t="str">
        <f>Source!G96</f>
        <v>Антикоррозионная огрунтовка металлических поверхностей грунтовкой ГФ-021 за один раз</v>
      </c>
      <c r="D190" s="22" t="str">
        <f>Source!H96</f>
        <v>100 м2</v>
      </c>
      <c r="E190" s="9">
        <f>Source!I96</f>
        <v>1.1579999999999999</v>
      </c>
      <c r="F190" s="24"/>
      <c r="G190" s="23"/>
      <c r="H190" s="9"/>
      <c r="I190" s="9"/>
      <c r="J190" s="25"/>
      <c r="K190" s="25"/>
      <c r="Q190">
        <f>ROUND((Source!BZ96/100)*ROUND((Source!AF96*Source!AV96)*Source!I96, 2), 2)</f>
        <v>1347.3</v>
      </c>
      <c r="R190">
        <f>Source!X96</f>
        <v>1347.3</v>
      </c>
      <c r="S190">
        <f>ROUND((Source!CA96/100)*ROUND((Source!AF96*Source!AV96)*Source!I96, 2), 2)</f>
        <v>192.47</v>
      </c>
      <c r="T190">
        <f>Source!Y96</f>
        <v>192.47</v>
      </c>
      <c r="U190">
        <f>ROUND((175/100)*ROUND((Source!AE96*Source!AV96)*Source!I96, 2), 2)</f>
        <v>101.33</v>
      </c>
      <c r="V190">
        <f>ROUND((108/100)*ROUND(Source!CS96*Source!I96, 2), 2)</f>
        <v>62.53</v>
      </c>
    </row>
    <row r="191" spans="1:22" ht="14.25" x14ac:dyDescent="0.2">
      <c r="A191" s="20"/>
      <c r="B191" s="21"/>
      <c r="C191" s="21" t="s">
        <v>423</v>
      </c>
      <c r="D191" s="22"/>
      <c r="E191" s="9"/>
      <c r="F191" s="24">
        <f>Source!AO96</f>
        <v>1662.1</v>
      </c>
      <c r="G191" s="23" t="str">
        <f>Source!DG96</f>
        <v/>
      </c>
      <c r="H191" s="9">
        <f>Source!AV96</f>
        <v>1</v>
      </c>
      <c r="I191" s="9">
        <f>IF(Source!BA96&lt;&gt; 0, Source!BA96, 1)</f>
        <v>1</v>
      </c>
      <c r="J191" s="25">
        <f>Source!S96</f>
        <v>1924.71</v>
      </c>
      <c r="K191" s="25"/>
    </row>
    <row r="192" spans="1:22" ht="14.25" x14ac:dyDescent="0.2">
      <c r="A192" s="20"/>
      <c r="B192" s="21"/>
      <c r="C192" s="21" t="s">
        <v>429</v>
      </c>
      <c r="D192" s="22"/>
      <c r="E192" s="9"/>
      <c r="F192" s="24">
        <f>Source!AM96</f>
        <v>144.28</v>
      </c>
      <c r="G192" s="23" t="str">
        <f>Source!DE96</f>
        <v/>
      </c>
      <c r="H192" s="9">
        <f>Source!AV96</f>
        <v>1</v>
      </c>
      <c r="I192" s="9">
        <f>IF(Source!BB96&lt;&gt; 0, Source!BB96, 1)</f>
        <v>1</v>
      </c>
      <c r="J192" s="25">
        <f>Source!Q96</f>
        <v>167.08</v>
      </c>
      <c r="K192" s="25"/>
    </row>
    <row r="193" spans="1:22" ht="14.25" x14ac:dyDescent="0.2">
      <c r="A193" s="20"/>
      <c r="B193" s="21"/>
      <c r="C193" s="21" t="s">
        <v>430</v>
      </c>
      <c r="D193" s="22"/>
      <c r="E193" s="9"/>
      <c r="F193" s="24">
        <f>Source!AN96</f>
        <v>50</v>
      </c>
      <c r="G193" s="23" t="str">
        <f>Source!DF96</f>
        <v/>
      </c>
      <c r="H193" s="9">
        <f>Source!AV96</f>
        <v>1</v>
      </c>
      <c r="I193" s="9">
        <f>IF(Source!BS96&lt;&gt; 0, Source!BS96, 1)</f>
        <v>1</v>
      </c>
      <c r="J193" s="30">
        <f>Source!R96</f>
        <v>57.9</v>
      </c>
      <c r="K193" s="25"/>
    </row>
    <row r="194" spans="1:22" ht="14.25" x14ac:dyDescent="0.2">
      <c r="A194" s="20"/>
      <c r="B194" s="21"/>
      <c r="C194" s="21" t="s">
        <v>431</v>
      </c>
      <c r="D194" s="22"/>
      <c r="E194" s="9"/>
      <c r="F194" s="24">
        <f>Source!AL96</f>
        <v>1022.11</v>
      </c>
      <c r="G194" s="23" t="str">
        <f>Source!DD96</f>
        <v/>
      </c>
      <c r="H194" s="9">
        <f>Source!AW96</f>
        <v>1</v>
      </c>
      <c r="I194" s="9">
        <f>IF(Source!BC96&lt;&gt; 0, Source!BC96, 1)</f>
        <v>1</v>
      </c>
      <c r="J194" s="25">
        <f>Source!P96</f>
        <v>1183.5999999999999</v>
      </c>
      <c r="K194" s="25"/>
    </row>
    <row r="195" spans="1:22" ht="14.25" x14ac:dyDescent="0.2">
      <c r="A195" s="20"/>
      <c r="B195" s="21"/>
      <c r="C195" s="21" t="s">
        <v>424</v>
      </c>
      <c r="D195" s="22" t="s">
        <v>425</v>
      </c>
      <c r="E195" s="9">
        <f>Source!AT96</f>
        <v>70</v>
      </c>
      <c r="F195" s="24"/>
      <c r="G195" s="23"/>
      <c r="H195" s="9"/>
      <c r="I195" s="9"/>
      <c r="J195" s="25">
        <f>SUM(R190:R194)</f>
        <v>1347.3</v>
      </c>
      <c r="K195" s="25"/>
    </row>
    <row r="196" spans="1:22" ht="14.25" x14ac:dyDescent="0.2">
      <c r="A196" s="20"/>
      <c r="B196" s="21"/>
      <c r="C196" s="21" t="s">
        <v>426</v>
      </c>
      <c r="D196" s="22" t="s">
        <v>425</v>
      </c>
      <c r="E196" s="9">
        <f>Source!AU96</f>
        <v>10</v>
      </c>
      <c r="F196" s="24"/>
      <c r="G196" s="23"/>
      <c r="H196" s="9"/>
      <c r="I196" s="9"/>
      <c r="J196" s="25">
        <f>SUM(T190:T195)</f>
        <v>192.47</v>
      </c>
      <c r="K196" s="25"/>
    </row>
    <row r="197" spans="1:22" ht="14.25" x14ac:dyDescent="0.2">
      <c r="A197" s="20"/>
      <c r="B197" s="21"/>
      <c r="C197" s="21" t="s">
        <v>432</v>
      </c>
      <c r="D197" s="22" t="s">
        <v>425</v>
      </c>
      <c r="E197" s="9">
        <f>108</f>
        <v>108</v>
      </c>
      <c r="F197" s="24"/>
      <c r="G197" s="23"/>
      <c r="H197" s="9"/>
      <c r="I197" s="9"/>
      <c r="J197" s="25">
        <f>SUM(V190:V196)</f>
        <v>62.53</v>
      </c>
      <c r="K197" s="25"/>
    </row>
    <row r="198" spans="1:22" ht="14.25" x14ac:dyDescent="0.2">
      <c r="A198" s="20"/>
      <c r="B198" s="21"/>
      <c r="C198" s="21" t="s">
        <v>427</v>
      </c>
      <c r="D198" s="22" t="s">
        <v>428</v>
      </c>
      <c r="E198" s="9">
        <f>Source!AQ96</f>
        <v>6.11</v>
      </c>
      <c r="F198" s="24"/>
      <c r="G198" s="23" t="str">
        <f>Source!DI96</f>
        <v/>
      </c>
      <c r="H198" s="9">
        <f>Source!AV96</f>
        <v>1</v>
      </c>
      <c r="I198" s="9"/>
      <c r="J198" s="25"/>
      <c r="K198" s="25">
        <f>Source!U96</f>
        <v>7.07538</v>
      </c>
    </row>
    <row r="199" spans="1:22" ht="15" x14ac:dyDescent="0.25">
      <c r="A199" s="28"/>
      <c r="B199" s="28"/>
      <c r="C199" s="28"/>
      <c r="D199" s="28"/>
      <c r="E199" s="28"/>
      <c r="F199" s="28"/>
      <c r="G199" s="28"/>
      <c r="H199" s="28"/>
      <c r="I199" s="64">
        <f>J191+J192+J194+J195+J196+J197</f>
        <v>4877.6899999999996</v>
      </c>
      <c r="J199" s="64"/>
      <c r="K199" s="29">
        <f>IF(Source!I96&lt;&gt;0, ROUND(I199/Source!I96, 2), 0)</f>
        <v>4212.17</v>
      </c>
      <c r="P199" s="26">
        <f>I199</f>
        <v>4877.6899999999996</v>
      </c>
    </row>
    <row r="200" spans="1:22" ht="42.75" x14ac:dyDescent="0.2">
      <c r="A200" s="20" t="str">
        <f>Source!E97</f>
        <v>20</v>
      </c>
      <c r="B200" s="21" t="str">
        <f>Source!F97</f>
        <v>1.13-3205-4-8/1</v>
      </c>
      <c r="C200" s="21" t="str">
        <f>Source!G97</f>
        <v>Антикоррозионная окраска огрунтованных металлических поверхностей эмалями ПФ-115</v>
      </c>
      <c r="D200" s="22" t="str">
        <f>Source!H97</f>
        <v>100 м2</v>
      </c>
      <c r="E200" s="9">
        <f>Source!I97</f>
        <v>1.1579999999999999</v>
      </c>
      <c r="F200" s="24"/>
      <c r="G200" s="23"/>
      <c r="H200" s="9"/>
      <c r="I200" s="9"/>
      <c r="J200" s="25"/>
      <c r="K200" s="25"/>
      <c r="Q200">
        <f>ROUND((Source!BZ97/100)*ROUND((Source!AF97*Source!AV97)*Source!I97, 2), 2)</f>
        <v>445.31</v>
      </c>
      <c r="R200">
        <f>Source!X97</f>
        <v>445.31</v>
      </c>
      <c r="S200">
        <f>ROUND((Source!CA97/100)*ROUND((Source!AF97*Source!AV97)*Source!I97, 2), 2)</f>
        <v>63.62</v>
      </c>
      <c r="T200">
        <f>Source!Y97</f>
        <v>63.62</v>
      </c>
      <c r="U200">
        <f>ROUND((175/100)*ROUND((Source!AE97*Source!AV97)*Source!I97, 2), 2)</f>
        <v>7.53</v>
      </c>
      <c r="V200">
        <f>ROUND((108/100)*ROUND(Source!CS97*Source!I97, 2), 2)</f>
        <v>4.6399999999999997</v>
      </c>
    </row>
    <row r="201" spans="1:22" ht="14.25" x14ac:dyDescent="0.2">
      <c r="A201" s="20"/>
      <c r="B201" s="21"/>
      <c r="C201" s="21" t="s">
        <v>423</v>
      </c>
      <c r="D201" s="22"/>
      <c r="E201" s="9"/>
      <c r="F201" s="24">
        <f>Source!AO97</f>
        <v>549.36</v>
      </c>
      <c r="G201" s="23" t="str">
        <f>Source!DG97</f>
        <v/>
      </c>
      <c r="H201" s="9">
        <f>Source!AV97</f>
        <v>1</v>
      </c>
      <c r="I201" s="9">
        <f>IF(Source!BA97&lt;&gt; 0, Source!BA97, 1)</f>
        <v>1</v>
      </c>
      <c r="J201" s="25">
        <f>Source!S97</f>
        <v>636.16</v>
      </c>
      <c r="K201" s="25"/>
    </row>
    <row r="202" spans="1:22" ht="14.25" x14ac:dyDescent="0.2">
      <c r="A202" s="20"/>
      <c r="B202" s="21"/>
      <c r="C202" s="21" t="s">
        <v>429</v>
      </c>
      <c r="D202" s="22"/>
      <c r="E202" s="9"/>
      <c r="F202" s="24">
        <f>Source!AM97</f>
        <v>6.84</v>
      </c>
      <c r="G202" s="23" t="str">
        <f>Source!DE97</f>
        <v/>
      </c>
      <c r="H202" s="9">
        <f>Source!AV97</f>
        <v>1</v>
      </c>
      <c r="I202" s="9">
        <f>IF(Source!BB97&lt;&gt; 0, Source!BB97, 1)</f>
        <v>1</v>
      </c>
      <c r="J202" s="25">
        <f>Source!Q97</f>
        <v>7.92</v>
      </c>
      <c r="K202" s="25"/>
    </row>
    <row r="203" spans="1:22" ht="14.25" x14ac:dyDescent="0.2">
      <c r="A203" s="20"/>
      <c r="B203" s="21"/>
      <c r="C203" s="21" t="s">
        <v>430</v>
      </c>
      <c r="D203" s="22"/>
      <c r="E203" s="9"/>
      <c r="F203" s="24">
        <f>Source!AN97</f>
        <v>3.71</v>
      </c>
      <c r="G203" s="23" t="str">
        <f>Source!DF97</f>
        <v/>
      </c>
      <c r="H203" s="9">
        <f>Source!AV97</f>
        <v>1</v>
      </c>
      <c r="I203" s="9">
        <f>IF(Source!BS97&lt;&gt; 0, Source!BS97, 1)</f>
        <v>1</v>
      </c>
      <c r="J203" s="30">
        <f>Source!R97</f>
        <v>4.3</v>
      </c>
      <c r="K203" s="25"/>
    </row>
    <row r="204" spans="1:22" ht="14.25" x14ac:dyDescent="0.2">
      <c r="A204" s="20"/>
      <c r="B204" s="21"/>
      <c r="C204" s="21" t="s">
        <v>431</v>
      </c>
      <c r="D204" s="22"/>
      <c r="E204" s="9"/>
      <c r="F204" s="24">
        <f>Source!AL97</f>
        <v>1041.4100000000001</v>
      </c>
      <c r="G204" s="23" t="str">
        <f>Source!DD97</f>
        <v/>
      </c>
      <c r="H204" s="9">
        <f>Source!AW97</f>
        <v>1</v>
      </c>
      <c r="I204" s="9">
        <f>IF(Source!BC97&lt;&gt; 0, Source!BC97, 1)</f>
        <v>1</v>
      </c>
      <c r="J204" s="25">
        <f>Source!P97</f>
        <v>1205.95</v>
      </c>
      <c r="K204" s="25"/>
    </row>
    <row r="205" spans="1:22" ht="14.25" x14ac:dyDescent="0.2">
      <c r="A205" s="20"/>
      <c r="B205" s="21"/>
      <c r="C205" s="21" t="s">
        <v>424</v>
      </c>
      <c r="D205" s="22" t="s">
        <v>425</v>
      </c>
      <c r="E205" s="9">
        <f>Source!AT97</f>
        <v>70</v>
      </c>
      <c r="F205" s="24"/>
      <c r="G205" s="23"/>
      <c r="H205" s="9"/>
      <c r="I205" s="9"/>
      <c r="J205" s="25">
        <f>SUM(R200:R204)</f>
        <v>445.31</v>
      </c>
      <c r="K205" s="25"/>
    </row>
    <row r="206" spans="1:22" ht="14.25" x14ac:dyDescent="0.2">
      <c r="A206" s="20"/>
      <c r="B206" s="21"/>
      <c r="C206" s="21" t="s">
        <v>426</v>
      </c>
      <c r="D206" s="22" t="s">
        <v>425</v>
      </c>
      <c r="E206" s="9">
        <f>Source!AU97</f>
        <v>10</v>
      </c>
      <c r="F206" s="24"/>
      <c r="G206" s="23"/>
      <c r="H206" s="9"/>
      <c r="I206" s="9"/>
      <c r="J206" s="25">
        <f>SUM(T200:T205)</f>
        <v>63.62</v>
      </c>
      <c r="K206" s="25"/>
    </row>
    <row r="207" spans="1:22" ht="14.25" x14ac:dyDescent="0.2">
      <c r="A207" s="20"/>
      <c r="B207" s="21"/>
      <c r="C207" s="21" t="s">
        <v>432</v>
      </c>
      <c r="D207" s="22" t="s">
        <v>425</v>
      </c>
      <c r="E207" s="9">
        <f>108</f>
        <v>108</v>
      </c>
      <c r="F207" s="24"/>
      <c r="G207" s="23"/>
      <c r="H207" s="9"/>
      <c r="I207" s="9"/>
      <c r="J207" s="25">
        <f>SUM(V200:V206)</f>
        <v>4.6399999999999997</v>
      </c>
      <c r="K207" s="25"/>
    </row>
    <row r="208" spans="1:22" ht="14.25" x14ac:dyDescent="0.2">
      <c r="A208" s="20"/>
      <c r="B208" s="21"/>
      <c r="C208" s="21" t="s">
        <v>427</v>
      </c>
      <c r="D208" s="22" t="s">
        <v>428</v>
      </c>
      <c r="E208" s="9">
        <f>Source!AQ97</f>
        <v>2.4500000000000002</v>
      </c>
      <c r="F208" s="24"/>
      <c r="G208" s="23" t="str">
        <f>Source!DI97</f>
        <v/>
      </c>
      <c r="H208" s="9">
        <f>Source!AV97</f>
        <v>1</v>
      </c>
      <c r="I208" s="9"/>
      <c r="J208" s="25"/>
      <c r="K208" s="25">
        <f>Source!U97</f>
        <v>2.8371</v>
      </c>
    </row>
    <row r="209" spans="1:22" ht="15" x14ac:dyDescent="0.25">
      <c r="A209" s="28"/>
      <c r="B209" s="28"/>
      <c r="C209" s="28"/>
      <c r="D209" s="28"/>
      <c r="E209" s="28"/>
      <c r="F209" s="28"/>
      <c r="G209" s="28"/>
      <c r="H209" s="28"/>
      <c r="I209" s="64">
        <f>J201+J202+J204+J205+J206+J207</f>
        <v>2363.6</v>
      </c>
      <c r="J209" s="64"/>
      <c r="K209" s="29">
        <f>IF(Source!I97&lt;&gt;0, ROUND(I209/Source!I97, 2), 0)</f>
        <v>2041.11</v>
      </c>
      <c r="P209" s="26">
        <f>I209</f>
        <v>2363.6</v>
      </c>
    </row>
    <row r="211" spans="1:22" ht="15" x14ac:dyDescent="0.25">
      <c r="A211" s="66" t="str">
        <f>CONCATENATE("Итого по разделу: ",IF(Source!G99&lt;&gt;"Новый раздел", Source!G99, ""))</f>
        <v>Итого по разделу: Установка ограждения - Участок 2</v>
      </c>
      <c r="B211" s="66"/>
      <c r="C211" s="66"/>
      <c r="D211" s="66"/>
      <c r="E211" s="66"/>
      <c r="F211" s="66"/>
      <c r="G211" s="66"/>
      <c r="H211" s="66"/>
      <c r="I211" s="67">
        <f>SUM(P124:P210)</f>
        <v>430091.60000000003</v>
      </c>
      <c r="J211" s="68"/>
      <c r="K211" s="32"/>
    </row>
    <row r="214" spans="1:22" ht="16.5" x14ac:dyDescent="0.25">
      <c r="A214" s="65" t="str">
        <f>CONCATENATE("Раздел: ",IF(Source!G128&lt;&gt;"Новый раздел", Source!G128, ""))</f>
        <v>Раздел: Установка ограждения - Участок 3</v>
      </c>
      <c r="B214" s="65"/>
      <c r="C214" s="65"/>
      <c r="D214" s="65"/>
      <c r="E214" s="65"/>
      <c r="F214" s="65"/>
      <c r="G214" s="65"/>
      <c r="H214" s="65"/>
      <c r="I214" s="65"/>
      <c r="J214" s="65"/>
      <c r="K214" s="65"/>
    </row>
    <row r="215" spans="1:22" ht="184.5" x14ac:dyDescent="0.2">
      <c r="A215" s="20" t="str">
        <f>Source!E132</f>
        <v>21</v>
      </c>
      <c r="B215" s="21" t="s">
        <v>435</v>
      </c>
      <c r="C215" s="21" t="s">
        <v>436</v>
      </c>
      <c r="D215" s="22" t="str">
        <f>Source!H132</f>
        <v>м2</v>
      </c>
      <c r="E215" s="9">
        <f>Source!I132</f>
        <v>73.099999999999994</v>
      </c>
      <c r="F215" s="24"/>
      <c r="G215" s="23"/>
      <c r="H215" s="9"/>
      <c r="I215" s="9"/>
      <c r="J215" s="25"/>
      <c r="K215" s="25"/>
      <c r="Q215">
        <f>ROUND((Source!BZ132/100)*ROUND((Source!AF132*Source!AV132)*Source!I132, 2), 2)</f>
        <v>8137.05</v>
      </c>
      <c r="R215">
        <f>Source!X132</f>
        <v>8137.05</v>
      </c>
      <c r="S215">
        <f>ROUND((Source!CA132/100)*ROUND((Source!AF132*Source!AV132)*Source!I132, 2), 2)</f>
        <v>1162.44</v>
      </c>
      <c r="T215">
        <f>Source!Y132</f>
        <v>1162.44</v>
      </c>
      <c r="U215">
        <f>ROUND((175/100)*ROUND((Source!AE132*Source!AV132)*Source!I132, 2), 2)</f>
        <v>7572.65</v>
      </c>
      <c r="V215">
        <f>ROUND((108/100)*ROUND(Source!CS132*Source!I132, 2), 2)</f>
        <v>4673.41</v>
      </c>
    </row>
    <row r="216" spans="1:22" ht="14.25" x14ac:dyDescent="0.2">
      <c r="A216" s="20"/>
      <c r="B216" s="21"/>
      <c r="C216" s="21" t="s">
        <v>423</v>
      </c>
      <c r="D216" s="22"/>
      <c r="E216" s="9"/>
      <c r="F216" s="24">
        <f>Source!AO132</f>
        <v>795.1</v>
      </c>
      <c r="G216" s="23" t="str">
        <f>Source!DG132</f>
        <v>)*0,2</v>
      </c>
      <c r="H216" s="9">
        <f>Source!AV132</f>
        <v>1</v>
      </c>
      <c r="I216" s="9">
        <f>IF(Source!BA132&lt;&gt; 0, Source!BA132, 1)</f>
        <v>1</v>
      </c>
      <c r="J216" s="25">
        <f>Source!S132</f>
        <v>11624.36</v>
      </c>
      <c r="K216" s="25"/>
    </row>
    <row r="217" spans="1:22" ht="14.25" x14ac:dyDescent="0.2">
      <c r="A217" s="20"/>
      <c r="B217" s="21"/>
      <c r="C217" s="21" t="s">
        <v>429</v>
      </c>
      <c r="D217" s="22"/>
      <c r="E217" s="9"/>
      <c r="F217" s="24">
        <f>Source!AM132</f>
        <v>464.27</v>
      </c>
      <c r="G217" s="23" t="str">
        <f>Source!DE132</f>
        <v>)*0,2</v>
      </c>
      <c r="H217" s="9">
        <f>Source!AV132</f>
        <v>1</v>
      </c>
      <c r="I217" s="9">
        <f>IF(Source!BB132&lt;&gt; 0, Source!BB132, 1)</f>
        <v>1</v>
      </c>
      <c r="J217" s="25">
        <f>Source!Q132</f>
        <v>6787.63</v>
      </c>
      <c r="K217" s="25"/>
    </row>
    <row r="218" spans="1:22" ht="14.25" x14ac:dyDescent="0.2">
      <c r="A218" s="20"/>
      <c r="B218" s="21"/>
      <c r="C218" s="21" t="s">
        <v>430</v>
      </c>
      <c r="D218" s="22"/>
      <c r="E218" s="9"/>
      <c r="F218" s="24">
        <f>Source!AN132</f>
        <v>295.98</v>
      </c>
      <c r="G218" s="23" t="str">
        <f>Source!DF132</f>
        <v>)*0,2</v>
      </c>
      <c r="H218" s="9">
        <f>Source!AV132</f>
        <v>1</v>
      </c>
      <c r="I218" s="9">
        <f>IF(Source!BS132&lt;&gt; 0, Source!BS132, 1)</f>
        <v>1</v>
      </c>
      <c r="J218" s="30">
        <f>Source!R132</f>
        <v>4327.2299999999996</v>
      </c>
      <c r="K218" s="25"/>
    </row>
    <row r="219" spans="1:22" ht="14.25" x14ac:dyDescent="0.2">
      <c r="A219" s="20"/>
      <c r="B219" s="21"/>
      <c r="C219" s="21" t="s">
        <v>424</v>
      </c>
      <c r="D219" s="22" t="s">
        <v>425</v>
      </c>
      <c r="E219" s="9">
        <f>Source!AT132</f>
        <v>70</v>
      </c>
      <c r="F219" s="24"/>
      <c r="G219" s="23"/>
      <c r="H219" s="9"/>
      <c r="I219" s="9"/>
      <c r="J219" s="25">
        <f>SUM(R215:R218)</f>
        <v>8137.05</v>
      </c>
      <c r="K219" s="25"/>
    </row>
    <row r="220" spans="1:22" ht="14.25" x14ac:dyDescent="0.2">
      <c r="A220" s="20"/>
      <c r="B220" s="21"/>
      <c r="C220" s="21" t="s">
        <v>426</v>
      </c>
      <c r="D220" s="22" t="s">
        <v>425</v>
      </c>
      <c r="E220" s="9">
        <f>Source!AU132</f>
        <v>10</v>
      </c>
      <c r="F220" s="24"/>
      <c r="G220" s="23"/>
      <c r="H220" s="9"/>
      <c r="I220" s="9"/>
      <c r="J220" s="25">
        <f>SUM(T215:T219)</f>
        <v>1162.44</v>
      </c>
      <c r="K220" s="25"/>
    </row>
    <row r="221" spans="1:22" ht="14.25" x14ac:dyDescent="0.2">
      <c r="A221" s="20"/>
      <c r="B221" s="21"/>
      <c r="C221" s="21" t="s">
        <v>432</v>
      </c>
      <c r="D221" s="22" t="s">
        <v>425</v>
      </c>
      <c r="E221" s="9">
        <f>108</f>
        <v>108</v>
      </c>
      <c r="F221" s="24"/>
      <c r="G221" s="23"/>
      <c r="H221" s="9"/>
      <c r="I221" s="9"/>
      <c r="J221" s="25">
        <f>SUM(V215:V220)</f>
        <v>4673.41</v>
      </c>
      <c r="K221" s="25"/>
    </row>
    <row r="222" spans="1:22" ht="14.25" x14ac:dyDescent="0.2">
      <c r="A222" s="20"/>
      <c r="B222" s="21"/>
      <c r="C222" s="21" t="s">
        <v>427</v>
      </c>
      <c r="D222" s="22" t="s">
        <v>428</v>
      </c>
      <c r="E222" s="9">
        <f>Source!AQ132</f>
        <v>2.97</v>
      </c>
      <c r="F222" s="24"/>
      <c r="G222" s="23" t="str">
        <f>Source!DI132</f>
        <v>)*0,2</v>
      </c>
      <c r="H222" s="9">
        <f>Source!AV132</f>
        <v>1</v>
      </c>
      <c r="I222" s="9"/>
      <c r="J222" s="25"/>
      <c r="K222" s="25">
        <f>Source!U132</f>
        <v>43.421400000000006</v>
      </c>
    </row>
    <row r="223" spans="1:22" ht="15" x14ac:dyDescent="0.25">
      <c r="A223" s="28"/>
      <c r="B223" s="28"/>
      <c r="C223" s="28"/>
      <c r="D223" s="28"/>
      <c r="E223" s="28"/>
      <c r="F223" s="28"/>
      <c r="G223" s="28"/>
      <c r="H223" s="28"/>
      <c r="I223" s="64">
        <f>J216+J217+J219+J220+J221</f>
        <v>32384.89</v>
      </c>
      <c r="J223" s="64"/>
      <c r="K223" s="29">
        <f>IF(Source!I132&lt;&gt;0, ROUND(I223/Source!I132, 2), 0)</f>
        <v>443.02</v>
      </c>
      <c r="P223" s="26">
        <f>I223</f>
        <v>32384.89</v>
      </c>
    </row>
    <row r="224" spans="1:22" ht="28.5" x14ac:dyDescent="0.2">
      <c r="A224" s="20" t="str">
        <f>Source!E133</f>
        <v>22</v>
      </c>
      <c r="B224" s="21" t="str">
        <f>Source!F133</f>
        <v>1.2-3104-1-2/1</v>
      </c>
      <c r="C224" s="21" t="str">
        <f>Source!G133</f>
        <v>Разборка фундаментов бетонных</v>
      </c>
      <c r="D224" s="22" t="str">
        <f>Source!H133</f>
        <v>м3</v>
      </c>
      <c r="E224" s="9">
        <f>Source!I133</f>
        <v>0.9</v>
      </c>
      <c r="F224" s="24"/>
      <c r="G224" s="23"/>
      <c r="H224" s="9"/>
      <c r="I224" s="9"/>
      <c r="J224" s="25"/>
      <c r="K224" s="25"/>
      <c r="Q224">
        <f>ROUND((Source!BZ133/100)*ROUND((Source!AF133*Source!AV133)*Source!I133, 2), 2)</f>
        <v>1191.24</v>
      </c>
      <c r="R224">
        <f>Source!X133</f>
        <v>1191.24</v>
      </c>
      <c r="S224">
        <f>ROUND((Source!CA133/100)*ROUND((Source!AF133*Source!AV133)*Source!I133, 2), 2)</f>
        <v>170.18</v>
      </c>
      <c r="T224">
        <f>Source!Y133</f>
        <v>170.18</v>
      </c>
      <c r="U224">
        <f>ROUND((175/100)*ROUND((Source!AE133*Source!AV133)*Source!I133, 2), 2)</f>
        <v>1105.1099999999999</v>
      </c>
      <c r="V224">
        <f>ROUND((108/100)*ROUND(Source!CS133*Source!I133, 2), 2)</f>
        <v>682.01</v>
      </c>
    </row>
    <row r="225" spans="1:22" ht="14.25" x14ac:dyDescent="0.2">
      <c r="A225" s="20"/>
      <c r="B225" s="21"/>
      <c r="C225" s="21" t="s">
        <v>423</v>
      </c>
      <c r="D225" s="22"/>
      <c r="E225" s="9"/>
      <c r="F225" s="24">
        <f>Source!AO133</f>
        <v>1890.85</v>
      </c>
      <c r="G225" s="23" t="str">
        <f>Source!DG133</f>
        <v/>
      </c>
      <c r="H225" s="9">
        <f>Source!AV133</f>
        <v>1</v>
      </c>
      <c r="I225" s="9">
        <f>IF(Source!BA133&lt;&gt; 0, Source!BA133, 1)</f>
        <v>1</v>
      </c>
      <c r="J225" s="25">
        <f>Source!S133</f>
        <v>1701.77</v>
      </c>
      <c r="K225" s="25"/>
    </row>
    <row r="226" spans="1:22" ht="14.25" x14ac:dyDescent="0.2">
      <c r="A226" s="20"/>
      <c r="B226" s="21"/>
      <c r="C226" s="21" t="s">
        <v>429</v>
      </c>
      <c r="D226" s="22"/>
      <c r="E226" s="9"/>
      <c r="F226" s="24">
        <f>Source!AM133</f>
        <v>929.62</v>
      </c>
      <c r="G226" s="23" t="str">
        <f>Source!DE133</f>
        <v/>
      </c>
      <c r="H226" s="9">
        <f>Source!AV133</f>
        <v>1</v>
      </c>
      <c r="I226" s="9">
        <f>IF(Source!BB133&lt;&gt; 0, Source!BB133, 1)</f>
        <v>1</v>
      </c>
      <c r="J226" s="25">
        <f>Source!Q133</f>
        <v>836.66</v>
      </c>
      <c r="K226" s="25"/>
    </row>
    <row r="227" spans="1:22" ht="14.25" x14ac:dyDescent="0.2">
      <c r="A227" s="20"/>
      <c r="B227" s="21"/>
      <c r="C227" s="21" t="s">
        <v>430</v>
      </c>
      <c r="D227" s="22"/>
      <c r="E227" s="9"/>
      <c r="F227" s="24">
        <f>Source!AN133</f>
        <v>701.65</v>
      </c>
      <c r="G227" s="23" t="str">
        <f>Source!DF133</f>
        <v/>
      </c>
      <c r="H227" s="9">
        <f>Source!AV133</f>
        <v>1</v>
      </c>
      <c r="I227" s="9">
        <f>IF(Source!BS133&lt;&gt; 0, Source!BS133, 1)</f>
        <v>1</v>
      </c>
      <c r="J227" s="30">
        <f>Source!R133</f>
        <v>631.49</v>
      </c>
      <c r="K227" s="25"/>
    </row>
    <row r="228" spans="1:22" ht="14.25" x14ac:dyDescent="0.2">
      <c r="A228" s="20"/>
      <c r="B228" s="21"/>
      <c r="C228" s="21" t="s">
        <v>424</v>
      </c>
      <c r="D228" s="22" t="s">
        <v>425</v>
      </c>
      <c r="E228" s="9">
        <f>Source!AT133</f>
        <v>70</v>
      </c>
      <c r="F228" s="24"/>
      <c r="G228" s="23"/>
      <c r="H228" s="9"/>
      <c r="I228" s="9"/>
      <c r="J228" s="25">
        <f>SUM(R224:R227)</f>
        <v>1191.24</v>
      </c>
      <c r="K228" s="25"/>
    </row>
    <row r="229" spans="1:22" ht="14.25" x14ac:dyDescent="0.2">
      <c r="A229" s="20"/>
      <c r="B229" s="21"/>
      <c r="C229" s="21" t="s">
        <v>426</v>
      </c>
      <c r="D229" s="22" t="s">
        <v>425</v>
      </c>
      <c r="E229" s="9">
        <f>Source!AU133</f>
        <v>10</v>
      </c>
      <c r="F229" s="24"/>
      <c r="G229" s="23"/>
      <c r="H229" s="9"/>
      <c r="I229" s="9"/>
      <c r="J229" s="25">
        <f>SUM(T224:T228)</f>
        <v>170.18</v>
      </c>
      <c r="K229" s="25"/>
    </row>
    <row r="230" spans="1:22" ht="14.25" x14ac:dyDescent="0.2">
      <c r="A230" s="20"/>
      <c r="B230" s="21"/>
      <c r="C230" s="21" t="s">
        <v>432</v>
      </c>
      <c r="D230" s="22" t="s">
        <v>425</v>
      </c>
      <c r="E230" s="9">
        <f>108</f>
        <v>108</v>
      </c>
      <c r="F230" s="24"/>
      <c r="G230" s="23"/>
      <c r="H230" s="9"/>
      <c r="I230" s="9"/>
      <c r="J230" s="25">
        <f>SUM(V224:V229)</f>
        <v>682.01</v>
      </c>
      <c r="K230" s="25"/>
    </row>
    <row r="231" spans="1:22" ht="14.25" x14ac:dyDescent="0.2">
      <c r="A231" s="20"/>
      <c r="B231" s="21"/>
      <c r="C231" s="21" t="s">
        <v>427</v>
      </c>
      <c r="D231" s="22" t="s">
        <v>428</v>
      </c>
      <c r="E231" s="9">
        <f>Source!AQ133</f>
        <v>8.27</v>
      </c>
      <c r="F231" s="24"/>
      <c r="G231" s="23" t="str">
        <f>Source!DI133</f>
        <v/>
      </c>
      <c r="H231" s="9">
        <f>Source!AV133</f>
        <v>1</v>
      </c>
      <c r="I231" s="9"/>
      <c r="J231" s="25"/>
      <c r="K231" s="25">
        <f>Source!U133</f>
        <v>7.4429999999999996</v>
      </c>
    </row>
    <row r="232" spans="1:22" ht="15" x14ac:dyDescent="0.25">
      <c r="A232" s="28"/>
      <c r="B232" s="28"/>
      <c r="C232" s="28"/>
      <c r="D232" s="28"/>
      <c r="E232" s="28"/>
      <c r="F232" s="28"/>
      <c r="G232" s="28"/>
      <c r="H232" s="28"/>
      <c r="I232" s="64">
        <f>J225+J226+J228+J229+J230</f>
        <v>4581.8599999999997</v>
      </c>
      <c r="J232" s="64"/>
      <c r="K232" s="29">
        <f>IF(Source!I133&lt;&gt;0, ROUND(I232/Source!I133, 2), 0)</f>
        <v>5090.96</v>
      </c>
      <c r="P232" s="26">
        <f>I232</f>
        <v>4581.8599999999997</v>
      </c>
    </row>
    <row r="233" spans="1:22" ht="42.75" x14ac:dyDescent="0.2">
      <c r="A233" s="20" t="str">
        <f>Source!E134</f>
        <v>23</v>
      </c>
      <c r="B233" s="21" t="str">
        <f>Source!F134</f>
        <v>2.49-3201-14-1/1</v>
      </c>
      <c r="C233" s="21" t="str">
        <f>Source!G134</f>
        <v>Разработка грунта вручную в траншеях глубиной до 2 м без креплений с откосами, группа грунтов 1-3</v>
      </c>
      <c r="D233" s="22" t="str">
        <f>Source!H134</f>
        <v>100 м3</v>
      </c>
      <c r="E233" s="9">
        <f>Source!I134</f>
        <v>2.3E-2</v>
      </c>
      <c r="F233" s="24"/>
      <c r="G233" s="23"/>
      <c r="H233" s="9"/>
      <c r="I233" s="9"/>
      <c r="J233" s="25"/>
      <c r="K233" s="25"/>
      <c r="Q233">
        <f>ROUND((Source!BZ134/100)*ROUND((Source!AF134*Source!AV134)*Source!I134, 2), 2)</f>
        <v>675.42</v>
      </c>
      <c r="R233">
        <f>Source!X134</f>
        <v>675.42</v>
      </c>
      <c r="S233">
        <f>ROUND((Source!CA134/100)*ROUND((Source!AF134*Source!AV134)*Source!I134, 2), 2)</f>
        <v>96.49</v>
      </c>
      <c r="T233">
        <f>Source!Y134</f>
        <v>96.49</v>
      </c>
      <c r="U233">
        <f>ROUND((175/100)*ROUND((Source!AE134*Source!AV134)*Source!I134, 2), 2)</f>
        <v>0</v>
      </c>
      <c r="V233">
        <f>ROUND((108/100)*ROUND(Source!CS134*Source!I134, 2), 2)</f>
        <v>0</v>
      </c>
    </row>
    <row r="234" spans="1:22" ht="14.25" x14ac:dyDescent="0.2">
      <c r="A234" s="20"/>
      <c r="B234" s="21"/>
      <c r="C234" s="21" t="s">
        <v>423</v>
      </c>
      <c r="D234" s="22"/>
      <c r="E234" s="9"/>
      <c r="F234" s="24">
        <f>Source!AO134</f>
        <v>41951.1</v>
      </c>
      <c r="G234" s="23" t="str">
        <f>Source!DG134</f>
        <v/>
      </c>
      <c r="H234" s="9">
        <f>Source!AV134</f>
        <v>1</v>
      </c>
      <c r="I234" s="9">
        <f>IF(Source!BA134&lt;&gt; 0, Source!BA134, 1)</f>
        <v>1</v>
      </c>
      <c r="J234" s="25">
        <f>Source!S134</f>
        <v>964.88</v>
      </c>
      <c r="K234" s="25"/>
    </row>
    <row r="235" spans="1:22" ht="14.25" x14ac:dyDescent="0.2">
      <c r="A235" s="20"/>
      <c r="B235" s="21"/>
      <c r="C235" s="21" t="s">
        <v>424</v>
      </c>
      <c r="D235" s="22" t="s">
        <v>425</v>
      </c>
      <c r="E235" s="9">
        <f>Source!AT134</f>
        <v>70</v>
      </c>
      <c r="F235" s="24"/>
      <c r="G235" s="23"/>
      <c r="H235" s="9"/>
      <c r="I235" s="9"/>
      <c r="J235" s="25">
        <f>SUM(R233:R234)</f>
        <v>675.42</v>
      </c>
      <c r="K235" s="25"/>
    </row>
    <row r="236" spans="1:22" ht="14.25" x14ac:dyDescent="0.2">
      <c r="A236" s="20"/>
      <c r="B236" s="21"/>
      <c r="C236" s="21" t="s">
        <v>426</v>
      </c>
      <c r="D236" s="22" t="s">
        <v>425</v>
      </c>
      <c r="E236" s="9">
        <f>Source!AU134</f>
        <v>10</v>
      </c>
      <c r="F236" s="24"/>
      <c r="G236" s="23"/>
      <c r="H236" s="9"/>
      <c r="I236" s="9"/>
      <c r="J236" s="25">
        <f>SUM(T233:T235)</f>
        <v>96.49</v>
      </c>
      <c r="K236" s="25"/>
    </row>
    <row r="237" spans="1:22" ht="14.25" x14ac:dyDescent="0.2">
      <c r="A237" s="20"/>
      <c r="B237" s="21"/>
      <c r="C237" s="21" t="s">
        <v>427</v>
      </c>
      <c r="D237" s="22" t="s">
        <v>428</v>
      </c>
      <c r="E237" s="9">
        <f>Source!AQ134</f>
        <v>221.6</v>
      </c>
      <c r="F237" s="24"/>
      <c r="G237" s="23" t="str">
        <f>Source!DI134</f>
        <v/>
      </c>
      <c r="H237" s="9">
        <f>Source!AV134</f>
        <v>1</v>
      </c>
      <c r="I237" s="9"/>
      <c r="J237" s="25"/>
      <c r="K237" s="25">
        <f>Source!U134</f>
        <v>5.0968</v>
      </c>
    </row>
    <row r="238" spans="1:22" ht="15" x14ac:dyDescent="0.25">
      <c r="A238" s="28"/>
      <c r="B238" s="28"/>
      <c r="C238" s="28"/>
      <c r="D238" s="28"/>
      <c r="E238" s="28"/>
      <c r="F238" s="28"/>
      <c r="G238" s="28"/>
      <c r="H238" s="28"/>
      <c r="I238" s="64">
        <f>J234+J235+J236</f>
        <v>1736.79</v>
      </c>
      <c r="J238" s="64"/>
      <c r="K238" s="29">
        <f>IF(Source!I134&lt;&gt;0, ROUND(I238/Source!I134, 2), 0)</f>
        <v>75512.61</v>
      </c>
      <c r="P238" s="26">
        <f>I238</f>
        <v>1736.79</v>
      </c>
    </row>
    <row r="239" spans="1:22" ht="28.5" x14ac:dyDescent="0.2">
      <c r="A239" s="20" t="str">
        <f>Source!E135</f>
        <v>24</v>
      </c>
      <c r="B239" s="21" t="str">
        <f>Source!F135</f>
        <v>1.1-3303-3-1/1</v>
      </c>
      <c r="C239" s="21" t="str">
        <f>Source!G135</f>
        <v>Засыпка вручную траншей, пазух котлованов и ям группа грунтов 1-3</v>
      </c>
      <c r="D239" s="22" t="str">
        <f>Source!H135</f>
        <v>100 м3</v>
      </c>
      <c r="E239" s="9">
        <f>Source!I135</f>
        <v>8.9999999999999993E-3</v>
      </c>
      <c r="F239" s="24"/>
      <c r="G239" s="23"/>
      <c r="H239" s="9"/>
      <c r="I239" s="9"/>
      <c r="J239" s="25"/>
      <c r="K239" s="25"/>
      <c r="Q239">
        <f>ROUND((Source!BZ135/100)*ROUND((Source!AF135*Source!AV135)*Source!I135, 2), 2)</f>
        <v>117.57</v>
      </c>
      <c r="R239">
        <f>Source!X135</f>
        <v>117.57</v>
      </c>
      <c r="S239">
        <f>ROUND((Source!CA135/100)*ROUND((Source!AF135*Source!AV135)*Source!I135, 2), 2)</f>
        <v>16.8</v>
      </c>
      <c r="T239">
        <f>Source!Y135</f>
        <v>16.8</v>
      </c>
      <c r="U239">
        <f>ROUND((175/100)*ROUND((Source!AE135*Source!AV135)*Source!I135, 2), 2)</f>
        <v>0</v>
      </c>
      <c r="V239">
        <f>ROUND((108/100)*ROUND(Source!CS135*Source!I135, 2), 2)</f>
        <v>0</v>
      </c>
    </row>
    <row r="240" spans="1:22" ht="14.25" x14ac:dyDescent="0.2">
      <c r="A240" s="20"/>
      <c r="B240" s="21"/>
      <c r="C240" s="21" t="s">
        <v>423</v>
      </c>
      <c r="D240" s="22"/>
      <c r="E240" s="9"/>
      <c r="F240" s="24">
        <f>Source!AO135</f>
        <v>18661.96</v>
      </c>
      <c r="G240" s="23" t="str">
        <f>Source!DG135</f>
        <v/>
      </c>
      <c r="H240" s="9">
        <f>Source!AV135</f>
        <v>1</v>
      </c>
      <c r="I240" s="9">
        <f>IF(Source!BA135&lt;&gt; 0, Source!BA135, 1)</f>
        <v>1</v>
      </c>
      <c r="J240" s="25">
        <f>Source!S135</f>
        <v>167.96</v>
      </c>
      <c r="K240" s="25"/>
    </row>
    <row r="241" spans="1:22" ht="14.25" x14ac:dyDescent="0.2">
      <c r="A241" s="20"/>
      <c r="B241" s="21"/>
      <c r="C241" s="21" t="s">
        <v>424</v>
      </c>
      <c r="D241" s="22" t="s">
        <v>425</v>
      </c>
      <c r="E241" s="9">
        <f>Source!AT135</f>
        <v>70</v>
      </c>
      <c r="F241" s="24"/>
      <c r="G241" s="23"/>
      <c r="H241" s="9"/>
      <c r="I241" s="9"/>
      <c r="J241" s="25">
        <f>SUM(R239:R240)</f>
        <v>117.57</v>
      </c>
      <c r="K241" s="25"/>
    </row>
    <row r="242" spans="1:22" ht="14.25" x14ac:dyDescent="0.2">
      <c r="A242" s="20"/>
      <c r="B242" s="21"/>
      <c r="C242" s="21" t="s">
        <v>426</v>
      </c>
      <c r="D242" s="22" t="s">
        <v>425</v>
      </c>
      <c r="E242" s="9">
        <f>Source!AU135</f>
        <v>10</v>
      </c>
      <c r="F242" s="24"/>
      <c r="G242" s="23"/>
      <c r="H242" s="9"/>
      <c r="I242" s="9"/>
      <c r="J242" s="25">
        <f>SUM(T239:T241)</f>
        <v>16.8</v>
      </c>
      <c r="K242" s="25"/>
    </row>
    <row r="243" spans="1:22" ht="14.25" x14ac:dyDescent="0.2">
      <c r="A243" s="20"/>
      <c r="B243" s="21"/>
      <c r="C243" s="21" t="s">
        <v>427</v>
      </c>
      <c r="D243" s="22" t="s">
        <v>428</v>
      </c>
      <c r="E243" s="9">
        <f>Source!AQ135</f>
        <v>123.1</v>
      </c>
      <c r="F243" s="24"/>
      <c r="G243" s="23" t="str">
        <f>Source!DI135</f>
        <v/>
      </c>
      <c r="H243" s="9">
        <f>Source!AV135</f>
        <v>1</v>
      </c>
      <c r="I243" s="9"/>
      <c r="J243" s="25"/>
      <c r="K243" s="25">
        <f>Source!U135</f>
        <v>1.1078999999999999</v>
      </c>
    </row>
    <row r="244" spans="1:22" ht="15" x14ac:dyDescent="0.25">
      <c r="A244" s="28"/>
      <c r="B244" s="28"/>
      <c r="C244" s="28"/>
      <c r="D244" s="28"/>
      <c r="E244" s="28"/>
      <c r="F244" s="28"/>
      <c r="G244" s="28"/>
      <c r="H244" s="28"/>
      <c r="I244" s="64">
        <f>J240+J241+J242</f>
        <v>302.33</v>
      </c>
      <c r="J244" s="64"/>
      <c r="K244" s="29">
        <f>IF(Source!I135&lt;&gt;0, ROUND(I244/Source!I135, 2), 0)</f>
        <v>33592.22</v>
      </c>
      <c r="P244" s="26">
        <f>I244</f>
        <v>302.33</v>
      </c>
    </row>
    <row r="245" spans="1:22" ht="28.5" x14ac:dyDescent="0.2">
      <c r="A245" s="20" t="str">
        <f>Source!E136</f>
        <v>25</v>
      </c>
      <c r="B245" s="21" t="str">
        <f>Source!F136</f>
        <v>1.1-3101-6-1/1</v>
      </c>
      <c r="C245" s="21" t="str">
        <f>Source!G136</f>
        <v>Погрузка грунта вручную в автомобили-самосвалы с выгрузкой</v>
      </c>
      <c r="D245" s="22" t="str">
        <f>Source!H136</f>
        <v>100 м3</v>
      </c>
      <c r="E245" s="9">
        <f>Source!I136</f>
        <v>1.4E-2</v>
      </c>
      <c r="F245" s="24"/>
      <c r="G245" s="23"/>
      <c r="H245" s="9"/>
      <c r="I245" s="9"/>
      <c r="J245" s="25"/>
      <c r="K245" s="25"/>
      <c r="Q245">
        <f>ROUND((Source!BZ136/100)*ROUND((Source!AF136*Source!AV136)*Source!I136, 2), 2)</f>
        <v>109.07</v>
      </c>
      <c r="R245">
        <f>Source!X136</f>
        <v>109.07</v>
      </c>
      <c r="S245">
        <f>ROUND((Source!CA136/100)*ROUND((Source!AF136*Source!AV136)*Source!I136, 2), 2)</f>
        <v>15.58</v>
      </c>
      <c r="T245">
        <f>Source!Y136</f>
        <v>15.58</v>
      </c>
      <c r="U245">
        <f>ROUND((175/100)*ROUND((Source!AE136*Source!AV136)*Source!I136, 2), 2)</f>
        <v>0</v>
      </c>
      <c r="V245">
        <f>ROUND((108/100)*ROUND(Source!CS136*Source!I136, 2), 2)</f>
        <v>0</v>
      </c>
    </row>
    <row r="246" spans="1:22" ht="14.25" x14ac:dyDescent="0.2">
      <c r="A246" s="20"/>
      <c r="B246" s="21"/>
      <c r="C246" s="21" t="s">
        <v>423</v>
      </c>
      <c r="D246" s="22"/>
      <c r="E246" s="9"/>
      <c r="F246" s="24">
        <f>Source!AO136</f>
        <v>11130.3</v>
      </c>
      <c r="G246" s="23" t="str">
        <f>Source!DG136</f>
        <v/>
      </c>
      <c r="H246" s="9">
        <f>Source!AV136</f>
        <v>1</v>
      </c>
      <c r="I246" s="9">
        <f>IF(Source!BA136&lt;&gt; 0, Source!BA136, 1)</f>
        <v>1</v>
      </c>
      <c r="J246" s="25">
        <f>Source!S136</f>
        <v>155.82</v>
      </c>
      <c r="K246" s="25"/>
    </row>
    <row r="247" spans="1:22" ht="14.25" x14ac:dyDescent="0.2">
      <c r="A247" s="20"/>
      <c r="B247" s="21"/>
      <c r="C247" s="21" t="s">
        <v>424</v>
      </c>
      <c r="D247" s="22" t="s">
        <v>425</v>
      </c>
      <c r="E247" s="9">
        <f>Source!AT136</f>
        <v>70</v>
      </c>
      <c r="F247" s="24"/>
      <c r="G247" s="23"/>
      <c r="H247" s="9"/>
      <c r="I247" s="9"/>
      <c r="J247" s="25">
        <f>SUM(R245:R246)</f>
        <v>109.07</v>
      </c>
      <c r="K247" s="25"/>
    </row>
    <row r="248" spans="1:22" ht="14.25" x14ac:dyDescent="0.2">
      <c r="A248" s="20"/>
      <c r="B248" s="21"/>
      <c r="C248" s="21" t="s">
        <v>426</v>
      </c>
      <c r="D248" s="22" t="s">
        <v>425</v>
      </c>
      <c r="E248" s="9">
        <f>Source!AU136</f>
        <v>10</v>
      </c>
      <c r="F248" s="24"/>
      <c r="G248" s="23"/>
      <c r="H248" s="9"/>
      <c r="I248" s="9"/>
      <c r="J248" s="25">
        <f>SUM(T245:T247)</f>
        <v>15.58</v>
      </c>
      <c r="K248" s="25"/>
    </row>
    <row r="249" spans="1:22" ht="14.25" x14ac:dyDescent="0.2">
      <c r="A249" s="20"/>
      <c r="B249" s="21"/>
      <c r="C249" s="21" t="s">
        <v>427</v>
      </c>
      <c r="D249" s="22" t="s">
        <v>428</v>
      </c>
      <c r="E249" s="9">
        <f>Source!AQ136</f>
        <v>83</v>
      </c>
      <c r="F249" s="24"/>
      <c r="G249" s="23" t="str">
        <f>Source!DI136</f>
        <v/>
      </c>
      <c r="H249" s="9">
        <f>Source!AV136</f>
        <v>1</v>
      </c>
      <c r="I249" s="9"/>
      <c r="J249" s="25"/>
      <c r="K249" s="25">
        <f>Source!U136</f>
        <v>1.1619999999999999</v>
      </c>
    </row>
    <row r="250" spans="1:22" ht="15" x14ac:dyDescent="0.25">
      <c r="A250" s="28"/>
      <c r="B250" s="28"/>
      <c r="C250" s="28"/>
      <c r="D250" s="28"/>
      <c r="E250" s="28"/>
      <c r="F250" s="28"/>
      <c r="G250" s="28"/>
      <c r="H250" s="28"/>
      <c r="I250" s="64">
        <f>J246+J247+J248</f>
        <v>280.46999999999997</v>
      </c>
      <c r="J250" s="64"/>
      <c r="K250" s="29">
        <f>IF(Source!I136&lt;&gt;0, ROUND(I250/Source!I136, 2), 0)</f>
        <v>20033.57</v>
      </c>
      <c r="P250" s="26">
        <f>I250</f>
        <v>280.46999999999997</v>
      </c>
    </row>
    <row r="251" spans="1:22" ht="42.75" x14ac:dyDescent="0.2">
      <c r="A251" s="20" t="str">
        <f>Source!E137</f>
        <v>26</v>
      </c>
      <c r="B251" s="21" t="str">
        <f>Source!F137</f>
        <v>2.49-3401-1-1/1</v>
      </c>
      <c r="C251" s="21" t="str">
        <f>Source!G137</f>
        <v>Перевозка грунта автосамосвалами грузоподъемностью до 10 т на расстояние 1 км</v>
      </c>
      <c r="D251" s="22" t="str">
        <f>Source!H137</f>
        <v>м3</v>
      </c>
      <c r="E251" s="9">
        <f>Source!I137</f>
        <v>1.4</v>
      </c>
      <c r="F251" s="24"/>
      <c r="G251" s="23"/>
      <c r="H251" s="9"/>
      <c r="I251" s="9"/>
      <c r="J251" s="25"/>
      <c r="K251" s="25"/>
      <c r="Q251">
        <f>ROUND((Source!BZ137/100)*ROUND((Source!AF137*Source!AV137)*Source!I137, 2), 2)</f>
        <v>0</v>
      </c>
      <c r="R251">
        <f>Source!X137</f>
        <v>0</v>
      </c>
      <c r="S251">
        <f>ROUND((Source!CA137/100)*ROUND((Source!AF137*Source!AV137)*Source!I137, 2), 2)</f>
        <v>0</v>
      </c>
      <c r="T251">
        <f>Source!Y137</f>
        <v>0</v>
      </c>
      <c r="U251">
        <f>ROUND((175/100)*ROUND((Source!AE137*Source!AV137)*Source!I137, 2), 2)</f>
        <v>62.86</v>
      </c>
      <c r="V251">
        <f>ROUND((108/100)*ROUND(Source!CS137*Source!I137, 2), 2)</f>
        <v>38.79</v>
      </c>
    </row>
    <row r="252" spans="1:22" ht="14.25" x14ac:dyDescent="0.2">
      <c r="A252" s="20"/>
      <c r="B252" s="21"/>
      <c r="C252" s="21" t="s">
        <v>429</v>
      </c>
      <c r="D252" s="22"/>
      <c r="E252" s="9"/>
      <c r="F252" s="24">
        <f>Source!AM137</f>
        <v>47.27</v>
      </c>
      <c r="G252" s="23" t="str">
        <f>Source!DE137</f>
        <v/>
      </c>
      <c r="H252" s="9">
        <f>Source!AV137</f>
        <v>1</v>
      </c>
      <c r="I252" s="9">
        <f>IF(Source!BB137&lt;&gt; 0, Source!BB137, 1)</f>
        <v>1</v>
      </c>
      <c r="J252" s="25">
        <f>Source!Q137</f>
        <v>66.180000000000007</v>
      </c>
      <c r="K252" s="25"/>
    </row>
    <row r="253" spans="1:22" ht="14.25" x14ac:dyDescent="0.2">
      <c r="A253" s="20"/>
      <c r="B253" s="21"/>
      <c r="C253" s="21" t="s">
        <v>430</v>
      </c>
      <c r="D253" s="22"/>
      <c r="E253" s="9"/>
      <c r="F253" s="24">
        <f>Source!AN137</f>
        <v>25.66</v>
      </c>
      <c r="G253" s="23" t="str">
        <f>Source!DF137</f>
        <v/>
      </c>
      <c r="H253" s="9">
        <f>Source!AV137</f>
        <v>1</v>
      </c>
      <c r="I253" s="9">
        <f>IF(Source!BS137&lt;&gt; 0, Source!BS137, 1)</f>
        <v>1</v>
      </c>
      <c r="J253" s="30">
        <f>Source!R137</f>
        <v>35.92</v>
      </c>
      <c r="K253" s="25"/>
    </row>
    <row r="254" spans="1:22" ht="15" x14ac:dyDescent="0.25">
      <c r="A254" s="28"/>
      <c r="B254" s="28"/>
      <c r="C254" s="28"/>
      <c r="D254" s="28"/>
      <c r="E254" s="28"/>
      <c r="F254" s="28"/>
      <c r="G254" s="28"/>
      <c r="H254" s="28"/>
      <c r="I254" s="64">
        <f>J252</f>
        <v>66.180000000000007</v>
      </c>
      <c r="J254" s="64"/>
      <c r="K254" s="29">
        <f>IF(Source!I137&lt;&gt;0, ROUND(I254/Source!I137, 2), 0)</f>
        <v>47.27</v>
      </c>
      <c r="P254" s="26">
        <f>I254</f>
        <v>66.180000000000007</v>
      </c>
    </row>
    <row r="255" spans="1:22" ht="57" x14ac:dyDescent="0.2">
      <c r="A255" s="20" t="str">
        <f>Source!E138</f>
        <v>27</v>
      </c>
      <c r="B255" s="21" t="str">
        <f>Source!F138</f>
        <v>2.49-3401-1-2/1</v>
      </c>
      <c r="C255" s="21" t="str">
        <f>Source!G138</f>
        <v>Перевозка грунта автосамосвалами грузоподъемностью до 10 т - добавляется на каждый последующий 1 км до 100 км (к поз. 49-3401-1-1)</v>
      </c>
      <c r="D255" s="22" t="str">
        <f>Source!H138</f>
        <v>м3</v>
      </c>
      <c r="E255" s="9">
        <f>Source!I138</f>
        <v>1.4</v>
      </c>
      <c r="F255" s="24"/>
      <c r="G255" s="23"/>
      <c r="H255" s="9"/>
      <c r="I255" s="9"/>
      <c r="J255" s="25"/>
      <c r="K255" s="25"/>
      <c r="Q255">
        <f>ROUND((Source!BZ138/100)*ROUND((Source!AF138*Source!AV138)*Source!I138, 2), 2)</f>
        <v>0</v>
      </c>
      <c r="R255">
        <f>Source!X138</f>
        <v>0</v>
      </c>
      <c r="S255">
        <f>ROUND((Source!CA138/100)*ROUND((Source!AF138*Source!AV138)*Source!I138, 2), 2)</f>
        <v>0</v>
      </c>
      <c r="T255">
        <f>Source!Y138</f>
        <v>0</v>
      </c>
      <c r="U255">
        <f>ROUND((175/100)*ROUND((Source!AE138*Source!AV138)*Source!I138, 2), 2)</f>
        <v>649.15</v>
      </c>
      <c r="V255">
        <f>ROUND((108/100)*ROUND(Source!CS138*Source!I138, 2), 2)</f>
        <v>400.62</v>
      </c>
    </row>
    <row r="256" spans="1:22" ht="14.25" x14ac:dyDescent="0.2">
      <c r="A256" s="20"/>
      <c r="B256" s="21"/>
      <c r="C256" s="21" t="s">
        <v>429</v>
      </c>
      <c r="D256" s="22"/>
      <c r="E256" s="9"/>
      <c r="F256" s="24">
        <f>Source!AM138</f>
        <v>15.25</v>
      </c>
      <c r="G256" s="23" t="str">
        <f>Source!DE138</f>
        <v>)*32</v>
      </c>
      <c r="H256" s="9">
        <f>Source!AV138</f>
        <v>1</v>
      </c>
      <c r="I256" s="9">
        <f>IF(Source!BB138&lt;&gt; 0, Source!BB138, 1)</f>
        <v>1</v>
      </c>
      <c r="J256" s="25">
        <f>Source!Q138</f>
        <v>683.2</v>
      </c>
      <c r="K256" s="25"/>
    </row>
    <row r="257" spans="1:22" ht="14.25" x14ac:dyDescent="0.2">
      <c r="A257" s="20"/>
      <c r="B257" s="21"/>
      <c r="C257" s="21" t="s">
        <v>430</v>
      </c>
      <c r="D257" s="22"/>
      <c r="E257" s="9"/>
      <c r="F257" s="24">
        <f>Source!AN138</f>
        <v>8.2799999999999994</v>
      </c>
      <c r="G257" s="23" t="str">
        <f>Source!DF138</f>
        <v>)*32</v>
      </c>
      <c r="H257" s="9">
        <f>Source!AV138</f>
        <v>1</v>
      </c>
      <c r="I257" s="9">
        <f>IF(Source!BS138&lt;&gt; 0, Source!BS138, 1)</f>
        <v>1</v>
      </c>
      <c r="J257" s="30">
        <f>Source!R138</f>
        <v>370.94</v>
      </c>
      <c r="K257" s="25"/>
    </row>
    <row r="258" spans="1:22" ht="15" x14ac:dyDescent="0.25">
      <c r="A258" s="28"/>
      <c r="B258" s="28"/>
      <c r="C258" s="28"/>
      <c r="D258" s="28"/>
      <c r="E258" s="28"/>
      <c r="F258" s="28"/>
      <c r="G258" s="28"/>
      <c r="H258" s="28"/>
      <c r="I258" s="64">
        <f>J256</f>
        <v>683.2</v>
      </c>
      <c r="J258" s="64"/>
      <c r="K258" s="29">
        <f>IF(Source!I138&lt;&gt;0, ROUND(I258/Source!I138, 2), 0)</f>
        <v>488</v>
      </c>
      <c r="P258" s="26">
        <f>I258</f>
        <v>683.2</v>
      </c>
    </row>
    <row r="259" spans="1:22" ht="57" x14ac:dyDescent="0.2">
      <c r="A259" s="20" t="str">
        <f>Source!E139</f>
        <v>28</v>
      </c>
      <c r="B259" s="21" t="str">
        <f>Source!F139</f>
        <v>5.3-5202-3-3/1</v>
      </c>
      <c r="C259" s="21" t="str">
        <f>Source!G139</f>
        <v>Устройство вручную набивных дорожек и площадок с добавлением щебня слоем 20 см (подушки под столбы)</v>
      </c>
      <c r="D259" s="22" t="str">
        <f>Source!H139</f>
        <v>м2</v>
      </c>
      <c r="E259" s="9">
        <f>Source!I139</f>
        <v>1.9</v>
      </c>
      <c r="F259" s="24"/>
      <c r="G259" s="23"/>
      <c r="H259" s="9"/>
      <c r="I259" s="9"/>
      <c r="J259" s="25"/>
      <c r="K259" s="25"/>
      <c r="Q259">
        <f>ROUND((Source!BZ139/100)*ROUND((Source!AF139*Source!AV139)*Source!I139, 2), 2)</f>
        <v>365.46</v>
      </c>
      <c r="R259">
        <f>Source!X139</f>
        <v>365.46</v>
      </c>
      <c r="S259">
        <f>ROUND((Source!CA139/100)*ROUND((Source!AF139*Source!AV139)*Source!I139, 2), 2)</f>
        <v>52.21</v>
      </c>
      <c r="T259">
        <f>Source!Y139</f>
        <v>52.21</v>
      </c>
      <c r="U259">
        <f>ROUND((175/100)*ROUND((Source!AE139*Source!AV139)*Source!I139, 2), 2)</f>
        <v>0</v>
      </c>
      <c r="V259">
        <f>ROUND((108/100)*ROUND(Source!CS139*Source!I139, 2), 2)</f>
        <v>0</v>
      </c>
    </row>
    <row r="260" spans="1:22" ht="14.25" x14ac:dyDescent="0.2">
      <c r="A260" s="20"/>
      <c r="B260" s="21"/>
      <c r="C260" s="21" t="s">
        <v>423</v>
      </c>
      <c r="D260" s="22"/>
      <c r="E260" s="9"/>
      <c r="F260" s="24">
        <f>Source!AO139</f>
        <v>274.77999999999997</v>
      </c>
      <c r="G260" s="23" t="str">
        <f>Source!DG139</f>
        <v/>
      </c>
      <c r="H260" s="9">
        <f>Source!AV139</f>
        <v>1</v>
      </c>
      <c r="I260" s="9">
        <f>IF(Source!BA139&lt;&gt; 0, Source!BA139, 1)</f>
        <v>1</v>
      </c>
      <c r="J260" s="25">
        <f>Source!S139</f>
        <v>522.08000000000004</v>
      </c>
      <c r="K260" s="25"/>
    </row>
    <row r="261" spans="1:22" ht="14.25" x14ac:dyDescent="0.2">
      <c r="A261" s="20"/>
      <c r="B261" s="21"/>
      <c r="C261" s="21" t="s">
        <v>431</v>
      </c>
      <c r="D261" s="22"/>
      <c r="E261" s="9"/>
      <c r="F261" s="24">
        <f>Source!AL139</f>
        <v>536.29999999999995</v>
      </c>
      <c r="G261" s="23" t="str">
        <f>Source!DD139</f>
        <v/>
      </c>
      <c r="H261" s="9">
        <f>Source!AW139</f>
        <v>1</v>
      </c>
      <c r="I261" s="9">
        <f>IF(Source!BC139&lt;&gt; 0, Source!BC139, 1)</f>
        <v>1</v>
      </c>
      <c r="J261" s="25">
        <f>Source!P139</f>
        <v>1018.97</v>
      </c>
      <c r="K261" s="25"/>
    </row>
    <row r="262" spans="1:22" ht="14.25" x14ac:dyDescent="0.2">
      <c r="A262" s="20"/>
      <c r="B262" s="21"/>
      <c r="C262" s="21" t="s">
        <v>424</v>
      </c>
      <c r="D262" s="22" t="s">
        <v>425</v>
      </c>
      <c r="E262" s="9">
        <f>Source!AT139</f>
        <v>70</v>
      </c>
      <c r="F262" s="24"/>
      <c r="G262" s="23"/>
      <c r="H262" s="9"/>
      <c r="I262" s="9"/>
      <c r="J262" s="25">
        <f>SUM(R259:R261)</f>
        <v>365.46</v>
      </c>
      <c r="K262" s="25"/>
    </row>
    <row r="263" spans="1:22" ht="14.25" x14ac:dyDescent="0.2">
      <c r="A263" s="20"/>
      <c r="B263" s="21"/>
      <c r="C263" s="21" t="s">
        <v>426</v>
      </c>
      <c r="D263" s="22" t="s">
        <v>425</v>
      </c>
      <c r="E263" s="9">
        <f>Source!AU139</f>
        <v>10</v>
      </c>
      <c r="F263" s="24"/>
      <c r="G263" s="23"/>
      <c r="H263" s="9"/>
      <c r="I263" s="9"/>
      <c r="J263" s="25">
        <f>SUM(T259:T262)</f>
        <v>52.21</v>
      </c>
      <c r="K263" s="25"/>
    </row>
    <row r="264" spans="1:22" ht="14.25" x14ac:dyDescent="0.2">
      <c r="A264" s="20"/>
      <c r="B264" s="21"/>
      <c r="C264" s="21" t="s">
        <v>427</v>
      </c>
      <c r="D264" s="22" t="s">
        <v>428</v>
      </c>
      <c r="E264" s="9">
        <f>Source!AQ139</f>
        <v>1.25</v>
      </c>
      <c r="F264" s="24"/>
      <c r="G264" s="23" t="str">
        <f>Source!DI139</f>
        <v/>
      </c>
      <c r="H264" s="9">
        <f>Source!AV139</f>
        <v>1</v>
      </c>
      <c r="I264" s="9"/>
      <c r="J264" s="25"/>
      <c r="K264" s="25">
        <f>Source!U139</f>
        <v>2.375</v>
      </c>
    </row>
    <row r="265" spans="1:22" ht="15" x14ac:dyDescent="0.25">
      <c r="A265" s="28"/>
      <c r="B265" s="28"/>
      <c r="C265" s="28"/>
      <c r="D265" s="28"/>
      <c r="E265" s="28"/>
      <c r="F265" s="28"/>
      <c r="G265" s="28"/>
      <c r="H265" s="28"/>
      <c r="I265" s="64">
        <f>J260+J261+J262+J263</f>
        <v>1958.7200000000003</v>
      </c>
      <c r="J265" s="64"/>
      <c r="K265" s="29">
        <f>IF(Source!I139&lt;&gt;0, ROUND(I265/Source!I139, 2), 0)</f>
        <v>1030.9100000000001</v>
      </c>
      <c r="P265" s="26">
        <f>I265</f>
        <v>1958.7200000000003</v>
      </c>
    </row>
    <row r="266" spans="1:22" ht="57" x14ac:dyDescent="0.2">
      <c r="A266" s="20" t="str">
        <f>Source!E140</f>
        <v>29</v>
      </c>
      <c r="B266" s="21" t="str">
        <f>Source!F140</f>
        <v>5.3-5202-2-1/1</v>
      </c>
      <c r="C266" s="21" t="str">
        <f>Source!G140</f>
        <v>Устройство основания из песка толщиной 10 см для дорожек и площадок вручную (подушки под столбы)</v>
      </c>
      <c r="D266" s="22" t="str">
        <f>Source!H140</f>
        <v>м2</v>
      </c>
      <c r="E266" s="9">
        <f>Source!I140</f>
        <v>1.9</v>
      </c>
      <c r="F266" s="24"/>
      <c r="G266" s="23"/>
      <c r="H266" s="9"/>
      <c r="I266" s="9"/>
      <c r="J266" s="25"/>
      <c r="K266" s="25"/>
      <c r="Q266">
        <f>ROUND((Source!BZ140/100)*ROUND((Source!AF140*Source!AV140)*Source!I140, 2), 2)</f>
        <v>103.83</v>
      </c>
      <c r="R266">
        <f>Source!X140</f>
        <v>103.83</v>
      </c>
      <c r="S266">
        <f>ROUND((Source!CA140/100)*ROUND((Source!AF140*Source!AV140)*Source!I140, 2), 2)</f>
        <v>14.83</v>
      </c>
      <c r="T266">
        <f>Source!Y140</f>
        <v>14.83</v>
      </c>
      <c r="U266">
        <f>ROUND((175/100)*ROUND((Source!AE140*Source!AV140)*Source!I140, 2), 2)</f>
        <v>4.92</v>
      </c>
      <c r="V266">
        <f>ROUND((108/100)*ROUND(Source!CS140*Source!I140, 2), 2)</f>
        <v>3.03</v>
      </c>
    </row>
    <row r="267" spans="1:22" ht="14.25" x14ac:dyDescent="0.2">
      <c r="A267" s="20"/>
      <c r="B267" s="21"/>
      <c r="C267" s="21" t="s">
        <v>423</v>
      </c>
      <c r="D267" s="22"/>
      <c r="E267" s="9"/>
      <c r="F267" s="24">
        <f>Source!AO140</f>
        <v>78.069999999999993</v>
      </c>
      <c r="G267" s="23" t="str">
        <f>Source!DG140</f>
        <v/>
      </c>
      <c r="H267" s="9">
        <f>Source!AV140</f>
        <v>1</v>
      </c>
      <c r="I267" s="9">
        <f>IF(Source!BA140&lt;&gt; 0, Source!BA140, 1)</f>
        <v>1</v>
      </c>
      <c r="J267" s="25">
        <f>Source!S140</f>
        <v>148.33000000000001</v>
      </c>
      <c r="K267" s="25"/>
    </row>
    <row r="268" spans="1:22" ht="14.25" x14ac:dyDescent="0.2">
      <c r="A268" s="20"/>
      <c r="B268" s="21"/>
      <c r="C268" s="21" t="s">
        <v>429</v>
      </c>
      <c r="D268" s="22"/>
      <c r="E268" s="9"/>
      <c r="F268" s="24">
        <f>Source!AM140</f>
        <v>3.81</v>
      </c>
      <c r="G268" s="23" t="str">
        <f>Source!DE140</f>
        <v/>
      </c>
      <c r="H268" s="9">
        <f>Source!AV140</f>
        <v>1</v>
      </c>
      <c r="I268" s="9">
        <f>IF(Source!BB140&lt;&gt; 0, Source!BB140, 1)</f>
        <v>1</v>
      </c>
      <c r="J268" s="25">
        <f>Source!Q140</f>
        <v>7.24</v>
      </c>
      <c r="K268" s="25"/>
    </row>
    <row r="269" spans="1:22" ht="14.25" x14ac:dyDescent="0.2">
      <c r="A269" s="20"/>
      <c r="B269" s="21"/>
      <c r="C269" s="21" t="s">
        <v>430</v>
      </c>
      <c r="D269" s="22"/>
      <c r="E269" s="9"/>
      <c r="F269" s="24">
        <f>Source!AN140</f>
        <v>1.48</v>
      </c>
      <c r="G269" s="23" t="str">
        <f>Source!DF140</f>
        <v/>
      </c>
      <c r="H269" s="9">
        <f>Source!AV140</f>
        <v>1</v>
      </c>
      <c r="I269" s="9">
        <f>IF(Source!BS140&lt;&gt; 0, Source!BS140, 1)</f>
        <v>1</v>
      </c>
      <c r="J269" s="30">
        <f>Source!R140</f>
        <v>2.81</v>
      </c>
      <c r="K269" s="25"/>
    </row>
    <row r="270" spans="1:22" ht="14.25" x14ac:dyDescent="0.2">
      <c r="A270" s="20"/>
      <c r="B270" s="21"/>
      <c r="C270" s="21" t="s">
        <v>431</v>
      </c>
      <c r="D270" s="22"/>
      <c r="E270" s="9"/>
      <c r="F270" s="24">
        <f>Source!AL140</f>
        <v>62.38</v>
      </c>
      <c r="G270" s="23" t="str">
        <f>Source!DD140</f>
        <v/>
      </c>
      <c r="H270" s="9">
        <f>Source!AW140</f>
        <v>1</v>
      </c>
      <c r="I270" s="9">
        <f>IF(Source!BC140&lt;&gt; 0, Source!BC140, 1)</f>
        <v>1</v>
      </c>
      <c r="J270" s="25">
        <f>Source!P140</f>
        <v>118.52</v>
      </c>
      <c r="K270" s="25"/>
    </row>
    <row r="271" spans="1:22" ht="14.25" x14ac:dyDescent="0.2">
      <c r="A271" s="20"/>
      <c r="B271" s="21"/>
      <c r="C271" s="21" t="s">
        <v>424</v>
      </c>
      <c r="D271" s="22" t="s">
        <v>425</v>
      </c>
      <c r="E271" s="9">
        <f>Source!AT140</f>
        <v>70</v>
      </c>
      <c r="F271" s="24"/>
      <c r="G271" s="23"/>
      <c r="H271" s="9"/>
      <c r="I271" s="9"/>
      <c r="J271" s="25">
        <f>SUM(R266:R270)</f>
        <v>103.83</v>
      </c>
      <c r="K271" s="25"/>
    </row>
    <row r="272" spans="1:22" ht="14.25" x14ac:dyDescent="0.2">
      <c r="A272" s="20"/>
      <c r="B272" s="21"/>
      <c r="C272" s="21" t="s">
        <v>426</v>
      </c>
      <c r="D272" s="22" t="s">
        <v>425</v>
      </c>
      <c r="E272" s="9">
        <f>Source!AU140</f>
        <v>10</v>
      </c>
      <c r="F272" s="24"/>
      <c r="G272" s="23"/>
      <c r="H272" s="9"/>
      <c r="I272" s="9"/>
      <c r="J272" s="25">
        <f>SUM(T266:T271)</f>
        <v>14.83</v>
      </c>
      <c r="K272" s="25"/>
    </row>
    <row r="273" spans="1:22" ht="14.25" x14ac:dyDescent="0.2">
      <c r="A273" s="20"/>
      <c r="B273" s="21"/>
      <c r="C273" s="21" t="s">
        <v>432</v>
      </c>
      <c r="D273" s="22" t="s">
        <v>425</v>
      </c>
      <c r="E273" s="9">
        <f>108</f>
        <v>108</v>
      </c>
      <c r="F273" s="24"/>
      <c r="G273" s="23"/>
      <c r="H273" s="9"/>
      <c r="I273" s="9"/>
      <c r="J273" s="25">
        <f>SUM(V266:V272)</f>
        <v>3.03</v>
      </c>
      <c r="K273" s="25"/>
    </row>
    <row r="274" spans="1:22" ht="14.25" x14ac:dyDescent="0.2">
      <c r="A274" s="20"/>
      <c r="B274" s="21"/>
      <c r="C274" s="21" t="s">
        <v>427</v>
      </c>
      <c r="D274" s="22" t="s">
        <v>428</v>
      </c>
      <c r="E274" s="9">
        <f>Source!AQ140</f>
        <v>0.37</v>
      </c>
      <c r="F274" s="24"/>
      <c r="G274" s="23" t="str">
        <f>Source!DI140</f>
        <v/>
      </c>
      <c r="H274" s="9">
        <f>Source!AV140</f>
        <v>1</v>
      </c>
      <c r="I274" s="9"/>
      <c r="J274" s="25"/>
      <c r="K274" s="25">
        <f>Source!U140</f>
        <v>0.70299999999999996</v>
      </c>
    </row>
    <row r="275" spans="1:22" ht="15" x14ac:dyDescent="0.25">
      <c r="A275" s="28"/>
      <c r="B275" s="28"/>
      <c r="C275" s="28"/>
      <c r="D275" s="28"/>
      <c r="E275" s="28"/>
      <c r="F275" s="28"/>
      <c r="G275" s="28"/>
      <c r="H275" s="28"/>
      <c r="I275" s="64">
        <f>J267+J268+J270+J271+J272+J273</f>
        <v>395.78</v>
      </c>
      <c r="J275" s="64"/>
      <c r="K275" s="29">
        <f>IF(Source!I140&lt;&gt;0, ROUND(I275/Source!I140, 2), 0)</f>
        <v>208.31</v>
      </c>
      <c r="P275" s="26">
        <f>I275</f>
        <v>395.78</v>
      </c>
    </row>
    <row r="276" spans="1:22" ht="28.5" x14ac:dyDescent="0.2">
      <c r="A276" s="20" t="str">
        <f>Source!E141</f>
        <v>30</v>
      </c>
      <c r="B276" s="21" t="str">
        <f>Source!F141</f>
        <v>1.2-3103-2-15/1</v>
      </c>
      <c r="C276" s="21" t="str">
        <f>Source!G141</f>
        <v>Устройство фундаментных плит железобетонных плоских</v>
      </c>
      <c r="D276" s="22" t="str">
        <f>Source!H141</f>
        <v>100 м3</v>
      </c>
      <c r="E276" s="9">
        <f>Source!I141</f>
        <v>1.89E-2</v>
      </c>
      <c r="F276" s="24"/>
      <c r="G276" s="23"/>
      <c r="H276" s="9"/>
      <c r="I276" s="9"/>
      <c r="J276" s="25"/>
      <c r="K276" s="25"/>
      <c r="Q276">
        <f>ROUND((Source!BZ141/100)*ROUND((Source!AF141*Source!AV141)*Source!I141, 2), 2)</f>
        <v>550.55999999999995</v>
      </c>
      <c r="R276">
        <f>Source!X141</f>
        <v>550.55999999999995</v>
      </c>
      <c r="S276">
        <f>ROUND((Source!CA141/100)*ROUND((Source!AF141*Source!AV141)*Source!I141, 2), 2)</f>
        <v>78.650000000000006</v>
      </c>
      <c r="T276">
        <f>Source!Y141</f>
        <v>78.650000000000006</v>
      </c>
      <c r="U276">
        <f>ROUND((175/100)*ROUND((Source!AE141*Source!AV141)*Source!I141, 2), 2)</f>
        <v>5.57</v>
      </c>
      <c r="V276">
        <f>ROUND((108/100)*ROUND(Source!CS141*Source!I141, 2), 2)</f>
        <v>3.43</v>
      </c>
    </row>
    <row r="277" spans="1:22" ht="14.25" x14ac:dyDescent="0.2">
      <c r="A277" s="20"/>
      <c r="B277" s="21"/>
      <c r="C277" s="21" t="s">
        <v>423</v>
      </c>
      <c r="D277" s="22"/>
      <c r="E277" s="9"/>
      <c r="F277" s="24">
        <f>Source!AO141</f>
        <v>41614.639999999999</v>
      </c>
      <c r="G277" s="23" t="str">
        <f>Source!DG141</f>
        <v/>
      </c>
      <c r="H277" s="9">
        <f>Source!AV141</f>
        <v>1</v>
      </c>
      <c r="I277" s="9">
        <f>IF(Source!BA141&lt;&gt; 0, Source!BA141, 1)</f>
        <v>1</v>
      </c>
      <c r="J277" s="25">
        <f>Source!S141</f>
        <v>786.52</v>
      </c>
      <c r="K277" s="25"/>
    </row>
    <row r="278" spans="1:22" ht="14.25" x14ac:dyDescent="0.2">
      <c r="A278" s="20"/>
      <c r="B278" s="21"/>
      <c r="C278" s="21" t="s">
        <v>429</v>
      </c>
      <c r="D278" s="22"/>
      <c r="E278" s="9"/>
      <c r="F278" s="24">
        <f>Source!AM141</f>
        <v>4415.67</v>
      </c>
      <c r="G278" s="23" t="str">
        <f>Source!DE141</f>
        <v/>
      </c>
      <c r="H278" s="9">
        <f>Source!AV141</f>
        <v>1</v>
      </c>
      <c r="I278" s="9">
        <f>IF(Source!BB141&lt;&gt; 0, Source!BB141, 1)</f>
        <v>1</v>
      </c>
      <c r="J278" s="25">
        <f>Source!Q141</f>
        <v>83.46</v>
      </c>
      <c r="K278" s="25"/>
    </row>
    <row r="279" spans="1:22" ht="14.25" x14ac:dyDescent="0.2">
      <c r="A279" s="20"/>
      <c r="B279" s="21"/>
      <c r="C279" s="21" t="s">
        <v>430</v>
      </c>
      <c r="D279" s="22"/>
      <c r="E279" s="9"/>
      <c r="F279" s="24">
        <f>Source!AN141</f>
        <v>168.01</v>
      </c>
      <c r="G279" s="23" t="str">
        <f>Source!DF141</f>
        <v/>
      </c>
      <c r="H279" s="9">
        <f>Source!AV141</f>
        <v>1</v>
      </c>
      <c r="I279" s="9">
        <f>IF(Source!BS141&lt;&gt; 0, Source!BS141, 1)</f>
        <v>1</v>
      </c>
      <c r="J279" s="30">
        <f>Source!R141</f>
        <v>3.18</v>
      </c>
      <c r="K279" s="25"/>
    </row>
    <row r="280" spans="1:22" ht="14.25" x14ac:dyDescent="0.2">
      <c r="A280" s="20"/>
      <c r="B280" s="21"/>
      <c r="C280" s="21" t="s">
        <v>431</v>
      </c>
      <c r="D280" s="22"/>
      <c r="E280" s="9"/>
      <c r="F280" s="24">
        <f>Source!AL141</f>
        <v>680227.7</v>
      </c>
      <c r="G280" s="23" t="str">
        <f>Source!DD141</f>
        <v/>
      </c>
      <c r="H280" s="9">
        <f>Source!AW141</f>
        <v>1</v>
      </c>
      <c r="I280" s="9">
        <f>IF(Source!BC141&lt;&gt; 0, Source!BC141, 1)</f>
        <v>1</v>
      </c>
      <c r="J280" s="25">
        <f>Source!P141</f>
        <v>12856.3</v>
      </c>
      <c r="K280" s="25"/>
    </row>
    <row r="281" spans="1:22" ht="57" x14ac:dyDescent="0.2">
      <c r="A281" s="20" t="str">
        <f>Source!E142</f>
        <v>30,1</v>
      </c>
      <c r="B281" s="21" t="str">
        <f>Source!F142</f>
        <v>21.3-1-83</v>
      </c>
      <c r="C281" s="21" t="str">
        <f>Source!G142</f>
        <v>Смеси бетонные, БСГ, тяжелого бетона на гранитном щебне, фракция 5-20, класс прочности: В22,5 (М300); П3, F200, W6</v>
      </c>
      <c r="D281" s="22" t="str">
        <f>Source!H142</f>
        <v>м3</v>
      </c>
      <c r="E281" s="9">
        <f>Source!I142</f>
        <v>1.91835</v>
      </c>
      <c r="F281" s="24">
        <f>Source!AK142</f>
        <v>3884.73</v>
      </c>
      <c r="G281" s="31" t="s">
        <v>3</v>
      </c>
      <c r="H281" s="9">
        <f>Source!AW142</f>
        <v>1</v>
      </c>
      <c r="I281" s="9">
        <f>IF(Source!BC142&lt;&gt; 0, Source!BC142, 1)</f>
        <v>1</v>
      </c>
      <c r="J281" s="25">
        <f>Source!O142</f>
        <v>7452.27</v>
      </c>
      <c r="K281" s="25"/>
      <c r="Q281">
        <f>ROUND((Source!BZ142/100)*ROUND((Source!AF142*Source!AV142)*Source!I142, 2), 2)</f>
        <v>0</v>
      </c>
      <c r="R281">
        <f>Source!X142</f>
        <v>0</v>
      </c>
      <c r="S281">
        <f>ROUND((Source!CA142/100)*ROUND((Source!AF142*Source!AV142)*Source!I142, 2), 2)</f>
        <v>0</v>
      </c>
      <c r="T281">
        <f>Source!Y142</f>
        <v>0</v>
      </c>
      <c r="U281">
        <f>ROUND((175/100)*ROUND((Source!AE142*Source!AV142)*Source!I142, 2), 2)</f>
        <v>0</v>
      </c>
      <c r="V281">
        <f>ROUND((108/100)*ROUND(Source!CS142*Source!I142, 2), 2)</f>
        <v>0</v>
      </c>
    </row>
    <row r="282" spans="1:22" ht="57" x14ac:dyDescent="0.2">
      <c r="A282" s="20" t="str">
        <f>Source!E143</f>
        <v>30,2</v>
      </c>
      <c r="B282" s="21" t="str">
        <f>Source!F143</f>
        <v>21.3-1-69</v>
      </c>
      <c r="C282" s="21" t="str">
        <f>Source!G143</f>
        <v>Смеси бетонные, БСГ, тяжелого бетона на гранитном щебне, класс прочности: В15 (М200); П3, фракция 5-20, F50-100, W0-2</v>
      </c>
      <c r="D282" s="22" t="str">
        <f>Source!H143</f>
        <v>м3</v>
      </c>
      <c r="E282" s="9">
        <f>Source!I143</f>
        <v>-1.91835</v>
      </c>
      <c r="F282" s="24">
        <f>Source!AK143</f>
        <v>3714.73</v>
      </c>
      <c r="G282" s="31" t="s">
        <v>3</v>
      </c>
      <c r="H282" s="9">
        <f>Source!AW143</f>
        <v>1</v>
      </c>
      <c r="I282" s="9">
        <f>IF(Source!BC143&lt;&gt; 0, Source!BC143, 1)</f>
        <v>1</v>
      </c>
      <c r="J282" s="25">
        <f>Source!O143</f>
        <v>-7126.15</v>
      </c>
      <c r="K282" s="25"/>
      <c r="Q282">
        <f>ROUND((Source!BZ143/100)*ROUND((Source!AF143*Source!AV143)*Source!I143, 2), 2)</f>
        <v>0</v>
      </c>
      <c r="R282">
        <f>Source!X143</f>
        <v>0</v>
      </c>
      <c r="S282">
        <f>ROUND((Source!CA143/100)*ROUND((Source!AF143*Source!AV143)*Source!I143, 2), 2)</f>
        <v>0</v>
      </c>
      <c r="T282">
        <f>Source!Y143</f>
        <v>0</v>
      </c>
      <c r="U282">
        <f>ROUND((175/100)*ROUND((Source!AE143*Source!AV143)*Source!I143, 2), 2)</f>
        <v>0</v>
      </c>
      <c r="V282">
        <f>ROUND((108/100)*ROUND(Source!CS143*Source!I143, 2), 2)</f>
        <v>0</v>
      </c>
    </row>
    <row r="283" spans="1:22" ht="14.25" x14ac:dyDescent="0.2">
      <c r="A283" s="20"/>
      <c r="B283" s="21"/>
      <c r="C283" s="21" t="s">
        <v>424</v>
      </c>
      <c r="D283" s="22" t="s">
        <v>425</v>
      </c>
      <c r="E283" s="9">
        <f>Source!AT141</f>
        <v>70</v>
      </c>
      <c r="F283" s="24"/>
      <c r="G283" s="23"/>
      <c r="H283" s="9"/>
      <c r="I283" s="9"/>
      <c r="J283" s="25">
        <f>SUM(R276:R282)</f>
        <v>550.55999999999995</v>
      </c>
      <c r="K283" s="25"/>
    </row>
    <row r="284" spans="1:22" ht="14.25" x14ac:dyDescent="0.2">
      <c r="A284" s="20"/>
      <c r="B284" s="21"/>
      <c r="C284" s="21" t="s">
        <v>426</v>
      </c>
      <c r="D284" s="22" t="s">
        <v>425</v>
      </c>
      <c r="E284" s="9">
        <f>Source!AU141</f>
        <v>10</v>
      </c>
      <c r="F284" s="24"/>
      <c r="G284" s="23"/>
      <c r="H284" s="9"/>
      <c r="I284" s="9"/>
      <c r="J284" s="25">
        <f>SUM(T276:T283)</f>
        <v>78.650000000000006</v>
      </c>
      <c r="K284" s="25"/>
    </row>
    <row r="285" spans="1:22" ht="14.25" x14ac:dyDescent="0.2">
      <c r="A285" s="20"/>
      <c r="B285" s="21"/>
      <c r="C285" s="21" t="s">
        <v>432</v>
      </c>
      <c r="D285" s="22" t="s">
        <v>425</v>
      </c>
      <c r="E285" s="9">
        <f>108</f>
        <v>108</v>
      </c>
      <c r="F285" s="24"/>
      <c r="G285" s="23"/>
      <c r="H285" s="9"/>
      <c r="I285" s="9"/>
      <c r="J285" s="25">
        <f>SUM(V276:V284)</f>
        <v>3.43</v>
      </c>
      <c r="K285" s="25"/>
    </row>
    <row r="286" spans="1:22" ht="14.25" x14ac:dyDescent="0.2">
      <c r="A286" s="20"/>
      <c r="B286" s="21"/>
      <c r="C286" s="21" t="s">
        <v>427</v>
      </c>
      <c r="D286" s="22" t="s">
        <v>428</v>
      </c>
      <c r="E286" s="9">
        <f>Source!AQ141</f>
        <v>205.85</v>
      </c>
      <c r="F286" s="24"/>
      <c r="G286" s="23" t="str">
        <f>Source!DI141</f>
        <v/>
      </c>
      <c r="H286" s="9">
        <f>Source!AV141</f>
        <v>1</v>
      </c>
      <c r="I286" s="9"/>
      <c r="J286" s="25"/>
      <c r="K286" s="25">
        <f>Source!U141</f>
        <v>3.8905650000000001</v>
      </c>
    </row>
    <row r="287" spans="1:22" ht="15" x14ac:dyDescent="0.25">
      <c r="A287" s="28"/>
      <c r="B287" s="28"/>
      <c r="C287" s="28"/>
      <c r="D287" s="28"/>
      <c r="E287" s="28"/>
      <c r="F287" s="28"/>
      <c r="G287" s="28"/>
      <c r="H287" s="28"/>
      <c r="I287" s="64">
        <f>J277+J278+J280+J283+J284+J285+SUM(J281:J282)</f>
        <v>14685.039999999999</v>
      </c>
      <c r="J287" s="64"/>
      <c r="K287" s="29">
        <f>IF(Source!I141&lt;&gt;0, ROUND(I287/Source!I141, 2), 0)</f>
        <v>776986.24</v>
      </c>
      <c r="P287" s="26">
        <f>I287</f>
        <v>14685.039999999999</v>
      </c>
    </row>
    <row r="288" spans="1:22" ht="28.5" x14ac:dyDescent="0.2">
      <c r="A288" s="20" t="str">
        <f>Source!E144</f>
        <v>31</v>
      </c>
      <c r="B288" s="21" t="str">
        <f>Source!F144</f>
        <v>1.13-3204-1-1/1</v>
      </c>
      <c r="C288" s="21" t="str">
        <f>Source!G144</f>
        <v>Расчистка поверхностей от старых покрасок (шпателем, щетками и т.д.)</v>
      </c>
      <c r="D288" s="22" t="str">
        <f>Source!H144</f>
        <v>м2</v>
      </c>
      <c r="E288" s="9">
        <f>Source!I144</f>
        <v>17.5</v>
      </c>
      <c r="F288" s="24"/>
      <c r="G288" s="23"/>
      <c r="H288" s="9"/>
      <c r="I288" s="9"/>
      <c r="J288" s="25"/>
      <c r="K288" s="25"/>
      <c r="Q288">
        <f>ROUND((Source!BZ144/100)*ROUND((Source!AF144*Source!AV144)*Source!I144, 2), 2)</f>
        <v>1328.39</v>
      </c>
      <c r="R288">
        <f>Source!X144</f>
        <v>1328.39</v>
      </c>
      <c r="S288">
        <f>ROUND((Source!CA144/100)*ROUND((Source!AF144*Source!AV144)*Source!I144, 2), 2)</f>
        <v>189.77</v>
      </c>
      <c r="T288">
        <f>Source!Y144</f>
        <v>189.77</v>
      </c>
      <c r="U288">
        <f>ROUND((175/100)*ROUND((Source!AE144*Source!AV144)*Source!I144, 2), 2)</f>
        <v>0</v>
      </c>
      <c r="V288">
        <f>ROUND((108/100)*ROUND(Source!CS144*Source!I144, 2), 2)</f>
        <v>0</v>
      </c>
    </row>
    <row r="289" spans="1:22" ht="14.25" x14ac:dyDescent="0.2">
      <c r="A289" s="20"/>
      <c r="B289" s="21"/>
      <c r="C289" s="21" t="s">
        <v>423</v>
      </c>
      <c r="D289" s="22"/>
      <c r="E289" s="9"/>
      <c r="F289" s="24">
        <f>Source!AO144</f>
        <v>108.44</v>
      </c>
      <c r="G289" s="23" t="str">
        <f>Source!DG144</f>
        <v/>
      </c>
      <c r="H289" s="9">
        <f>Source!AV144</f>
        <v>1</v>
      </c>
      <c r="I289" s="9">
        <f>IF(Source!BA144&lt;&gt; 0, Source!BA144, 1)</f>
        <v>1</v>
      </c>
      <c r="J289" s="25">
        <f>Source!S144</f>
        <v>1897.7</v>
      </c>
      <c r="K289" s="25"/>
    </row>
    <row r="290" spans="1:22" ht="14.25" x14ac:dyDescent="0.2">
      <c r="A290" s="20"/>
      <c r="B290" s="21"/>
      <c r="C290" s="21" t="s">
        <v>424</v>
      </c>
      <c r="D290" s="22" t="s">
        <v>425</v>
      </c>
      <c r="E290" s="9">
        <f>Source!AT144</f>
        <v>70</v>
      </c>
      <c r="F290" s="24"/>
      <c r="G290" s="23"/>
      <c r="H290" s="9"/>
      <c r="I290" s="9"/>
      <c r="J290" s="25">
        <f>SUM(R288:R289)</f>
        <v>1328.39</v>
      </c>
      <c r="K290" s="25"/>
    </row>
    <row r="291" spans="1:22" ht="14.25" x14ac:dyDescent="0.2">
      <c r="A291" s="20"/>
      <c r="B291" s="21"/>
      <c r="C291" s="21" t="s">
        <v>426</v>
      </c>
      <c r="D291" s="22" t="s">
        <v>425</v>
      </c>
      <c r="E291" s="9">
        <f>Source!AU144</f>
        <v>10</v>
      </c>
      <c r="F291" s="24"/>
      <c r="G291" s="23"/>
      <c r="H291" s="9"/>
      <c r="I291" s="9"/>
      <c r="J291" s="25">
        <f>SUM(T288:T290)</f>
        <v>189.77</v>
      </c>
      <c r="K291" s="25"/>
    </row>
    <row r="292" spans="1:22" ht="14.25" x14ac:dyDescent="0.2">
      <c r="A292" s="20"/>
      <c r="B292" s="21"/>
      <c r="C292" s="21" t="s">
        <v>427</v>
      </c>
      <c r="D292" s="22" t="s">
        <v>428</v>
      </c>
      <c r="E292" s="9">
        <f>Source!AQ144</f>
        <v>0.6</v>
      </c>
      <c r="F292" s="24"/>
      <c r="G292" s="23" t="str">
        <f>Source!DI144</f>
        <v/>
      </c>
      <c r="H292" s="9">
        <f>Source!AV144</f>
        <v>1</v>
      </c>
      <c r="I292" s="9"/>
      <c r="J292" s="25"/>
      <c r="K292" s="25">
        <f>Source!U144</f>
        <v>10.5</v>
      </c>
    </row>
    <row r="293" spans="1:22" ht="15" x14ac:dyDescent="0.25">
      <c r="A293" s="28"/>
      <c r="B293" s="28"/>
      <c r="C293" s="28"/>
      <c r="D293" s="28"/>
      <c r="E293" s="28"/>
      <c r="F293" s="28"/>
      <c r="G293" s="28"/>
      <c r="H293" s="28"/>
      <c r="I293" s="64">
        <f>J289+J290+J291</f>
        <v>3415.86</v>
      </c>
      <c r="J293" s="64"/>
      <c r="K293" s="29">
        <f>IF(Source!I144&lt;&gt;0, ROUND(I293/Source!I144, 2), 0)</f>
        <v>195.19</v>
      </c>
      <c r="P293" s="26">
        <f>I293</f>
        <v>3415.86</v>
      </c>
    </row>
    <row r="294" spans="1:22" ht="71.25" x14ac:dyDescent="0.2">
      <c r="A294" s="20" t="str">
        <f>Source!E145</f>
        <v>32</v>
      </c>
      <c r="B294" s="21" t="str">
        <f>Source!F145</f>
        <v>1.14-3101-1-1/1</v>
      </c>
      <c r="C294" s="21" t="str">
        <f>Source!G145</f>
        <v>Ремонт штукатурки гладких фасадов по камню и бетону с земли и лесов цементно-известковым раствором при площади до 5 м2 толщиной слоя до 20 мм</v>
      </c>
      <c r="D294" s="22" t="str">
        <f>Source!H145</f>
        <v>100 м2</v>
      </c>
      <c r="E294" s="9">
        <f>Source!I145</f>
        <v>7.4999999999999997E-2</v>
      </c>
      <c r="F294" s="24"/>
      <c r="G294" s="23"/>
      <c r="H294" s="9"/>
      <c r="I294" s="9"/>
      <c r="J294" s="25"/>
      <c r="K294" s="25"/>
      <c r="Q294">
        <f>ROUND((Source!BZ145/100)*ROUND((Source!AF145*Source!AV145)*Source!I145, 2), 2)</f>
        <v>2169.29</v>
      </c>
      <c r="R294">
        <f>Source!X145</f>
        <v>2169.29</v>
      </c>
      <c r="S294">
        <f>ROUND((Source!CA145/100)*ROUND((Source!AF145*Source!AV145)*Source!I145, 2), 2)</f>
        <v>309.89999999999998</v>
      </c>
      <c r="T294">
        <f>Source!Y145</f>
        <v>309.89999999999998</v>
      </c>
      <c r="U294">
        <f>ROUND((175/100)*ROUND((Source!AE145*Source!AV145)*Source!I145, 2), 2)</f>
        <v>0</v>
      </c>
      <c r="V294">
        <f>ROUND((108/100)*ROUND(Source!CS145*Source!I145, 2), 2)</f>
        <v>0</v>
      </c>
    </row>
    <row r="295" spans="1:22" ht="14.25" x14ac:dyDescent="0.2">
      <c r="A295" s="20"/>
      <c r="B295" s="21"/>
      <c r="C295" s="21" t="s">
        <v>423</v>
      </c>
      <c r="D295" s="22"/>
      <c r="E295" s="9"/>
      <c r="F295" s="24">
        <f>Source!AO145</f>
        <v>41319.78</v>
      </c>
      <c r="G295" s="23" t="str">
        <f>Source!DG145</f>
        <v/>
      </c>
      <c r="H295" s="9">
        <f>Source!AV145</f>
        <v>1</v>
      </c>
      <c r="I295" s="9">
        <f>IF(Source!BA145&lt;&gt; 0, Source!BA145, 1)</f>
        <v>1</v>
      </c>
      <c r="J295" s="25">
        <f>Source!S145</f>
        <v>3098.98</v>
      </c>
      <c r="K295" s="25"/>
    </row>
    <row r="296" spans="1:22" ht="14.25" x14ac:dyDescent="0.2">
      <c r="A296" s="20"/>
      <c r="B296" s="21"/>
      <c r="C296" s="21" t="s">
        <v>431</v>
      </c>
      <c r="D296" s="22"/>
      <c r="E296" s="9"/>
      <c r="F296" s="24">
        <f>Source!AL145</f>
        <v>7451.18</v>
      </c>
      <c r="G296" s="23" t="str">
        <f>Source!DD145</f>
        <v/>
      </c>
      <c r="H296" s="9">
        <f>Source!AW145</f>
        <v>1</v>
      </c>
      <c r="I296" s="9">
        <f>IF(Source!BC145&lt;&gt; 0, Source!BC145, 1)</f>
        <v>1</v>
      </c>
      <c r="J296" s="25">
        <f>Source!P145</f>
        <v>558.84</v>
      </c>
      <c r="K296" s="25"/>
    </row>
    <row r="297" spans="1:22" ht="14.25" x14ac:dyDescent="0.2">
      <c r="A297" s="20"/>
      <c r="B297" s="21"/>
      <c r="C297" s="21" t="s">
        <v>424</v>
      </c>
      <c r="D297" s="22" t="s">
        <v>425</v>
      </c>
      <c r="E297" s="9">
        <f>Source!AT145</f>
        <v>70</v>
      </c>
      <c r="F297" s="24"/>
      <c r="G297" s="23"/>
      <c r="H297" s="9"/>
      <c r="I297" s="9"/>
      <c r="J297" s="25">
        <f>SUM(R294:R296)</f>
        <v>2169.29</v>
      </c>
      <c r="K297" s="25"/>
    </row>
    <row r="298" spans="1:22" ht="14.25" x14ac:dyDescent="0.2">
      <c r="A298" s="20"/>
      <c r="B298" s="21"/>
      <c r="C298" s="21" t="s">
        <v>426</v>
      </c>
      <c r="D298" s="22" t="s">
        <v>425</v>
      </c>
      <c r="E298" s="9">
        <f>Source!AU145</f>
        <v>10</v>
      </c>
      <c r="F298" s="24"/>
      <c r="G298" s="23"/>
      <c r="H298" s="9"/>
      <c r="I298" s="9"/>
      <c r="J298" s="25">
        <f>SUM(T294:T297)</f>
        <v>309.89999999999998</v>
      </c>
      <c r="K298" s="25"/>
    </row>
    <row r="299" spans="1:22" ht="14.25" x14ac:dyDescent="0.2">
      <c r="A299" s="20"/>
      <c r="B299" s="21"/>
      <c r="C299" s="21" t="s">
        <v>427</v>
      </c>
      <c r="D299" s="22" t="s">
        <v>428</v>
      </c>
      <c r="E299" s="9">
        <f>Source!AQ145</f>
        <v>174</v>
      </c>
      <c r="F299" s="24"/>
      <c r="G299" s="23" t="str">
        <f>Source!DI145</f>
        <v/>
      </c>
      <c r="H299" s="9">
        <f>Source!AV145</f>
        <v>1</v>
      </c>
      <c r="I299" s="9"/>
      <c r="J299" s="25"/>
      <c r="K299" s="25">
        <f>Source!U145</f>
        <v>13.049999999999999</v>
      </c>
    </row>
    <row r="300" spans="1:22" ht="15" x14ac:dyDescent="0.25">
      <c r="A300" s="28"/>
      <c r="B300" s="28"/>
      <c r="C300" s="28"/>
      <c r="D300" s="28"/>
      <c r="E300" s="28"/>
      <c r="F300" s="28"/>
      <c r="G300" s="28"/>
      <c r="H300" s="28"/>
      <c r="I300" s="64">
        <f>J295+J296+J297+J298</f>
        <v>6137.01</v>
      </c>
      <c r="J300" s="64"/>
      <c r="K300" s="29">
        <f>IF(Source!I145&lt;&gt;0, ROUND(I300/Source!I145, 2), 0)</f>
        <v>81826.8</v>
      </c>
      <c r="P300" s="26">
        <f>I300</f>
        <v>6137.01</v>
      </c>
    </row>
    <row r="301" spans="1:22" ht="57" x14ac:dyDescent="0.2">
      <c r="A301" s="20" t="str">
        <f>Source!E146</f>
        <v>33</v>
      </c>
      <c r="B301" s="21" t="str">
        <f>Source!F146</f>
        <v>1.14-3201-6-4/2</v>
      </c>
      <c r="C301" s="21" t="str">
        <f>Source!G146</f>
        <v>Окраска перхлорвиниловыми красками марка ХВ-161 (белая) по подготовленной поверхности фасадов простых за 2 раза с земли и лесов</v>
      </c>
      <c r="D301" s="22" t="str">
        <f>Source!H146</f>
        <v>100 м2</v>
      </c>
      <c r="E301" s="9">
        <f>Source!I146</f>
        <v>0.25</v>
      </c>
      <c r="F301" s="24"/>
      <c r="G301" s="23"/>
      <c r="H301" s="9"/>
      <c r="I301" s="9"/>
      <c r="J301" s="25"/>
      <c r="K301" s="25"/>
      <c r="Q301">
        <f>ROUND((Source!BZ146/100)*ROUND((Source!AF146*Source!AV146)*Source!I146, 2), 2)</f>
        <v>499.99</v>
      </c>
      <c r="R301">
        <f>Source!X146</f>
        <v>499.99</v>
      </c>
      <c r="S301">
        <f>ROUND((Source!CA146/100)*ROUND((Source!AF146*Source!AV146)*Source!I146, 2), 2)</f>
        <v>71.430000000000007</v>
      </c>
      <c r="T301">
        <f>Source!Y146</f>
        <v>71.430000000000007</v>
      </c>
      <c r="U301">
        <f>ROUND((175/100)*ROUND((Source!AE146*Source!AV146)*Source!I146, 2), 2)</f>
        <v>191.24</v>
      </c>
      <c r="V301">
        <f>ROUND((108/100)*ROUND(Source!CS146*Source!I146, 2), 2)</f>
        <v>118.02</v>
      </c>
    </row>
    <row r="302" spans="1:22" ht="14.25" x14ac:dyDescent="0.2">
      <c r="A302" s="20"/>
      <c r="B302" s="21"/>
      <c r="C302" s="21" t="s">
        <v>423</v>
      </c>
      <c r="D302" s="22"/>
      <c r="E302" s="9"/>
      <c r="F302" s="24">
        <f>Source!AO146</f>
        <v>2857.08</v>
      </c>
      <c r="G302" s="23" t="str">
        <f>Source!DG146</f>
        <v/>
      </c>
      <c r="H302" s="9">
        <f>Source!AV146</f>
        <v>1</v>
      </c>
      <c r="I302" s="9">
        <f>IF(Source!BA146&lt;&gt; 0, Source!BA146, 1)</f>
        <v>1</v>
      </c>
      <c r="J302" s="25">
        <f>Source!S146</f>
        <v>714.27</v>
      </c>
      <c r="K302" s="25"/>
    </row>
    <row r="303" spans="1:22" ht="14.25" x14ac:dyDescent="0.2">
      <c r="A303" s="20"/>
      <c r="B303" s="21"/>
      <c r="C303" s="21" t="s">
        <v>429</v>
      </c>
      <c r="D303" s="22"/>
      <c r="E303" s="9"/>
      <c r="F303" s="24">
        <f>Source!AM146</f>
        <v>984.27</v>
      </c>
      <c r="G303" s="23" t="str">
        <f>Source!DE146</f>
        <v/>
      </c>
      <c r="H303" s="9">
        <f>Source!AV146</f>
        <v>1</v>
      </c>
      <c r="I303" s="9">
        <f>IF(Source!BB146&lt;&gt; 0, Source!BB146, 1)</f>
        <v>1</v>
      </c>
      <c r="J303" s="25">
        <f>Source!Q146</f>
        <v>246.07</v>
      </c>
      <c r="K303" s="25"/>
    </row>
    <row r="304" spans="1:22" ht="14.25" x14ac:dyDescent="0.2">
      <c r="A304" s="20"/>
      <c r="B304" s="21"/>
      <c r="C304" s="21" t="s">
        <v>430</v>
      </c>
      <c r="D304" s="22"/>
      <c r="E304" s="9"/>
      <c r="F304" s="24">
        <f>Source!AN146</f>
        <v>437.12</v>
      </c>
      <c r="G304" s="23" t="str">
        <f>Source!DF146</f>
        <v/>
      </c>
      <c r="H304" s="9">
        <f>Source!AV146</f>
        <v>1</v>
      </c>
      <c r="I304" s="9">
        <f>IF(Source!BS146&lt;&gt; 0, Source!BS146, 1)</f>
        <v>1</v>
      </c>
      <c r="J304" s="30">
        <f>Source!R146</f>
        <v>109.28</v>
      </c>
      <c r="K304" s="25"/>
    </row>
    <row r="305" spans="1:22" ht="14.25" x14ac:dyDescent="0.2">
      <c r="A305" s="20"/>
      <c r="B305" s="21"/>
      <c r="C305" s="21" t="s">
        <v>431</v>
      </c>
      <c r="D305" s="22"/>
      <c r="E305" s="9"/>
      <c r="F305" s="24">
        <f>Source!AL146</f>
        <v>5689</v>
      </c>
      <c r="G305" s="23" t="str">
        <f>Source!DD146</f>
        <v/>
      </c>
      <c r="H305" s="9">
        <f>Source!AW146</f>
        <v>1</v>
      </c>
      <c r="I305" s="9">
        <f>IF(Source!BC146&lt;&gt; 0, Source!BC146, 1)</f>
        <v>1</v>
      </c>
      <c r="J305" s="25">
        <f>Source!P146</f>
        <v>1422.25</v>
      </c>
      <c r="K305" s="25"/>
    </row>
    <row r="306" spans="1:22" ht="28.5" x14ac:dyDescent="0.2">
      <c r="A306" s="20" t="str">
        <f>Source!E147</f>
        <v>33,1</v>
      </c>
      <c r="B306" s="21" t="str">
        <f>Source!F147</f>
        <v>21.1-6-58</v>
      </c>
      <c r="C306" s="21" t="str">
        <f>Source!G147</f>
        <v>Краски фасадные перхлорвиниловые, марка ХВ-161 "Б" (цветная)</v>
      </c>
      <c r="D306" s="22" t="str">
        <f>Source!H147</f>
        <v>т</v>
      </c>
      <c r="E306" s="9">
        <f>Source!I147</f>
        <v>1.345E-2</v>
      </c>
      <c r="F306" s="24">
        <f>Source!AK147</f>
        <v>110447.55</v>
      </c>
      <c r="G306" s="31" t="s">
        <v>3</v>
      </c>
      <c r="H306" s="9">
        <f>Source!AW147</f>
        <v>1</v>
      </c>
      <c r="I306" s="9">
        <f>IF(Source!BC147&lt;&gt; 0, Source!BC147, 1)</f>
        <v>1</v>
      </c>
      <c r="J306" s="25">
        <f>Source!O147</f>
        <v>1485.52</v>
      </c>
      <c r="K306" s="25"/>
      <c r="Q306">
        <f>ROUND((Source!BZ147/100)*ROUND((Source!AF147*Source!AV147)*Source!I147, 2), 2)</f>
        <v>0</v>
      </c>
      <c r="R306">
        <f>Source!X147</f>
        <v>0</v>
      </c>
      <c r="S306">
        <f>ROUND((Source!CA147/100)*ROUND((Source!AF147*Source!AV147)*Source!I147, 2), 2)</f>
        <v>0</v>
      </c>
      <c r="T306">
        <f>Source!Y147</f>
        <v>0</v>
      </c>
      <c r="U306">
        <f>ROUND((175/100)*ROUND((Source!AE147*Source!AV147)*Source!I147, 2), 2)</f>
        <v>0</v>
      </c>
      <c r="V306">
        <f>ROUND((108/100)*ROUND(Source!CS147*Source!I147, 2), 2)</f>
        <v>0</v>
      </c>
    </row>
    <row r="307" spans="1:22" ht="28.5" x14ac:dyDescent="0.2">
      <c r="A307" s="20" t="str">
        <f>Source!E148</f>
        <v>33,2</v>
      </c>
      <c r="B307" s="21" t="str">
        <f>Source!F148</f>
        <v>21.1-6-55</v>
      </c>
      <c r="C307" s="21" t="str">
        <f>Source!G148</f>
        <v>Краски фасадные перхлорвиниловые, марка ХВ-161 (белая)</v>
      </c>
      <c r="D307" s="22" t="str">
        <f>Source!H148</f>
        <v>т</v>
      </c>
      <c r="E307" s="9">
        <f>Source!I148</f>
        <v>-1.345E-2</v>
      </c>
      <c r="F307" s="24">
        <f>Source!AK148</f>
        <v>103647.55</v>
      </c>
      <c r="G307" s="31" t="s">
        <v>3</v>
      </c>
      <c r="H307" s="9">
        <f>Source!AW148</f>
        <v>1</v>
      </c>
      <c r="I307" s="9">
        <f>IF(Source!BC148&lt;&gt; 0, Source!BC148, 1)</f>
        <v>1</v>
      </c>
      <c r="J307" s="25">
        <f>Source!O148</f>
        <v>-1394.06</v>
      </c>
      <c r="K307" s="25"/>
      <c r="Q307">
        <f>ROUND((Source!BZ148/100)*ROUND((Source!AF148*Source!AV148)*Source!I148, 2), 2)</f>
        <v>0</v>
      </c>
      <c r="R307">
        <f>Source!X148</f>
        <v>0</v>
      </c>
      <c r="S307">
        <f>ROUND((Source!CA148/100)*ROUND((Source!AF148*Source!AV148)*Source!I148, 2), 2)</f>
        <v>0</v>
      </c>
      <c r="T307">
        <f>Source!Y148</f>
        <v>0</v>
      </c>
      <c r="U307">
        <f>ROUND((175/100)*ROUND((Source!AE148*Source!AV148)*Source!I148, 2), 2)</f>
        <v>0</v>
      </c>
      <c r="V307">
        <f>ROUND((108/100)*ROUND(Source!CS148*Source!I148, 2), 2)</f>
        <v>0</v>
      </c>
    </row>
    <row r="308" spans="1:22" ht="14.25" x14ac:dyDescent="0.2">
      <c r="A308" s="20"/>
      <c r="B308" s="21"/>
      <c r="C308" s="21" t="s">
        <v>424</v>
      </c>
      <c r="D308" s="22" t="s">
        <v>425</v>
      </c>
      <c r="E308" s="9">
        <f>Source!AT146</f>
        <v>70</v>
      </c>
      <c r="F308" s="24"/>
      <c r="G308" s="23"/>
      <c r="H308" s="9"/>
      <c r="I308" s="9"/>
      <c r="J308" s="25">
        <f>SUM(R301:R307)</f>
        <v>499.99</v>
      </c>
      <c r="K308" s="25"/>
    </row>
    <row r="309" spans="1:22" ht="14.25" x14ac:dyDescent="0.2">
      <c r="A309" s="20"/>
      <c r="B309" s="21"/>
      <c r="C309" s="21" t="s">
        <v>426</v>
      </c>
      <c r="D309" s="22" t="s">
        <v>425</v>
      </c>
      <c r="E309" s="9">
        <f>Source!AU146</f>
        <v>10</v>
      </c>
      <c r="F309" s="24"/>
      <c r="G309" s="23"/>
      <c r="H309" s="9"/>
      <c r="I309" s="9"/>
      <c r="J309" s="25">
        <f>SUM(T301:T308)</f>
        <v>71.430000000000007</v>
      </c>
      <c r="K309" s="25"/>
    </row>
    <row r="310" spans="1:22" ht="14.25" x14ac:dyDescent="0.2">
      <c r="A310" s="20"/>
      <c r="B310" s="21"/>
      <c r="C310" s="21" t="s">
        <v>432</v>
      </c>
      <c r="D310" s="22" t="s">
        <v>425</v>
      </c>
      <c r="E310" s="9">
        <f>108</f>
        <v>108</v>
      </c>
      <c r="F310" s="24"/>
      <c r="G310" s="23"/>
      <c r="H310" s="9"/>
      <c r="I310" s="9"/>
      <c r="J310" s="25">
        <f>SUM(V301:V309)</f>
        <v>118.02</v>
      </c>
      <c r="K310" s="25"/>
    </row>
    <row r="311" spans="1:22" ht="14.25" x14ac:dyDescent="0.2">
      <c r="A311" s="20"/>
      <c r="B311" s="21"/>
      <c r="C311" s="21" t="s">
        <v>427</v>
      </c>
      <c r="D311" s="22" t="s">
        <v>428</v>
      </c>
      <c r="E311" s="9">
        <f>Source!AQ146</f>
        <v>11.6</v>
      </c>
      <c r="F311" s="24"/>
      <c r="G311" s="23" t="str">
        <f>Source!DI146</f>
        <v/>
      </c>
      <c r="H311" s="9">
        <f>Source!AV146</f>
        <v>1</v>
      </c>
      <c r="I311" s="9"/>
      <c r="J311" s="25"/>
      <c r="K311" s="25">
        <f>Source!U146</f>
        <v>2.9</v>
      </c>
    </row>
    <row r="312" spans="1:22" ht="15" x14ac:dyDescent="0.25">
      <c r="A312" s="28"/>
      <c r="B312" s="28"/>
      <c r="C312" s="28"/>
      <c r="D312" s="28"/>
      <c r="E312" s="28"/>
      <c r="F312" s="28"/>
      <c r="G312" s="28"/>
      <c r="H312" s="28"/>
      <c r="I312" s="64">
        <f>J302+J303+J305+J308+J309+J310+SUM(J306:J307)</f>
        <v>3163.49</v>
      </c>
      <c r="J312" s="64"/>
      <c r="K312" s="29">
        <f>IF(Source!I146&lt;&gt;0, ROUND(I312/Source!I146, 2), 0)</f>
        <v>12653.96</v>
      </c>
      <c r="P312" s="26">
        <f>I312</f>
        <v>3163.49</v>
      </c>
    </row>
    <row r="313" spans="1:22" ht="42.75" x14ac:dyDescent="0.2">
      <c r="A313" s="20" t="str">
        <f>Source!E149</f>
        <v>34</v>
      </c>
      <c r="B313" s="21" t="str">
        <f>Source!F149</f>
        <v>1.7-3203-7-1/1</v>
      </c>
      <c r="C313" s="21" t="str">
        <f>Source!G149</f>
        <v>Устройство мелких покрытий (брандмауэры, парапеты, свесы и т.п.) из листовой оцинкованной стали</v>
      </c>
      <c r="D313" s="22" t="str">
        <f>Source!H149</f>
        <v>100 м2</v>
      </c>
      <c r="E313" s="9">
        <f>Source!I149</f>
        <v>2.8000000000000001E-2</v>
      </c>
      <c r="F313" s="24"/>
      <c r="G313" s="23"/>
      <c r="H313" s="9"/>
      <c r="I313" s="9"/>
      <c r="J313" s="25"/>
      <c r="K313" s="25"/>
      <c r="Q313">
        <f>ROUND((Source!BZ149/100)*ROUND((Source!AF149*Source!AV149)*Source!I149, 2), 2)</f>
        <v>442.91</v>
      </c>
      <c r="R313">
        <f>Source!X149</f>
        <v>442.91</v>
      </c>
      <c r="S313">
        <f>ROUND((Source!CA149/100)*ROUND((Source!AF149*Source!AV149)*Source!I149, 2), 2)</f>
        <v>63.27</v>
      </c>
      <c r="T313">
        <f>Source!Y149</f>
        <v>63.27</v>
      </c>
      <c r="U313">
        <f>ROUND((175/100)*ROUND((Source!AE149*Source!AV149)*Source!I149, 2), 2)</f>
        <v>0</v>
      </c>
      <c r="V313">
        <f>ROUND((108/100)*ROUND(Source!CS149*Source!I149, 2), 2)</f>
        <v>0</v>
      </c>
    </row>
    <row r="314" spans="1:22" ht="14.25" x14ac:dyDescent="0.2">
      <c r="A314" s="20"/>
      <c r="B314" s="21"/>
      <c r="C314" s="21" t="s">
        <v>423</v>
      </c>
      <c r="D314" s="22"/>
      <c r="E314" s="9"/>
      <c r="F314" s="24">
        <f>Source!AO149</f>
        <v>22597.45</v>
      </c>
      <c r="G314" s="23" t="str">
        <f>Source!DG149</f>
        <v/>
      </c>
      <c r="H314" s="9">
        <f>Source!AV149</f>
        <v>1</v>
      </c>
      <c r="I314" s="9">
        <f>IF(Source!BA149&lt;&gt; 0, Source!BA149, 1)</f>
        <v>1</v>
      </c>
      <c r="J314" s="25">
        <f>Source!S149</f>
        <v>632.73</v>
      </c>
      <c r="K314" s="25"/>
    </row>
    <row r="315" spans="1:22" ht="14.25" x14ac:dyDescent="0.2">
      <c r="A315" s="20"/>
      <c r="B315" s="21"/>
      <c r="C315" s="21" t="s">
        <v>431</v>
      </c>
      <c r="D315" s="22"/>
      <c r="E315" s="9"/>
      <c r="F315" s="24">
        <f>Source!AL149</f>
        <v>29705.57</v>
      </c>
      <c r="G315" s="23" t="str">
        <f>Source!DD149</f>
        <v/>
      </c>
      <c r="H315" s="9">
        <f>Source!AW149</f>
        <v>1</v>
      </c>
      <c r="I315" s="9">
        <f>IF(Source!BC149&lt;&gt; 0, Source!BC149, 1)</f>
        <v>1</v>
      </c>
      <c r="J315" s="25">
        <f>Source!P149</f>
        <v>831.76</v>
      </c>
      <c r="K315" s="25"/>
    </row>
    <row r="316" spans="1:22" ht="14.25" x14ac:dyDescent="0.2">
      <c r="A316" s="20"/>
      <c r="B316" s="21"/>
      <c r="C316" s="21" t="s">
        <v>424</v>
      </c>
      <c r="D316" s="22" t="s">
        <v>425</v>
      </c>
      <c r="E316" s="9">
        <f>Source!AT149</f>
        <v>70</v>
      </c>
      <c r="F316" s="24"/>
      <c r="G316" s="23"/>
      <c r="H316" s="9"/>
      <c r="I316" s="9"/>
      <c r="J316" s="25">
        <f>SUM(R313:R315)</f>
        <v>442.91</v>
      </c>
      <c r="K316" s="25"/>
    </row>
    <row r="317" spans="1:22" ht="14.25" x14ac:dyDescent="0.2">
      <c r="A317" s="20"/>
      <c r="B317" s="21"/>
      <c r="C317" s="21" t="s">
        <v>426</v>
      </c>
      <c r="D317" s="22" t="s">
        <v>425</v>
      </c>
      <c r="E317" s="9">
        <f>Source!AU149</f>
        <v>10</v>
      </c>
      <c r="F317" s="24"/>
      <c r="G317" s="23"/>
      <c r="H317" s="9"/>
      <c r="I317" s="9"/>
      <c r="J317" s="25">
        <f>SUM(T313:T316)</f>
        <v>63.27</v>
      </c>
      <c r="K317" s="25"/>
    </row>
    <row r="318" spans="1:22" ht="14.25" x14ac:dyDescent="0.2">
      <c r="A318" s="20"/>
      <c r="B318" s="21"/>
      <c r="C318" s="21" t="s">
        <v>427</v>
      </c>
      <c r="D318" s="22" t="s">
        <v>428</v>
      </c>
      <c r="E318" s="9">
        <f>Source!AQ149</f>
        <v>111.78</v>
      </c>
      <c r="F318" s="24"/>
      <c r="G318" s="23" t="str">
        <f>Source!DI149</f>
        <v/>
      </c>
      <c r="H318" s="9">
        <f>Source!AV149</f>
        <v>1</v>
      </c>
      <c r="I318" s="9"/>
      <c r="J318" s="25"/>
      <c r="K318" s="25">
        <f>Source!U149</f>
        <v>3.1298400000000002</v>
      </c>
    </row>
    <row r="319" spans="1:22" ht="15" x14ac:dyDescent="0.25">
      <c r="A319" s="28"/>
      <c r="B319" s="28"/>
      <c r="C319" s="28"/>
      <c r="D319" s="28"/>
      <c r="E319" s="28"/>
      <c r="F319" s="28"/>
      <c r="G319" s="28"/>
      <c r="H319" s="28"/>
      <c r="I319" s="64">
        <f>J314+J315+J316+J317</f>
        <v>1970.67</v>
      </c>
      <c r="J319" s="64"/>
      <c r="K319" s="29">
        <f>IF(Source!I149&lt;&gt;0, ROUND(I319/Source!I149, 2), 0)</f>
        <v>70381.070000000007</v>
      </c>
      <c r="P319" s="26">
        <f>I319</f>
        <v>1970.67</v>
      </c>
    </row>
    <row r="320" spans="1:22" ht="57" x14ac:dyDescent="0.2">
      <c r="A320" s="20" t="str">
        <f>Source!E150</f>
        <v>35</v>
      </c>
      <c r="B320" s="21" t="str">
        <f>Source!F150</f>
        <v>5.3-3203-2-1/1</v>
      </c>
      <c r="C320" s="21" t="str">
        <f>Source!G150</f>
        <v>Изготовление и установка секций металлического ограждения, калиток, ворот из профилированной трубы, масса секции до 150 кг</v>
      </c>
      <c r="D320" s="22" t="str">
        <f>Source!H150</f>
        <v>м2</v>
      </c>
      <c r="E320" s="9">
        <f>Source!I150</f>
        <v>108.2</v>
      </c>
      <c r="F320" s="24"/>
      <c r="G320" s="23"/>
      <c r="H320" s="9"/>
      <c r="I320" s="9"/>
      <c r="J320" s="25"/>
      <c r="K320" s="25"/>
      <c r="Q320">
        <f>ROUND((Source!BZ150/100)*ROUND((Source!AF150*Source!AV150)*Source!I150, 2), 2)</f>
        <v>60220.87</v>
      </c>
      <c r="R320">
        <f>Source!X150</f>
        <v>60220.87</v>
      </c>
      <c r="S320">
        <f>ROUND((Source!CA150/100)*ROUND((Source!AF150*Source!AV150)*Source!I150, 2), 2)</f>
        <v>8602.98</v>
      </c>
      <c r="T320">
        <f>Source!Y150</f>
        <v>8602.98</v>
      </c>
      <c r="U320">
        <f>ROUND((175/100)*ROUND((Source!AE150*Source!AV150)*Source!I150, 2), 2)</f>
        <v>56043.82</v>
      </c>
      <c r="V320">
        <f>ROUND((108/100)*ROUND(Source!CS150*Source!I150, 2), 2)</f>
        <v>34587.040000000001</v>
      </c>
    </row>
    <row r="321" spans="1:22" ht="14.25" x14ac:dyDescent="0.2">
      <c r="A321" s="20"/>
      <c r="B321" s="21"/>
      <c r="C321" s="21" t="s">
        <v>423</v>
      </c>
      <c r="D321" s="22"/>
      <c r="E321" s="9"/>
      <c r="F321" s="24">
        <f>Source!AO150</f>
        <v>795.1</v>
      </c>
      <c r="G321" s="23" t="str">
        <f>Source!DG150</f>
        <v/>
      </c>
      <c r="H321" s="9">
        <f>Source!AV150</f>
        <v>1</v>
      </c>
      <c r="I321" s="9">
        <f>IF(Source!BA150&lt;&gt; 0, Source!BA150, 1)</f>
        <v>1</v>
      </c>
      <c r="J321" s="25">
        <f>Source!S150</f>
        <v>86029.82</v>
      </c>
      <c r="K321" s="25"/>
    </row>
    <row r="322" spans="1:22" ht="14.25" x14ac:dyDescent="0.2">
      <c r="A322" s="20"/>
      <c r="B322" s="21"/>
      <c r="C322" s="21" t="s">
        <v>429</v>
      </c>
      <c r="D322" s="22"/>
      <c r="E322" s="9"/>
      <c r="F322" s="24">
        <f>Source!AM150</f>
        <v>464.27</v>
      </c>
      <c r="G322" s="23" t="str">
        <f>Source!DE150</f>
        <v/>
      </c>
      <c r="H322" s="9">
        <f>Source!AV150</f>
        <v>1</v>
      </c>
      <c r="I322" s="9">
        <f>IF(Source!BB150&lt;&gt; 0, Source!BB150, 1)</f>
        <v>1</v>
      </c>
      <c r="J322" s="25">
        <f>Source!Q150</f>
        <v>50234.01</v>
      </c>
      <c r="K322" s="25"/>
    </row>
    <row r="323" spans="1:22" ht="14.25" x14ac:dyDescent="0.2">
      <c r="A323" s="20"/>
      <c r="B323" s="21"/>
      <c r="C323" s="21" t="s">
        <v>430</v>
      </c>
      <c r="D323" s="22"/>
      <c r="E323" s="9"/>
      <c r="F323" s="24">
        <f>Source!AN150</f>
        <v>295.98</v>
      </c>
      <c r="G323" s="23" t="str">
        <f>Source!DF150</f>
        <v/>
      </c>
      <c r="H323" s="9">
        <f>Source!AV150</f>
        <v>1</v>
      </c>
      <c r="I323" s="9">
        <f>IF(Source!BS150&lt;&gt; 0, Source!BS150, 1)</f>
        <v>1</v>
      </c>
      <c r="J323" s="30">
        <f>Source!R150</f>
        <v>32025.040000000001</v>
      </c>
      <c r="K323" s="25"/>
    </row>
    <row r="324" spans="1:22" ht="14.25" x14ac:dyDescent="0.2">
      <c r="A324" s="20"/>
      <c r="B324" s="21"/>
      <c r="C324" s="21" t="s">
        <v>431</v>
      </c>
      <c r="D324" s="22"/>
      <c r="E324" s="9"/>
      <c r="F324" s="24">
        <f>Source!AL150</f>
        <v>5687.37</v>
      </c>
      <c r="G324" s="23" t="str">
        <f>Source!DD150</f>
        <v/>
      </c>
      <c r="H324" s="9">
        <f>Source!AW150</f>
        <v>1</v>
      </c>
      <c r="I324" s="9">
        <f>IF(Source!BC150&lt;&gt; 0, Source!BC150, 1)</f>
        <v>1</v>
      </c>
      <c r="J324" s="25">
        <f>Source!P150</f>
        <v>615373.43000000005</v>
      </c>
      <c r="K324" s="25"/>
    </row>
    <row r="325" spans="1:22" ht="71.25" x14ac:dyDescent="0.2">
      <c r="A325" s="20" t="str">
        <f>Source!E151</f>
        <v>35,1</v>
      </c>
      <c r="B325" s="21" t="str">
        <f>Source!F151</f>
        <v>21.1-10-47</v>
      </c>
      <c r="C325" s="21" t="str">
        <f>Source!G151</f>
        <v>Профили стальные электросварные квадратного сечения трубчатые, размер стороны 80 мм, толщина стенки 3-6 мм (толщ.4 мм, расход 9,33 кг/м.п., L=69,0 м.п.)</v>
      </c>
      <c r="D325" s="22" t="str">
        <f>Source!H151</f>
        <v>т</v>
      </c>
      <c r="E325" s="9">
        <f>Source!I151</f>
        <v>0.64376999999999995</v>
      </c>
      <c r="F325" s="24">
        <f>Source!AK151</f>
        <v>37329.29</v>
      </c>
      <c r="G325" s="31" t="s">
        <v>3</v>
      </c>
      <c r="H325" s="9">
        <f>Source!AW151</f>
        <v>1</v>
      </c>
      <c r="I325" s="9">
        <f>IF(Source!BC151&lt;&gt; 0, Source!BC151, 1)</f>
        <v>1</v>
      </c>
      <c r="J325" s="25">
        <f>Source!O151</f>
        <v>24031.48</v>
      </c>
      <c r="K325" s="25"/>
      <c r="Q325">
        <f>ROUND((Source!BZ151/100)*ROUND((Source!AF151*Source!AV151)*Source!I151, 2), 2)</f>
        <v>0</v>
      </c>
      <c r="R325">
        <f>Source!X151</f>
        <v>0</v>
      </c>
      <c r="S325">
        <f>ROUND((Source!CA151/100)*ROUND((Source!AF151*Source!AV151)*Source!I151, 2), 2)</f>
        <v>0</v>
      </c>
      <c r="T325">
        <f>Source!Y151</f>
        <v>0</v>
      </c>
      <c r="U325">
        <f>ROUND((175/100)*ROUND((Source!AE151*Source!AV151)*Source!I151, 2), 2)</f>
        <v>0</v>
      </c>
      <c r="V325">
        <f>ROUND((108/100)*ROUND(Source!CS151*Source!I151, 2), 2)</f>
        <v>0</v>
      </c>
    </row>
    <row r="326" spans="1:22" ht="57" x14ac:dyDescent="0.2">
      <c r="A326" s="20" t="str">
        <f>Source!E152</f>
        <v>35,2</v>
      </c>
      <c r="B326" s="21" t="str">
        <f>Source!F152</f>
        <v>21.1-10-111</v>
      </c>
      <c r="C326" s="21" t="str">
        <f>Source!G152</f>
        <v>Профили стальные электросварные прямоугольного сечения трубчатые, размер 40х60 мм, толщина стенки 3,0 мм (расход 4,30 кг/м.п., L=192,6 м.п.)</v>
      </c>
      <c r="D326" s="22" t="str">
        <f>Source!H152</f>
        <v>т</v>
      </c>
      <c r="E326" s="9">
        <f>Source!I152</f>
        <v>0.82818000000000003</v>
      </c>
      <c r="F326" s="24">
        <f>Source!AK152</f>
        <v>32819.879999999997</v>
      </c>
      <c r="G326" s="31" t="s">
        <v>3</v>
      </c>
      <c r="H326" s="9">
        <f>Source!AW152</f>
        <v>1</v>
      </c>
      <c r="I326" s="9">
        <f>IF(Source!BC152&lt;&gt; 0, Source!BC152, 1)</f>
        <v>1</v>
      </c>
      <c r="J326" s="25">
        <f>Source!O152</f>
        <v>27180.77</v>
      </c>
      <c r="K326" s="25"/>
      <c r="Q326">
        <f>ROUND((Source!BZ152/100)*ROUND((Source!AF152*Source!AV152)*Source!I152, 2), 2)</f>
        <v>0</v>
      </c>
      <c r="R326">
        <f>Source!X152</f>
        <v>0</v>
      </c>
      <c r="S326">
        <f>ROUND((Source!CA152/100)*ROUND((Source!AF152*Source!AV152)*Source!I152, 2), 2)</f>
        <v>0</v>
      </c>
      <c r="T326">
        <f>Source!Y152</f>
        <v>0</v>
      </c>
      <c r="U326">
        <f>ROUND((175/100)*ROUND((Source!AE152*Source!AV152)*Source!I152, 2), 2)</f>
        <v>0</v>
      </c>
      <c r="V326">
        <f>ROUND((108/100)*ROUND(Source!CS152*Source!I152, 2), 2)</f>
        <v>0</v>
      </c>
    </row>
    <row r="327" spans="1:22" ht="71.25" x14ac:dyDescent="0.2">
      <c r="A327" s="20" t="str">
        <f>Source!E153</f>
        <v>35,3</v>
      </c>
      <c r="B327" s="21" t="str">
        <f>Source!F153</f>
        <v>21.1-10-34</v>
      </c>
      <c r="C327" s="21" t="str">
        <f>Source!G153</f>
        <v>Профили стальные электросварные квадратного сечения трубчатые, размер стороны 20 мм, толщина стенки 2 мм (расход 1,075 кг/м.п., L=1666,8 м.п.)</v>
      </c>
      <c r="D327" s="22" t="str">
        <f>Source!H153</f>
        <v>т</v>
      </c>
      <c r="E327" s="9">
        <f>Source!I153</f>
        <v>1.7918099999999999</v>
      </c>
      <c r="F327" s="24">
        <f>Source!AK153</f>
        <v>40597.550000000003</v>
      </c>
      <c r="G327" s="31" t="s">
        <v>3</v>
      </c>
      <c r="H327" s="9">
        <f>Source!AW153</f>
        <v>1</v>
      </c>
      <c r="I327" s="9">
        <f>IF(Source!BC153&lt;&gt; 0, Source!BC153, 1)</f>
        <v>1</v>
      </c>
      <c r="J327" s="25">
        <f>Source!O153</f>
        <v>72743.100000000006</v>
      </c>
      <c r="K327" s="25"/>
      <c r="Q327">
        <f>ROUND((Source!BZ153/100)*ROUND((Source!AF153*Source!AV153)*Source!I153, 2), 2)</f>
        <v>0</v>
      </c>
      <c r="R327">
        <f>Source!X153</f>
        <v>0</v>
      </c>
      <c r="S327">
        <f>ROUND((Source!CA153/100)*ROUND((Source!AF153*Source!AV153)*Source!I153, 2), 2)</f>
        <v>0</v>
      </c>
      <c r="T327">
        <f>Source!Y153</f>
        <v>0</v>
      </c>
      <c r="U327">
        <f>ROUND((175/100)*ROUND((Source!AE153*Source!AV153)*Source!I153, 2), 2)</f>
        <v>0</v>
      </c>
      <c r="V327">
        <f>ROUND((108/100)*ROUND(Source!CS153*Source!I153, 2), 2)</f>
        <v>0</v>
      </c>
    </row>
    <row r="328" spans="1:22" ht="42.75" x14ac:dyDescent="0.2">
      <c r="A328" s="20" t="str">
        <f>Source!E154</f>
        <v>35,4</v>
      </c>
      <c r="B328" s="21" t="str">
        <f>Source!F154</f>
        <v>Цена поставщика</v>
      </c>
      <c r="C328" s="21" t="s">
        <v>433</v>
      </c>
      <c r="D328" s="22" t="str">
        <f>Source!H154</f>
        <v>ШТ</v>
      </c>
      <c r="E328" s="9">
        <f>Source!I154</f>
        <v>23</v>
      </c>
      <c r="F328" s="24">
        <f>Source!AK154</f>
        <v>37.5</v>
      </c>
      <c r="G328" s="31" t="s">
        <v>3</v>
      </c>
      <c r="H328" s="9">
        <f>Source!AW154</f>
        <v>1</v>
      </c>
      <c r="I328" s="9">
        <f>IF(Source!BC154&lt;&gt; 0, Source!BC154, 1)</f>
        <v>1</v>
      </c>
      <c r="J328" s="25">
        <f>Source!O154</f>
        <v>862.5</v>
      </c>
      <c r="K328" s="25"/>
      <c r="Q328">
        <f>ROUND((Source!BZ154/100)*ROUND((Source!AF154*Source!AV154)*Source!I154, 2), 2)</f>
        <v>0</v>
      </c>
      <c r="R328">
        <f>Source!X154</f>
        <v>0</v>
      </c>
      <c r="S328">
        <f>ROUND((Source!CA154/100)*ROUND((Source!AF154*Source!AV154)*Source!I154, 2), 2)</f>
        <v>0</v>
      </c>
      <c r="T328">
        <f>Source!Y154</f>
        <v>0</v>
      </c>
      <c r="U328">
        <f>ROUND((175/100)*ROUND((Source!AE154*Source!AV154)*Source!I154, 2), 2)</f>
        <v>0</v>
      </c>
      <c r="V328">
        <f>ROUND((108/100)*ROUND(Source!CS154*Source!I154, 2), 2)</f>
        <v>0</v>
      </c>
    </row>
    <row r="329" spans="1:22" ht="42.75" x14ac:dyDescent="0.2">
      <c r="A329" s="20" t="str">
        <f>Source!E155</f>
        <v>35,5</v>
      </c>
      <c r="B329" s="21" t="str">
        <f>Source!F155</f>
        <v>Цена поставщика</v>
      </c>
      <c r="C329" s="21" t="s">
        <v>434</v>
      </c>
      <c r="D329" s="22" t="str">
        <f>Source!H155</f>
        <v>ШТ</v>
      </c>
      <c r="E329" s="9">
        <f>Source!I155</f>
        <v>84</v>
      </c>
      <c r="F329" s="24">
        <f>Source!AK155</f>
        <v>16.53</v>
      </c>
      <c r="G329" s="31" t="s">
        <v>3</v>
      </c>
      <c r="H329" s="9">
        <f>Source!AW155</f>
        <v>1</v>
      </c>
      <c r="I329" s="9">
        <f>IF(Source!BC155&lt;&gt; 0, Source!BC155, 1)</f>
        <v>1</v>
      </c>
      <c r="J329" s="25">
        <f>Source!O155</f>
        <v>1388.52</v>
      </c>
      <c r="K329" s="25"/>
      <c r="Q329">
        <f>ROUND((Source!BZ155/100)*ROUND((Source!AF155*Source!AV155)*Source!I155, 2), 2)</f>
        <v>0</v>
      </c>
      <c r="R329">
        <f>Source!X155</f>
        <v>0</v>
      </c>
      <c r="S329">
        <f>ROUND((Source!CA155/100)*ROUND((Source!AF155*Source!AV155)*Source!I155, 2), 2)</f>
        <v>0</v>
      </c>
      <c r="T329">
        <f>Source!Y155</f>
        <v>0</v>
      </c>
      <c r="U329">
        <f>ROUND((175/100)*ROUND((Source!AE155*Source!AV155)*Source!I155, 2), 2)</f>
        <v>0</v>
      </c>
      <c r="V329">
        <f>ROUND((108/100)*ROUND(Source!CS155*Source!I155, 2), 2)</f>
        <v>0</v>
      </c>
    </row>
    <row r="330" spans="1:22" ht="42.75" x14ac:dyDescent="0.2">
      <c r="A330" s="20" t="str">
        <f>Source!E156</f>
        <v>35,6</v>
      </c>
      <c r="B330" s="21" t="str">
        <f>Source!F156</f>
        <v>Цена поставщика</v>
      </c>
      <c r="C330" s="21" t="s">
        <v>437</v>
      </c>
      <c r="D330" s="22" t="str">
        <f>Source!H156</f>
        <v>ШТ</v>
      </c>
      <c r="E330" s="9">
        <f>Source!I156</f>
        <v>3.9999999999999996</v>
      </c>
      <c r="F330" s="24">
        <f>Source!AK156</f>
        <v>220.78</v>
      </c>
      <c r="G330" s="31" t="s">
        <v>3</v>
      </c>
      <c r="H330" s="9">
        <f>Source!AW156</f>
        <v>1</v>
      </c>
      <c r="I330" s="9">
        <f>IF(Source!BC156&lt;&gt; 0, Source!BC156, 1)</f>
        <v>1</v>
      </c>
      <c r="J330" s="25">
        <f>Source!O156</f>
        <v>883.12</v>
      </c>
      <c r="K330" s="25"/>
      <c r="Q330">
        <f>ROUND((Source!BZ156/100)*ROUND((Source!AF156*Source!AV156)*Source!I156, 2), 2)</f>
        <v>0</v>
      </c>
      <c r="R330">
        <f>Source!X156</f>
        <v>0</v>
      </c>
      <c r="S330">
        <f>ROUND((Source!CA156/100)*ROUND((Source!AF156*Source!AV156)*Source!I156, 2), 2)</f>
        <v>0</v>
      </c>
      <c r="T330">
        <f>Source!Y156</f>
        <v>0</v>
      </c>
      <c r="U330">
        <f>ROUND((175/100)*ROUND((Source!AE156*Source!AV156)*Source!I156, 2), 2)</f>
        <v>0</v>
      </c>
      <c r="V330">
        <f>ROUND((108/100)*ROUND(Source!CS156*Source!I156, 2), 2)</f>
        <v>0</v>
      </c>
    </row>
    <row r="331" spans="1:22" ht="42.75" x14ac:dyDescent="0.2">
      <c r="A331" s="20" t="str">
        <f>Source!E157</f>
        <v>35,7</v>
      </c>
      <c r="B331" s="21" t="str">
        <f>Source!F157</f>
        <v>Цена поставщика</v>
      </c>
      <c r="C331" s="21" t="s">
        <v>438</v>
      </c>
      <c r="D331" s="22" t="str">
        <f>Source!H157</f>
        <v>ШТ</v>
      </c>
      <c r="E331" s="9">
        <f>Source!I157</f>
        <v>0.99999999999999989</v>
      </c>
      <c r="F331" s="24">
        <f>Source!AK157</f>
        <v>674.17</v>
      </c>
      <c r="G331" s="31" t="s">
        <v>3</v>
      </c>
      <c r="H331" s="9">
        <f>Source!AW157</f>
        <v>1</v>
      </c>
      <c r="I331" s="9">
        <f>IF(Source!BC157&lt;&gt; 0, Source!BC157, 1)</f>
        <v>1</v>
      </c>
      <c r="J331" s="25">
        <f>Source!O157</f>
        <v>674.17</v>
      </c>
      <c r="K331" s="25"/>
      <c r="Q331">
        <f>ROUND((Source!BZ157/100)*ROUND((Source!AF157*Source!AV157)*Source!I157, 2), 2)</f>
        <v>0</v>
      </c>
      <c r="R331">
        <f>Source!X157</f>
        <v>0</v>
      </c>
      <c r="S331">
        <f>ROUND((Source!CA157/100)*ROUND((Source!AF157*Source!AV157)*Source!I157, 2), 2)</f>
        <v>0</v>
      </c>
      <c r="T331">
        <f>Source!Y157</f>
        <v>0</v>
      </c>
      <c r="U331">
        <f>ROUND((175/100)*ROUND((Source!AE157*Source!AV157)*Source!I157, 2), 2)</f>
        <v>0</v>
      </c>
      <c r="V331">
        <f>ROUND((108/100)*ROUND(Source!CS157*Source!I157, 2), 2)</f>
        <v>0</v>
      </c>
    </row>
    <row r="332" spans="1:22" ht="57" x14ac:dyDescent="0.2">
      <c r="A332" s="20" t="str">
        <f>Source!E158</f>
        <v>35,8</v>
      </c>
      <c r="B332" s="21" t="str">
        <f>Source!F158</f>
        <v>21.1-10-28</v>
      </c>
      <c r="C332" s="21" t="str">
        <f>Source!G158</f>
        <v>Профили стальные электросварные квадратного сечения трубчатые, размер стороны 40 мм, толщина стенки 2 мм</v>
      </c>
      <c r="D332" s="22" t="str">
        <f>Source!H158</f>
        <v>т</v>
      </c>
      <c r="E332" s="9">
        <f>Source!I158</f>
        <v>-16.1218</v>
      </c>
      <c r="F332" s="24">
        <f>Source!AK158</f>
        <v>37537.54</v>
      </c>
      <c r="G332" s="31" t="s">
        <v>3</v>
      </c>
      <c r="H332" s="9">
        <f>Source!AW158</f>
        <v>1</v>
      </c>
      <c r="I332" s="9">
        <f>IF(Source!BC158&lt;&gt; 0, Source!BC158, 1)</f>
        <v>1</v>
      </c>
      <c r="J332" s="25">
        <f>Source!O158</f>
        <v>-605172.71</v>
      </c>
      <c r="K332" s="25"/>
      <c r="Q332">
        <f>ROUND((Source!BZ158/100)*ROUND((Source!AF158*Source!AV158)*Source!I158, 2), 2)</f>
        <v>0</v>
      </c>
      <c r="R332">
        <f>Source!X158</f>
        <v>0</v>
      </c>
      <c r="S332">
        <f>ROUND((Source!CA158/100)*ROUND((Source!AF158*Source!AV158)*Source!I158, 2), 2)</f>
        <v>0</v>
      </c>
      <c r="T332">
        <f>Source!Y158</f>
        <v>0</v>
      </c>
      <c r="U332">
        <f>ROUND((175/100)*ROUND((Source!AE158*Source!AV158)*Source!I158, 2), 2)</f>
        <v>0</v>
      </c>
      <c r="V332">
        <f>ROUND((108/100)*ROUND(Source!CS158*Source!I158, 2), 2)</f>
        <v>0</v>
      </c>
    </row>
    <row r="333" spans="1:22" ht="14.25" x14ac:dyDescent="0.2">
      <c r="A333" s="20"/>
      <c r="B333" s="21"/>
      <c r="C333" s="21" t="s">
        <v>424</v>
      </c>
      <c r="D333" s="22" t="s">
        <v>425</v>
      </c>
      <c r="E333" s="9">
        <f>Source!AT150</f>
        <v>70</v>
      </c>
      <c r="F333" s="24"/>
      <c r="G333" s="23"/>
      <c r="H333" s="9"/>
      <c r="I333" s="9"/>
      <c r="J333" s="25">
        <f>SUM(R320:R332)</f>
        <v>60220.87</v>
      </c>
      <c r="K333" s="25"/>
    </row>
    <row r="334" spans="1:22" ht="14.25" x14ac:dyDescent="0.2">
      <c r="A334" s="20"/>
      <c r="B334" s="21"/>
      <c r="C334" s="21" t="s">
        <v>426</v>
      </c>
      <c r="D334" s="22" t="s">
        <v>425</v>
      </c>
      <c r="E334" s="9">
        <f>Source!AU150</f>
        <v>10</v>
      </c>
      <c r="F334" s="24"/>
      <c r="G334" s="23"/>
      <c r="H334" s="9"/>
      <c r="I334" s="9"/>
      <c r="J334" s="25">
        <f>SUM(T320:T333)</f>
        <v>8602.98</v>
      </c>
      <c r="K334" s="25"/>
    </row>
    <row r="335" spans="1:22" ht="14.25" x14ac:dyDescent="0.2">
      <c r="A335" s="20"/>
      <c r="B335" s="21"/>
      <c r="C335" s="21" t="s">
        <v>432</v>
      </c>
      <c r="D335" s="22" t="s">
        <v>425</v>
      </c>
      <c r="E335" s="9">
        <f>108</f>
        <v>108</v>
      </c>
      <c r="F335" s="24"/>
      <c r="G335" s="23"/>
      <c r="H335" s="9"/>
      <c r="I335" s="9"/>
      <c r="J335" s="25">
        <f>SUM(V320:V334)</f>
        <v>34587.040000000001</v>
      </c>
      <c r="K335" s="25"/>
    </row>
    <row r="336" spans="1:22" ht="14.25" x14ac:dyDescent="0.2">
      <c r="A336" s="20"/>
      <c r="B336" s="21"/>
      <c r="C336" s="21" t="s">
        <v>427</v>
      </c>
      <c r="D336" s="22" t="s">
        <v>428</v>
      </c>
      <c r="E336" s="9">
        <f>Source!AQ150</f>
        <v>2.97</v>
      </c>
      <c r="F336" s="24"/>
      <c r="G336" s="23" t="str">
        <f>Source!DI150</f>
        <v/>
      </c>
      <c r="H336" s="9">
        <f>Source!AV150</f>
        <v>1</v>
      </c>
      <c r="I336" s="9"/>
      <c r="J336" s="25"/>
      <c r="K336" s="25">
        <f>Source!U150</f>
        <v>321.35400000000004</v>
      </c>
    </row>
    <row r="337" spans="1:22" ht="15" x14ac:dyDescent="0.25">
      <c r="A337" s="28"/>
      <c r="B337" s="28"/>
      <c r="C337" s="28"/>
      <c r="D337" s="28"/>
      <c r="E337" s="28"/>
      <c r="F337" s="28"/>
      <c r="G337" s="28"/>
      <c r="H337" s="28"/>
      <c r="I337" s="64">
        <f>J321+J322+J324+J333+J334+J335+SUM(J325:J332)</f>
        <v>377639.10000000009</v>
      </c>
      <c r="J337" s="64"/>
      <c r="K337" s="29">
        <f>IF(Source!I150&lt;&gt;0, ROUND(I337/Source!I150, 2), 0)</f>
        <v>3490.2</v>
      </c>
      <c r="P337" s="26">
        <f>I337</f>
        <v>377639.10000000009</v>
      </c>
    </row>
    <row r="338" spans="1:22" ht="42.75" x14ac:dyDescent="0.2">
      <c r="A338" s="20" t="str">
        <f>Source!E159</f>
        <v>36</v>
      </c>
      <c r="B338" s="21" t="str">
        <f>Source!F159</f>
        <v>1.13-3205-2-2/1</v>
      </c>
      <c r="C338" s="21" t="str">
        <f>Source!G159</f>
        <v>Антикоррозионная огрунтовка металлических поверхностей грунтовкой ГФ-021 за один раз</v>
      </c>
      <c r="D338" s="22" t="str">
        <f>Source!H159</f>
        <v>100 м2</v>
      </c>
      <c r="E338" s="9">
        <f>Source!I159</f>
        <v>1.0820000000000001</v>
      </c>
      <c r="F338" s="24"/>
      <c r="G338" s="23"/>
      <c r="H338" s="9"/>
      <c r="I338" s="9"/>
      <c r="J338" s="25"/>
      <c r="K338" s="25"/>
      <c r="Q338">
        <f>ROUND((Source!BZ159/100)*ROUND((Source!AF159*Source!AV159)*Source!I159, 2), 2)</f>
        <v>1258.8699999999999</v>
      </c>
      <c r="R338">
        <f>Source!X159</f>
        <v>1258.8699999999999</v>
      </c>
      <c r="S338">
        <f>ROUND((Source!CA159/100)*ROUND((Source!AF159*Source!AV159)*Source!I159, 2), 2)</f>
        <v>179.84</v>
      </c>
      <c r="T338">
        <f>Source!Y159</f>
        <v>179.84</v>
      </c>
      <c r="U338">
        <f>ROUND((175/100)*ROUND((Source!AE159*Source!AV159)*Source!I159, 2), 2)</f>
        <v>94.68</v>
      </c>
      <c r="V338">
        <f>ROUND((108/100)*ROUND(Source!CS159*Source!I159, 2), 2)</f>
        <v>58.43</v>
      </c>
    </row>
    <row r="339" spans="1:22" ht="14.25" x14ac:dyDescent="0.2">
      <c r="A339" s="20"/>
      <c r="B339" s="21"/>
      <c r="C339" s="21" t="s">
        <v>423</v>
      </c>
      <c r="D339" s="22"/>
      <c r="E339" s="9"/>
      <c r="F339" s="24">
        <f>Source!AO159</f>
        <v>1662.1</v>
      </c>
      <c r="G339" s="23" t="str">
        <f>Source!DG159</f>
        <v/>
      </c>
      <c r="H339" s="9">
        <f>Source!AV159</f>
        <v>1</v>
      </c>
      <c r="I339" s="9">
        <f>IF(Source!BA159&lt;&gt; 0, Source!BA159, 1)</f>
        <v>1</v>
      </c>
      <c r="J339" s="25">
        <f>Source!S159</f>
        <v>1798.39</v>
      </c>
      <c r="K339" s="25"/>
    </row>
    <row r="340" spans="1:22" ht="14.25" x14ac:dyDescent="0.2">
      <c r="A340" s="20"/>
      <c r="B340" s="21"/>
      <c r="C340" s="21" t="s">
        <v>429</v>
      </c>
      <c r="D340" s="22"/>
      <c r="E340" s="9"/>
      <c r="F340" s="24">
        <f>Source!AM159</f>
        <v>144.28</v>
      </c>
      <c r="G340" s="23" t="str">
        <f>Source!DE159</f>
        <v/>
      </c>
      <c r="H340" s="9">
        <f>Source!AV159</f>
        <v>1</v>
      </c>
      <c r="I340" s="9">
        <f>IF(Source!BB159&lt;&gt; 0, Source!BB159, 1)</f>
        <v>1</v>
      </c>
      <c r="J340" s="25">
        <f>Source!Q159</f>
        <v>156.11000000000001</v>
      </c>
      <c r="K340" s="25"/>
    </row>
    <row r="341" spans="1:22" ht="14.25" x14ac:dyDescent="0.2">
      <c r="A341" s="20"/>
      <c r="B341" s="21"/>
      <c r="C341" s="21" t="s">
        <v>430</v>
      </c>
      <c r="D341" s="22"/>
      <c r="E341" s="9"/>
      <c r="F341" s="24">
        <f>Source!AN159</f>
        <v>50</v>
      </c>
      <c r="G341" s="23" t="str">
        <f>Source!DF159</f>
        <v/>
      </c>
      <c r="H341" s="9">
        <f>Source!AV159</f>
        <v>1</v>
      </c>
      <c r="I341" s="9">
        <f>IF(Source!BS159&lt;&gt; 0, Source!BS159, 1)</f>
        <v>1</v>
      </c>
      <c r="J341" s="30">
        <f>Source!R159</f>
        <v>54.1</v>
      </c>
      <c r="K341" s="25"/>
    </row>
    <row r="342" spans="1:22" ht="14.25" x14ac:dyDescent="0.2">
      <c r="A342" s="20"/>
      <c r="B342" s="21"/>
      <c r="C342" s="21" t="s">
        <v>431</v>
      </c>
      <c r="D342" s="22"/>
      <c r="E342" s="9"/>
      <c r="F342" s="24">
        <f>Source!AL159</f>
        <v>1022.11</v>
      </c>
      <c r="G342" s="23" t="str">
        <f>Source!DD159</f>
        <v/>
      </c>
      <c r="H342" s="9">
        <f>Source!AW159</f>
        <v>1</v>
      </c>
      <c r="I342" s="9">
        <f>IF(Source!BC159&lt;&gt; 0, Source!BC159, 1)</f>
        <v>1</v>
      </c>
      <c r="J342" s="25">
        <f>Source!P159</f>
        <v>1105.92</v>
      </c>
      <c r="K342" s="25"/>
    </row>
    <row r="343" spans="1:22" ht="14.25" x14ac:dyDescent="0.2">
      <c r="A343" s="20"/>
      <c r="B343" s="21"/>
      <c r="C343" s="21" t="s">
        <v>424</v>
      </c>
      <c r="D343" s="22" t="s">
        <v>425</v>
      </c>
      <c r="E343" s="9">
        <f>Source!AT159</f>
        <v>70</v>
      </c>
      <c r="F343" s="24"/>
      <c r="G343" s="23"/>
      <c r="H343" s="9"/>
      <c r="I343" s="9"/>
      <c r="J343" s="25">
        <f>SUM(R338:R342)</f>
        <v>1258.8699999999999</v>
      </c>
      <c r="K343" s="25"/>
    </row>
    <row r="344" spans="1:22" ht="14.25" x14ac:dyDescent="0.2">
      <c r="A344" s="20"/>
      <c r="B344" s="21"/>
      <c r="C344" s="21" t="s">
        <v>426</v>
      </c>
      <c r="D344" s="22" t="s">
        <v>425</v>
      </c>
      <c r="E344" s="9">
        <f>Source!AU159</f>
        <v>10</v>
      </c>
      <c r="F344" s="24"/>
      <c r="G344" s="23"/>
      <c r="H344" s="9"/>
      <c r="I344" s="9"/>
      <c r="J344" s="25">
        <f>SUM(T338:T343)</f>
        <v>179.84</v>
      </c>
      <c r="K344" s="25"/>
    </row>
    <row r="345" spans="1:22" ht="14.25" x14ac:dyDescent="0.2">
      <c r="A345" s="20"/>
      <c r="B345" s="21"/>
      <c r="C345" s="21" t="s">
        <v>432</v>
      </c>
      <c r="D345" s="22" t="s">
        <v>425</v>
      </c>
      <c r="E345" s="9">
        <f>108</f>
        <v>108</v>
      </c>
      <c r="F345" s="24"/>
      <c r="G345" s="23"/>
      <c r="H345" s="9"/>
      <c r="I345" s="9"/>
      <c r="J345" s="25">
        <f>SUM(V338:V344)</f>
        <v>58.43</v>
      </c>
      <c r="K345" s="25"/>
    </row>
    <row r="346" spans="1:22" ht="14.25" x14ac:dyDescent="0.2">
      <c r="A346" s="20"/>
      <c r="B346" s="21"/>
      <c r="C346" s="21" t="s">
        <v>427</v>
      </c>
      <c r="D346" s="22" t="s">
        <v>428</v>
      </c>
      <c r="E346" s="9">
        <f>Source!AQ159</f>
        <v>6.11</v>
      </c>
      <c r="F346" s="24"/>
      <c r="G346" s="23" t="str">
        <f>Source!DI159</f>
        <v/>
      </c>
      <c r="H346" s="9">
        <f>Source!AV159</f>
        <v>1</v>
      </c>
      <c r="I346" s="9"/>
      <c r="J346" s="25"/>
      <c r="K346" s="25">
        <f>Source!U159</f>
        <v>6.6110200000000008</v>
      </c>
    </row>
    <row r="347" spans="1:22" ht="15" x14ac:dyDescent="0.25">
      <c r="A347" s="28"/>
      <c r="B347" s="28"/>
      <c r="C347" s="28"/>
      <c r="D347" s="28"/>
      <c r="E347" s="28"/>
      <c r="F347" s="28"/>
      <c r="G347" s="28"/>
      <c r="H347" s="28"/>
      <c r="I347" s="64">
        <f>J339+J340+J342+J343+J344+J345</f>
        <v>4557.5600000000004</v>
      </c>
      <c r="J347" s="64"/>
      <c r="K347" s="29">
        <f>IF(Source!I159&lt;&gt;0, ROUND(I347/Source!I159, 2), 0)</f>
        <v>4212.16</v>
      </c>
      <c r="P347" s="26">
        <f>I347</f>
        <v>4557.5600000000004</v>
      </c>
    </row>
    <row r="348" spans="1:22" ht="42.75" x14ac:dyDescent="0.2">
      <c r="A348" s="20" t="str">
        <f>Source!E160</f>
        <v>37</v>
      </c>
      <c r="B348" s="21" t="str">
        <f>Source!F160</f>
        <v>1.13-3205-4-8/1</v>
      </c>
      <c r="C348" s="21" t="str">
        <f>Source!G160</f>
        <v>Антикоррозионная окраска огрунтованных металлических поверхностей эмалями ПФ-115</v>
      </c>
      <c r="D348" s="22" t="str">
        <f>Source!H160</f>
        <v>100 м2</v>
      </c>
      <c r="E348" s="9">
        <f>Source!I160</f>
        <v>1.0820000000000001</v>
      </c>
      <c r="F348" s="24"/>
      <c r="G348" s="23"/>
      <c r="H348" s="9"/>
      <c r="I348" s="9"/>
      <c r="J348" s="25"/>
      <c r="K348" s="25"/>
      <c r="Q348">
        <f>ROUND((Source!BZ160/100)*ROUND((Source!AF160*Source!AV160)*Source!I160, 2), 2)</f>
        <v>416.09</v>
      </c>
      <c r="R348">
        <f>Source!X160</f>
        <v>416.09</v>
      </c>
      <c r="S348">
        <f>ROUND((Source!CA160/100)*ROUND((Source!AF160*Source!AV160)*Source!I160, 2), 2)</f>
        <v>59.44</v>
      </c>
      <c r="T348">
        <f>Source!Y160</f>
        <v>59.44</v>
      </c>
      <c r="U348">
        <f>ROUND((175/100)*ROUND((Source!AE160*Source!AV160)*Source!I160, 2), 2)</f>
        <v>7.02</v>
      </c>
      <c r="V348">
        <f>ROUND((108/100)*ROUND(Source!CS160*Source!I160, 2), 2)</f>
        <v>4.33</v>
      </c>
    </row>
    <row r="349" spans="1:22" ht="14.25" x14ac:dyDescent="0.2">
      <c r="A349" s="20"/>
      <c r="B349" s="21"/>
      <c r="C349" s="21" t="s">
        <v>423</v>
      </c>
      <c r="D349" s="22"/>
      <c r="E349" s="9"/>
      <c r="F349" s="24">
        <f>Source!AO160</f>
        <v>549.36</v>
      </c>
      <c r="G349" s="23" t="str">
        <f>Source!DG160</f>
        <v/>
      </c>
      <c r="H349" s="9">
        <f>Source!AV160</f>
        <v>1</v>
      </c>
      <c r="I349" s="9">
        <f>IF(Source!BA160&lt;&gt; 0, Source!BA160, 1)</f>
        <v>1</v>
      </c>
      <c r="J349" s="25">
        <f>Source!S160</f>
        <v>594.41</v>
      </c>
      <c r="K349" s="25"/>
    </row>
    <row r="350" spans="1:22" ht="14.25" x14ac:dyDescent="0.2">
      <c r="A350" s="20"/>
      <c r="B350" s="21"/>
      <c r="C350" s="21" t="s">
        <v>429</v>
      </c>
      <c r="D350" s="22"/>
      <c r="E350" s="9"/>
      <c r="F350" s="24">
        <f>Source!AM160</f>
        <v>6.84</v>
      </c>
      <c r="G350" s="23" t="str">
        <f>Source!DE160</f>
        <v/>
      </c>
      <c r="H350" s="9">
        <f>Source!AV160</f>
        <v>1</v>
      </c>
      <c r="I350" s="9">
        <f>IF(Source!BB160&lt;&gt; 0, Source!BB160, 1)</f>
        <v>1</v>
      </c>
      <c r="J350" s="25">
        <f>Source!Q160</f>
        <v>7.4</v>
      </c>
      <c r="K350" s="25"/>
    </row>
    <row r="351" spans="1:22" ht="14.25" x14ac:dyDescent="0.2">
      <c r="A351" s="20"/>
      <c r="B351" s="21"/>
      <c r="C351" s="21" t="s">
        <v>430</v>
      </c>
      <c r="D351" s="22"/>
      <c r="E351" s="9"/>
      <c r="F351" s="24">
        <f>Source!AN160</f>
        <v>3.71</v>
      </c>
      <c r="G351" s="23" t="str">
        <f>Source!DF160</f>
        <v/>
      </c>
      <c r="H351" s="9">
        <f>Source!AV160</f>
        <v>1</v>
      </c>
      <c r="I351" s="9">
        <f>IF(Source!BS160&lt;&gt; 0, Source!BS160, 1)</f>
        <v>1</v>
      </c>
      <c r="J351" s="30">
        <f>Source!R160</f>
        <v>4.01</v>
      </c>
      <c r="K351" s="25"/>
    </row>
    <row r="352" spans="1:22" ht="14.25" x14ac:dyDescent="0.2">
      <c r="A352" s="20"/>
      <c r="B352" s="21"/>
      <c r="C352" s="21" t="s">
        <v>431</v>
      </c>
      <c r="D352" s="22"/>
      <c r="E352" s="9"/>
      <c r="F352" s="24">
        <f>Source!AL160</f>
        <v>1041.4100000000001</v>
      </c>
      <c r="G352" s="23" t="str">
        <f>Source!DD160</f>
        <v/>
      </c>
      <c r="H352" s="9">
        <f>Source!AW160</f>
        <v>1</v>
      </c>
      <c r="I352" s="9">
        <f>IF(Source!BC160&lt;&gt; 0, Source!BC160, 1)</f>
        <v>1</v>
      </c>
      <c r="J352" s="25">
        <f>Source!P160</f>
        <v>1126.81</v>
      </c>
      <c r="K352" s="25"/>
    </row>
    <row r="353" spans="1:22" ht="14.25" x14ac:dyDescent="0.2">
      <c r="A353" s="20"/>
      <c r="B353" s="21"/>
      <c r="C353" s="21" t="s">
        <v>424</v>
      </c>
      <c r="D353" s="22" t="s">
        <v>425</v>
      </c>
      <c r="E353" s="9">
        <f>Source!AT160</f>
        <v>70</v>
      </c>
      <c r="F353" s="24"/>
      <c r="G353" s="23"/>
      <c r="H353" s="9"/>
      <c r="I353" s="9"/>
      <c r="J353" s="25">
        <f>SUM(R348:R352)</f>
        <v>416.09</v>
      </c>
      <c r="K353" s="25"/>
    </row>
    <row r="354" spans="1:22" ht="14.25" x14ac:dyDescent="0.2">
      <c r="A354" s="20"/>
      <c r="B354" s="21"/>
      <c r="C354" s="21" t="s">
        <v>426</v>
      </c>
      <c r="D354" s="22" t="s">
        <v>425</v>
      </c>
      <c r="E354" s="9">
        <f>Source!AU160</f>
        <v>10</v>
      </c>
      <c r="F354" s="24"/>
      <c r="G354" s="23"/>
      <c r="H354" s="9"/>
      <c r="I354" s="9"/>
      <c r="J354" s="25">
        <f>SUM(T348:T353)</f>
        <v>59.44</v>
      </c>
      <c r="K354" s="25"/>
    </row>
    <row r="355" spans="1:22" ht="14.25" x14ac:dyDescent="0.2">
      <c r="A355" s="20"/>
      <c r="B355" s="21"/>
      <c r="C355" s="21" t="s">
        <v>432</v>
      </c>
      <c r="D355" s="22" t="s">
        <v>425</v>
      </c>
      <c r="E355" s="9">
        <f>108</f>
        <v>108</v>
      </c>
      <c r="F355" s="24"/>
      <c r="G355" s="23"/>
      <c r="H355" s="9"/>
      <c r="I355" s="9"/>
      <c r="J355" s="25">
        <f>SUM(V348:V354)</f>
        <v>4.33</v>
      </c>
      <c r="K355" s="25"/>
    </row>
    <row r="356" spans="1:22" ht="14.25" x14ac:dyDescent="0.2">
      <c r="A356" s="20"/>
      <c r="B356" s="21"/>
      <c r="C356" s="21" t="s">
        <v>427</v>
      </c>
      <c r="D356" s="22" t="s">
        <v>428</v>
      </c>
      <c r="E356" s="9">
        <f>Source!AQ160</f>
        <v>2.4500000000000002</v>
      </c>
      <c r="F356" s="24"/>
      <c r="G356" s="23" t="str">
        <f>Source!DI160</f>
        <v/>
      </c>
      <c r="H356" s="9">
        <f>Source!AV160</f>
        <v>1</v>
      </c>
      <c r="I356" s="9"/>
      <c r="J356" s="25"/>
      <c r="K356" s="25">
        <f>Source!U160</f>
        <v>2.6509000000000005</v>
      </c>
    </row>
    <row r="357" spans="1:22" ht="15" x14ac:dyDescent="0.25">
      <c r="A357" s="28"/>
      <c r="B357" s="28"/>
      <c r="C357" s="28"/>
      <c r="D357" s="28"/>
      <c r="E357" s="28"/>
      <c r="F357" s="28"/>
      <c r="G357" s="28"/>
      <c r="H357" s="28"/>
      <c r="I357" s="64">
        <f>J349+J350+J352+J353+J354+J355</f>
        <v>2208.48</v>
      </c>
      <c r="J357" s="64"/>
      <c r="K357" s="29">
        <f>IF(Source!I160&lt;&gt;0, ROUND(I357/Source!I160, 2), 0)</f>
        <v>2041.11</v>
      </c>
      <c r="P357" s="26">
        <f>I357</f>
        <v>2208.48</v>
      </c>
    </row>
    <row r="359" spans="1:22" ht="15" x14ac:dyDescent="0.25">
      <c r="A359" s="66" t="str">
        <f>CONCATENATE("Итого по разделу: ",IF(Source!G162&lt;&gt;"Новый раздел", Source!G162, ""))</f>
        <v>Итого по разделу: Установка ограждения - Участок 3</v>
      </c>
      <c r="B359" s="66"/>
      <c r="C359" s="66"/>
      <c r="D359" s="66"/>
      <c r="E359" s="66"/>
      <c r="F359" s="66"/>
      <c r="G359" s="66"/>
      <c r="H359" s="66"/>
      <c r="I359" s="67">
        <f>SUM(P214:P358)</f>
        <v>456167.43000000011</v>
      </c>
      <c r="J359" s="68"/>
      <c r="K359" s="32"/>
    </row>
    <row r="362" spans="1:22" ht="16.5" x14ac:dyDescent="0.25">
      <c r="A362" s="65" t="str">
        <f>CONCATENATE("Раздел: ",IF(Source!G191&lt;&gt;"Новый раздел", Source!G191, ""))</f>
        <v>Раздел: Установка ограждения - Участок 4</v>
      </c>
      <c r="B362" s="65"/>
      <c r="C362" s="65"/>
      <c r="D362" s="65"/>
      <c r="E362" s="65"/>
      <c r="F362" s="65"/>
      <c r="G362" s="65"/>
      <c r="H362" s="65"/>
      <c r="I362" s="65"/>
      <c r="J362" s="65"/>
      <c r="K362" s="65"/>
    </row>
    <row r="363" spans="1:22" ht="184.5" x14ac:dyDescent="0.2">
      <c r="A363" s="20" t="str">
        <f>Source!E195</f>
        <v>38</v>
      </c>
      <c r="B363" s="21" t="s">
        <v>435</v>
      </c>
      <c r="C363" s="21" t="s">
        <v>436</v>
      </c>
      <c r="D363" s="22" t="str">
        <f>Source!H195</f>
        <v>м2</v>
      </c>
      <c r="E363" s="9">
        <f>Source!I195</f>
        <v>124.2</v>
      </c>
      <c r="F363" s="24"/>
      <c r="G363" s="23"/>
      <c r="H363" s="9"/>
      <c r="I363" s="9"/>
      <c r="J363" s="25"/>
      <c r="K363" s="25"/>
      <c r="Q363">
        <f>ROUND((Source!BZ195/100)*ROUND((Source!AF195*Source!AV195)*Source!I195, 2), 2)</f>
        <v>13825.2</v>
      </c>
      <c r="R363">
        <f>Source!X195</f>
        <v>13825.2</v>
      </c>
      <c r="S363">
        <f>ROUND((Source!CA195/100)*ROUND((Source!AF195*Source!AV195)*Source!I195, 2), 2)</f>
        <v>1975.03</v>
      </c>
      <c r="T363">
        <f>Source!Y195</f>
        <v>1975.03</v>
      </c>
      <c r="U363">
        <f>ROUND((175/100)*ROUND((Source!AE195*Source!AV195)*Source!I195, 2), 2)</f>
        <v>12866.25</v>
      </c>
      <c r="V363">
        <f>ROUND((108/100)*ROUND(Source!CS195*Source!I195, 2), 2)</f>
        <v>7940.31</v>
      </c>
    </row>
    <row r="364" spans="1:22" ht="14.25" x14ac:dyDescent="0.2">
      <c r="A364" s="20"/>
      <c r="B364" s="21"/>
      <c r="C364" s="21" t="s">
        <v>423</v>
      </c>
      <c r="D364" s="22"/>
      <c r="E364" s="9"/>
      <c r="F364" s="24">
        <f>Source!AO195</f>
        <v>795.1</v>
      </c>
      <c r="G364" s="23" t="str">
        <f>Source!DG195</f>
        <v>)*0,2</v>
      </c>
      <c r="H364" s="9">
        <f>Source!AV195</f>
        <v>1</v>
      </c>
      <c r="I364" s="9">
        <f>IF(Source!BA195&lt;&gt; 0, Source!BA195, 1)</f>
        <v>1</v>
      </c>
      <c r="J364" s="25">
        <f>Source!S195</f>
        <v>19750.28</v>
      </c>
      <c r="K364" s="25"/>
    </row>
    <row r="365" spans="1:22" ht="14.25" x14ac:dyDescent="0.2">
      <c r="A365" s="20"/>
      <c r="B365" s="21"/>
      <c r="C365" s="21" t="s">
        <v>429</v>
      </c>
      <c r="D365" s="22"/>
      <c r="E365" s="9"/>
      <c r="F365" s="24">
        <f>Source!AM195</f>
        <v>464.27</v>
      </c>
      <c r="G365" s="23" t="str">
        <f>Source!DE195</f>
        <v>)*0,2</v>
      </c>
      <c r="H365" s="9">
        <f>Source!AV195</f>
        <v>1</v>
      </c>
      <c r="I365" s="9">
        <f>IF(Source!BB195&lt;&gt; 0, Source!BB195, 1)</f>
        <v>1</v>
      </c>
      <c r="J365" s="25">
        <f>Source!Q195</f>
        <v>11532.47</v>
      </c>
      <c r="K365" s="25"/>
    </row>
    <row r="366" spans="1:22" ht="14.25" x14ac:dyDescent="0.2">
      <c r="A366" s="20"/>
      <c r="B366" s="21"/>
      <c r="C366" s="21" t="s">
        <v>430</v>
      </c>
      <c r="D366" s="22"/>
      <c r="E366" s="9"/>
      <c r="F366" s="24">
        <f>Source!AN195</f>
        <v>295.98</v>
      </c>
      <c r="G366" s="23" t="str">
        <f>Source!DF195</f>
        <v>)*0,2</v>
      </c>
      <c r="H366" s="9">
        <f>Source!AV195</f>
        <v>1</v>
      </c>
      <c r="I366" s="9">
        <f>IF(Source!BS195&lt;&gt; 0, Source!BS195, 1)</f>
        <v>1</v>
      </c>
      <c r="J366" s="30">
        <f>Source!R195</f>
        <v>7352.14</v>
      </c>
      <c r="K366" s="25"/>
    </row>
    <row r="367" spans="1:22" ht="14.25" x14ac:dyDescent="0.2">
      <c r="A367" s="20"/>
      <c r="B367" s="21"/>
      <c r="C367" s="21" t="s">
        <v>424</v>
      </c>
      <c r="D367" s="22" t="s">
        <v>425</v>
      </c>
      <c r="E367" s="9">
        <f>Source!AT195</f>
        <v>70</v>
      </c>
      <c r="F367" s="24"/>
      <c r="G367" s="23"/>
      <c r="H367" s="9"/>
      <c r="I367" s="9"/>
      <c r="J367" s="25">
        <f>SUM(R363:R366)</f>
        <v>13825.2</v>
      </c>
      <c r="K367" s="25"/>
    </row>
    <row r="368" spans="1:22" ht="14.25" x14ac:dyDescent="0.2">
      <c r="A368" s="20"/>
      <c r="B368" s="21"/>
      <c r="C368" s="21" t="s">
        <v>426</v>
      </c>
      <c r="D368" s="22" t="s">
        <v>425</v>
      </c>
      <c r="E368" s="9">
        <f>Source!AU195</f>
        <v>10</v>
      </c>
      <c r="F368" s="24"/>
      <c r="G368" s="23"/>
      <c r="H368" s="9"/>
      <c r="I368" s="9"/>
      <c r="J368" s="25">
        <f>SUM(T363:T367)</f>
        <v>1975.03</v>
      </c>
      <c r="K368" s="25"/>
    </row>
    <row r="369" spans="1:22" ht="14.25" x14ac:dyDescent="0.2">
      <c r="A369" s="20"/>
      <c r="B369" s="21"/>
      <c r="C369" s="21" t="s">
        <v>432</v>
      </c>
      <c r="D369" s="22" t="s">
        <v>425</v>
      </c>
      <c r="E369" s="9">
        <f>108</f>
        <v>108</v>
      </c>
      <c r="F369" s="24"/>
      <c r="G369" s="23"/>
      <c r="H369" s="9"/>
      <c r="I369" s="9"/>
      <c r="J369" s="25">
        <f>SUM(V363:V368)</f>
        <v>7940.31</v>
      </c>
      <c r="K369" s="25"/>
    </row>
    <row r="370" spans="1:22" ht="14.25" x14ac:dyDescent="0.2">
      <c r="A370" s="20"/>
      <c r="B370" s="21"/>
      <c r="C370" s="21" t="s">
        <v>427</v>
      </c>
      <c r="D370" s="22" t="s">
        <v>428</v>
      </c>
      <c r="E370" s="9">
        <f>Source!AQ195</f>
        <v>2.97</v>
      </c>
      <c r="F370" s="24"/>
      <c r="G370" s="23" t="str">
        <f>Source!DI195</f>
        <v>)*0,2</v>
      </c>
      <c r="H370" s="9">
        <f>Source!AV195</f>
        <v>1</v>
      </c>
      <c r="I370" s="9"/>
      <c r="J370" s="25"/>
      <c r="K370" s="25">
        <f>Source!U195</f>
        <v>73.774800000000013</v>
      </c>
    </row>
    <row r="371" spans="1:22" ht="15" x14ac:dyDescent="0.25">
      <c r="A371" s="28"/>
      <c r="B371" s="28"/>
      <c r="C371" s="28"/>
      <c r="D371" s="28"/>
      <c r="E371" s="28"/>
      <c r="F371" s="28"/>
      <c r="G371" s="28"/>
      <c r="H371" s="28"/>
      <c r="I371" s="64">
        <f>J364+J365+J367+J368+J369</f>
        <v>55023.289999999994</v>
      </c>
      <c r="J371" s="64"/>
      <c r="K371" s="29">
        <f>IF(Source!I195&lt;&gt;0, ROUND(I371/Source!I195, 2), 0)</f>
        <v>443.02</v>
      </c>
      <c r="P371" s="26">
        <f>I371</f>
        <v>55023.289999999994</v>
      </c>
    </row>
    <row r="372" spans="1:22" ht="28.5" x14ac:dyDescent="0.2">
      <c r="A372" s="20" t="str">
        <f>Source!E196</f>
        <v>39</v>
      </c>
      <c r="B372" s="21" t="str">
        <f>Source!F196</f>
        <v>1.2-3104-1-2/1</v>
      </c>
      <c r="C372" s="21" t="str">
        <f>Source!G196</f>
        <v>Разборка фундаментов бетонных</v>
      </c>
      <c r="D372" s="22" t="str">
        <f>Source!H196</f>
        <v>м3</v>
      </c>
      <c r="E372" s="9">
        <f>Source!I196</f>
        <v>2.2999999999999998</v>
      </c>
      <c r="F372" s="24"/>
      <c r="G372" s="23"/>
      <c r="H372" s="9"/>
      <c r="I372" s="9"/>
      <c r="J372" s="25"/>
      <c r="K372" s="25"/>
      <c r="Q372">
        <f>ROUND((Source!BZ196/100)*ROUND((Source!AF196*Source!AV196)*Source!I196, 2), 2)</f>
        <v>3044.27</v>
      </c>
      <c r="R372">
        <f>Source!X196</f>
        <v>3044.27</v>
      </c>
      <c r="S372">
        <f>ROUND((Source!CA196/100)*ROUND((Source!AF196*Source!AV196)*Source!I196, 2), 2)</f>
        <v>434.9</v>
      </c>
      <c r="T372">
        <f>Source!Y196</f>
        <v>434.9</v>
      </c>
      <c r="U372">
        <f>ROUND((175/100)*ROUND((Source!AE196*Source!AV196)*Source!I196, 2), 2)</f>
        <v>2824.15</v>
      </c>
      <c r="V372">
        <f>ROUND((108/100)*ROUND(Source!CS196*Source!I196, 2), 2)</f>
        <v>1742.9</v>
      </c>
    </row>
    <row r="373" spans="1:22" ht="14.25" x14ac:dyDescent="0.2">
      <c r="A373" s="20"/>
      <c r="B373" s="21"/>
      <c r="C373" s="21" t="s">
        <v>423</v>
      </c>
      <c r="D373" s="22"/>
      <c r="E373" s="9"/>
      <c r="F373" s="24">
        <f>Source!AO196</f>
        <v>1890.85</v>
      </c>
      <c r="G373" s="23" t="str">
        <f>Source!DG196</f>
        <v/>
      </c>
      <c r="H373" s="9">
        <f>Source!AV196</f>
        <v>1</v>
      </c>
      <c r="I373" s="9">
        <f>IF(Source!BA196&lt;&gt; 0, Source!BA196, 1)</f>
        <v>1</v>
      </c>
      <c r="J373" s="25">
        <f>Source!S196</f>
        <v>4348.96</v>
      </c>
      <c r="K373" s="25"/>
    </row>
    <row r="374" spans="1:22" ht="14.25" x14ac:dyDescent="0.2">
      <c r="A374" s="20"/>
      <c r="B374" s="21"/>
      <c r="C374" s="21" t="s">
        <v>429</v>
      </c>
      <c r="D374" s="22"/>
      <c r="E374" s="9"/>
      <c r="F374" s="24">
        <f>Source!AM196</f>
        <v>929.62</v>
      </c>
      <c r="G374" s="23" t="str">
        <f>Source!DE196</f>
        <v/>
      </c>
      <c r="H374" s="9">
        <f>Source!AV196</f>
        <v>1</v>
      </c>
      <c r="I374" s="9">
        <f>IF(Source!BB196&lt;&gt; 0, Source!BB196, 1)</f>
        <v>1</v>
      </c>
      <c r="J374" s="25">
        <f>Source!Q196</f>
        <v>2138.13</v>
      </c>
      <c r="K374" s="25"/>
    </row>
    <row r="375" spans="1:22" ht="14.25" x14ac:dyDescent="0.2">
      <c r="A375" s="20"/>
      <c r="B375" s="21"/>
      <c r="C375" s="21" t="s">
        <v>430</v>
      </c>
      <c r="D375" s="22"/>
      <c r="E375" s="9"/>
      <c r="F375" s="24">
        <f>Source!AN196</f>
        <v>701.65</v>
      </c>
      <c r="G375" s="23" t="str">
        <f>Source!DF196</f>
        <v/>
      </c>
      <c r="H375" s="9">
        <f>Source!AV196</f>
        <v>1</v>
      </c>
      <c r="I375" s="9">
        <f>IF(Source!BS196&lt;&gt; 0, Source!BS196, 1)</f>
        <v>1</v>
      </c>
      <c r="J375" s="30">
        <f>Source!R196</f>
        <v>1613.8</v>
      </c>
      <c r="K375" s="25"/>
    </row>
    <row r="376" spans="1:22" ht="14.25" x14ac:dyDescent="0.2">
      <c r="A376" s="20"/>
      <c r="B376" s="21"/>
      <c r="C376" s="21" t="s">
        <v>424</v>
      </c>
      <c r="D376" s="22" t="s">
        <v>425</v>
      </c>
      <c r="E376" s="9">
        <f>Source!AT196</f>
        <v>70</v>
      </c>
      <c r="F376" s="24"/>
      <c r="G376" s="23"/>
      <c r="H376" s="9"/>
      <c r="I376" s="9"/>
      <c r="J376" s="25">
        <f>SUM(R372:R375)</f>
        <v>3044.27</v>
      </c>
      <c r="K376" s="25"/>
    </row>
    <row r="377" spans="1:22" ht="14.25" x14ac:dyDescent="0.2">
      <c r="A377" s="20"/>
      <c r="B377" s="21"/>
      <c r="C377" s="21" t="s">
        <v>426</v>
      </c>
      <c r="D377" s="22" t="s">
        <v>425</v>
      </c>
      <c r="E377" s="9">
        <f>Source!AU196</f>
        <v>10</v>
      </c>
      <c r="F377" s="24"/>
      <c r="G377" s="23"/>
      <c r="H377" s="9"/>
      <c r="I377" s="9"/>
      <c r="J377" s="25">
        <f>SUM(T372:T376)</f>
        <v>434.9</v>
      </c>
      <c r="K377" s="25"/>
    </row>
    <row r="378" spans="1:22" ht="14.25" x14ac:dyDescent="0.2">
      <c r="A378" s="20"/>
      <c r="B378" s="21"/>
      <c r="C378" s="21" t="s">
        <v>432</v>
      </c>
      <c r="D378" s="22" t="s">
        <v>425</v>
      </c>
      <c r="E378" s="9">
        <f>108</f>
        <v>108</v>
      </c>
      <c r="F378" s="24"/>
      <c r="G378" s="23"/>
      <c r="H378" s="9"/>
      <c r="I378" s="9"/>
      <c r="J378" s="25">
        <f>SUM(V372:V377)</f>
        <v>1742.9</v>
      </c>
      <c r="K378" s="25"/>
    </row>
    <row r="379" spans="1:22" ht="14.25" x14ac:dyDescent="0.2">
      <c r="A379" s="20"/>
      <c r="B379" s="21"/>
      <c r="C379" s="21" t="s">
        <v>427</v>
      </c>
      <c r="D379" s="22" t="s">
        <v>428</v>
      </c>
      <c r="E379" s="9">
        <f>Source!AQ196</f>
        <v>8.27</v>
      </c>
      <c r="F379" s="24"/>
      <c r="G379" s="23" t="str">
        <f>Source!DI196</f>
        <v/>
      </c>
      <c r="H379" s="9">
        <f>Source!AV196</f>
        <v>1</v>
      </c>
      <c r="I379" s="9"/>
      <c r="J379" s="25"/>
      <c r="K379" s="25">
        <f>Source!U196</f>
        <v>19.020999999999997</v>
      </c>
    </row>
    <row r="380" spans="1:22" ht="15" x14ac:dyDescent="0.25">
      <c r="A380" s="28"/>
      <c r="B380" s="28"/>
      <c r="C380" s="28"/>
      <c r="D380" s="28"/>
      <c r="E380" s="28"/>
      <c r="F380" s="28"/>
      <c r="G380" s="28"/>
      <c r="H380" s="28"/>
      <c r="I380" s="64">
        <f>J373+J374+J376+J377+J378</f>
        <v>11709.16</v>
      </c>
      <c r="J380" s="64"/>
      <c r="K380" s="29">
        <f>IF(Source!I196&lt;&gt;0, ROUND(I380/Source!I196, 2), 0)</f>
        <v>5090.9399999999996</v>
      </c>
      <c r="P380" s="26">
        <f>I380</f>
        <v>11709.16</v>
      </c>
    </row>
    <row r="381" spans="1:22" ht="42.75" x14ac:dyDescent="0.2">
      <c r="A381" s="20" t="str">
        <f>Source!E197</f>
        <v>40</v>
      </c>
      <c r="B381" s="21" t="str">
        <f>Source!F197</f>
        <v>2.49-3201-14-1/1</v>
      </c>
      <c r="C381" s="21" t="str">
        <f>Source!G197</f>
        <v>Разработка грунта вручную в траншеях глубиной до 2 м без креплений с откосами, группа грунтов 1-3</v>
      </c>
      <c r="D381" s="22" t="str">
        <f>Source!H197</f>
        <v>100 м3</v>
      </c>
      <c r="E381" s="9">
        <f>Source!I197</f>
        <v>2.3E-2</v>
      </c>
      <c r="F381" s="24"/>
      <c r="G381" s="23"/>
      <c r="H381" s="9"/>
      <c r="I381" s="9"/>
      <c r="J381" s="25"/>
      <c r="K381" s="25"/>
      <c r="Q381">
        <f>ROUND((Source!BZ197/100)*ROUND((Source!AF197*Source!AV197)*Source!I197, 2), 2)</f>
        <v>675.42</v>
      </c>
      <c r="R381">
        <f>Source!X197</f>
        <v>675.42</v>
      </c>
      <c r="S381">
        <f>ROUND((Source!CA197/100)*ROUND((Source!AF197*Source!AV197)*Source!I197, 2), 2)</f>
        <v>96.49</v>
      </c>
      <c r="T381">
        <f>Source!Y197</f>
        <v>96.49</v>
      </c>
      <c r="U381">
        <f>ROUND((175/100)*ROUND((Source!AE197*Source!AV197)*Source!I197, 2), 2)</f>
        <v>0</v>
      </c>
      <c r="V381">
        <f>ROUND((108/100)*ROUND(Source!CS197*Source!I197, 2), 2)</f>
        <v>0</v>
      </c>
    </row>
    <row r="382" spans="1:22" ht="14.25" x14ac:dyDescent="0.2">
      <c r="A382" s="20"/>
      <c r="B382" s="21"/>
      <c r="C382" s="21" t="s">
        <v>423</v>
      </c>
      <c r="D382" s="22"/>
      <c r="E382" s="9"/>
      <c r="F382" s="24">
        <f>Source!AO197</f>
        <v>41951.1</v>
      </c>
      <c r="G382" s="23" t="str">
        <f>Source!DG197</f>
        <v/>
      </c>
      <c r="H382" s="9">
        <f>Source!AV197</f>
        <v>1</v>
      </c>
      <c r="I382" s="9">
        <f>IF(Source!BA197&lt;&gt; 0, Source!BA197, 1)</f>
        <v>1</v>
      </c>
      <c r="J382" s="25">
        <f>Source!S197</f>
        <v>964.88</v>
      </c>
      <c r="K382" s="25"/>
    </row>
    <row r="383" spans="1:22" ht="14.25" x14ac:dyDescent="0.2">
      <c r="A383" s="20"/>
      <c r="B383" s="21"/>
      <c r="C383" s="21" t="s">
        <v>424</v>
      </c>
      <c r="D383" s="22" t="s">
        <v>425</v>
      </c>
      <c r="E383" s="9">
        <f>Source!AT197</f>
        <v>70</v>
      </c>
      <c r="F383" s="24"/>
      <c r="G383" s="23"/>
      <c r="H383" s="9"/>
      <c r="I383" s="9"/>
      <c r="J383" s="25">
        <f>SUM(R381:R382)</f>
        <v>675.42</v>
      </c>
      <c r="K383" s="25"/>
    </row>
    <row r="384" spans="1:22" ht="14.25" x14ac:dyDescent="0.2">
      <c r="A384" s="20"/>
      <c r="B384" s="21"/>
      <c r="C384" s="21" t="s">
        <v>426</v>
      </c>
      <c r="D384" s="22" t="s">
        <v>425</v>
      </c>
      <c r="E384" s="9">
        <f>Source!AU197</f>
        <v>10</v>
      </c>
      <c r="F384" s="24"/>
      <c r="G384" s="23"/>
      <c r="H384" s="9"/>
      <c r="I384" s="9"/>
      <c r="J384" s="25">
        <f>SUM(T381:T383)</f>
        <v>96.49</v>
      </c>
      <c r="K384" s="25"/>
    </row>
    <row r="385" spans="1:22" ht="14.25" x14ac:dyDescent="0.2">
      <c r="A385" s="20"/>
      <c r="B385" s="21"/>
      <c r="C385" s="21" t="s">
        <v>427</v>
      </c>
      <c r="D385" s="22" t="s">
        <v>428</v>
      </c>
      <c r="E385" s="9">
        <f>Source!AQ197</f>
        <v>221.6</v>
      </c>
      <c r="F385" s="24"/>
      <c r="G385" s="23" t="str">
        <f>Source!DI197</f>
        <v/>
      </c>
      <c r="H385" s="9">
        <f>Source!AV197</f>
        <v>1</v>
      </c>
      <c r="I385" s="9"/>
      <c r="J385" s="25"/>
      <c r="K385" s="25">
        <f>Source!U197</f>
        <v>5.0968</v>
      </c>
    </row>
    <row r="386" spans="1:22" ht="15" x14ac:dyDescent="0.25">
      <c r="A386" s="28"/>
      <c r="B386" s="28"/>
      <c r="C386" s="28"/>
      <c r="D386" s="28"/>
      <c r="E386" s="28"/>
      <c r="F386" s="28"/>
      <c r="G386" s="28"/>
      <c r="H386" s="28"/>
      <c r="I386" s="64">
        <f>J382+J383+J384</f>
        <v>1736.79</v>
      </c>
      <c r="J386" s="64"/>
      <c r="K386" s="29">
        <f>IF(Source!I197&lt;&gt;0, ROUND(I386/Source!I197, 2), 0)</f>
        <v>75512.61</v>
      </c>
      <c r="P386" s="26">
        <f>I386</f>
        <v>1736.79</v>
      </c>
    </row>
    <row r="387" spans="1:22" ht="28.5" x14ac:dyDescent="0.2">
      <c r="A387" s="20" t="str">
        <f>Source!E198</f>
        <v>41</v>
      </c>
      <c r="B387" s="21" t="str">
        <f>Source!F198</f>
        <v>1.1-3303-3-1/1</v>
      </c>
      <c r="C387" s="21" t="str">
        <f>Source!G198</f>
        <v>Засыпка вручную траншей, пазух котлованов и ям группа грунтов 1-3</v>
      </c>
      <c r="D387" s="22" t="str">
        <f>Source!H198</f>
        <v>100 м3</v>
      </c>
      <c r="E387" s="9">
        <f>Source!I198</f>
        <v>2.3E-2</v>
      </c>
      <c r="F387" s="24"/>
      <c r="G387" s="23"/>
      <c r="H387" s="9"/>
      <c r="I387" s="9"/>
      <c r="J387" s="25"/>
      <c r="K387" s="25"/>
      <c r="Q387">
        <f>ROUND((Source!BZ198/100)*ROUND((Source!AF198*Source!AV198)*Source!I198, 2), 2)</f>
        <v>300.45999999999998</v>
      </c>
      <c r="R387">
        <f>Source!X198</f>
        <v>300.45999999999998</v>
      </c>
      <c r="S387">
        <f>ROUND((Source!CA198/100)*ROUND((Source!AF198*Source!AV198)*Source!I198, 2), 2)</f>
        <v>42.92</v>
      </c>
      <c r="T387">
        <f>Source!Y198</f>
        <v>42.92</v>
      </c>
      <c r="U387">
        <f>ROUND((175/100)*ROUND((Source!AE198*Source!AV198)*Source!I198, 2), 2)</f>
        <v>0</v>
      </c>
      <c r="V387">
        <f>ROUND((108/100)*ROUND(Source!CS198*Source!I198, 2), 2)</f>
        <v>0</v>
      </c>
    </row>
    <row r="388" spans="1:22" ht="14.25" x14ac:dyDescent="0.2">
      <c r="A388" s="20"/>
      <c r="B388" s="21"/>
      <c r="C388" s="21" t="s">
        <v>423</v>
      </c>
      <c r="D388" s="22"/>
      <c r="E388" s="9"/>
      <c r="F388" s="24">
        <f>Source!AO198</f>
        <v>18661.96</v>
      </c>
      <c r="G388" s="23" t="str">
        <f>Source!DG198</f>
        <v/>
      </c>
      <c r="H388" s="9">
        <f>Source!AV198</f>
        <v>1</v>
      </c>
      <c r="I388" s="9">
        <f>IF(Source!BA198&lt;&gt; 0, Source!BA198, 1)</f>
        <v>1</v>
      </c>
      <c r="J388" s="25">
        <f>Source!S198</f>
        <v>429.23</v>
      </c>
      <c r="K388" s="25"/>
    </row>
    <row r="389" spans="1:22" ht="14.25" x14ac:dyDescent="0.2">
      <c r="A389" s="20"/>
      <c r="B389" s="21"/>
      <c r="C389" s="21" t="s">
        <v>424</v>
      </c>
      <c r="D389" s="22" t="s">
        <v>425</v>
      </c>
      <c r="E389" s="9">
        <f>Source!AT198</f>
        <v>70</v>
      </c>
      <c r="F389" s="24"/>
      <c r="G389" s="23"/>
      <c r="H389" s="9"/>
      <c r="I389" s="9"/>
      <c r="J389" s="25">
        <f>SUM(R387:R388)</f>
        <v>300.45999999999998</v>
      </c>
      <c r="K389" s="25"/>
    </row>
    <row r="390" spans="1:22" ht="14.25" x14ac:dyDescent="0.2">
      <c r="A390" s="20"/>
      <c r="B390" s="21"/>
      <c r="C390" s="21" t="s">
        <v>426</v>
      </c>
      <c r="D390" s="22" t="s">
        <v>425</v>
      </c>
      <c r="E390" s="9">
        <f>Source!AU198</f>
        <v>10</v>
      </c>
      <c r="F390" s="24"/>
      <c r="G390" s="23"/>
      <c r="H390" s="9"/>
      <c r="I390" s="9"/>
      <c r="J390" s="25">
        <f>SUM(T387:T389)</f>
        <v>42.92</v>
      </c>
      <c r="K390" s="25"/>
    </row>
    <row r="391" spans="1:22" ht="14.25" x14ac:dyDescent="0.2">
      <c r="A391" s="20"/>
      <c r="B391" s="21"/>
      <c r="C391" s="21" t="s">
        <v>427</v>
      </c>
      <c r="D391" s="22" t="s">
        <v>428</v>
      </c>
      <c r="E391" s="9">
        <f>Source!AQ198</f>
        <v>123.1</v>
      </c>
      <c r="F391" s="24"/>
      <c r="G391" s="23" t="str">
        <f>Source!DI198</f>
        <v/>
      </c>
      <c r="H391" s="9">
        <f>Source!AV198</f>
        <v>1</v>
      </c>
      <c r="I391" s="9"/>
      <c r="J391" s="25"/>
      <c r="K391" s="25">
        <f>Source!U198</f>
        <v>2.8312999999999997</v>
      </c>
    </row>
    <row r="392" spans="1:22" ht="15" x14ac:dyDescent="0.25">
      <c r="A392" s="28"/>
      <c r="B392" s="28"/>
      <c r="C392" s="28"/>
      <c r="D392" s="28"/>
      <c r="E392" s="28"/>
      <c r="F392" s="28"/>
      <c r="G392" s="28"/>
      <c r="H392" s="28"/>
      <c r="I392" s="64">
        <f>J388+J389+J390</f>
        <v>772.61</v>
      </c>
      <c r="J392" s="64"/>
      <c r="K392" s="29">
        <f>IF(Source!I198&lt;&gt;0, ROUND(I392/Source!I198, 2), 0)</f>
        <v>33591.74</v>
      </c>
      <c r="P392" s="26">
        <f>I392</f>
        <v>772.61</v>
      </c>
    </row>
    <row r="393" spans="1:22" ht="57" x14ac:dyDescent="0.2">
      <c r="A393" s="20" t="str">
        <f>Source!E199</f>
        <v>42</v>
      </c>
      <c r="B393" s="21" t="str">
        <f>Source!F199</f>
        <v>5.3-5202-3-3/1</v>
      </c>
      <c r="C393" s="21" t="str">
        <f>Source!G199</f>
        <v>Устройство вручную набивных дорожек и площадок с добавлением щебня слоем 20 см (подушки под столбы)</v>
      </c>
      <c r="D393" s="22" t="str">
        <f>Source!H199</f>
        <v>м2</v>
      </c>
      <c r="E393" s="9">
        <f>Source!I199</f>
        <v>1.9</v>
      </c>
      <c r="F393" s="24"/>
      <c r="G393" s="23"/>
      <c r="H393" s="9"/>
      <c r="I393" s="9"/>
      <c r="J393" s="25"/>
      <c r="K393" s="25"/>
      <c r="Q393">
        <f>ROUND((Source!BZ199/100)*ROUND((Source!AF199*Source!AV199)*Source!I199, 2), 2)</f>
        <v>365.46</v>
      </c>
      <c r="R393">
        <f>Source!X199</f>
        <v>365.46</v>
      </c>
      <c r="S393">
        <f>ROUND((Source!CA199/100)*ROUND((Source!AF199*Source!AV199)*Source!I199, 2), 2)</f>
        <v>52.21</v>
      </c>
      <c r="T393">
        <f>Source!Y199</f>
        <v>52.21</v>
      </c>
      <c r="U393">
        <f>ROUND((175/100)*ROUND((Source!AE199*Source!AV199)*Source!I199, 2), 2)</f>
        <v>0</v>
      </c>
      <c r="V393">
        <f>ROUND((108/100)*ROUND(Source!CS199*Source!I199, 2), 2)</f>
        <v>0</v>
      </c>
    </row>
    <row r="394" spans="1:22" ht="14.25" x14ac:dyDescent="0.2">
      <c r="A394" s="20"/>
      <c r="B394" s="21"/>
      <c r="C394" s="21" t="s">
        <v>423</v>
      </c>
      <c r="D394" s="22"/>
      <c r="E394" s="9"/>
      <c r="F394" s="24">
        <f>Source!AO199</f>
        <v>274.77999999999997</v>
      </c>
      <c r="G394" s="23" t="str">
        <f>Source!DG199</f>
        <v/>
      </c>
      <c r="H394" s="9">
        <f>Source!AV199</f>
        <v>1</v>
      </c>
      <c r="I394" s="9">
        <f>IF(Source!BA199&lt;&gt; 0, Source!BA199, 1)</f>
        <v>1</v>
      </c>
      <c r="J394" s="25">
        <f>Source!S199</f>
        <v>522.08000000000004</v>
      </c>
      <c r="K394" s="25"/>
    </row>
    <row r="395" spans="1:22" ht="14.25" x14ac:dyDescent="0.2">
      <c r="A395" s="20"/>
      <c r="B395" s="21"/>
      <c r="C395" s="21" t="s">
        <v>431</v>
      </c>
      <c r="D395" s="22"/>
      <c r="E395" s="9"/>
      <c r="F395" s="24">
        <f>Source!AL199</f>
        <v>536.29999999999995</v>
      </c>
      <c r="G395" s="23" t="str">
        <f>Source!DD199</f>
        <v/>
      </c>
      <c r="H395" s="9">
        <f>Source!AW199</f>
        <v>1</v>
      </c>
      <c r="I395" s="9">
        <f>IF(Source!BC199&lt;&gt; 0, Source!BC199, 1)</f>
        <v>1</v>
      </c>
      <c r="J395" s="25">
        <f>Source!P199</f>
        <v>1018.97</v>
      </c>
      <c r="K395" s="25"/>
    </row>
    <row r="396" spans="1:22" ht="14.25" x14ac:dyDescent="0.2">
      <c r="A396" s="20"/>
      <c r="B396" s="21"/>
      <c r="C396" s="21" t="s">
        <v>424</v>
      </c>
      <c r="D396" s="22" t="s">
        <v>425</v>
      </c>
      <c r="E396" s="9">
        <f>Source!AT199</f>
        <v>70</v>
      </c>
      <c r="F396" s="24"/>
      <c r="G396" s="23"/>
      <c r="H396" s="9"/>
      <c r="I396" s="9"/>
      <c r="J396" s="25">
        <f>SUM(R393:R395)</f>
        <v>365.46</v>
      </c>
      <c r="K396" s="25"/>
    </row>
    <row r="397" spans="1:22" ht="14.25" x14ac:dyDescent="0.2">
      <c r="A397" s="20"/>
      <c r="B397" s="21"/>
      <c r="C397" s="21" t="s">
        <v>426</v>
      </c>
      <c r="D397" s="22" t="s">
        <v>425</v>
      </c>
      <c r="E397" s="9">
        <f>Source!AU199</f>
        <v>10</v>
      </c>
      <c r="F397" s="24"/>
      <c r="G397" s="23"/>
      <c r="H397" s="9"/>
      <c r="I397" s="9"/>
      <c r="J397" s="25">
        <f>SUM(T393:T396)</f>
        <v>52.21</v>
      </c>
      <c r="K397" s="25"/>
    </row>
    <row r="398" spans="1:22" ht="14.25" x14ac:dyDescent="0.2">
      <c r="A398" s="20"/>
      <c r="B398" s="21"/>
      <c r="C398" s="21" t="s">
        <v>427</v>
      </c>
      <c r="D398" s="22" t="s">
        <v>428</v>
      </c>
      <c r="E398" s="9">
        <f>Source!AQ199</f>
        <v>1.25</v>
      </c>
      <c r="F398" s="24"/>
      <c r="G398" s="23" t="str">
        <f>Source!DI199</f>
        <v/>
      </c>
      <c r="H398" s="9">
        <f>Source!AV199</f>
        <v>1</v>
      </c>
      <c r="I398" s="9"/>
      <c r="J398" s="25"/>
      <c r="K398" s="25">
        <f>Source!U199</f>
        <v>2.375</v>
      </c>
    </row>
    <row r="399" spans="1:22" ht="15" x14ac:dyDescent="0.25">
      <c r="A399" s="28"/>
      <c r="B399" s="28"/>
      <c r="C399" s="28"/>
      <c r="D399" s="28"/>
      <c r="E399" s="28"/>
      <c r="F399" s="28"/>
      <c r="G399" s="28"/>
      <c r="H399" s="28"/>
      <c r="I399" s="64">
        <f>J394+J395+J396+J397</f>
        <v>1958.7200000000003</v>
      </c>
      <c r="J399" s="64"/>
      <c r="K399" s="29">
        <f>IF(Source!I199&lt;&gt;0, ROUND(I399/Source!I199, 2), 0)</f>
        <v>1030.9100000000001</v>
      </c>
      <c r="P399" s="26">
        <f>I399</f>
        <v>1958.7200000000003</v>
      </c>
    </row>
    <row r="400" spans="1:22" ht="57" x14ac:dyDescent="0.2">
      <c r="A400" s="20" t="str">
        <f>Source!E200</f>
        <v>43</v>
      </c>
      <c r="B400" s="21" t="str">
        <f>Source!F200</f>
        <v>5.3-5202-2-1/1</v>
      </c>
      <c r="C400" s="21" t="str">
        <f>Source!G200</f>
        <v>Устройство основания из песка толщиной 10 см для дорожек и площадок вручную (подушки под столбы)</v>
      </c>
      <c r="D400" s="22" t="str">
        <f>Source!H200</f>
        <v>м2</v>
      </c>
      <c r="E400" s="9">
        <f>Source!I200</f>
        <v>1.9</v>
      </c>
      <c r="F400" s="24"/>
      <c r="G400" s="23"/>
      <c r="H400" s="9"/>
      <c r="I400" s="9"/>
      <c r="J400" s="25"/>
      <c r="K400" s="25"/>
      <c r="Q400">
        <f>ROUND((Source!BZ200/100)*ROUND((Source!AF200*Source!AV200)*Source!I200, 2), 2)</f>
        <v>103.83</v>
      </c>
      <c r="R400">
        <f>Source!X200</f>
        <v>103.83</v>
      </c>
      <c r="S400">
        <f>ROUND((Source!CA200/100)*ROUND((Source!AF200*Source!AV200)*Source!I200, 2), 2)</f>
        <v>14.83</v>
      </c>
      <c r="T400">
        <f>Source!Y200</f>
        <v>14.83</v>
      </c>
      <c r="U400">
        <f>ROUND((175/100)*ROUND((Source!AE200*Source!AV200)*Source!I200, 2), 2)</f>
        <v>4.92</v>
      </c>
      <c r="V400">
        <f>ROUND((108/100)*ROUND(Source!CS200*Source!I200, 2), 2)</f>
        <v>3.03</v>
      </c>
    </row>
    <row r="401" spans="1:22" ht="14.25" x14ac:dyDescent="0.2">
      <c r="A401" s="20"/>
      <c r="B401" s="21"/>
      <c r="C401" s="21" t="s">
        <v>423</v>
      </c>
      <c r="D401" s="22"/>
      <c r="E401" s="9"/>
      <c r="F401" s="24">
        <f>Source!AO200</f>
        <v>78.069999999999993</v>
      </c>
      <c r="G401" s="23" t="str">
        <f>Source!DG200</f>
        <v/>
      </c>
      <c r="H401" s="9">
        <f>Source!AV200</f>
        <v>1</v>
      </c>
      <c r="I401" s="9">
        <f>IF(Source!BA200&lt;&gt; 0, Source!BA200, 1)</f>
        <v>1</v>
      </c>
      <c r="J401" s="25">
        <f>Source!S200</f>
        <v>148.33000000000001</v>
      </c>
      <c r="K401" s="25"/>
    </row>
    <row r="402" spans="1:22" ht="14.25" x14ac:dyDescent="0.2">
      <c r="A402" s="20"/>
      <c r="B402" s="21"/>
      <c r="C402" s="21" t="s">
        <v>429</v>
      </c>
      <c r="D402" s="22"/>
      <c r="E402" s="9"/>
      <c r="F402" s="24">
        <f>Source!AM200</f>
        <v>3.81</v>
      </c>
      <c r="G402" s="23" t="str">
        <f>Source!DE200</f>
        <v/>
      </c>
      <c r="H402" s="9">
        <f>Source!AV200</f>
        <v>1</v>
      </c>
      <c r="I402" s="9">
        <f>IF(Source!BB200&lt;&gt; 0, Source!BB200, 1)</f>
        <v>1</v>
      </c>
      <c r="J402" s="25">
        <f>Source!Q200</f>
        <v>7.24</v>
      </c>
      <c r="K402" s="25"/>
    </row>
    <row r="403" spans="1:22" ht="14.25" x14ac:dyDescent="0.2">
      <c r="A403" s="20"/>
      <c r="B403" s="21"/>
      <c r="C403" s="21" t="s">
        <v>430</v>
      </c>
      <c r="D403" s="22"/>
      <c r="E403" s="9"/>
      <c r="F403" s="24">
        <f>Source!AN200</f>
        <v>1.48</v>
      </c>
      <c r="G403" s="23" t="str">
        <f>Source!DF200</f>
        <v/>
      </c>
      <c r="H403" s="9">
        <f>Source!AV200</f>
        <v>1</v>
      </c>
      <c r="I403" s="9">
        <f>IF(Source!BS200&lt;&gt; 0, Source!BS200, 1)</f>
        <v>1</v>
      </c>
      <c r="J403" s="30">
        <f>Source!R200</f>
        <v>2.81</v>
      </c>
      <c r="K403" s="25"/>
    </row>
    <row r="404" spans="1:22" ht="14.25" x14ac:dyDescent="0.2">
      <c r="A404" s="20"/>
      <c r="B404" s="21"/>
      <c r="C404" s="21" t="s">
        <v>431</v>
      </c>
      <c r="D404" s="22"/>
      <c r="E404" s="9"/>
      <c r="F404" s="24">
        <f>Source!AL200</f>
        <v>62.38</v>
      </c>
      <c r="G404" s="23" t="str">
        <f>Source!DD200</f>
        <v/>
      </c>
      <c r="H404" s="9">
        <f>Source!AW200</f>
        <v>1</v>
      </c>
      <c r="I404" s="9">
        <f>IF(Source!BC200&lt;&gt; 0, Source!BC200, 1)</f>
        <v>1</v>
      </c>
      <c r="J404" s="25">
        <f>Source!P200</f>
        <v>118.52</v>
      </c>
      <c r="K404" s="25"/>
    </row>
    <row r="405" spans="1:22" ht="14.25" x14ac:dyDescent="0.2">
      <c r="A405" s="20"/>
      <c r="B405" s="21"/>
      <c r="C405" s="21" t="s">
        <v>424</v>
      </c>
      <c r="D405" s="22" t="s">
        <v>425</v>
      </c>
      <c r="E405" s="9">
        <f>Source!AT200</f>
        <v>70</v>
      </c>
      <c r="F405" s="24"/>
      <c r="G405" s="23"/>
      <c r="H405" s="9"/>
      <c r="I405" s="9"/>
      <c r="J405" s="25">
        <f>SUM(R400:R404)</f>
        <v>103.83</v>
      </c>
      <c r="K405" s="25"/>
    </row>
    <row r="406" spans="1:22" ht="14.25" x14ac:dyDescent="0.2">
      <c r="A406" s="20"/>
      <c r="B406" s="21"/>
      <c r="C406" s="21" t="s">
        <v>426</v>
      </c>
      <c r="D406" s="22" t="s">
        <v>425</v>
      </c>
      <c r="E406" s="9">
        <f>Source!AU200</f>
        <v>10</v>
      </c>
      <c r="F406" s="24"/>
      <c r="G406" s="23"/>
      <c r="H406" s="9"/>
      <c r="I406" s="9"/>
      <c r="J406" s="25">
        <f>SUM(T400:T405)</f>
        <v>14.83</v>
      </c>
      <c r="K406" s="25"/>
    </row>
    <row r="407" spans="1:22" ht="14.25" x14ac:dyDescent="0.2">
      <c r="A407" s="20"/>
      <c r="B407" s="21"/>
      <c r="C407" s="21" t="s">
        <v>432</v>
      </c>
      <c r="D407" s="22" t="s">
        <v>425</v>
      </c>
      <c r="E407" s="9">
        <f>108</f>
        <v>108</v>
      </c>
      <c r="F407" s="24"/>
      <c r="G407" s="23"/>
      <c r="H407" s="9"/>
      <c r="I407" s="9"/>
      <c r="J407" s="25">
        <f>SUM(V400:V406)</f>
        <v>3.03</v>
      </c>
      <c r="K407" s="25"/>
    </row>
    <row r="408" spans="1:22" ht="14.25" x14ac:dyDescent="0.2">
      <c r="A408" s="20"/>
      <c r="B408" s="21"/>
      <c r="C408" s="21" t="s">
        <v>427</v>
      </c>
      <c r="D408" s="22" t="s">
        <v>428</v>
      </c>
      <c r="E408" s="9">
        <f>Source!AQ200</f>
        <v>0.37</v>
      </c>
      <c r="F408" s="24"/>
      <c r="G408" s="23" t="str">
        <f>Source!DI200</f>
        <v/>
      </c>
      <c r="H408" s="9">
        <f>Source!AV200</f>
        <v>1</v>
      </c>
      <c r="I408" s="9"/>
      <c r="J408" s="25"/>
      <c r="K408" s="25">
        <f>Source!U200</f>
        <v>0.70299999999999996</v>
      </c>
    </row>
    <row r="409" spans="1:22" ht="15" x14ac:dyDescent="0.25">
      <c r="A409" s="28"/>
      <c r="B409" s="28"/>
      <c r="C409" s="28"/>
      <c r="D409" s="28"/>
      <c r="E409" s="28"/>
      <c r="F409" s="28"/>
      <c r="G409" s="28"/>
      <c r="H409" s="28"/>
      <c r="I409" s="64">
        <f>J401+J402+J404+J405+J406+J407</f>
        <v>395.78</v>
      </c>
      <c r="J409" s="64"/>
      <c r="K409" s="29">
        <f>IF(Source!I200&lt;&gt;0, ROUND(I409/Source!I200, 2), 0)</f>
        <v>208.31</v>
      </c>
      <c r="P409" s="26">
        <f>I409</f>
        <v>395.78</v>
      </c>
    </row>
    <row r="410" spans="1:22" ht="28.5" x14ac:dyDescent="0.2">
      <c r="A410" s="20" t="str">
        <f>Source!E201</f>
        <v>44</v>
      </c>
      <c r="B410" s="21" t="str">
        <f>Source!F201</f>
        <v>1.2-3103-2-15/1</v>
      </c>
      <c r="C410" s="21" t="str">
        <f>Source!G201</f>
        <v>Устройство фундаментных плит железобетонных плоских</v>
      </c>
      <c r="D410" s="22" t="str">
        <f>Source!H201</f>
        <v>100 м3</v>
      </c>
      <c r="E410" s="9">
        <f>Source!I201</f>
        <v>1.89E-2</v>
      </c>
      <c r="F410" s="24"/>
      <c r="G410" s="23"/>
      <c r="H410" s="9"/>
      <c r="I410" s="9"/>
      <c r="J410" s="25"/>
      <c r="K410" s="25"/>
      <c r="Q410">
        <f>ROUND((Source!BZ201/100)*ROUND((Source!AF201*Source!AV201)*Source!I201, 2), 2)</f>
        <v>550.55999999999995</v>
      </c>
      <c r="R410">
        <f>Source!X201</f>
        <v>550.55999999999995</v>
      </c>
      <c r="S410">
        <f>ROUND((Source!CA201/100)*ROUND((Source!AF201*Source!AV201)*Source!I201, 2), 2)</f>
        <v>78.650000000000006</v>
      </c>
      <c r="T410">
        <f>Source!Y201</f>
        <v>78.650000000000006</v>
      </c>
      <c r="U410">
        <f>ROUND((175/100)*ROUND((Source!AE201*Source!AV201)*Source!I201, 2), 2)</f>
        <v>5.57</v>
      </c>
      <c r="V410">
        <f>ROUND((108/100)*ROUND(Source!CS201*Source!I201, 2), 2)</f>
        <v>3.43</v>
      </c>
    </row>
    <row r="411" spans="1:22" ht="14.25" x14ac:dyDescent="0.2">
      <c r="A411" s="20"/>
      <c r="B411" s="21"/>
      <c r="C411" s="21" t="s">
        <v>423</v>
      </c>
      <c r="D411" s="22"/>
      <c r="E411" s="9"/>
      <c r="F411" s="24">
        <f>Source!AO201</f>
        <v>41614.639999999999</v>
      </c>
      <c r="G411" s="23" t="str">
        <f>Source!DG201</f>
        <v/>
      </c>
      <c r="H411" s="9">
        <f>Source!AV201</f>
        <v>1</v>
      </c>
      <c r="I411" s="9">
        <f>IF(Source!BA201&lt;&gt; 0, Source!BA201, 1)</f>
        <v>1</v>
      </c>
      <c r="J411" s="25">
        <f>Source!S201</f>
        <v>786.52</v>
      </c>
      <c r="K411" s="25"/>
    </row>
    <row r="412" spans="1:22" ht="14.25" x14ac:dyDescent="0.2">
      <c r="A412" s="20"/>
      <c r="B412" s="21"/>
      <c r="C412" s="21" t="s">
        <v>429</v>
      </c>
      <c r="D412" s="22"/>
      <c r="E412" s="9"/>
      <c r="F412" s="24">
        <f>Source!AM201</f>
        <v>4415.67</v>
      </c>
      <c r="G412" s="23" t="str">
        <f>Source!DE201</f>
        <v/>
      </c>
      <c r="H412" s="9">
        <f>Source!AV201</f>
        <v>1</v>
      </c>
      <c r="I412" s="9">
        <f>IF(Source!BB201&lt;&gt; 0, Source!BB201, 1)</f>
        <v>1</v>
      </c>
      <c r="J412" s="25">
        <f>Source!Q201</f>
        <v>83.46</v>
      </c>
      <c r="K412" s="25"/>
    </row>
    <row r="413" spans="1:22" ht="14.25" x14ac:dyDescent="0.2">
      <c r="A413" s="20"/>
      <c r="B413" s="21"/>
      <c r="C413" s="21" t="s">
        <v>430</v>
      </c>
      <c r="D413" s="22"/>
      <c r="E413" s="9"/>
      <c r="F413" s="24">
        <f>Source!AN201</f>
        <v>168.01</v>
      </c>
      <c r="G413" s="23" t="str">
        <f>Source!DF201</f>
        <v/>
      </c>
      <c r="H413" s="9">
        <f>Source!AV201</f>
        <v>1</v>
      </c>
      <c r="I413" s="9">
        <f>IF(Source!BS201&lt;&gt; 0, Source!BS201, 1)</f>
        <v>1</v>
      </c>
      <c r="J413" s="30">
        <f>Source!R201</f>
        <v>3.18</v>
      </c>
      <c r="K413" s="25"/>
    </row>
    <row r="414" spans="1:22" ht="14.25" x14ac:dyDescent="0.2">
      <c r="A414" s="20"/>
      <c r="B414" s="21"/>
      <c r="C414" s="21" t="s">
        <v>431</v>
      </c>
      <c r="D414" s="22"/>
      <c r="E414" s="9"/>
      <c r="F414" s="24">
        <f>Source!AL201</f>
        <v>680227.7</v>
      </c>
      <c r="G414" s="23" t="str">
        <f>Source!DD201</f>
        <v/>
      </c>
      <c r="H414" s="9">
        <f>Source!AW201</f>
        <v>1</v>
      </c>
      <c r="I414" s="9">
        <f>IF(Source!BC201&lt;&gt; 0, Source!BC201, 1)</f>
        <v>1</v>
      </c>
      <c r="J414" s="25">
        <f>Source!P201</f>
        <v>12856.3</v>
      </c>
      <c r="K414" s="25"/>
    </row>
    <row r="415" spans="1:22" ht="57" x14ac:dyDescent="0.2">
      <c r="A415" s="20" t="str">
        <f>Source!E202</f>
        <v>44,1</v>
      </c>
      <c r="B415" s="21" t="str">
        <f>Source!F202</f>
        <v>21.3-1-83</v>
      </c>
      <c r="C415" s="21" t="str">
        <f>Source!G202</f>
        <v>Смеси бетонные, БСГ, тяжелого бетона на гранитном щебне, фракция 5-20, класс прочности: В22,5 (М300); П3, F200, W6</v>
      </c>
      <c r="D415" s="22" t="str">
        <f>Source!H202</f>
        <v>м3</v>
      </c>
      <c r="E415" s="9">
        <f>Source!I202</f>
        <v>1.91835</v>
      </c>
      <c r="F415" s="24">
        <f>Source!AK202</f>
        <v>3884.73</v>
      </c>
      <c r="G415" s="31" t="s">
        <v>3</v>
      </c>
      <c r="H415" s="9">
        <f>Source!AW202</f>
        <v>1</v>
      </c>
      <c r="I415" s="9">
        <f>IF(Source!BC202&lt;&gt; 0, Source!BC202, 1)</f>
        <v>1</v>
      </c>
      <c r="J415" s="25">
        <f>Source!O202</f>
        <v>7452.27</v>
      </c>
      <c r="K415" s="25"/>
      <c r="Q415">
        <f>ROUND((Source!BZ202/100)*ROUND((Source!AF202*Source!AV202)*Source!I202, 2), 2)</f>
        <v>0</v>
      </c>
      <c r="R415">
        <f>Source!X202</f>
        <v>0</v>
      </c>
      <c r="S415">
        <f>ROUND((Source!CA202/100)*ROUND((Source!AF202*Source!AV202)*Source!I202, 2), 2)</f>
        <v>0</v>
      </c>
      <c r="T415">
        <f>Source!Y202</f>
        <v>0</v>
      </c>
      <c r="U415">
        <f>ROUND((175/100)*ROUND((Source!AE202*Source!AV202)*Source!I202, 2), 2)</f>
        <v>0</v>
      </c>
      <c r="V415">
        <f>ROUND((108/100)*ROUND(Source!CS202*Source!I202, 2), 2)</f>
        <v>0</v>
      </c>
    </row>
    <row r="416" spans="1:22" ht="57" x14ac:dyDescent="0.2">
      <c r="A416" s="20" t="str">
        <f>Source!E203</f>
        <v>44,2</v>
      </c>
      <c r="B416" s="21" t="str">
        <f>Source!F203</f>
        <v>21.3-1-69</v>
      </c>
      <c r="C416" s="21" t="str">
        <f>Source!G203</f>
        <v>Смеси бетонные, БСГ, тяжелого бетона на гранитном щебне, класс прочности: В15 (М200); П3, фракция 5-20, F50-100, W0-2</v>
      </c>
      <c r="D416" s="22" t="str">
        <f>Source!H203</f>
        <v>м3</v>
      </c>
      <c r="E416" s="9">
        <f>Source!I203</f>
        <v>-1.91835</v>
      </c>
      <c r="F416" s="24">
        <f>Source!AK203</f>
        <v>3714.73</v>
      </c>
      <c r="G416" s="31" t="s">
        <v>3</v>
      </c>
      <c r="H416" s="9">
        <f>Source!AW203</f>
        <v>1</v>
      </c>
      <c r="I416" s="9">
        <f>IF(Source!BC203&lt;&gt; 0, Source!BC203, 1)</f>
        <v>1</v>
      </c>
      <c r="J416" s="25">
        <f>Source!O203</f>
        <v>-7126.15</v>
      </c>
      <c r="K416" s="25"/>
      <c r="Q416">
        <f>ROUND((Source!BZ203/100)*ROUND((Source!AF203*Source!AV203)*Source!I203, 2), 2)</f>
        <v>0</v>
      </c>
      <c r="R416">
        <f>Source!X203</f>
        <v>0</v>
      </c>
      <c r="S416">
        <f>ROUND((Source!CA203/100)*ROUND((Source!AF203*Source!AV203)*Source!I203, 2), 2)</f>
        <v>0</v>
      </c>
      <c r="T416">
        <f>Source!Y203</f>
        <v>0</v>
      </c>
      <c r="U416">
        <f>ROUND((175/100)*ROUND((Source!AE203*Source!AV203)*Source!I203, 2), 2)</f>
        <v>0</v>
      </c>
      <c r="V416">
        <f>ROUND((108/100)*ROUND(Source!CS203*Source!I203, 2), 2)</f>
        <v>0</v>
      </c>
    </row>
    <row r="417" spans="1:22" ht="14.25" x14ac:dyDescent="0.2">
      <c r="A417" s="20"/>
      <c r="B417" s="21"/>
      <c r="C417" s="21" t="s">
        <v>424</v>
      </c>
      <c r="D417" s="22" t="s">
        <v>425</v>
      </c>
      <c r="E417" s="9">
        <f>Source!AT201</f>
        <v>70</v>
      </c>
      <c r="F417" s="24"/>
      <c r="G417" s="23"/>
      <c r="H417" s="9"/>
      <c r="I417" s="9"/>
      <c r="J417" s="25">
        <f>SUM(R410:R416)</f>
        <v>550.55999999999995</v>
      </c>
      <c r="K417" s="25"/>
    </row>
    <row r="418" spans="1:22" ht="14.25" x14ac:dyDescent="0.2">
      <c r="A418" s="20"/>
      <c r="B418" s="21"/>
      <c r="C418" s="21" t="s">
        <v>426</v>
      </c>
      <c r="D418" s="22" t="s">
        <v>425</v>
      </c>
      <c r="E418" s="9">
        <f>Source!AU201</f>
        <v>10</v>
      </c>
      <c r="F418" s="24"/>
      <c r="G418" s="23"/>
      <c r="H418" s="9"/>
      <c r="I418" s="9"/>
      <c r="J418" s="25">
        <f>SUM(T410:T417)</f>
        <v>78.650000000000006</v>
      </c>
      <c r="K418" s="25"/>
    </row>
    <row r="419" spans="1:22" ht="14.25" x14ac:dyDescent="0.2">
      <c r="A419" s="20"/>
      <c r="B419" s="21"/>
      <c r="C419" s="21" t="s">
        <v>432</v>
      </c>
      <c r="D419" s="22" t="s">
        <v>425</v>
      </c>
      <c r="E419" s="9">
        <f>108</f>
        <v>108</v>
      </c>
      <c r="F419" s="24"/>
      <c r="G419" s="23"/>
      <c r="H419" s="9"/>
      <c r="I419" s="9"/>
      <c r="J419" s="25">
        <f>SUM(V410:V418)</f>
        <v>3.43</v>
      </c>
      <c r="K419" s="25"/>
    </row>
    <row r="420" spans="1:22" ht="14.25" x14ac:dyDescent="0.2">
      <c r="A420" s="20"/>
      <c r="B420" s="21"/>
      <c r="C420" s="21" t="s">
        <v>427</v>
      </c>
      <c r="D420" s="22" t="s">
        <v>428</v>
      </c>
      <c r="E420" s="9">
        <f>Source!AQ201</f>
        <v>205.85</v>
      </c>
      <c r="F420" s="24"/>
      <c r="G420" s="23" t="str">
        <f>Source!DI201</f>
        <v/>
      </c>
      <c r="H420" s="9">
        <f>Source!AV201</f>
        <v>1</v>
      </c>
      <c r="I420" s="9"/>
      <c r="J420" s="25"/>
      <c r="K420" s="25">
        <f>Source!U201</f>
        <v>3.8905650000000001</v>
      </c>
    </row>
    <row r="421" spans="1:22" ht="15" x14ac:dyDescent="0.25">
      <c r="A421" s="28"/>
      <c r="B421" s="28"/>
      <c r="C421" s="28"/>
      <c r="D421" s="28"/>
      <c r="E421" s="28"/>
      <c r="F421" s="28"/>
      <c r="G421" s="28"/>
      <c r="H421" s="28"/>
      <c r="I421" s="64">
        <f>J411+J412+J414+J417+J418+J419+SUM(J415:J416)</f>
        <v>14685.039999999999</v>
      </c>
      <c r="J421" s="64"/>
      <c r="K421" s="29">
        <f>IF(Source!I201&lt;&gt;0, ROUND(I421/Source!I201, 2), 0)</f>
        <v>776986.24</v>
      </c>
      <c r="P421" s="26">
        <f>I421</f>
        <v>14685.039999999999</v>
      </c>
    </row>
    <row r="422" spans="1:22" ht="57" x14ac:dyDescent="0.2">
      <c r="A422" s="20" t="str">
        <f>Source!E204</f>
        <v>45</v>
      </c>
      <c r="B422" s="21" t="str">
        <f>Source!F204</f>
        <v>5.3-3203-2-1/1</v>
      </c>
      <c r="C422" s="21" t="str">
        <f>Source!G204</f>
        <v>Изготовление и установка секций металлического ограждения, калиток, ворот из профилированной трубы, масса секции до 150 кг</v>
      </c>
      <c r="D422" s="22" t="str">
        <f>Source!H204</f>
        <v>м2</v>
      </c>
      <c r="E422" s="9">
        <f>Source!I204</f>
        <v>112.6</v>
      </c>
      <c r="F422" s="24"/>
      <c r="G422" s="23"/>
      <c r="H422" s="9"/>
      <c r="I422" s="9"/>
      <c r="J422" s="25"/>
      <c r="K422" s="25"/>
      <c r="Q422">
        <f>ROUND((Source!BZ204/100)*ROUND((Source!AF204*Source!AV204)*Source!I204, 2), 2)</f>
        <v>62669.78</v>
      </c>
      <c r="R422">
        <f>Source!X204</f>
        <v>62669.78</v>
      </c>
      <c r="S422">
        <f>ROUND((Source!CA204/100)*ROUND((Source!AF204*Source!AV204)*Source!I204, 2), 2)</f>
        <v>8952.83</v>
      </c>
      <c r="T422">
        <f>Source!Y204</f>
        <v>8952.83</v>
      </c>
      <c r="U422">
        <f>ROUND((175/100)*ROUND((Source!AE204*Source!AV204)*Source!I204, 2), 2)</f>
        <v>58322.86</v>
      </c>
      <c r="V422">
        <f>ROUND((108/100)*ROUND(Source!CS204*Source!I204, 2), 2)</f>
        <v>35993.54</v>
      </c>
    </row>
    <row r="423" spans="1:22" ht="14.25" x14ac:dyDescent="0.2">
      <c r="A423" s="20"/>
      <c r="B423" s="21"/>
      <c r="C423" s="21" t="s">
        <v>423</v>
      </c>
      <c r="D423" s="22"/>
      <c r="E423" s="9"/>
      <c r="F423" s="24">
        <f>Source!AO204</f>
        <v>795.1</v>
      </c>
      <c r="G423" s="23" t="str">
        <f>Source!DG204</f>
        <v/>
      </c>
      <c r="H423" s="9">
        <f>Source!AV204</f>
        <v>1</v>
      </c>
      <c r="I423" s="9">
        <f>IF(Source!BA204&lt;&gt; 0, Source!BA204, 1)</f>
        <v>1</v>
      </c>
      <c r="J423" s="25">
        <f>Source!S204</f>
        <v>89528.26</v>
      </c>
      <c r="K423" s="25"/>
    </row>
    <row r="424" spans="1:22" ht="14.25" x14ac:dyDescent="0.2">
      <c r="A424" s="20"/>
      <c r="B424" s="21"/>
      <c r="C424" s="21" t="s">
        <v>429</v>
      </c>
      <c r="D424" s="22"/>
      <c r="E424" s="9"/>
      <c r="F424" s="24">
        <f>Source!AM204</f>
        <v>464.27</v>
      </c>
      <c r="G424" s="23" t="str">
        <f>Source!DE204</f>
        <v/>
      </c>
      <c r="H424" s="9">
        <f>Source!AV204</f>
        <v>1</v>
      </c>
      <c r="I424" s="9">
        <f>IF(Source!BB204&lt;&gt; 0, Source!BB204, 1)</f>
        <v>1</v>
      </c>
      <c r="J424" s="25">
        <f>Source!Q204</f>
        <v>52276.800000000003</v>
      </c>
      <c r="K424" s="25"/>
    </row>
    <row r="425" spans="1:22" ht="14.25" x14ac:dyDescent="0.2">
      <c r="A425" s="20"/>
      <c r="B425" s="21"/>
      <c r="C425" s="21" t="s">
        <v>430</v>
      </c>
      <c r="D425" s="22"/>
      <c r="E425" s="9"/>
      <c r="F425" s="24">
        <f>Source!AN204</f>
        <v>295.98</v>
      </c>
      <c r="G425" s="23" t="str">
        <f>Source!DF204</f>
        <v/>
      </c>
      <c r="H425" s="9">
        <f>Source!AV204</f>
        <v>1</v>
      </c>
      <c r="I425" s="9">
        <f>IF(Source!BS204&lt;&gt; 0, Source!BS204, 1)</f>
        <v>1</v>
      </c>
      <c r="J425" s="30">
        <f>Source!R204</f>
        <v>33327.35</v>
      </c>
      <c r="K425" s="25"/>
    </row>
    <row r="426" spans="1:22" ht="14.25" x14ac:dyDescent="0.2">
      <c r="A426" s="20"/>
      <c r="B426" s="21"/>
      <c r="C426" s="21" t="s">
        <v>431</v>
      </c>
      <c r="D426" s="22"/>
      <c r="E426" s="9"/>
      <c r="F426" s="24">
        <f>Source!AL204</f>
        <v>5687.37</v>
      </c>
      <c r="G426" s="23" t="str">
        <f>Source!DD204</f>
        <v/>
      </c>
      <c r="H426" s="9">
        <f>Source!AW204</f>
        <v>1</v>
      </c>
      <c r="I426" s="9">
        <f>IF(Source!BC204&lt;&gt; 0, Source!BC204, 1)</f>
        <v>1</v>
      </c>
      <c r="J426" s="25">
        <f>Source!P204</f>
        <v>640397.86</v>
      </c>
      <c r="K426" s="25"/>
    </row>
    <row r="427" spans="1:22" ht="71.25" x14ac:dyDescent="0.2">
      <c r="A427" s="20" t="str">
        <f>Source!E205</f>
        <v>45,1</v>
      </c>
      <c r="B427" s="21" t="str">
        <f>Source!F205</f>
        <v>21.1-10-47</v>
      </c>
      <c r="C427" s="21" t="str">
        <f>Source!G205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D427" s="22" t="str">
        <f>Source!H205</f>
        <v>т</v>
      </c>
      <c r="E427" s="9">
        <f>Source!I205</f>
        <v>0.69974999999999998</v>
      </c>
      <c r="F427" s="24">
        <f>Source!AK205</f>
        <v>37329.29</v>
      </c>
      <c r="G427" s="31" t="s">
        <v>3</v>
      </c>
      <c r="H427" s="9">
        <f>Source!AW205</f>
        <v>1</v>
      </c>
      <c r="I427" s="9">
        <f>IF(Source!BC205&lt;&gt; 0, Source!BC205, 1)</f>
        <v>1</v>
      </c>
      <c r="J427" s="25">
        <f>Source!O205</f>
        <v>26121.17</v>
      </c>
      <c r="K427" s="25"/>
      <c r="Q427">
        <f>ROUND((Source!BZ205/100)*ROUND((Source!AF205*Source!AV205)*Source!I205, 2), 2)</f>
        <v>0</v>
      </c>
      <c r="R427">
        <f>Source!X205</f>
        <v>0</v>
      </c>
      <c r="S427">
        <f>ROUND((Source!CA205/100)*ROUND((Source!AF205*Source!AV205)*Source!I205, 2), 2)</f>
        <v>0</v>
      </c>
      <c r="T427">
        <f>Source!Y205</f>
        <v>0</v>
      </c>
      <c r="U427">
        <f>ROUND((175/100)*ROUND((Source!AE205*Source!AV205)*Source!I205, 2), 2)</f>
        <v>0</v>
      </c>
      <c r="V427">
        <f>ROUND((108/100)*ROUND(Source!CS205*Source!I205, 2), 2)</f>
        <v>0</v>
      </c>
    </row>
    <row r="428" spans="1:22" ht="57" x14ac:dyDescent="0.2">
      <c r="A428" s="20" t="str">
        <f>Source!E206</f>
        <v>45,2</v>
      </c>
      <c r="B428" s="21" t="str">
        <f>Source!F206</f>
        <v>21.1-10-111</v>
      </c>
      <c r="C428" s="21" t="str">
        <f>Source!G206</f>
        <v>Профили стальные электросварные прямоугольного сечения трубчатые, размер 40х60 мм, толщина стенки 3,0 мм (расход 4,30 кг/м.п., L=196,2 м.п.)</v>
      </c>
      <c r="D428" s="22" t="str">
        <f>Source!H206</f>
        <v>т</v>
      </c>
      <c r="E428" s="9">
        <f>Source!I206</f>
        <v>0.84365999999999997</v>
      </c>
      <c r="F428" s="24">
        <f>Source!AK206</f>
        <v>32819.879999999997</v>
      </c>
      <c r="G428" s="31" t="s">
        <v>3</v>
      </c>
      <c r="H428" s="9">
        <f>Source!AW206</f>
        <v>1</v>
      </c>
      <c r="I428" s="9">
        <f>IF(Source!BC206&lt;&gt; 0, Source!BC206, 1)</f>
        <v>1</v>
      </c>
      <c r="J428" s="25">
        <f>Source!O206</f>
        <v>27688.82</v>
      </c>
      <c r="K428" s="25"/>
      <c r="Q428">
        <f>ROUND((Source!BZ206/100)*ROUND((Source!AF206*Source!AV206)*Source!I206, 2), 2)</f>
        <v>0</v>
      </c>
      <c r="R428">
        <f>Source!X206</f>
        <v>0</v>
      </c>
      <c r="S428">
        <f>ROUND((Source!CA206/100)*ROUND((Source!AF206*Source!AV206)*Source!I206, 2), 2)</f>
        <v>0</v>
      </c>
      <c r="T428">
        <f>Source!Y206</f>
        <v>0</v>
      </c>
      <c r="U428">
        <f>ROUND((175/100)*ROUND((Source!AE206*Source!AV206)*Source!I206, 2), 2)</f>
        <v>0</v>
      </c>
      <c r="V428">
        <f>ROUND((108/100)*ROUND(Source!CS206*Source!I206, 2), 2)</f>
        <v>0</v>
      </c>
    </row>
    <row r="429" spans="1:22" ht="71.25" x14ac:dyDescent="0.2">
      <c r="A429" s="20" t="str">
        <f>Source!E207</f>
        <v>45,3</v>
      </c>
      <c r="B429" s="21" t="str">
        <f>Source!F207</f>
        <v>21.1-10-34</v>
      </c>
      <c r="C429" s="21" t="str">
        <f>Source!G207</f>
        <v>Профили стальные электросварные квадратного сечения трубчатые, размер стороны 20 мм, толщина стенки 2 мм (расход 1,075 кг/м.п., L=1724,4 м.п.)</v>
      </c>
      <c r="D429" s="22" t="str">
        <f>Source!H207</f>
        <v>т</v>
      </c>
      <c r="E429" s="9">
        <f>Source!I207</f>
        <v>1.8537300000000001</v>
      </c>
      <c r="F429" s="24">
        <f>Source!AK207</f>
        <v>40597.550000000003</v>
      </c>
      <c r="G429" s="31" t="s">
        <v>3</v>
      </c>
      <c r="H429" s="9">
        <f>Source!AW207</f>
        <v>1</v>
      </c>
      <c r="I429" s="9">
        <f>IF(Source!BC207&lt;&gt; 0, Source!BC207, 1)</f>
        <v>1</v>
      </c>
      <c r="J429" s="25">
        <f>Source!O207</f>
        <v>75256.899999999994</v>
      </c>
      <c r="K429" s="25"/>
      <c r="Q429">
        <f>ROUND((Source!BZ207/100)*ROUND((Source!AF207*Source!AV207)*Source!I207, 2), 2)</f>
        <v>0</v>
      </c>
      <c r="R429">
        <f>Source!X207</f>
        <v>0</v>
      </c>
      <c r="S429">
        <f>ROUND((Source!CA207/100)*ROUND((Source!AF207*Source!AV207)*Source!I207, 2), 2)</f>
        <v>0</v>
      </c>
      <c r="T429">
        <f>Source!Y207</f>
        <v>0</v>
      </c>
      <c r="U429">
        <f>ROUND((175/100)*ROUND((Source!AE207*Source!AV207)*Source!I207, 2), 2)</f>
        <v>0</v>
      </c>
      <c r="V429">
        <f>ROUND((108/100)*ROUND(Source!CS207*Source!I207, 2), 2)</f>
        <v>0</v>
      </c>
    </row>
    <row r="430" spans="1:22" ht="42.75" x14ac:dyDescent="0.2">
      <c r="A430" s="20" t="str">
        <f>Source!E208</f>
        <v>45,4</v>
      </c>
      <c r="B430" s="21" t="str">
        <f>Source!F208</f>
        <v>Цена поставщика</v>
      </c>
      <c r="C430" s="21" t="s">
        <v>433</v>
      </c>
      <c r="D430" s="22" t="str">
        <f>Source!H208</f>
        <v>ШТ</v>
      </c>
      <c r="E430" s="9">
        <f>Source!I208</f>
        <v>21</v>
      </c>
      <c r="F430" s="24">
        <f>Source!AK208</f>
        <v>37.5</v>
      </c>
      <c r="G430" s="31" t="s">
        <v>3</v>
      </c>
      <c r="H430" s="9">
        <f>Source!AW208</f>
        <v>1</v>
      </c>
      <c r="I430" s="9">
        <f>IF(Source!BC208&lt;&gt; 0, Source!BC208, 1)</f>
        <v>1</v>
      </c>
      <c r="J430" s="25">
        <f>Source!O208</f>
        <v>787.5</v>
      </c>
      <c r="K430" s="25"/>
      <c r="Q430">
        <f>ROUND((Source!BZ208/100)*ROUND((Source!AF208*Source!AV208)*Source!I208, 2), 2)</f>
        <v>0</v>
      </c>
      <c r="R430">
        <f>Source!X208</f>
        <v>0</v>
      </c>
      <c r="S430">
        <f>ROUND((Source!CA208/100)*ROUND((Source!AF208*Source!AV208)*Source!I208, 2), 2)</f>
        <v>0</v>
      </c>
      <c r="T430">
        <f>Source!Y208</f>
        <v>0</v>
      </c>
      <c r="U430">
        <f>ROUND((175/100)*ROUND((Source!AE208*Source!AV208)*Source!I208, 2), 2)</f>
        <v>0</v>
      </c>
      <c r="V430">
        <f>ROUND((108/100)*ROUND(Source!CS208*Source!I208, 2), 2)</f>
        <v>0</v>
      </c>
    </row>
    <row r="431" spans="1:22" ht="42.75" x14ac:dyDescent="0.2">
      <c r="A431" s="20" t="str">
        <f>Source!E209</f>
        <v>45,5</v>
      </c>
      <c r="B431" s="21" t="str">
        <f>Source!F209</f>
        <v>Цена поставщика</v>
      </c>
      <c r="C431" s="21" t="s">
        <v>434</v>
      </c>
      <c r="D431" s="22" t="str">
        <f>Source!H209</f>
        <v>ШТ</v>
      </c>
      <c r="E431" s="9">
        <f>Source!I209</f>
        <v>84</v>
      </c>
      <c r="F431" s="24">
        <f>Source!AK209</f>
        <v>16.53</v>
      </c>
      <c r="G431" s="31" t="s">
        <v>3</v>
      </c>
      <c r="H431" s="9">
        <f>Source!AW209</f>
        <v>1</v>
      </c>
      <c r="I431" s="9">
        <f>IF(Source!BC209&lt;&gt; 0, Source!BC209, 1)</f>
        <v>1</v>
      </c>
      <c r="J431" s="25">
        <f>Source!O209</f>
        <v>1388.52</v>
      </c>
      <c r="K431" s="25"/>
      <c r="Q431">
        <f>ROUND((Source!BZ209/100)*ROUND((Source!AF209*Source!AV209)*Source!I209, 2), 2)</f>
        <v>0</v>
      </c>
      <c r="R431">
        <f>Source!X209</f>
        <v>0</v>
      </c>
      <c r="S431">
        <f>ROUND((Source!CA209/100)*ROUND((Source!AF209*Source!AV209)*Source!I209, 2), 2)</f>
        <v>0</v>
      </c>
      <c r="T431">
        <f>Source!Y209</f>
        <v>0</v>
      </c>
      <c r="U431">
        <f>ROUND((175/100)*ROUND((Source!AE209*Source!AV209)*Source!I209, 2), 2)</f>
        <v>0</v>
      </c>
      <c r="V431">
        <f>ROUND((108/100)*ROUND(Source!CS209*Source!I209, 2), 2)</f>
        <v>0</v>
      </c>
    </row>
    <row r="432" spans="1:22" ht="42.75" x14ac:dyDescent="0.2">
      <c r="A432" s="20" t="str">
        <f>Source!E210</f>
        <v>45,6</v>
      </c>
      <c r="B432" s="21" t="str">
        <f>Source!F210</f>
        <v>Цена поставщика</v>
      </c>
      <c r="C432" s="21" t="s">
        <v>437</v>
      </c>
      <c r="D432" s="22" t="str">
        <f>Source!H210</f>
        <v>ШТ</v>
      </c>
      <c r="E432" s="9">
        <f>Source!I210</f>
        <v>6</v>
      </c>
      <c r="F432" s="24">
        <f>Source!AK210</f>
        <v>220.78</v>
      </c>
      <c r="G432" s="31" t="s">
        <v>3</v>
      </c>
      <c r="H432" s="9">
        <f>Source!AW210</f>
        <v>1</v>
      </c>
      <c r="I432" s="9">
        <f>IF(Source!BC210&lt;&gt; 0, Source!BC210, 1)</f>
        <v>1</v>
      </c>
      <c r="J432" s="25">
        <f>Source!O210</f>
        <v>1324.68</v>
      </c>
      <c r="K432" s="25"/>
      <c r="Q432">
        <f>ROUND((Source!BZ210/100)*ROUND((Source!AF210*Source!AV210)*Source!I210, 2), 2)</f>
        <v>0</v>
      </c>
      <c r="R432">
        <f>Source!X210</f>
        <v>0</v>
      </c>
      <c r="S432">
        <f>ROUND((Source!CA210/100)*ROUND((Source!AF210*Source!AV210)*Source!I210, 2), 2)</f>
        <v>0</v>
      </c>
      <c r="T432">
        <f>Source!Y210</f>
        <v>0</v>
      </c>
      <c r="U432">
        <f>ROUND((175/100)*ROUND((Source!AE210*Source!AV210)*Source!I210, 2), 2)</f>
        <v>0</v>
      </c>
      <c r="V432">
        <f>ROUND((108/100)*ROUND(Source!CS210*Source!I210, 2), 2)</f>
        <v>0</v>
      </c>
    </row>
    <row r="433" spans="1:22" ht="42.75" x14ac:dyDescent="0.2">
      <c r="A433" s="20" t="str">
        <f>Source!E211</f>
        <v>45,7</v>
      </c>
      <c r="B433" s="21" t="str">
        <f>Source!F211</f>
        <v>Цена поставщика</v>
      </c>
      <c r="C433" s="21" t="s">
        <v>438</v>
      </c>
      <c r="D433" s="22" t="str">
        <f>Source!H211</f>
        <v>ШТ</v>
      </c>
      <c r="E433" s="9">
        <f>Source!I211</f>
        <v>1</v>
      </c>
      <c r="F433" s="24">
        <f>Source!AK211</f>
        <v>674.17</v>
      </c>
      <c r="G433" s="31" t="s">
        <v>3</v>
      </c>
      <c r="H433" s="9">
        <f>Source!AW211</f>
        <v>1</v>
      </c>
      <c r="I433" s="9">
        <f>IF(Source!BC211&lt;&gt; 0, Source!BC211, 1)</f>
        <v>1</v>
      </c>
      <c r="J433" s="25">
        <f>Source!O211</f>
        <v>674.17</v>
      </c>
      <c r="K433" s="25"/>
      <c r="Q433">
        <f>ROUND((Source!BZ211/100)*ROUND((Source!AF211*Source!AV211)*Source!I211, 2), 2)</f>
        <v>0</v>
      </c>
      <c r="R433">
        <f>Source!X211</f>
        <v>0</v>
      </c>
      <c r="S433">
        <f>ROUND((Source!CA211/100)*ROUND((Source!AF211*Source!AV211)*Source!I211, 2), 2)</f>
        <v>0</v>
      </c>
      <c r="T433">
        <f>Source!Y211</f>
        <v>0</v>
      </c>
      <c r="U433">
        <f>ROUND((175/100)*ROUND((Source!AE211*Source!AV211)*Source!I211, 2), 2)</f>
        <v>0</v>
      </c>
      <c r="V433">
        <f>ROUND((108/100)*ROUND(Source!CS211*Source!I211, 2), 2)</f>
        <v>0</v>
      </c>
    </row>
    <row r="434" spans="1:22" ht="42.75" x14ac:dyDescent="0.2">
      <c r="A434" s="20" t="str">
        <f>Source!E212</f>
        <v>45,8</v>
      </c>
      <c r="B434" s="21" t="str">
        <f>Source!F212</f>
        <v>Цена поставщика</v>
      </c>
      <c r="C434" s="21" t="s">
        <v>439</v>
      </c>
      <c r="D434" s="22" t="str">
        <f>Source!H212</f>
        <v>ШТ</v>
      </c>
      <c r="E434" s="9">
        <f>Source!I212</f>
        <v>1</v>
      </c>
      <c r="F434" s="24">
        <f>Source!AK212</f>
        <v>197.23</v>
      </c>
      <c r="G434" s="31" t="s">
        <v>3</v>
      </c>
      <c r="H434" s="9">
        <f>Source!AW212</f>
        <v>1</v>
      </c>
      <c r="I434" s="9">
        <f>IF(Source!BC212&lt;&gt; 0, Source!BC212, 1)</f>
        <v>1</v>
      </c>
      <c r="J434" s="25">
        <f>Source!O212</f>
        <v>197.23</v>
      </c>
      <c r="K434" s="25"/>
      <c r="Q434">
        <f>ROUND((Source!BZ212/100)*ROUND((Source!AF212*Source!AV212)*Source!I212, 2), 2)</f>
        <v>0</v>
      </c>
      <c r="R434">
        <f>Source!X212</f>
        <v>0</v>
      </c>
      <c r="S434">
        <f>ROUND((Source!CA212/100)*ROUND((Source!AF212*Source!AV212)*Source!I212, 2), 2)</f>
        <v>0</v>
      </c>
      <c r="T434">
        <f>Source!Y212</f>
        <v>0</v>
      </c>
      <c r="U434">
        <f>ROUND((175/100)*ROUND((Source!AE212*Source!AV212)*Source!I212, 2), 2)</f>
        <v>0</v>
      </c>
      <c r="V434">
        <f>ROUND((108/100)*ROUND(Source!CS212*Source!I212, 2), 2)</f>
        <v>0</v>
      </c>
    </row>
    <row r="435" spans="1:22" ht="57" x14ac:dyDescent="0.2">
      <c r="A435" s="20" t="str">
        <f>Source!E213</f>
        <v>45,9</v>
      </c>
      <c r="B435" s="21" t="str">
        <f>Source!F213</f>
        <v>21.1-10-28</v>
      </c>
      <c r="C435" s="21" t="str">
        <f>Source!G213</f>
        <v>Профили стальные электросварные квадратного сечения трубчатые, размер стороны 40 мм, толщина стенки 2 мм</v>
      </c>
      <c r="D435" s="22" t="str">
        <f>Source!H213</f>
        <v>т</v>
      </c>
      <c r="E435" s="9">
        <f>Source!I213</f>
        <v>-16.7774</v>
      </c>
      <c r="F435" s="24">
        <f>Source!AK213</f>
        <v>37537.54</v>
      </c>
      <c r="G435" s="31" t="s">
        <v>3</v>
      </c>
      <c r="H435" s="9">
        <f>Source!AW213</f>
        <v>1</v>
      </c>
      <c r="I435" s="9">
        <f>IF(Source!BC213&lt;&gt; 0, Source!BC213, 1)</f>
        <v>1</v>
      </c>
      <c r="J435" s="25">
        <f>Source!O213</f>
        <v>-629782.31999999995</v>
      </c>
      <c r="K435" s="25"/>
      <c r="Q435">
        <f>ROUND((Source!BZ213/100)*ROUND((Source!AF213*Source!AV213)*Source!I213, 2), 2)</f>
        <v>0</v>
      </c>
      <c r="R435">
        <f>Source!X213</f>
        <v>0</v>
      </c>
      <c r="S435">
        <f>ROUND((Source!CA213/100)*ROUND((Source!AF213*Source!AV213)*Source!I213, 2), 2)</f>
        <v>0</v>
      </c>
      <c r="T435">
        <f>Source!Y213</f>
        <v>0</v>
      </c>
      <c r="U435">
        <f>ROUND((175/100)*ROUND((Source!AE213*Source!AV213)*Source!I213, 2), 2)</f>
        <v>0</v>
      </c>
      <c r="V435">
        <f>ROUND((108/100)*ROUND(Source!CS213*Source!I213, 2), 2)</f>
        <v>0</v>
      </c>
    </row>
    <row r="436" spans="1:22" ht="14.25" x14ac:dyDescent="0.2">
      <c r="A436" s="20"/>
      <c r="B436" s="21"/>
      <c r="C436" s="21" t="s">
        <v>424</v>
      </c>
      <c r="D436" s="22" t="s">
        <v>425</v>
      </c>
      <c r="E436" s="9">
        <f>Source!AT204</f>
        <v>70</v>
      </c>
      <c r="F436" s="24"/>
      <c r="G436" s="23"/>
      <c r="H436" s="9"/>
      <c r="I436" s="9"/>
      <c r="J436" s="25">
        <f>SUM(R422:R435)</f>
        <v>62669.78</v>
      </c>
      <c r="K436" s="25"/>
    </row>
    <row r="437" spans="1:22" ht="14.25" x14ac:dyDescent="0.2">
      <c r="A437" s="20"/>
      <c r="B437" s="21"/>
      <c r="C437" s="21" t="s">
        <v>426</v>
      </c>
      <c r="D437" s="22" t="s">
        <v>425</v>
      </c>
      <c r="E437" s="9">
        <f>Source!AU204</f>
        <v>10</v>
      </c>
      <c r="F437" s="24"/>
      <c r="G437" s="23"/>
      <c r="H437" s="9"/>
      <c r="I437" s="9"/>
      <c r="J437" s="25">
        <f>SUM(T422:T436)</f>
        <v>8952.83</v>
      </c>
      <c r="K437" s="25"/>
    </row>
    <row r="438" spans="1:22" ht="14.25" x14ac:dyDescent="0.2">
      <c r="A438" s="20"/>
      <c r="B438" s="21"/>
      <c r="C438" s="21" t="s">
        <v>432</v>
      </c>
      <c r="D438" s="22" t="s">
        <v>425</v>
      </c>
      <c r="E438" s="9">
        <f>108</f>
        <v>108</v>
      </c>
      <c r="F438" s="24"/>
      <c r="G438" s="23"/>
      <c r="H438" s="9"/>
      <c r="I438" s="9"/>
      <c r="J438" s="25">
        <f>SUM(V422:V437)</f>
        <v>35993.54</v>
      </c>
      <c r="K438" s="25"/>
    </row>
    <row r="439" spans="1:22" ht="14.25" x14ac:dyDescent="0.2">
      <c r="A439" s="20"/>
      <c r="B439" s="21"/>
      <c r="C439" s="21" t="s">
        <v>427</v>
      </c>
      <c r="D439" s="22" t="s">
        <v>428</v>
      </c>
      <c r="E439" s="9">
        <f>Source!AQ204</f>
        <v>2.97</v>
      </c>
      <c r="F439" s="24"/>
      <c r="G439" s="23" t="str">
        <f>Source!DI204</f>
        <v/>
      </c>
      <c r="H439" s="9">
        <f>Source!AV204</f>
        <v>1</v>
      </c>
      <c r="I439" s="9"/>
      <c r="J439" s="25"/>
      <c r="K439" s="25">
        <f>Source!U204</f>
        <v>334.42200000000003</v>
      </c>
    </row>
    <row r="440" spans="1:22" ht="15" x14ac:dyDescent="0.25">
      <c r="A440" s="28"/>
      <c r="B440" s="28"/>
      <c r="C440" s="28"/>
      <c r="D440" s="28"/>
      <c r="E440" s="28"/>
      <c r="F440" s="28"/>
      <c r="G440" s="28"/>
      <c r="H440" s="28"/>
      <c r="I440" s="64">
        <f>J423+J424+J426+J436+J437+J438+SUM(J427:J435)</f>
        <v>393475.74</v>
      </c>
      <c r="J440" s="64"/>
      <c r="K440" s="29">
        <f>IF(Source!I204&lt;&gt;0, ROUND(I440/Source!I204, 2), 0)</f>
        <v>3494.46</v>
      </c>
      <c r="P440" s="26">
        <f>I440</f>
        <v>393475.74</v>
      </c>
    </row>
    <row r="441" spans="1:22" ht="42.75" x14ac:dyDescent="0.2">
      <c r="A441" s="20" t="str">
        <f>Source!E214</f>
        <v>46</v>
      </c>
      <c r="B441" s="21" t="str">
        <f>Source!F214</f>
        <v>1.13-3205-2-2/1</v>
      </c>
      <c r="C441" s="21" t="str">
        <f>Source!G214</f>
        <v>Антикоррозионная огрунтовка металлических поверхностей грунтовкой ГФ-021 за один раз</v>
      </c>
      <c r="D441" s="22" t="str">
        <f>Source!H214</f>
        <v>100 м2</v>
      </c>
      <c r="E441" s="9">
        <f>Source!I214</f>
        <v>1.1259999999999999</v>
      </c>
      <c r="F441" s="24"/>
      <c r="G441" s="23"/>
      <c r="H441" s="9"/>
      <c r="I441" s="9"/>
      <c r="J441" s="25"/>
      <c r="K441" s="25"/>
      <c r="Q441">
        <f>ROUND((Source!BZ214/100)*ROUND((Source!AF214*Source!AV214)*Source!I214, 2), 2)</f>
        <v>1310.06</v>
      </c>
      <c r="R441">
        <f>Source!X214</f>
        <v>1310.06</v>
      </c>
      <c r="S441">
        <f>ROUND((Source!CA214/100)*ROUND((Source!AF214*Source!AV214)*Source!I214, 2), 2)</f>
        <v>187.15</v>
      </c>
      <c r="T441">
        <f>Source!Y214</f>
        <v>187.15</v>
      </c>
      <c r="U441">
        <f>ROUND((175/100)*ROUND((Source!AE214*Source!AV214)*Source!I214, 2), 2)</f>
        <v>98.53</v>
      </c>
      <c r="V441">
        <f>ROUND((108/100)*ROUND(Source!CS214*Source!I214, 2), 2)</f>
        <v>60.8</v>
      </c>
    </row>
    <row r="442" spans="1:22" ht="14.25" x14ac:dyDescent="0.2">
      <c r="A442" s="20"/>
      <c r="B442" s="21"/>
      <c r="C442" s="21" t="s">
        <v>423</v>
      </c>
      <c r="D442" s="22"/>
      <c r="E442" s="9"/>
      <c r="F442" s="24">
        <f>Source!AO214</f>
        <v>1662.1</v>
      </c>
      <c r="G442" s="23" t="str">
        <f>Source!DG214</f>
        <v/>
      </c>
      <c r="H442" s="9">
        <f>Source!AV214</f>
        <v>1</v>
      </c>
      <c r="I442" s="9">
        <f>IF(Source!BA214&lt;&gt; 0, Source!BA214, 1)</f>
        <v>1</v>
      </c>
      <c r="J442" s="25">
        <f>Source!S214</f>
        <v>1871.52</v>
      </c>
      <c r="K442" s="25"/>
    </row>
    <row r="443" spans="1:22" ht="14.25" x14ac:dyDescent="0.2">
      <c r="A443" s="20"/>
      <c r="B443" s="21"/>
      <c r="C443" s="21" t="s">
        <v>429</v>
      </c>
      <c r="D443" s="22"/>
      <c r="E443" s="9"/>
      <c r="F443" s="24">
        <f>Source!AM214</f>
        <v>144.28</v>
      </c>
      <c r="G443" s="23" t="str">
        <f>Source!DE214</f>
        <v/>
      </c>
      <c r="H443" s="9">
        <f>Source!AV214</f>
        <v>1</v>
      </c>
      <c r="I443" s="9">
        <f>IF(Source!BB214&lt;&gt; 0, Source!BB214, 1)</f>
        <v>1</v>
      </c>
      <c r="J443" s="25">
        <f>Source!Q214</f>
        <v>162.46</v>
      </c>
      <c r="K443" s="25"/>
    </row>
    <row r="444" spans="1:22" ht="14.25" x14ac:dyDescent="0.2">
      <c r="A444" s="20"/>
      <c r="B444" s="21"/>
      <c r="C444" s="21" t="s">
        <v>430</v>
      </c>
      <c r="D444" s="22"/>
      <c r="E444" s="9"/>
      <c r="F444" s="24">
        <f>Source!AN214</f>
        <v>50</v>
      </c>
      <c r="G444" s="23" t="str">
        <f>Source!DF214</f>
        <v/>
      </c>
      <c r="H444" s="9">
        <f>Source!AV214</f>
        <v>1</v>
      </c>
      <c r="I444" s="9">
        <f>IF(Source!BS214&lt;&gt; 0, Source!BS214, 1)</f>
        <v>1</v>
      </c>
      <c r="J444" s="30">
        <f>Source!R214</f>
        <v>56.3</v>
      </c>
      <c r="K444" s="25"/>
    </row>
    <row r="445" spans="1:22" ht="14.25" x14ac:dyDescent="0.2">
      <c r="A445" s="20"/>
      <c r="B445" s="21"/>
      <c r="C445" s="21" t="s">
        <v>431</v>
      </c>
      <c r="D445" s="22"/>
      <c r="E445" s="9"/>
      <c r="F445" s="24">
        <f>Source!AL214</f>
        <v>1022.11</v>
      </c>
      <c r="G445" s="23" t="str">
        <f>Source!DD214</f>
        <v/>
      </c>
      <c r="H445" s="9">
        <f>Source!AW214</f>
        <v>1</v>
      </c>
      <c r="I445" s="9">
        <f>IF(Source!BC214&lt;&gt; 0, Source!BC214, 1)</f>
        <v>1</v>
      </c>
      <c r="J445" s="25">
        <f>Source!P214</f>
        <v>1150.9000000000001</v>
      </c>
      <c r="K445" s="25"/>
    </row>
    <row r="446" spans="1:22" ht="14.25" x14ac:dyDescent="0.2">
      <c r="A446" s="20"/>
      <c r="B446" s="21"/>
      <c r="C446" s="21" t="s">
        <v>424</v>
      </c>
      <c r="D446" s="22" t="s">
        <v>425</v>
      </c>
      <c r="E446" s="9">
        <f>Source!AT214</f>
        <v>70</v>
      </c>
      <c r="F446" s="24"/>
      <c r="G446" s="23"/>
      <c r="H446" s="9"/>
      <c r="I446" s="9"/>
      <c r="J446" s="25">
        <f>SUM(R441:R445)</f>
        <v>1310.06</v>
      </c>
      <c r="K446" s="25"/>
    </row>
    <row r="447" spans="1:22" ht="14.25" x14ac:dyDescent="0.2">
      <c r="A447" s="20"/>
      <c r="B447" s="21"/>
      <c r="C447" s="21" t="s">
        <v>426</v>
      </c>
      <c r="D447" s="22" t="s">
        <v>425</v>
      </c>
      <c r="E447" s="9">
        <f>Source!AU214</f>
        <v>10</v>
      </c>
      <c r="F447" s="24"/>
      <c r="G447" s="23"/>
      <c r="H447" s="9"/>
      <c r="I447" s="9"/>
      <c r="J447" s="25">
        <f>SUM(T441:T446)</f>
        <v>187.15</v>
      </c>
      <c r="K447" s="25"/>
    </row>
    <row r="448" spans="1:22" ht="14.25" x14ac:dyDescent="0.2">
      <c r="A448" s="20"/>
      <c r="B448" s="21"/>
      <c r="C448" s="21" t="s">
        <v>432</v>
      </c>
      <c r="D448" s="22" t="s">
        <v>425</v>
      </c>
      <c r="E448" s="9">
        <f>108</f>
        <v>108</v>
      </c>
      <c r="F448" s="24"/>
      <c r="G448" s="23"/>
      <c r="H448" s="9"/>
      <c r="I448" s="9"/>
      <c r="J448" s="25">
        <f>SUM(V441:V447)</f>
        <v>60.8</v>
      </c>
      <c r="K448" s="25"/>
    </row>
    <row r="449" spans="1:22" ht="14.25" x14ac:dyDescent="0.2">
      <c r="A449" s="20"/>
      <c r="B449" s="21"/>
      <c r="C449" s="21" t="s">
        <v>427</v>
      </c>
      <c r="D449" s="22" t="s">
        <v>428</v>
      </c>
      <c r="E449" s="9">
        <f>Source!AQ214</f>
        <v>6.11</v>
      </c>
      <c r="F449" s="24"/>
      <c r="G449" s="23" t="str">
        <f>Source!DI214</f>
        <v/>
      </c>
      <c r="H449" s="9">
        <f>Source!AV214</f>
        <v>1</v>
      </c>
      <c r="I449" s="9"/>
      <c r="J449" s="25"/>
      <c r="K449" s="25">
        <f>Source!U214</f>
        <v>6.8798599999999999</v>
      </c>
    </row>
    <row r="450" spans="1:22" ht="15" x14ac:dyDescent="0.25">
      <c r="A450" s="28"/>
      <c r="B450" s="28"/>
      <c r="C450" s="28"/>
      <c r="D450" s="28"/>
      <c r="E450" s="28"/>
      <c r="F450" s="28"/>
      <c r="G450" s="28"/>
      <c r="H450" s="28"/>
      <c r="I450" s="64">
        <f>J442+J443+J445+J446+J447+J448</f>
        <v>4742.8900000000003</v>
      </c>
      <c r="J450" s="64"/>
      <c r="K450" s="29">
        <f>IF(Source!I214&lt;&gt;0, ROUND(I450/Source!I214, 2), 0)</f>
        <v>4212.16</v>
      </c>
      <c r="P450" s="26">
        <f>I450</f>
        <v>4742.8900000000003</v>
      </c>
    </row>
    <row r="451" spans="1:22" ht="42.75" x14ac:dyDescent="0.2">
      <c r="A451" s="20" t="str">
        <f>Source!E215</f>
        <v>47</v>
      </c>
      <c r="B451" s="21" t="str">
        <f>Source!F215</f>
        <v>1.13-3205-4-8/1</v>
      </c>
      <c r="C451" s="21" t="str">
        <f>Source!G215</f>
        <v>Антикоррозионная окраска огрунтованных металлических поверхностей эмалями ПФ-115</v>
      </c>
      <c r="D451" s="22" t="str">
        <f>Source!H215</f>
        <v>100 м2</v>
      </c>
      <c r="E451" s="9">
        <f>Source!I215</f>
        <v>1.1259999999999999</v>
      </c>
      <c r="F451" s="24"/>
      <c r="G451" s="23"/>
      <c r="H451" s="9"/>
      <c r="I451" s="9"/>
      <c r="J451" s="25"/>
      <c r="K451" s="25"/>
      <c r="Q451">
        <f>ROUND((Source!BZ215/100)*ROUND((Source!AF215*Source!AV215)*Source!I215, 2), 2)</f>
        <v>433.01</v>
      </c>
      <c r="R451">
        <f>Source!X215</f>
        <v>433.01</v>
      </c>
      <c r="S451">
        <f>ROUND((Source!CA215/100)*ROUND((Source!AF215*Source!AV215)*Source!I215, 2), 2)</f>
        <v>61.86</v>
      </c>
      <c r="T451">
        <f>Source!Y215</f>
        <v>61.86</v>
      </c>
      <c r="U451">
        <f>ROUND((175/100)*ROUND((Source!AE215*Source!AV215)*Source!I215, 2), 2)</f>
        <v>7.32</v>
      </c>
      <c r="V451">
        <f>ROUND((108/100)*ROUND(Source!CS215*Source!I215, 2), 2)</f>
        <v>4.51</v>
      </c>
    </row>
    <row r="452" spans="1:22" ht="14.25" x14ac:dyDescent="0.2">
      <c r="A452" s="20"/>
      <c r="B452" s="21"/>
      <c r="C452" s="21" t="s">
        <v>423</v>
      </c>
      <c r="D452" s="22"/>
      <c r="E452" s="9"/>
      <c r="F452" s="24">
        <f>Source!AO215</f>
        <v>549.36</v>
      </c>
      <c r="G452" s="23" t="str">
        <f>Source!DG215</f>
        <v/>
      </c>
      <c r="H452" s="9">
        <f>Source!AV215</f>
        <v>1</v>
      </c>
      <c r="I452" s="9">
        <f>IF(Source!BA215&lt;&gt; 0, Source!BA215, 1)</f>
        <v>1</v>
      </c>
      <c r="J452" s="25">
        <f>Source!S215</f>
        <v>618.58000000000004</v>
      </c>
      <c r="K452" s="25"/>
    </row>
    <row r="453" spans="1:22" ht="14.25" x14ac:dyDescent="0.2">
      <c r="A453" s="20"/>
      <c r="B453" s="21"/>
      <c r="C453" s="21" t="s">
        <v>429</v>
      </c>
      <c r="D453" s="22"/>
      <c r="E453" s="9"/>
      <c r="F453" s="24">
        <f>Source!AM215</f>
        <v>6.84</v>
      </c>
      <c r="G453" s="23" t="str">
        <f>Source!DE215</f>
        <v/>
      </c>
      <c r="H453" s="9">
        <f>Source!AV215</f>
        <v>1</v>
      </c>
      <c r="I453" s="9">
        <f>IF(Source!BB215&lt;&gt; 0, Source!BB215, 1)</f>
        <v>1</v>
      </c>
      <c r="J453" s="25">
        <f>Source!Q215</f>
        <v>7.7</v>
      </c>
      <c r="K453" s="25"/>
    </row>
    <row r="454" spans="1:22" ht="14.25" x14ac:dyDescent="0.2">
      <c r="A454" s="20"/>
      <c r="B454" s="21"/>
      <c r="C454" s="21" t="s">
        <v>430</v>
      </c>
      <c r="D454" s="22"/>
      <c r="E454" s="9"/>
      <c r="F454" s="24">
        <f>Source!AN215</f>
        <v>3.71</v>
      </c>
      <c r="G454" s="23" t="str">
        <f>Source!DF215</f>
        <v/>
      </c>
      <c r="H454" s="9">
        <f>Source!AV215</f>
        <v>1</v>
      </c>
      <c r="I454" s="9">
        <f>IF(Source!BS215&lt;&gt; 0, Source!BS215, 1)</f>
        <v>1</v>
      </c>
      <c r="J454" s="30">
        <f>Source!R215</f>
        <v>4.18</v>
      </c>
      <c r="K454" s="25"/>
    </row>
    <row r="455" spans="1:22" ht="14.25" x14ac:dyDescent="0.2">
      <c r="A455" s="20"/>
      <c r="B455" s="21"/>
      <c r="C455" s="21" t="s">
        <v>431</v>
      </c>
      <c r="D455" s="22"/>
      <c r="E455" s="9"/>
      <c r="F455" s="24">
        <f>Source!AL215</f>
        <v>1041.4100000000001</v>
      </c>
      <c r="G455" s="23" t="str">
        <f>Source!DD215</f>
        <v/>
      </c>
      <c r="H455" s="9">
        <f>Source!AW215</f>
        <v>1</v>
      </c>
      <c r="I455" s="9">
        <f>IF(Source!BC215&lt;&gt; 0, Source!BC215, 1)</f>
        <v>1</v>
      </c>
      <c r="J455" s="25">
        <f>Source!P215</f>
        <v>1172.6300000000001</v>
      </c>
      <c r="K455" s="25"/>
    </row>
    <row r="456" spans="1:22" ht="14.25" x14ac:dyDescent="0.2">
      <c r="A456" s="20"/>
      <c r="B456" s="21"/>
      <c r="C456" s="21" t="s">
        <v>424</v>
      </c>
      <c r="D456" s="22" t="s">
        <v>425</v>
      </c>
      <c r="E456" s="9">
        <f>Source!AT215</f>
        <v>70</v>
      </c>
      <c r="F456" s="24"/>
      <c r="G456" s="23"/>
      <c r="H456" s="9"/>
      <c r="I456" s="9"/>
      <c r="J456" s="25">
        <f>SUM(R451:R455)</f>
        <v>433.01</v>
      </c>
      <c r="K456" s="25"/>
    </row>
    <row r="457" spans="1:22" ht="14.25" x14ac:dyDescent="0.2">
      <c r="A457" s="20"/>
      <c r="B457" s="21"/>
      <c r="C457" s="21" t="s">
        <v>426</v>
      </c>
      <c r="D457" s="22" t="s">
        <v>425</v>
      </c>
      <c r="E457" s="9">
        <f>Source!AU215</f>
        <v>10</v>
      </c>
      <c r="F457" s="24"/>
      <c r="G457" s="23"/>
      <c r="H457" s="9"/>
      <c r="I457" s="9"/>
      <c r="J457" s="25">
        <f>SUM(T451:T456)</f>
        <v>61.86</v>
      </c>
      <c r="K457" s="25"/>
    </row>
    <row r="458" spans="1:22" ht="14.25" x14ac:dyDescent="0.2">
      <c r="A458" s="20"/>
      <c r="B458" s="21"/>
      <c r="C458" s="21" t="s">
        <v>432</v>
      </c>
      <c r="D458" s="22" t="s">
        <v>425</v>
      </c>
      <c r="E458" s="9">
        <f>108</f>
        <v>108</v>
      </c>
      <c r="F458" s="24"/>
      <c r="G458" s="23"/>
      <c r="H458" s="9"/>
      <c r="I458" s="9"/>
      <c r="J458" s="25">
        <f>SUM(V451:V457)</f>
        <v>4.51</v>
      </c>
      <c r="K458" s="25"/>
    </row>
    <row r="459" spans="1:22" ht="14.25" x14ac:dyDescent="0.2">
      <c r="A459" s="20"/>
      <c r="B459" s="21"/>
      <c r="C459" s="21" t="s">
        <v>427</v>
      </c>
      <c r="D459" s="22" t="s">
        <v>428</v>
      </c>
      <c r="E459" s="9">
        <f>Source!AQ215</f>
        <v>2.4500000000000002</v>
      </c>
      <c r="F459" s="24"/>
      <c r="G459" s="23" t="str">
        <f>Source!DI215</f>
        <v/>
      </c>
      <c r="H459" s="9">
        <f>Source!AV215</f>
        <v>1</v>
      </c>
      <c r="I459" s="9"/>
      <c r="J459" s="25"/>
      <c r="K459" s="25">
        <f>Source!U215</f>
        <v>2.7587000000000002</v>
      </c>
    </row>
    <row r="460" spans="1:22" ht="15" x14ac:dyDescent="0.25">
      <c r="A460" s="28"/>
      <c r="B460" s="28"/>
      <c r="C460" s="28"/>
      <c r="D460" s="28"/>
      <c r="E460" s="28"/>
      <c r="F460" s="28"/>
      <c r="G460" s="28"/>
      <c r="H460" s="28"/>
      <c r="I460" s="64">
        <f>J452+J453+J455+J456+J457+J458</f>
        <v>2298.2900000000004</v>
      </c>
      <c r="J460" s="64"/>
      <c r="K460" s="29">
        <f>IF(Source!I215&lt;&gt;0, ROUND(I460/Source!I215, 2), 0)</f>
        <v>2041.11</v>
      </c>
      <c r="P460" s="26">
        <f>I460</f>
        <v>2298.2900000000004</v>
      </c>
    </row>
    <row r="462" spans="1:22" ht="15" x14ac:dyDescent="0.25">
      <c r="A462" s="66" t="str">
        <f>CONCATENATE("Итого по разделу: ",IF(Source!G217&lt;&gt;"Новый раздел", Source!G217, ""))</f>
        <v>Итого по разделу: Установка ограждения - Участок 4</v>
      </c>
      <c r="B462" s="66"/>
      <c r="C462" s="66"/>
      <c r="D462" s="66"/>
      <c r="E462" s="66"/>
      <c r="F462" s="66"/>
      <c r="G462" s="66"/>
      <c r="H462" s="66"/>
      <c r="I462" s="67">
        <f>SUM(P362:P461)</f>
        <v>486798.31</v>
      </c>
      <c r="J462" s="68"/>
      <c r="K462" s="32"/>
    </row>
    <row r="465" spans="1:22" ht="16.5" x14ac:dyDescent="0.25">
      <c r="A465" s="65" t="str">
        <f>CONCATENATE("Раздел: ",IF(Source!G246&lt;&gt;"Новый раздел", Source!G246, ""))</f>
        <v>Раздел: Прочие затраты</v>
      </c>
      <c r="B465" s="65"/>
      <c r="C465" s="65"/>
      <c r="D465" s="65"/>
      <c r="E465" s="65"/>
      <c r="F465" s="65"/>
      <c r="G465" s="65"/>
      <c r="H465" s="65"/>
      <c r="I465" s="65"/>
      <c r="J465" s="65"/>
      <c r="K465" s="65"/>
    </row>
    <row r="466" spans="1:22" ht="42.75" x14ac:dyDescent="0.2">
      <c r="A466" s="20" t="str">
        <f>Source!E250</f>
        <v>48</v>
      </c>
      <c r="B466" s="21" t="str">
        <f>Source!F250</f>
        <v>1.49-9101-7-1/1</v>
      </c>
      <c r="C466" s="21" t="str">
        <f>Source!G250</f>
        <v>Механизированная погрузка строительного мусора в автомобили-самосвалы</v>
      </c>
      <c r="D466" s="22" t="str">
        <f>Source!H250</f>
        <v>т</v>
      </c>
      <c r="E466" s="9">
        <f>Source!I250</f>
        <v>7.68</v>
      </c>
      <c r="F466" s="24"/>
      <c r="G466" s="23"/>
      <c r="H466" s="9"/>
      <c r="I466" s="9"/>
      <c r="J466" s="25"/>
      <c r="K466" s="25"/>
      <c r="Q466">
        <f>ROUND((Source!BZ250/100)*ROUND((Source!AF250*Source!AV250)*Source!I250, 2), 2)</f>
        <v>0</v>
      </c>
      <c r="R466">
        <f>Source!X250</f>
        <v>0</v>
      </c>
      <c r="S466">
        <f>ROUND((Source!CA250/100)*ROUND((Source!AF250*Source!AV250)*Source!I250, 2), 2)</f>
        <v>0</v>
      </c>
      <c r="T466">
        <f>Source!Y250</f>
        <v>0</v>
      </c>
      <c r="U466">
        <f>ROUND((175/100)*ROUND((Source!AE250*Source!AV250)*Source!I250, 2), 2)</f>
        <v>347.29</v>
      </c>
      <c r="V466">
        <f>ROUND((108/100)*ROUND(Source!CS250*Source!I250, 2), 2)</f>
        <v>214.33</v>
      </c>
    </row>
    <row r="467" spans="1:22" ht="14.25" x14ac:dyDescent="0.2">
      <c r="A467" s="20"/>
      <c r="B467" s="21"/>
      <c r="C467" s="21" t="s">
        <v>429</v>
      </c>
      <c r="D467" s="22"/>
      <c r="E467" s="9"/>
      <c r="F467" s="24">
        <f>Source!AM250</f>
        <v>80.25</v>
      </c>
      <c r="G467" s="23" t="str">
        <f>Source!DE250</f>
        <v/>
      </c>
      <c r="H467" s="9">
        <f>Source!AV250</f>
        <v>1</v>
      </c>
      <c r="I467" s="9">
        <f>IF(Source!BB250&lt;&gt; 0, Source!BB250, 1)</f>
        <v>1</v>
      </c>
      <c r="J467" s="25">
        <f>Source!Q250</f>
        <v>616.32000000000005</v>
      </c>
      <c r="K467" s="25"/>
    </row>
    <row r="468" spans="1:22" ht="14.25" x14ac:dyDescent="0.2">
      <c r="A468" s="20"/>
      <c r="B468" s="21"/>
      <c r="C468" s="21" t="s">
        <v>430</v>
      </c>
      <c r="D468" s="22"/>
      <c r="E468" s="9"/>
      <c r="F468" s="24">
        <f>Source!AN250</f>
        <v>25.84</v>
      </c>
      <c r="G468" s="23" t="str">
        <f>Source!DF250</f>
        <v/>
      </c>
      <c r="H468" s="9">
        <f>Source!AV250</f>
        <v>1</v>
      </c>
      <c r="I468" s="9">
        <f>IF(Source!BS250&lt;&gt; 0, Source!BS250, 1)</f>
        <v>1</v>
      </c>
      <c r="J468" s="30">
        <f>Source!R250</f>
        <v>198.45</v>
      </c>
      <c r="K468" s="25"/>
    </row>
    <row r="469" spans="1:22" ht="14.25" x14ac:dyDescent="0.2">
      <c r="A469" s="20"/>
      <c r="B469" s="21"/>
      <c r="C469" s="21" t="s">
        <v>432</v>
      </c>
      <c r="D469" s="22" t="s">
        <v>425</v>
      </c>
      <c r="E469" s="9">
        <f>108</f>
        <v>108</v>
      </c>
      <c r="F469" s="24"/>
      <c r="G469" s="23"/>
      <c r="H469" s="9"/>
      <c r="I469" s="9"/>
      <c r="J469" s="25">
        <f>SUM(V466:V468)</f>
        <v>214.33</v>
      </c>
      <c r="K469" s="25"/>
    </row>
    <row r="470" spans="1:22" ht="15" x14ac:dyDescent="0.25">
      <c r="A470" s="28"/>
      <c r="B470" s="28"/>
      <c r="C470" s="28"/>
      <c r="D470" s="28"/>
      <c r="E470" s="28"/>
      <c r="F470" s="28"/>
      <c r="G470" s="28"/>
      <c r="H470" s="28"/>
      <c r="I470" s="64">
        <f>J467+J469</f>
        <v>830.65000000000009</v>
      </c>
      <c r="J470" s="64"/>
      <c r="K470" s="29">
        <f>IF(Source!I250&lt;&gt;0, ROUND(I470/Source!I250, 2), 0)</f>
        <v>108.16</v>
      </c>
      <c r="P470" s="26">
        <f>I470</f>
        <v>830.65000000000009</v>
      </c>
    </row>
    <row r="471" spans="1:22" ht="57" x14ac:dyDescent="0.2">
      <c r="A471" s="20" t="str">
        <f>Source!E251</f>
        <v>49</v>
      </c>
      <c r="B471" s="21" t="str">
        <f>Source!F251</f>
        <v>1.49-9201-1-2/1</v>
      </c>
      <c r="C471" s="21" t="str">
        <f>Source!G251</f>
        <v>Перевозка строительного мусора автосамосвалами грузоподъемностью до 10 т на расстояние 1 км - при механизированной погрузке</v>
      </c>
      <c r="D471" s="22" t="str">
        <f>Source!H251</f>
        <v>т</v>
      </c>
      <c r="E471" s="9">
        <f>Source!I251</f>
        <v>7.68</v>
      </c>
      <c r="F471" s="24"/>
      <c r="G471" s="23"/>
      <c r="H471" s="9"/>
      <c r="I471" s="9"/>
      <c r="J471" s="25"/>
      <c r="K471" s="25"/>
      <c r="Q471">
        <f>ROUND((Source!BZ251/100)*ROUND((Source!AF251*Source!AV251)*Source!I251, 2), 2)</f>
        <v>0</v>
      </c>
      <c r="R471">
        <f>Source!X251</f>
        <v>0</v>
      </c>
      <c r="S471">
        <f>ROUND((Source!CA251/100)*ROUND((Source!AF251*Source!AV251)*Source!I251, 2), 2)</f>
        <v>0</v>
      </c>
      <c r="T471">
        <f>Source!Y251</f>
        <v>0</v>
      </c>
      <c r="U471">
        <f>ROUND((175/100)*ROUND((Source!AE251*Source!AV251)*Source!I251, 2), 2)</f>
        <v>422.56</v>
      </c>
      <c r="V471">
        <f>ROUND((108/100)*ROUND(Source!CS251*Source!I251, 2), 2)</f>
        <v>260.77999999999997</v>
      </c>
    </row>
    <row r="472" spans="1:22" ht="14.25" x14ac:dyDescent="0.2">
      <c r="A472" s="20"/>
      <c r="B472" s="21"/>
      <c r="C472" s="21" t="s">
        <v>429</v>
      </c>
      <c r="D472" s="22"/>
      <c r="E472" s="9"/>
      <c r="F472" s="24">
        <f>Source!AM251</f>
        <v>57.83</v>
      </c>
      <c r="G472" s="23" t="str">
        <f>Source!DE251</f>
        <v/>
      </c>
      <c r="H472" s="9">
        <f>Source!AV251</f>
        <v>1</v>
      </c>
      <c r="I472" s="9">
        <f>IF(Source!BB251&lt;&gt; 0, Source!BB251, 1)</f>
        <v>1</v>
      </c>
      <c r="J472" s="25">
        <f>Source!Q251</f>
        <v>444.13</v>
      </c>
      <c r="K472" s="25"/>
    </row>
    <row r="473" spans="1:22" ht="14.25" x14ac:dyDescent="0.2">
      <c r="A473" s="20"/>
      <c r="B473" s="21"/>
      <c r="C473" s="21" t="s">
        <v>430</v>
      </c>
      <c r="D473" s="22"/>
      <c r="E473" s="9"/>
      <c r="F473" s="24">
        <f>Source!AN251</f>
        <v>31.44</v>
      </c>
      <c r="G473" s="23" t="str">
        <f>Source!DF251</f>
        <v/>
      </c>
      <c r="H473" s="9">
        <f>Source!AV251</f>
        <v>1</v>
      </c>
      <c r="I473" s="9">
        <f>IF(Source!BS251&lt;&gt; 0, Source!BS251, 1)</f>
        <v>1</v>
      </c>
      <c r="J473" s="30">
        <f>Source!R251</f>
        <v>241.46</v>
      </c>
      <c r="K473" s="25"/>
    </row>
    <row r="474" spans="1:22" ht="15" x14ac:dyDescent="0.25">
      <c r="A474" s="28"/>
      <c r="B474" s="28"/>
      <c r="C474" s="28"/>
      <c r="D474" s="28"/>
      <c r="E474" s="28"/>
      <c r="F474" s="28"/>
      <c r="G474" s="28"/>
      <c r="H474" s="28"/>
      <c r="I474" s="64">
        <f>J472</f>
        <v>444.13</v>
      </c>
      <c r="J474" s="64"/>
      <c r="K474" s="29">
        <f>IF(Source!I251&lt;&gt;0, ROUND(I474/Source!I251, 2), 0)</f>
        <v>57.83</v>
      </c>
      <c r="P474" s="26">
        <f>I474</f>
        <v>444.13</v>
      </c>
    </row>
    <row r="475" spans="1:22" ht="57" x14ac:dyDescent="0.2">
      <c r="A475" s="20" t="str">
        <f>Source!E252</f>
        <v>50</v>
      </c>
      <c r="B475" s="21" t="str">
        <f>Source!F252</f>
        <v>1.49-9201-1-3/1</v>
      </c>
      <c r="C475" s="21" t="str">
        <f>Source!G252</f>
        <v>Перевозка строительного мусора автосамосвалами грузоподъемностью до 10 т - добавляется на каждый последующий 1 км до 100 км (ВАО)</v>
      </c>
      <c r="D475" s="22" t="str">
        <f>Source!H252</f>
        <v>т</v>
      </c>
      <c r="E475" s="9">
        <f>Source!I252</f>
        <v>7.68</v>
      </c>
      <c r="F475" s="24"/>
      <c r="G475" s="23"/>
      <c r="H475" s="9"/>
      <c r="I475" s="9"/>
      <c r="J475" s="25"/>
      <c r="K475" s="25"/>
      <c r="Q475">
        <f>ROUND((Source!BZ252/100)*ROUND((Source!AF252*Source!AV252)*Source!I252, 2), 2)</f>
        <v>0</v>
      </c>
      <c r="R475">
        <f>Source!X252</f>
        <v>0</v>
      </c>
      <c r="S475">
        <f>ROUND((Source!CA252/100)*ROUND((Source!AF252*Source!AV252)*Source!I252, 2), 2)</f>
        <v>0</v>
      </c>
      <c r="T475">
        <f>Source!Y252</f>
        <v>0</v>
      </c>
      <c r="U475">
        <f>ROUND((175/100)*ROUND((Source!AE252*Source!AV252)*Source!I252, 2), 2)</f>
        <v>6403.9</v>
      </c>
      <c r="V475">
        <f>ROUND((108/100)*ROUND(Source!CS252*Source!I252, 2), 2)</f>
        <v>3952.12</v>
      </c>
    </row>
    <row r="476" spans="1:22" ht="14.25" x14ac:dyDescent="0.2">
      <c r="A476" s="20"/>
      <c r="B476" s="21"/>
      <c r="C476" s="21" t="s">
        <v>429</v>
      </c>
      <c r="D476" s="22"/>
      <c r="E476" s="9"/>
      <c r="F476" s="24">
        <f>Source!AM252</f>
        <v>27.39</v>
      </c>
      <c r="G476" s="23" t="str">
        <f>Source!DE252</f>
        <v>*32</v>
      </c>
      <c r="H476" s="9">
        <f>Source!AV252</f>
        <v>1</v>
      </c>
      <c r="I476" s="9">
        <f>IF(Source!BB252&lt;&gt; 0, Source!BB252, 1)</f>
        <v>1</v>
      </c>
      <c r="J476" s="25">
        <f>Source!Q252</f>
        <v>6731.37</v>
      </c>
      <c r="K476" s="25"/>
    </row>
    <row r="477" spans="1:22" ht="14.25" x14ac:dyDescent="0.2">
      <c r="A477" s="20"/>
      <c r="B477" s="21"/>
      <c r="C477" s="21" t="s">
        <v>430</v>
      </c>
      <c r="D477" s="22"/>
      <c r="E477" s="9"/>
      <c r="F477" s="24">
        <f>Source!AN252</f>
        <v>14.89</v>
      </c>
      <c r="G477" s="23" t="str">
        <f>Source!DF252</f>
        <v>*32</v>
      </c>
      <c r="H477" s="9">
        <f>Source!AV252</f>
        <v>1</v>
      </c>
      <c r="I477" s="9">
        <f>IF(Source!BS252&lt;&gt; 0, Source!BS252, 1)</f>
        <v>1</v>
      </c>
      <c r="J477" s="30">
        <f>Source!R252</f>
        <v>3659.37</v>
      </c>
      <c r="K477" s="25"/>
    </row>
    <row r="478" spans="1:22" ht="15" x14ac:dyDescent="0.25">
      <c r="A478" s="28"/>
      <c r="B478" s="28"/>
      <c r="C478" s="28"/>
      <c r="D478" s="28"/>
      <c r="E478" s="28"/>
      <c r="F478" s="28"/>
      <c r="G478" s="28"/>
      <c r="H478" s="28"/>
      <c r="I478" s="64">
        <f>J476</f>
        <v>6731.37</v>
      </c>
      <c r="J478" s="64"/>
      <c r="K478" s="29">
        <f>IF(Source!I252&lt;&gt;0, ROUND(I478/Source!I252, 2), 0)</f>
        <v>876.48</v>
      </c>
      <c r="P478" s="26">
        <f>I478</f>
        <v>6731.37</v>
      </c>
    </row>
    <row r="480" spans="1:22" ht="15" x14ac:dyDescent="0.25">
      <c r="A480" s="66" t="str">
        <f>CONCATENATE("Итого по разделу: ",IF(Source!G254&lt;&gt;"Новый раздел", Source!G254, ""))</f>
        <v>Итого по разделу: Прочие затраты</v>
      </c>
      <c r="B480" s="66"/>
      <c r="C480" s="66"/>
      <c r="D480" s="66"/>
      <c r="E480" s="66"/>
      <c r="F480" s="66"/>
      <c r="G480" s="66"/>
      <c r="H480" s="66"/>
      <c r="I480" s="67">
        <f>SUM(P465:P479)</f>
        <v>8006.15</v>
      </c>
      <c r="J480" s="68"/>
      <c r="K480" s="32"/>
    </row>
    <row r="483" spans="1:32" ht="15" x14ac:dyDescent="0.25">
      <c r="A483" s="66" t="str">
        <f>CONCATENATE("Итого по локальной смете: ",IF(Source!G283&lt;&gt;"Новая локальная смета", Source!G283, ""))</f>
        <v xml:space="preserve">Итого по локальной смете: </v>
      </c>
      <c r="B483" s="66"/>
      <c r="C483" s="66"/>
      <c r="D483" s="66"/>
      <c r="E483" s="66"/>
      <c r="F483" s="66"/>
      <c r="G483" s="66"/>
      <c r="H483" s="66"/>
      <c r="I483" s="67">
        <f>SUM(P32:P482)</f>
        <v>1844162.27</v>
      </c>
      <c r="J483" s="68"/>
      <c r="K483" s="32"/>
    </row>
    <row r="486" spans="1:32" ht="15" x14ac:dyDescent="0.25">
      <c r="A486" s="66" t="str">
        <f>CONCATENATE("Итого по смете: ",IF(Source!G312&lt;&gt;"Новый объект", Source!G312, ""))</f>
        <v>Итого по смете: 3 - Замена ограждения ГБПОУ МКАГ - ул. 12-я Парковая, д.13</v>
      </c>
      <c r="B486" s="66"/>
      <c r="C486" s="66"/>
      <c r="D486" s="66"/>
      <c r="E486" s="66"/>
      <c r="F486" s="66"/>
      <c r="G486" s="66"/>
      <c r="H486" s="66"/>
      <c r="I486" s="67">
        <f>SUM(P1:P485)</f>
        <v>1844162.27</v>
      </c>
      <c r="J486" s="68"/>
      <c r="K486" s="32"/>
      <c r="AF486" s="33" t="str">
        <f>CONCATENATE("Итого по смете: ",IF(Source!G312&lt;&gt;"Новый объект", Source!G312, ""))</f>
        <v>Итого по смете: 3 - Замена ограждения ГБПОУ МКАГ - ул. 12-я Парковая, д.13</v>
      </c>
    </row>
    <row r="487" spans="1:32" ht="14.25" x14ac:dyDescent="0.2">
      <c r="C487" s="61" t="str">
        <f>Source!H340</f>
        <v>НДС 20%</v>
      </c>
      <c r="D487" s="61"/>
      <c r="E487" s="61"/>
      <c r="F487" s="61"/>
      <c r="G487" s="61"/>
      <c r="H487" s="61"/>
      <c r="I487" s="58">
        <f>IF(Source!F340=0, "", Source!F340)</f>
        <v>368832.45</v>
      </c>
      <c r="J487" s="58"/>
    </row>
    <row r="488" spans="1:32" ht="14.25" x14ac:dyDescent="0.2">
      <c r="C488" s="61" t="str">
        <f>Source!H341</f>
        <v>ИТОГО с НДС</v>
      </c>
      <c r="D488" s="61"/>
      <c r="E488" s="61"/>
      <c r="F488" s="61"/>
      <c r="G488" s="61"/>
      <c r="H488" s="61"/>
      <c r="I488" s="58">
        <f>IF(Source!F341=0, "", Source!F341)</f>
        <v>2212994.7200000002</v>
      </c>
      <c r="J488" s="58"/>
    </row>
    <row r="489" spans="1:32" ht="14.25" x14ac:dyDescent="0.2">
      <c r="C489" s="61" t="str">
        <f>Source!H342</f>
        <v>Возврат лома: сталь 5,828тх23000,00</v>
      </c>
      <c r="D489" s="61"/>
      <c r="E489" s="61"/>
      <c r="F489" s="61"/>
      <c r="G489" s="61"/>
      <c r="H489" s="61"/>
      <c r="I489" s="58">
        <f>IF(Source!F342=0, "", Source!F342)</f>
        <v>134044</v>
      </c>
      <c r="J489" s="58"/>
    </row>
    <row r="492" spans="1:32" ht="14.25" x14ac:dyDescent="0.2">
      <c r="A492" s="69" t="s">
        <v>440</v>
      </c>
      <c r="B492" s="69"/>
      <c r="C492" s="34" t="str">
        <f>IF(Source!AC12&lt;&gt;"", Source!AC12," ")</f>
        <v xml:space="preserve"> </v>
      </c>
      <c r="D492" s="34"/>
      <c r="E492" s="34"/>
      <c r="F492" s="34"/>
      <c r="G492" s="34"/>
      <c r="H492" s="10" t="str">
        <f>IF(Source!AB12&lt;&gt;"", Source!AB12," ")</f>
        <v xml:space="preserve"> </v>
      </c>
      <c r="I492" s="10"/>
      <c r="J492" s="10"/>
      <c r="K492" s="10"/>
    </row>
    <row r="493" spans="1:32" ht="14.25" x14ac:dyDescent="0.2">
      <c r="A493" s="10"/>
      <c r="B493" s="10"/>
      <c r="C493" s="70" t="s">
        <v>441</v>
      </c>
      <c r="D493" s="70"/>
      <c r="E493" s="70"/>
      <c r="F493" s="70"/>
      <c r="G493" s="70"/>
      <c r="H493" s="10"/>
      <c r="I493" s="10"/>
      <c r="J493" s="10"/>
      <c r="K493" s="10"/>
    </row>
    <row r="494" spans="1:32" ht="14.2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1:32" ht="14.25" x14ac:dyDescent="0.2">
      <c r="A495" s="69" t="s">
        <v>442</v>
      </c>
      <c r="B495" s="69"/>
      <c r="C495" s="34" t="str">
        <f>IF(Source!AE12&lt;&gt;"", Source!AE12," ")</f>
        <v xml:space="preserve"> </v>
      </c>
      <c r="D495" s="34"/>
      <c r="E495" s="34"/>
      <c r="F495" s="34"/>
      <c r="G495" s="34"/>
      <c r="H495" s="10" t="str">
        <f>IF(Source!AD12&lt;&gt;"", Source!AD12," ")</f>
        <v xml:space="preserve"> </v>
      </c>
      <c r="I495" s="10"/>
      <c r="J495" s="10"/>
      <c r="K495" s="10"/>
    </row>
    <row r="496" spans="1:32" ht="14.25" x14ac:dyDescent="0.2">
      <c r="A496" s="10"/>
      <c r="B496" s="10"/>
      <c r="C496" s="70" t="s">
        <v>441</v>
      </c>
      <c r="D496" s="70"/>
      <c r="E496" s="70"/>
      <c r="F496" s="70"/>
      <c r="G496" s="70"/>
      <c r="H496" s="10"/>
      <c r="I496" s="10"/>
      <c r="J496" s="10"/>
      <c r="K496" s="10"/>
    </row>
  </sheetData>
  <mergeCells count="117">
    <mergeCell ref="A492:B492"/>
    <mergeCell ref="C493:G493"/>
    <mergeCell ref="A495:B495"/>
    <mergeCell ref="C496:G496"/>
    <mergeCell ref="C487:H487"/>
    <mergeCell ref="I487:J487"/>
    <mergeCell ref="C488:H488"/>
    <mergeCell ref="I488:J488"/>
    <mergeCell ref="C489:H489"/>
    <mergeCell ref="I489:J489"/>
    <mergeCell ref="I480:J480"/>
    <mergeCell ref="A480:H480"/>
    <mergeCell ref="I483:J483"/>
    <mergeCell ref="A483:H483"/>
    <mergeCell ref="I486:J486"/>
    <mergeCell ref="A486:H486"/>
    <mergeCell ref="I462:J462"/>
    <mergeCell ref="A462:H462"/>
    <mergeCell ref="A465:K465"/>
    <mergeCell ref="I470:J470"/>
    <mergeCell ref="I474:J474"/>
    <mergeCell ref="I478:J478"/>
    <mergeCell ref="I399:J399"/>
    <mergeCell ref="I409:J409"/>
    <mergeCell ref="I421:J421"/>
    <mergeCell ref="I440:J440"/>
    <mergeCell ref="I450:J450"/>
    <mergeCell ref="I460:J460"/>
    <mergeCell ref="A359:H359"/>
    <mergeCell ref="A362:K362"/>
    <mergeCell ref="I371:J371"/>
    <mergeCell ref="I380:J380"/>
    <mergeCell ref="I386:J386"/>
    <mergeCell ref="I392:J392"/>
    <mergeCell ref="I312:J312"/>
    <mergeCell ref="I319:J319"/>
    <mergeCell ref="I337:J337"/>
    <mergeCell ref="I347:J347"/>
    <mergeCell ref="I357:J357"/>
    <mergeCell ref="I359:J359"/>
    <mergeCell ref="I258:J258"/>
    <mergeCell ref="I265:J265"/>
    <mergeCell ref="I275:J275"/>
    <mergeCell ref="I287:J287"/>
    <mergeCell ref="I293:J293"/>
    <mergeCell ref="I300:J300"/>
    <mergeCell ref="I223:J223"/>
    <mergeCell ref="I232:J232"/>
    <mergeCell ref="I238:J238"/>
    <mergeCell ref="I244:J244"/>
    <mergeCell ref="I250:J250"/>
    <mergeCell ref="I254:J254"/>
    <mergeCell ref="I189:J189"/>
    <mergeCell ref="I199:J199"/>
    <mergeCell ref="I209:J209"/>
    <mergeCell ref="I211:J211"/>
    <mergeCell ref="A211:H211"/>
    <mergeCell ref="A214:K214"/>
    <mergeCell ref="I136:J136"/>
    <mergeCell ref="I140:J140"/>
    <mergeCell ref="I144:J144"/>
    <mergeCell ref="I151:J151"/>
    <mergeCell ref="I161:J161"/>
    <mergeCell ref="I173:J173"/>
    <mergeCell ref="I109:J109"/>
    <mergeCell ref="I119:J119"/>
    <mergeCell ref="I121:J121"/>
    <mergeCell ref="A121:H121"/>
    <mergeCell ref="A124:K124"/>
    <mergeCell ref="I130:J130"/>
    <mergeCell ref="I50:J50"/>
    <mergeCell ref="I54:J54"/>
    <mergeCell ref="I61:J61"/>
    <mergeCell ref="I71:J71"/>
    <mergeCell ref="I83:J83"/>
    <mergeCell ref="I99:J99"/>
    <mergeCell ref="I27:I29"/>
    <mergeCell ref="J27:J29"/>
    <mergeCell ref="A32:K32"/>
    <mergeCell ref="A34:K34"/>
    <mergeCell ref="I40:J40"/>
    <mergeCell ref="I46:J46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6"/>
  <sheetViews>
    <sheetView zoomScaleNormal="100" workbookViewId="0">
      <selection activeCell="A13" sqref="A13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</cols>
  <sheetData>
    <row r="1" spans="1:5" x14ac:dyDescent="0.2">
      <c r="A1" s="8" t="str">
        <f>Source!B1</f>
        <v>Smeta.RU  (495) 974-1589</v>
      </c>
    </row>
    <row r="2" spans="1:5" ht="14.25" x14ac:dyDescent="0.2">
      <c r="C2" s="10"/>
      <c r="D2" s="10"/>
    </row>
    <row r="3" spans="1:5" ht="15" x14ac:dyDescent="0.25">
      <c r="C3" s="10"/>
      <c r="D3" s="27" t="s">
        <v>397</v>
      </c>
    </row>
    <row r="4" spans="1:5" ht="15" x14ac:dyDescent="0.25">
      <c r="C4" s="27"/>
      <c r="D4" s="27"/>
    </row>
    <row r="5" spans="1:5" ht="15" x14ac:dyDescent="0.25">
      <c r="C5" s="72" t="s">
        <v>443</v>
      </c>
      <c r="D5" s="72"/>
    </row>
    <row r="6" spans="1:5" ht="15" x14ac:dyDescent="0.25">
      <c r="C6" s="35"/>
      <c r="D6" s="35"/>
    </row>
    <row r="7" spans="1:5" ht="15" x14ac:dyDescent="0.25">
      <c r="C7" s="72" t="s">
        <v>443</v>
      </c>
      <c r="D7" s="72"/>
    </row>
    <row r="8" spans="1:5" ht="15" x14ac:dyDescent="0.25">
      <c r="C8" s="35"/>
      <c r="D8" s="35"/>
    </row>
    <row r="9" spans="1:5" ht="15" x14ac:dyDescent="0.25">
      <c r="C9" s="27" t="s">
        <v>444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73" t="str">
        <f>CONCATENATE("Дефектный акт ", IF(Source!AN15&lt;&gt;"", Source!AN15," "))</f>
        <v xml:space="preserve">Дефектный акт  </v>
      </c>
      <c r="B11" s="73"/>
      <c r="C11" s="73"/>
      <c r="D11" s="73"/>
      <c r="E11" s="10"/>
    </row>
    <row r="12" spans="1:5" ht="15" x14ac:dyDescent="0.25">
      <c r="A12" s="74" t="s">
        <v>497</v>
      </c>
      <c r="B12" s="74"/>
      <c r="C12" s="74"/>
      <c r="D12" s="74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36" t="s">
        <v>445</v>
      </c>
      <c r="C14" s="10"/>
      <c r="D14" s="10"/>
      <c r="E14" s="10"/>
    </row>
    <row r="15" spans="1:5" ht="15" x14ac:dyDescent="0.2">
      <c r="A15" s="10"/>
      <c r="B15" s="36" t="s">
        <v>446</v>
      </c>
      <c r="C15" s="10"/>
      <c r="D15" s="10"/>
      <c r="E15" s="10"/>
    </row>
    <row r="16" spans="1:5" ht="15" x14ac:dyDescent="0.2">
      <c r="A16" s="10"/>
      <c r="B16" s="36" t="s">
        <v>447</v>
      </c>
      <c r="C16" s="10"/>
      <c r="D16" s="10"/>
      <c r="E16" s="10"/>
    </row>
    <row r="17" spans="1:5" ht="28.5" x14ac:dyDescent="0.2">
      <c r="A17" s="19" t="s">
        <v>448</v>
      </c>
      <c r="B17" s="19" t="s">
        <v>411</v>
      </c>
      <c r="C17" s="19" t="s">
        <v>412</v>
      </c>
      <c r="D17" s="19" t="s">
        <v>449</v>
      </c>
      <c r="E17" s="37" t="s">
        <v>450</v>
      </c>
    </row>
    <row r="18" spans="1:5" ht="14.25" x14ac:dyDescent="0.2">
      <c r="A18" s="38">
        <v>1</v>
      </c>
      <c r="B18" s="38">
        <v>2</v>
      </c>
      <c r="C18" s="38">
        <v>3</v>
      </c>
      <c r="D18" s="38">
        <v>4</v>
      </c>
      <c r="E18" s="39">
        <v>5</v>
      </c>
    </row>
    <row r="19" spans="1:5" ht="16.5" x14ac:dyDescent="0.25">
      <c r="A19" s="71" t="str">
        <f>CONCATENATE("Локальная смета: ", Source!G20)</f>
        <v>Локальная смета: Новая локальная смета</v>
      </c>
      <c r="B19" s="71"/>
      <c r="C19" s="71"/>
      <c r="D19" s="71"/>
      <c r="E19" s="71"/>
    </row>
    <row r="20" spans="1:5" ht="16.5" x14ac:dyDescent="0.25">
      <c r="A20" s="71" t="str">
        <f>CONCATENATE("Раздел: ", Source!G24)</f>
        <v>Раздел: Установка ограждения - Участок 1</v>
      </c>
      <c r="B20" s="71"/>
      <c r="C20" s="71"/>
      <c r="D20" s="71"/>
      <c r="E20" s="71"/>
    </row>
    <row r="21" spans="1:5" ht="28.5" x14ac:dyDescent="0.2">
      <c r="A21" s="44" t="str">
        <f>Source!E28</f>
        <v>1</v>
      </c>
      <c r="B21" s="45" t="str">
        <f>Source!G28</f>
        <v>Разработка грунта вручную в траншеях глубиной до 2 м без креплений с откосами, группа грунтов 1-3</v>
      </c>
      <c r="C21" s="46" t="str">
        <f>Source!H28</f>
        <v>100 м3</v>
      </c>
      <c r="D21" s="47">
        <f>Source!I28</f>
        <v>2.7E-2</v>
      </c>
      <c r="E21" s="44"/>
    </row>
    <row r="22" spans="1:5" ht="14.25" x14ac:dyDescent="0.2">
      <c r="A22" s="44" t="str">
        <f>Source!E29</f>
        <v>2</v>
      </c>
      <c r="B22" s="45" t="str">
        <f>Source!G29</f>
        <v>Погрузка грунта вручную в автомобили-самосвалы с выгрузкой</v>
      </c>
      <c r="C22" s="46" t="str">
        <f>Source!H29</f>
        <v>100 м3</v>
      </c>
      <c r="D22" s="47">
        <f>Source!I29</f>
        <v>2.7E-2</v>
      </c>
      <c r="E22" s="44"/>
    </row>
    <row r="23" spans="1:5" ht="28.5" x14ac:dyDescent="0.2">
      <c r="A23" s="44" t="str">
        <f>Source!E30</f>
        <v>3</v>
      </c>
      <c r="B23" s="45" t="str">
        <f>Source!G30</f>
        <v>Перевозка грунта автосамосвалами грузоподъемностью до 10 т на расстояние 1 км</v>
      </c>
      <c r="C23" s="46" t="str">
        <f>Source!H30</f>
        <v>м3</v>
      </c>
      <c r="D23" s="47">
        <f>Source!I30</f>
        <v>2.7</v>
      </c>
      <c r="E23" s="44"/>
    </row>
    <row r="24" spans="1:5" ht="28.5" x14ac:dyDescent="0.2">
      <c r="A24" s="44" t="str">
        <f>Source!E31</f>
        <v>4</v>
      </c>
      <c r="B24" s="45" t="str">
        <f>Source!G31</f>
        <v>Перевозка грунта автосамосвалами грузоподъемностью до 10 т - добавляется на каждый последующий 1 км до 100 км (к поз. 49-3401-1-1)</v>
      </c>
      <c r="C24" s="46" t="str">
        <f>Source!H31</f>
        <v>м3</v>
      </c>
      <c r="D24" s="47">
        <f>Source!I31</f>
        <v>2.7</v>
      </c>
      <c r="E24" s="44"/>
    </row>
    <row r="25" spans="1:5" ht="28.5" x14ac:dyDescent="0.2">
      <c r="A25" s="44" t="str">
        <f>Source!E32</f>
        <v>5</v>
      </c>
      <c r="B25" s="45" t="str">
        <f>Source!G32</f>
        <v>Устройство вручную набивных дорожек и площадок с добавлением щебня слоем 20 см (подушки под столбы)</v>
      </c>
      <c r="C25" s="46" t="str">
        <f>Source!H32</f>
        <v>м2</v>
      </c>
      <c r="D25" s="47">
        <f>Source!I32</f>
        <v>2.2999999999999998</v>
      </c>
      <c r="E25" s="44"/>
    </row>
    <row r="26" spans="1:5" ht="28.5" x14ac:dyDescent="0.2">
      <c r="A26" s="44" t="str">
        <f>Source!E33</f>
        <v>6</v>
      </c>
      <c r="B26" s="45" t="str">
        <f>Source!G33</f>
        <v>Устройство основания из песка толщиной 10 см для дорожек и площадок вручную (подушки под столбы)</v>
      </c>
      <c r="C26" s="46" t="str">
        <f>Source!H33</f>
        <v>м2</v>
      </c>
      <c r="D26" s="47">
        <f>Source!I33</f>
        <v>2.2999999999999998</v>
      </c>
      <c r="E26" s="44"/>
    </row>
    <row r="27" spans="1:5" ht="14.25" x14ac:dyDescent="0.2">
      <c r="A27" s="44" t="str">
        <f>Source!E34</f>
        <v>7</v>
      </c>
      <c r="B27" s="45" t="str">
        <f>Source!G34</f>
        <v>Устройство фундаментных плит железобетонных плоских</v>
      </c>
      <c r="C27" s="46" t="str">
        <f>Source!H34</f>
        <v>100 м3</v>
      </c>
      <c r="D27" s="47">
        <f>Source!I34</f>
        <v>2.2499999999999999E-2</v>
      </c>
      <c r="E27" s="44"/>
    </row>
    <row r="28" spans="1:5" ht="28.5" x14ac:dyDescent="0.2">
      <c r="A28" s="44" t="str">
        <f>Source!E35</f>
        <v>7,1</v>
      </c>
      <c r="B28" s="45" t="str">
        <f>Source!G35</f>
        <v>Смеси бетонные, БСГ, тяжелого бетона на гранитном щебне, фракция 5-20, класс прочности: В22,5 (М300); П3, F200, W6</v>
      </c>
      <c r="C28" s="46" t="str">
        <f>Source!H35</f>
        <v>м3</v>
      </c>
      <c r="D28" s="47">
        <f>Source!I35</f>
        <v>2.2837499999999999</v>
      </c>
      <c r="E28" s="44"/>
    </row>
    <row r="29" spans="1:5" ht="28.5" x14ac:dyDescent="0.2">
      <c r="A29" s="44" t="str">
        <f>Source!E36</f>
        <v>7,2</v>
      </c>
      <c r="B29" s="45" t="str">
        <f>Source!G36</f>
        <v>Смеси бетонные, БСГ, тяжелого бетона на гранитном щебне, класс прочности: В15 (М200); П3, фракция 5-20, F50-100, W0-2</v>
      </c>
      <c r="C29" s="46" t="str">
        <f>Source!H36</f>
        <v>м3</v>
      </c>
      <c r="D29" s="47">
        <f>Source!I36</f>
        <v>-2.2837499999999999</v>
      </c>
      <c r="E29" s="44"/>
    </row>
    <row r="30" spans="1:5" ht="28.5" x14ac:dyDescent="0.2">
      <c r="A30" s="44" t="str">
        <f>Source!E37</f>
        <v>8</v>
      </c>
      <c r="B30" s="45" t="str">
        <f>Source!G37</f>
        <v>Изготовление и установка секций металлического ограждения, калиток, ворот из профилированной трубы, масса секции до 150 кг</v>
      </c>
      <c r="C30" s="46" t="str">
        <f>Source!H37</f>
        <v>м2</v>
      </c>
      <c r="D30" s="47">
        <f>Source!I37</f>
        <v>125.2</v>
      </c>
      <c r="E30" s="44"/>
    </row>
    <row r="31" spans="1:5" ht="42.75" x14ac:dyDescent="0.2">
      <c r="A31" s="44" t="str">
        <f>Source!E38</f>
        <v>8,1</v>
      </c>
      <c r="B31" s="45" t="str">
        <f>Source!G38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C31" s="46" t="str">
        <f>Source!H38</f>
        <v>т</v>
      </c>
      <c r="D31" s="47">
        <f>Source!I38</f>
        <v>0.69974999999999998</v>
      </c>
      <c r="E31" s="44"/>
    </row>
    <row r="32" spans="1:5" ht="42.75" x14ac:dyDescent="0.2">
      <c r="A32" s="44" t="str">
        <f>Source!E39</f>
        <v>8,2</v>
      </c>
      <c r="B32" s="45" t="str">
        <f>Source!G39</f>
        <v>Профили стальные электросварные прямоугольного сечения трубчатые, размер 40х60 мм, толщина стенки 3,0 мм (расход 4,30 кг/м.п., L=211,6 м.п.)</v>
      </c>
      <c r="C32" s="46" t="str">
        <f>Source!H39</f>
        <v>т</v>
      </c>
      <c r="D32" s="47">
        <f>Source!I39</f>
        <v>0.90988000000000002</v>
      </c>
      <c r="E32" s="44"/>
    </row>
    <row r="33" spans="1:5" ht="42.75" x14ac:dyDescent="0.2">
      <c r="A33" s="44" t="str">
        <f>Source!E40</f>
        <v>8,3</v>
      </c>
      <c r="B33" s="45" t="str">
        <f>Source!G40</f>
        <v>Профили стальные электросварные квадратного сечения трубчатые, размер стороны 20 мм, толщина стенки 2 мм (расход 1,075 кг/м.п., L=1908,0 м.п.)</v>
      </c>
      <c r="C33" s="46" t="str">
        <f>Source!H40</f>
        <v>т</v>
      </c>
      <c r="D33" s="47">
        <f>Source!I40</f>
        <v>2.0510999999999999</v>
      </c>
      <c r="E33" s="44"/>
    </row>
    <row r="34" spans="1:5" ht="14.25" x14ac:dyDescent="0.2">
      <c r="A34" s="44" t="str">
        <f>Source!E41</f>
        <v>8,4</v>
      </c>
      <c r="B34" s="45" t="str">
        <f>Source!G41</f>
        <v>Пластиковая заглушка для труб 80х80 мм</v>
      </c>
      <c r="C34" s="46" t="str">
        <f>Source!H41</f>
        <v>ШТ</v>
      </c>
      <c r="D34" s="47">
        <f>Source!I41</f>
        <v>25</v>
      </c>
      <c r="E34" s="44"/>
    </row>
    <row r="35" spans="1:5" ht="14.25" x14ac:dyDescent="0.2">
      <c r="A35" s="44" t="str">
        <f>Source!E42</f>
        <v>8,5</v>
      </c>
      <c r="B35" s="45" t="str">
        <f>Source!G42</f>
        <v>Пластиковая заглушка для труб 60х40 мм</v>
      </c>
      <c r="C35" s="46" t="str">
        <f>Source!H42</f>
        <v>ШТ</v>
      </c>
      <c r="D35" s="47">
        <f>Source!I42</f>
        <v>96</v>
      </c>
      <c r="E35" s="44"/>
    </row>
    <row r="36" spans="1:5" ht="28.5" x14ac:dyDescent="0.2">
      <c r="A36" s="44" t="str">
        <f>Source!E43</f>
        <v>8,6</v>
      </c>
      <c r="B36" s="45" t="str">
        <f>Source!G43</f>
        <v>Профили стальные электросварные квадратного сечения трубчатые, размер стороны 40 мм, толщина стенки 2 мм</v>
      </c>
      <c r="C36" s="46" t="str">
        <f>Source!H43</f>
        <v>т</v>
      </c>
      <c r="D36" s="47">
        <f>Source!I43</f>
        <v>-18.654800000000002</v>
      </c>
      <c r="E36" s="44"/>
    </row>
    <row r="37" spans="1:5" ht="28.5" x14ac:dyDescent="0.2">
      <c r="A37" s="44" t="str">
        <f>Source!E44</f>
        <v>9</v>
      </c>
      <c r="B37" s="45" t="str">
        <f>Source!G44</f>
        <v>Антикоррозионная огрунтовка металлических поверхностей грунтовкой ГФ-021 за один раз</v>
      </c>
      <c r="C37" s="46" t="str">
        <f>Source!H44</f>
        <v>100 м2</v>
      </c>
      <c r="D37" s="47">
        <f>Source!I44</f>
        <v>1.252</v>
      </c>
      <c r="E37" s="44"/>
    </row>
    <row r="38" spans="1:5" ht="28.5" x14ac:dyDescent="0.2">
      <c r="A38" s="44" t="str">
        <f>Source!E45</f>
        <v>10</v>
      </c>
      <c r="B38" s="45" t="str">
        <f>Source!G45</f>
        <v>Антикоррозионная окраска огрунтованных металлических поверхностей эмалями ПФ-115</v>
      </c>
      <c r="C38" s="46" t="str">
        <f>Source!H45</f>
        <v>100 м2</v>
      </c>
      <c r="D38" s="47">
        <f>Source!I45</f>
        <v>1.252</v>
      </c>
      <c r="E38" s="44"/>
    </row>
    <row r="39" spans="1:5" ht="16.5" x14ac:dyDescent="0.25">
      <c r="A39" s="71" t="str">
        <f>CONCATENATE("Раздел: ", Source!G76)</f>
        <v>Раздел: Установка ограждения - Участок 2</v>
      </c>
      <c r="B39" s="71"/>
      <c r="C39" s="71"/>
      <c r="D39" s="71"/>
      <c r="E39" s="71"/>
    </row>
    <row r="40" spans="1:5" ht="28.5" x14ac:dyDescent="0.2">
      <c r="A40" s="44" t="str">
        <f>Source!E80</f>
        <v>11</v>
      </c>
      <c r="B40" s="45" t="str">
        <f>Source!G80</f>
        <v>Разработка грунта вручную в траншеях глубиной до 2 м без креплений с откосами, группа грунтов 1-3</v>
      </c>
      <c r="C40" s="46" t="str">
        <f>Source!H80</f>
        <v>100 м3</v>
      </c>
      <c r="D40" s="47">
        <f>Source!I80</f>
        <v>2.5999999999999999E-2</v>
      </c>
      <c r="E40" s="44"/>
    </row>
    <row r="41" spans="1:5" ht="14.25" x14ac:dyDescent="0.2">
      <c r="A41" s="44" t="str">
        <f>Source!E81</f>
        <v>12</v>
      </c>
      <c r="B41" s="45" t="str">
        <f>Source!G81</f>
        <v>Погрузка грунта вручную в автомобили-самосвалы с выгрузкой</v>
      </c>
      <c r="C41" s="46" t="str">
        <f>Source!H81</f>
        <v>100 м3</v>
      </c>
      <c r="D41" s="47">
        <f>Source!I81</f>
        <v>2.5999999999999999E-2</v>
      </c>
      <c r="E41" s="44"/>
    </row>
    <row r="42" spans="1:5" ht="28.5" x14ac:dyDescent="0.2">
      <c r="A42" s="44" t="str">
        <f>Source!E82</f>
        <v>13</v>
      </c>
      <c r="B42" s="45" t="str">
        <f>Source!G82</f>
        <v>Перевозка грунта автосамосвалами грузоподъемностью до 10 т на расстояние 1 км</v>
      </c>
      <c r="C42" s="46" t="str">
        <f>Source!H82</f>
        <v>м3</v>
      </c>
      <c r="D42" s="47">
        <f>Source!I82</f>
        <v>2.6</v>
      </c>
      <c r="E42" s="44"/>
    </row>
    <row r="43" spans="1:5" ht="28.5" x14ac:dyDescent="0.2">
      <c r="A43" s="44" t="str">
        <f>Source!E83</f>
        <v>14</v>
      </c>
      <c r="B43" s="45" t="str">
        <f>Source!G83</f>
        <v>Перевозка грунта автосамосвалами грузоподъемностью до 10 т - добавляется на каждый последующий 1 км до 100 км (к поз. 49-3401-1-1)</v>
      </c>
      <c r="C43" s="46" t="str">
        <f>Source!H83</f>
        <v>м3</v>
      </c>
      <c r="D43" s="47">
        <f>Source!I83</f>
        <v>2.6</v>
      </c>
      <c r="E43" s="44"/>
    </row>
    <row r="44" spans="1:5" ht="28.5" x14ac:dyDescent="0.2">
      <c r="A44" s="44" t="str">
        <f>Source!E84</f>
        <v>15</v>
      </c>
      <c r="B44" s="45" t="str">
        <f>Source!G84</f>
        <v>Устройство вручную набивных дорожек и площадок с добавлением щебня слоем 20 см (подушки под столбы)</v>
      </c>
      <c r="C44" s="46" t="str">
        <f>Source!H84</f>
        <v>м2</v>
      </c>
      <c r="D44" s="47">
        <f>Source!I84</f>
        <v>2.2000000000000002</v>
      </c>
      <c r="E44" s="44"/>
    </row>
    <row r="45" spans="1:5" ht="28.5" x14ac:dyDescent="0.2">
      <c r="A45" s="44" t="str">
        <f>Source!E85</f>
        <v>16</v>
      </c>
      <c r="B45" s="45" t="str">
        <f>Source!G85</f>
        <v>Устройство основания из песка толщиной 10 см для дорожек и площадок вручную (подушки под столбы)</v>
      </c>
      <c r="C45" s="46" t="str">
        <f>Source!H85</f>
        <v>м2</v>
      </c>
      <c r="D45" s="47">
        <f>Source!I85</f>
        <v>2.2000000000000002</v>
      </c>
      <c r="E45" s="44"/>
    </row>
    <row r="46" spans="1:5" ht="14.25" x14ac:dyDescent="0.2">
      <c r="A46" s="44" t="str">
        <f>Source!E86</f>
        <v>17</v>
      </c>
      <c r="B46" s="45" t="str">
        <f>Source!G86</f>
        <v>Устройство фундаментных плит железобетонных плоских</v>
      </c>
      <c r="C46" s="46" t="str">
        <f>Source!H86</f>
        <v>100 м3</v>
      </c>
      <c r="D46" s="47">
        <f>Source!I86</f>
        <v>2.1600000000000001E-2</v>
      </c>
      <c r="E46" s="44"/>
    </row>
    <row r="47" spans="1:5" ht="28.5" x14ac:dyDescent="0.2">
      <c r="A47" s="44" t="str">
        <f>Source!E87</f>
        <v>17,1</v>
      </c>
      <c r="B47" s="45" t="str">
        <f>Source!G87</f>
        <v>Смеси бетонные, БСГ, тяжелого бетона на гранитном щебне, фракция 5-20, класс прочности: В22,5 (М300); П3, F200, W6</v>
      </c>
      <c r="C47" s="46" t="str">
        <f>Source!H87</f>
        <v>м3</v>
      </c>
      <c r="D47" s="47">
        <f>Source!I87</f>
        <v>2.1924000000000001</v>
      </c>
      <c r="E47" s="44"/>
    </row>
    <row r="48" spans="1:5" ht="28.5" x14ac:dyDescent="0.2">
      <c r="A48" s="44" t="str">
        <f>Source!E88</f>
        <v>17,2</v>
      </c>
      <c r="B48" s="45" t="str">
        <f>Source!G88</f>
        <v>Смеси бетонные, БСГ, тяжелого бетона на гранитном щебне, класс прочности: В15 (М200); П3, фракция 5-20, F50-100, W0-2</v>
      </c>
      <c r="C48" s="46" t="str">
        <f>Source!H88</f>
        <v>м3</v>
      </c>
      <c r="D48" s="47">
        <f>Source!I88</f>
        <v>-2.1924000000000001</v>
      </c>
      <c r="E48" s="44"/>
    </row>
    <row r="49" spans="1:5" ht="28.5" x14ac:dyDescent="0.2">
      <c r="A49" s="44" t="str">
        <f>Source!E89</f>
        <v>18</v>
      </c>
      <c r="B49" s="45" t="str">
        <f>Source!G89</f>
        <v>Изготовление и установка секций металлического ограждения, калиток, ворот из профилированной трубы, масса секции до 150 кг</v>
      </c>
      <c r="C49" s="46" t="str">
        <f>Source!H89</f>
        <v>м2</v>
      </c>
      <c r="D49" s="47">
        <f>Source!I89</f>
        <v>115.8</v>
      </c>
      <c r="E49" s="44"/>
    </row>
    <row r="50" spans="1:5" ht="42.75" x14ac:dyDescent="0.2">
      <c r="A50" s="44" t="str">
        <f>Source!E90</f>
        <v>18,1</v>
      </c>
      <c r="B50" s="45" t="str">
        <f>Source!G90</f>
        <v>Профили стальные электросварные квадратного сечения трубчатые, размер стороны 80 мм, толщина стенки 3-6 мм (толщ.4 мм, расход 9,33 кг/м.п., L=72,0 м.п.)</v>
      </c>
      <c r="C50" s="46" t="str">
        <f>Source!H90</f>
        <v>т</v>
      </c>
      <c r="D50" s="47">
        <f>Source!I90</f>
        <v>0.67176000000000002</v>
      </c>
      <c r="E50" s="44"/>
    </row>
    <row r="51" spans="1:5" ht="42.75" x14ac:dyDescent="0.2">
      <c r="A51" s="44" t="str">
        <f>Source!E91</f>
        <v>18,2</v>
      </c>
      <c r="B51" s="45" t="str">
        <f>Source!G91</f>
        <v>Профили стальные электросварные прямоугольного сечения трубчатые, размер 40х60 мм, толщина стенки 3,0 мм (расход 4,30 кг/м.п., L=198,6 м.п.)</v>
      </c>
      <c r="C51" s="46" t="str">
        <f>Source!H91</f>
        <v>т</v>
      </c>
      <c r="D51" s="47">
        <f>Source!I91</f>
        <v>0.85397999999999996</v>
      </c>
      <c r="E51" s="44"/>
    </row>
    <row r="52" spans="1:5" ht="42.75" x14ac:dyDescent="0.2">
      <c r="A52" s="44" t="str">
        <f>Source!E92</f>
        <v>18,3</v>
      </c>
      <c r="B52" s="45" t="str">
        <f>Source!G92</f>
        <v>Профили стальные электросварные квадратного сечения трубчатые, размер стороны 20 мм, толщина стенки 2 мм (расход 1,075 кг/м.п., L=1753,2 м.п.)</v>
      </c>
      <c r="C52" s="46" t="str">
        <f>Source!H92</f>
        <v>т</v>
      </c>
      <c r="D52" s="47">
        <f>Source!I92</f>
        <v>1.8846900000000002</v>
      </c>
      <c r="E52" s="44"/>
    </row>
    <row r="53" spans="1:5" ht="14.25" x14ac:dyDescent="0.2">
      <c r="A53" s="44" t="str">
        <f>Source!E93</f>
        <v>18,4</v>
      </c>
      <c r="B53" s="45" t="str">
        <f>Source!G93</f>
        <v>Пластиковая заглушка для труб 80х80 мм</v>
      </c>
      <c r="C53" s="46" t="str">
        <f>Source!H93</f>
        <v>ШТ</v>
      </c>
      <c r="D53" s="47">
        <f>Source!I93</f>
        <v>24</v>
      </c>
      <c r="E53" s="44"/>
    </row>
    <row r="54" spans="1:5" ht="14.25" x14ac:dyDescent="0.2">
      <c r="A54" s="44" t="str">
        <f>Source!E94</f>
        <v>18,5</v>
      </c>
      <c r="B54" s="45" t="str">
        <f>Source!G94</f>
        <v>Пластиковая заглушка для труб 60х40 мм</v>
      </c>
      <c r="C54" s="46" t="str">
        <f>Source!H94</f>
        <v>ШТ</v>
      </c>
      <c r="D54" s="47">
        <f>Source!I94</f>
        <v>92</v>
      </c>
      <c r="E54" s="44"/>
    </row>
    <row r="55" spans="1:5" ht="28.5" x14ac:dyDescent="0.2">
      <c r="A55" s="44" t="str">
        <f>Source!E95</f>
        <v>18,6</v>
      </c>
      <c r="B55" s="45" t="str">
        <f>Source!G95</f>
        <v>Профили стальные электросварные квадратного сечения трубчатые, размер стороны 40 мм, толщина стенки 2 мм</v>
      </c>
      <c r="C55" s="46" t="str">
        <f>Source!H95</f>
        <v>т</v>
      </c>
      <c r="D55" s="47">
        <f>Source!I95</f>
        <v>-17.254200000000001</v>
      </c>
      <c r="E55" s="44"/>
    </row>
    <row r="56" spans="1:5" ht="28.5" x14ac:dyDescent="0.2">
      <c r="A56" s="44" t="str">
        <f>Source!E96</f>
        <v>19</v>
      </c>
      <c r="B56" s="45" t="str">
        <f>Source!G96</f>
        <v>Антикоррозионная огрунтовка металлических поверхностей грунтовкой ГФ-021 за один раз</v>
      </c>
      <c r="C56" s="46" t="str">
        <f>Source!H96</f>
        <v>100 м2</v>
      </c>
      <c r="D56" s="47">
        <f>Source!I96</f>
        <v>1.1579999999999999</v>
      </c>
      <c r="E56" s="44"/>
    </row>
    <row r="57" spans="1:5" ht="28.5" x14ac:dyDescent="0.2">
      <c r="A57" s="44" t="str">
        <f>Source!E97</f>
        <v>20</v>
      </c>
      <c r="B57" s="45" t="str">
        <f>Source!G97</f>
        <v>Антикоррозионная окраска огрунтованных металлических поверхностей эмалями ПФ-115</v>
      </c>
      <c r="C57" s="46" t="str">
        <f>Source!H97</f>
        <v>100 м2</v>
      </c>
      <c r="D57" s="47">
        <f>Source!I97</f>
        <v>1.1579999999999999</v>
      </c>
      <c r="E57" s="44"/>
    </row>
    <row r="58" spans="1:5" ht="16.5" x14ac:dyDescent="0.25">
      <c r="A58" s="71" t="str">
        <f>CONCATENATE("Раздел: ", Source!G128)</f>
        <v>Раздел: Установка ограждения - Участок 3</v>
      </c>
      <c r="B58" s="71"/>
      <c r="C58" s="71"/>
      <c r="D58" s="71"/>
      <c r="E58" s="71"/>
    </row>
    <row r="59" spans="1:5" ht="42.75" x14ac:dyDescent="0.2">
      <c r="A59" s="44" t="str">
        <f>Source!E132</f>
        <v>21</v>
      </c>
      <c r="B59" s="45" t="str">
        <f>Source!G132</f>
        <v>(демонтаж) Изготовление и установка секций металлического ограждения, калиток, ворот из профилированной трубы, масса секции до 150 кг</v>
      </c>
      <c r="C59" s="46" t="str">
        <f>Source!H132</f>
        <v>м2</v>
      </c>
      <c r="D59" s="47">
        <f>Source!I132</f>
        <v>73.099999999999994</v>
      </c>
      <c r="E59" s="44"/>
    </row>
    <row r="60" spans="1:5" ht="14.25" x14ac:dyDescent="0.2">
      <c r="A60" s="44" t="str">
        <f>Source!E133</f>
        <v>22</v>
      </c>
      <c r="B60" s="45" t="str">
        <f>Source!G133</f>
        <v>Разборка фундаментов бетонных</v>
      </c>
      <c r="C60" s="46" t="str">
        <f>Source!H133</f>
        <v>м3</v>
      </c>
      <c r="D60" s="47">
        <f>Source!I133</f>
        <v>0.9</v>
      </c>
      <c r="E60" s="44"/>
    </row>
    <row r="61" spans="1:5" ht="28.5" x14ac:dyDescent="0.2">
      <c r="A61" s="44" t="str">
        <f>Source!E134</f>
        <v>23</v>
      </c>
      <c r="B61" s="45" t="str">
        <f>Source!G134</f>
        <v>Разработка грунта вручную в траншеях глубиной до 2 м без креплений с откосами, группа грунтов 1-3</v>
      </c>
      <c r="C61" s="46" t="str">
        <f>Source!H134</f>
        <v>100 м3</v>
      </c>
      <c r="D61" s="47">
        <f>Source!I134</f>
        <v>2.3E-2</v>
      </c>
      <c r="E61" s="44"/>
    </row>
    <row r="62" spans="1:5" ht="14.25" x14ac:dyDescent="0.2">
      <c r="A62" s="44" t="str">
        <f>Source!E135</f>
        <v>24</v>
      </c>
      <c r="B62" s="45" t="str">
        <f>Source!G135</f>
        <v>Засыпка вручную траншей, пазух котлованов и ям группа грунтов 1-3</v>
      </c>
      <c r="C62" s="46" t="str">
        <f>Source!H135</f>
        <v>100 м3</v>
      </c>
      <c r="D62" s="47">
        <f>Source!I135</f>
        <v>8.9999999999999993E-3</v>
      </c>
      <c r="E62" s="44"/>
    </row>
    <row r="63" spans="1:5" ht="14.25" x14ac:dyDescent="0.2">
      <c r="A63" s="44" t="str">
        <f>Source!E136</f>
        <v>25</v>
      </c>
      <c r="B63" s="45" t="str">
        <f>Source!G136</f>
        <v>Погрузка грунта вручную в автомобили-самосвалы с выгрузкой</v>
      </c>
      <c r="C63" s="46" t="str">
        <f>Source!H136</f>
        <v>100 м3</v>
      </c>
      <c r="D63" s="47">
        <f>Source!I136</f>
        <v>1.4E-2</v>
      </c>
      <c r="E63" s="44"/>
    </row>
    <row r="64" spans="1:5" ht="28.5" x14ac:dyDescent="0.2">
      <c r="A64" s="44" t="str">
        <f>Source!E137</f>
        <v>26</v>
      </c>
      <c r="B64" s="45" t="str">
        <f>Source!G137</f>
        <v>Перевозка грунта автосамосвалами грузоподъемностью до 10 т на расстояние 1 км</v>
      </c>
      <c r="C64" s="46" t="str">
        <f>Source!H137</f>
        <v>м3</v>
      </c>
      <c r="D64" s="47">
        <f>Source!I137</f>
        <v>1.4</v>
      </c>
      <c r="E64" s="44"/>
    </row>
    <row r="65" spans="1:5" ht="28.5" x14ac:dyDescent="0.2">
      <c r="A65" s="44" t="str">
        <f>Source!E138</f>
        <v>27</v>
      </c>
      <c r="B65" s="45" t="str">
        <f>Source!G138</f>
        <v>Перевозка грунта автосамосвалами грузоподъемностью до 10 т - добавляется на каждый последующий 1 км до 100 км (к поз. 49-3401-1-1)</v>
      </c>
      <c r="C65" s="46" t="str">
        <f>Source!H138</f>
        <v>м3</v>
      </c>
      <c r="D65" s="47">
        <f>Source!I138</f>
        <v>1.4</v>
      </c>
      <c r="E65" s="44"/>
    </row>
    <row r="66" spans="1:5" ht="28.5" x14ac:dyDescent="0.2">
      <c r="A66" s="44" t="str">
        <f>Source!E139</f>
        <v>28</v>
      </c>
      <c r="B66" s="45" t="str">
        <f>Source!G139</f>
        <v>Устройство вручную набивных дорожек и площадок с добавлением щебня слоем 20 см (подушки под столбы)</v>
      </c>
      <c r="C66" s="46" t="str">
        <f>Source!H139</f>
        <v>м2</v>
      </c>
      <c r="D66" s="47">
        <f>Source!I139</f>
        <v>1.9</v>
      </c>
      <c r="E66" s="44"/>
    </row>
    <row r="67" spans="1:5" ht="28.5" x14ac:dyDescent="0.2">
      <c r="A67" s="44" t="str">
        <f>Source!E140</f>
        <v>29</v>
      </c>
      <c r="B67" s="45" t="str">
        <f>Source!G140</f>
        <v>Устройство основания из песка толщиной 10 см для дорожек и площадок вручную (подушки под столбы)</v>
      </c>
      <c r="C67" s="46" t="str">
        <f>Source!H140</f>
        <v>м2</v>
      </c>
      <c r="D67" s="47">
        <f>Source!I140</f>
        <v>1.9</v>
      </c>
      <c r="E67" s="44"/>
    </row>
    <row r="68" spans="1:5" ht="14.25" x14ac:dyDescent="0.2">
      <c r="A68" s="44" t="str">
        <f>Source!E141</f>
        <v>30</v>
      </c>
      <c r="B68" s="45" t="str">
        <f>Source!G141</f>
        <v>Устройство фундаментных плит железобетонных плоских</v>
      </c>
      <c r="C68" s="46" t="str">
        <f>Source!H141</f>
        <v>100 м3</v>
      </c>
      <c r="D68" s="47">
        <f>Source!I141</f>
        <v>1.89E-2</v>
      </c>
      <c r="E68" s="44"/>
    </row>
    <row r="69" spans="1:5" ht="28.5" x14ac:dyDescent="0.2">
      <c r="A69" s="44" t="str">
        <f>Source!E142</f>
        <v>30,1</v>
      </c>
      <c r="B69" s="45" t="str">
        <f>Source!G142</f>
        <v>Смеси бетонные, БСГ, тяжелого бетона на гранитном щебне, фракция 5-20, класс прочности: В22,5 (М300); П3, F200, W6</v>
      </c>
      <c r="C69" s="46" t="str">
        <f>Source!H142</f>
        <v>м3</v>
      </c>
      <c r="D69" s="47">
        <f>Source!I142</f>
        <v>1.91835</v>
      </c>
      <c r="E69" s="44"/>
    </row>
    <row r="70" spans="1:5" ht="28.5" x14ac:dyDescent="0.2">
      <c r="A70" s="44" t="str">
        <f>Source!E143</f>
        <v>30,2</v>
      </c>
      <c r="B70" s="45" t="str">
        <f>Source!G143</f>
        <v>Смеси бетонные, БСГ, тяжелого бетона на гранитном щебне, класс прочности: В15 (М200); П3, фракция 5-20, F50-100, W0-2</v>
      </c>
      <c r="C70" s="46" t="str">
        <f>Source!H143</f>
        <v>м3</v>
      </c>
      <c r="D70" s="47">
        <f>Source!I143</f>
        <v>-1.91835</v>
      </c>
      <c r="E70" s="44"/>
    </row>
    <row r="71" spans="1:5" ht="14.25" x14ac:dyDescent="0.2">
      <c r="A71" s="44" t="str">
        <f>Source!E144</f>
        <v>31</v>
      </c>
      <c r="B71" s="45" t="str">
        <f>Source!G144</f>
        <v>Расчистка поверхностей от старых покрасок (шпателем, щетками и т.д.)</v>
      </c>
      <c r="C71" s="46" t="str">
        <f>Source!H144</f>
        <v>м2</v>
      </c>
      <c r="D71" s="47">
        <f>Source!I144</f>
        <v>17.5</v>
      </c>
      <c r="E71" s="44"/>
    </row>
    <row r="72" spans="1:5" ht="42.75" x14ac:dyDescent="0.2">
      <c r="A72" s="44" t="str">
        <f>Source!E145</f>
        <v>32</v>
      </c>
      <c r="B72" s="45" t="str">
        <f>Source!G145</f>
        <v>Ремонт штукатурки гладких фасадов по камню и бетону с земли и лесов цементно-известковым раствором при площади до 5 м2 толщиной слоя до 20 мм</v>
      </c>
      <c r="C72" s="46" t="str">
        <f>Source!H145</f>
        <v>100 м2</v>
      </c>
      <c r="D72" s="47">
        <f>Source!I145</f>
        <v>7.4999999999999997E-2</v>
      </c>
      <c r="E72" s="44"/>
    </row>
    <row r="73" spans="1:5" ht="28.5" x14ac:dyDescent="0.2">
      <c r="A73" s="44" t="str">
        <f>Source!E146</f>
        <v>33</v>
      </c>
      <c r="B73" s="45" t="str">
        <f>Source!G146</f>
        <v>Окраска перхлорвиниловыми красками марка ХВ-161 (белая) по подготовленной поверхности фасадов простых за 2 раза с земли и лесов</v>
      </c>
      <c r="C73" s="46" t="str">
        <f>Source!H146</f>
        <v>100 м2</v>
      </c>
      <c r="D73" s="47">
        <f>Source!I146</f>
        <v>0.25</v>
      </c>
      <c r="E73" s="44"/>
    </row>
    <row r="74" spans="1:5" ht="14.25" x14ac:dyDescent="0.2">
      <c r="A74" s="44" t="str">
        <f>Source!E147</f>
        <v>33,1</v>
      </c>
      <c r="B74" s="45" t="str">
        <f>Source!G147</f>
        <v>Краски фасадные перхлорвиниловые, марка ХВ-161 "Б" (цветная)</v>
      </c>
      <c r="C74" s="46" t="str">
        <f>Source!H147</f>
        <v>т</v>
      </c>
      <c r="D74" s="47">
        <f>Source!I147</f>
        <v>1.345E-2</v>
      </c>
      <c r="E74" s="44"/>
    </row>
    <row r="75" spans="1:5" ht="14.25" x14ac:dyDescent="0.2">
      <c r="A75" s="44" t="str">
        <f>Source!E148</f>
        <v>33,2</v>
      </c>
      <c r="B75" s="45" t="str">
        <f>Source!G148</f>
        <v>Краски фасадные перхлорвиниловые, марка ХВ-161 (белая)</v>
      </c>
      <c r="C75" s="46" t="str">
        <f>Source!H148</f>
        <v>т</v>
      </c>
      <c r="D75" s="47">
        <f>Source!I148</f>
        <v>-1.345E-2</v>
      </c>
      <c r="E75" s="44"/>
    </row>
    <row r="76" spans="1:5" ht="28.5" x14ac:dyDescent="0.2">
      <c r="A76" s="44" t="str">
        <f>Source!E149</f>
        <v>34</v>
      </c>
      <c r="B76" s="45" t="str">
        <f>Source!G149</f>
        <v>Устройство мелких покрытий (брандмауэры, парапеты, свесы и т.п.) из листовой оцинкованной стали</v>
      </c>
      <c r="C76" s="46" t="str">
        <f>Source!H149</f>
        <v>100 м2</v>
      </c>
      <c r="D76" s="47">
        <f>Source!I149</f>
        <v>2.8000000000000001E-2</v>
      </c>
      <c r="E76" s="44"/>
    </row>
    <row r="77" spans="1:5" ht="28.5" x14ac:dyDescent="0.2">
      <c r="A77" s="44" t="str">
        <f>Source!E150</f>
        <v>35</v>
      </c>
      <c r="B77" s="45" t="str">
        <f>Source!G150</f>
        <v>Изготовление и установка секций металлического ограждения, калиток, ворот из профилированной трубы, масса секции до 150 кг</v>
      </c>
      <c r="C77" s="46" t="str">
        <f>Source!H150</f>
        <v>м2</v>
      </c>
      <c r="D77" s="47">
        <f>Source!I150</f>
        <v>108.2</v>
      </c>
      <c r="E77" s="44"/>
    </row>
    <row r="78" spans="1:5" ht="42.75" x14ac:dyDescent="0.2">
      <c r="A78" s="44" t="str">
        <f>Source!E151</f>
        <v>35,1</v>
      </c>
      <c r="B78" s="45" t="str">
        <f>Source!G151</f>
        <v>Профили стальные электросварные квадратного сечения трубчатые, размер стороны 80 мм, толщина стенки 3-6 мм (толщ.4 мм, расход 9,33 кг/м.п., L=69,0 м.п.)</v>
      </c>
      <c r="C78" s="46" t="str">
        <f>Source!H151</f>
        <v>т</v>
      </c>
      <c r="D78" s="47">
        <f>Source!I151</f>
        <v>0.64376999999999995</v>
      </c>
      <c r="E78" s="44"/>
    </row>
    <row r="79" spans="1:5" ht="42.75" x14ac:dyDescent="0.2">
      <c r="A79" s="44" t="str">
        <f>Source!E152</f>
        <v>35,2</v>
      </c>
      <c r="B79" s="45" t="str">
        <f>Source!G152</f>
        <v>Профили стальные электросварные прямоугольного сечения трубчатые, размер 40х60 мм, толщина стенки 3,0 мм (расход 4,30 кг/м.п., L=192,6 м.п.)</v>
      </c>
      <c r="C79" s="46" t="str">
        <f>Source!H152</f>
        <v>т</v>
      </c>
      <c r="D79" s="47">
        <f>Source!I152</f>
        <v>0.82818000000000003</v>
      </c>
      <c r="E79" s="44"/>
    </row>
    <row r="80" spans="1:5" ht="42.75" x14ac:dyDescent="0.2">
      <c r="A80" s="44" t="str">
        <f>Source!E153</f>
        <v>35,3</v>
      </c>
      <c r="B80" s="45" t="str">
        <f>Source!G153</f>
        <v>Профили стальные электросварные квадратного сечения трубчатые, размер стороны 20 мм, толщина стенки 2 мм (расход 1,075 кг/м.п., L=1666,8 м.п.)</v>
      </c>
      <c r="C80" s="46" t="str">
        <f>Source!H153</f>
        <v>т</v>
      </c>
      <c r="D80" s="47">
        <f>Source!I153</f>
        <v>1.7918099999999999</v>
      </c>
      <c r="E80" s="44"/>
    </row>
    <row r="81" spans="1:5" ht="14.25" x14ac:dyDescent="0.2">
      <c r="A81" s="44" t="str">
        <f>Source!E154</f>
        <v>35,4</v>
      </c>
      <c r="B81" s="45" t="str">
        <f>Source!G154</f>
        <v>Пластиковая заглушка для труб 80х80 мм</v>
      </c>
      <c r="C81" s="46" t="str">
        <f>Source!H154</f>
        <v>ШТ</v>
      </c>
      <c r="D81" s="47">
        <f>Source!I154</f>
        <v>23</v>
      </c>
      <c r="E81" s="44"/>
    </row>
    <row r="82" spans="1:5" ht="14.25" x14ac:dyDescent="0.2">
      <c r="A82" s="44" t="str">
        <f>Source!E155</f>
        <v>35,5</v>
      </c>
      <c r="B82" s="45" t="str">
        <f>Source!G155</f>
        <v>Пластиковая заглушка для труб 60х40 мм</v>
      </c>
      <c r="C82" s="46" t="str">
        <f>Source!H155</f>
        <v>ШТ</v>
      </c>
      <c r="D82" s="47">
        <f>Source!I155</f>
        <v>84</v>
      </c>
      <c r="E82" s="44"/>
    </row>
    <row r="83" spans="1:5" ht="14.25" x14ac:dyDescent="0.2">
      <c r="A83" s="44" t="str">
        <f>Source!E156</f>
        <v>35,6</v>
      </c>
      <c r="B83" s="45" t="str">
        <f>Source!G156</f>
        <v>Петля приварная</v>
      </c>
      <c r="C83" s="46" t="str">
        <f>Source!H156</f>
        <v>ШТ</v>
      </c>
      <c r="D83" s="47">
        <f>Source!I156</f>
        <v>3.9999999999999996</v>
      </c>
      <c r="E83" s="44"/>
    </row>
    <row r="84" spans="1:5" ht="14.25" x14ac:dyDescent="0.2">
      <c r="A84" s="44" t="str">
        <f>Source!E157</f>
        <v>35,7</v>
      </c>
      <c r="B84" s="45" t="str">
        <f>Source!G157</f>
        <v>Засов воротный оцинкованный 430 мм</v>
      </c>
      <c r="C84" s="46" t="str">
        <f>Source!H157</f>
        <v>ШТ</v>
      </c>
      <c r="D84" s="47">
        <f>Source!I157</f>
        <v>0.99999999999999989</v>
      </c>
      <c r="E84" s="44"/>
    </row>
    <row r="85" spans="1:5" ht="28.5" x14ac:dyDescent="0.2">
      <c r="A85" s="44" t="str">
        <f>Source!E158</f>
        <v>35,8</v>
      </c>
      <c r="B85" s="45" t="str">
        <f>Source!G158</f>
        <v>Профили стальные электросварные квадратного сечения трубчатые, размер стороны 40 мм, толщина стенки 2 мм</v>
      </c>
      <c r="C85" s="46" t="str">
        <f>Source!H158</f>
        <v>т</v>
      </c>
      <c r="D85" s="47">
        <f>Source!I158</f>
        <v>-16.1218</v>
      </c>
      <c r="E85" s="44"/>
    </row>
    <row r="86" spans="1:5" ht="28.5" x14ac:dyDescent="0.2">
      <c r="A86" s="44" t="str">
        <f>Source!E159</f>
        <v>36</v>
      </c>
      <c r="B86" s="45" t="str">
        <f>Source!G159</f>
        <v>Антикоррозионная огрунтовка металлических поверхностей грунтовкой ГФ-021 за один раз</v>
      </c>
      <c r="C86" s="46" t="str">
        <f>Source!H159</f>
        <v>100 м2</v>
      </c>
      <c r="D86" s="47">
        <f>Source!I159</f>
        <v>1.0820000000000001</v>
      </c>
      <c r="E86" s="44"/>
    </row>
    <row r="87" spans="1:5" ht="28.5" x14ac:dyDescent="0.2">
      <c r="A87" s="44" t="str">
        <f>Source!E160</f>
        <v>37</v>
      </c>
      <c r="B87" s="45" t="str">
        <f>Source!G160</f>
        <v>Антикоррозионная окраска огрунтованных металлических поверхностей эмалями ПФ-115</v>
      </c>
      <c r="C87" s="46" t="str">
        <f>Source!H160</f>
        <v>100 м2</v>
      </c>
      <c r="D87" s="47">
        <f>Source!I160</f>
        <v>1.0820000000000001</v>
      </c>
      <c r="E87" s="44"/>
    </row>
    <row r="88" spans="1:5" ht="16.5" x14ac:dyDescent="0.25">
      <c r="A88" s="71" t="str">
        <f>CONCATENATE("Раздел: ", Source!G191)</f>
        <v>Раздел: Установка ограждения - Участок 4</v>
      </c>
      <c r="B88" s="71"/>
      <c r="C88" s="71"/>
      <c r="D88" s="71"/>
      <c r="E88" s="71"/>
    </row>
    <row r="89" spans="1:5" ht="42.75" x14ac:dyDescent="0.2">
      <c r="A89" s="44" t="str">
        <f>Source!E195</f>
        <v>38</v>
      </c>
      <c r="B89" s="45" t="str">
        <f>Source!G195</f>
        <v>(демонтаж) Изготовление и установка секций металлического ограждения, калиток, ворот из профилированной трубы, масса секции до 150 кг</v>
      </c>
      <c r="C89" s="46" t="str">
        <f>Source!H195</f>
        <v>м2</v>
      </c>
      <c r="D89" s="47">
        <f>Source!I195</f>
        <v>124.2</v>
      </c>
      <c r="E89" s="44"/>
    </row>
    <row r="90" spans="1:5" ht="14.25" x14ac:dyDescent="0.2">
      <c r="A90" s="44" t="str">
        <f>Source!E196</f>
        <v>39</v>
      </c>
      <c r="B90" s="45" t="str">
        <f>Source!G196</f>
        <v>Разборка фундаментов бетонных</v>
      </c>
      <c r="C90" s="46" t="str">
        <f>Source!H196</f>
        <v>м3</v>
      </c>
      <c r="D90" s="47">
        <f>Source!I196</f>
        <v>2.2999999999999998</v>
      </c>
      <c r="E90" s="44"/>
    </row>
    <row r="91" spans="1:5" ht="28.5" x14ac:dyDescent="0.2">
      <c r="A91" s="44" t="str">
        <f>Source!E197</f>
        <v>40</v>
      </c>
      <c r="B91" s="45" t="str">
        <f>Source!G197</f>
        <v>Разработка грунта вручную в траншеях глубиной до 2 м без креплений с откосами, группа грунтов 1-3</v>
      </c>
      <c r="C91" s="46" t="str">
        <f>Source!H197</f>
        <v>100 м3</v>
      </c>
      <c r="D91" s="47">
        <f>Source!I197</f>
        <v>2.3E-2</v>
      </c>
      <c r="E91" s="44"/>
    </row>
    <row r="92" spans="1:5" ht="14.25" x14ac:dyDescent="0.2">
      <c r="A92" s="44" t="str">
        <f>Source!E198</f>
        <v>41</v>
      </c>
      <c r="B92" s="45" t="str">
        <f>Source!G198</f>
        <v>Засыпка вручную траншей, пазух котлованов и ям группа грунтов 1-3</v>
      </c>
      <c r="C92" s="46" t="str">
        <f>Source!H198</f>
        <v>100 м3</v>
      </c>
      <c r="D92" s="47">
        <f>Source!I198</f>
        <v>2.3E-2</v>
      </c>
      <c r="E92" s="44"/>
    </row>
    <row r="93" spans="1:5" ht="28.5" x14ac:dyDescent="0.2">
      <c r="A93" s="44" t="str">
        <f>Source!E199</f>
        <v>42</v>
      </c>
      <c r="B93" s="45" t="str">
        <f>Source!G199</f>
        <v>Устройство вручную набивных дорожек и площадок с добавлением щебня слоем 20 см (подушки под столбы)</v>
      </c>
      <c r="C93" s="46" t="str">
        <f>Source!H199</f>
        <v>м2</v>
      </c>
      <c r="D93" s="47">
        <f>Source!I199</f>
        <v>1.9</v>
      </c>
      <c r="E93" s="44"/>
    </row>
    <row r="94" spans="1:5" ht="28.5" x14ac:dyDescent="0.2">
      <c r="A94" s="44" t="str">
        <f>Source!E200</f>
        <v>43</v>
      </c>
      <c r="B94" s="45" t="str">
        <f>Source!G200</f>
        <v>Устройство основания из песка толщиной 10 см для дорожек и площадок вручную (подушки под столбы)</v>
      </c>
      <c r="C94" s="46" t="str">
        <f>Source!H200</f>
        <v>м2</v>
      </c>
      <c r="D94" s="47">
        <f>Source!I200</f>
        <v>1.9</v>
      </c>
      <c r="E94" s="44"/>
    </row>
    <row r="95" spans="1:5" ht="14.25" x14ac:dyDescent="0.2">
      <c r="A95" s="44" t="str">
        <f>Source!E201</f>
        <v>44</v>
      </c>
      <c r="B95" s="45" t="str">
        <f>Source!G201</f>
        <v>Устройство фундаментных плит железобетонных плоских</v>
      </c>
      <c r="C95" s="46" t="str">
        <f>Source!H201</f>
        <v>100 м3</v>
      </c>
      <c r="D95" s="47">
        <f>Source!I201</f>
        <v>1.89E-2</v>
      </c>
      <c r="E95" s="44"/>
    </row>
    <row r="96" spans="1:5" ht="28.5" x14ac:dyDescent="0.2">
      <c r="A96" s="44" t="str">
        <f>Source!E202</f>
        <v>44,1</v>
      </c>
      <c r="B96" s="45" t="str">
        <f>Source!G202</f>
        <v>Смеси бетонные, БСГ, тяжелого бетона на гранитном щебне, фракция 5-20, класс прочности: В22,5 (М300); П3, F200, W6</v>
      </c>
      <c r="C96" s="46" t="str">
        <f>Source!H202</f>
        <v>м3</v>
      </c>
      <c r="D96" s="47">
        <f>Source!I202</f>
        <v>1.91835</v>
      </c>
      <c r="E96" s="44"/>
    </row>
    <row r="97" spans="1:5" ht="28.5" x14ac:dyDescent="0.2">
      <c r="A97" s="44" t="str">
        <f>Source!E203</f>
        <v>44,2</v>
      </c>
      <c r="B97" s="45" t="str">
        <f>Source!G203</f>
        <v>Смеси бетонные, БСГ, тяжелого бетона на гранитном щебне, класс прочности: В15 (М200); П3, фракция 5-20, F50-100, W0-2</v>
      </c>
      <c r="C97" s="46" t="str">
        <f>Source!H203</f>
        <v>м3</v>
      </c>
      <c r="D97" s="47">
        <f>Source!I203</f>
        <v>-1.91835</v>
      </c>
      <c r="E97" s="44"/>
    </row>
    <row r="98" spans="1:5" ht="28.5" x14ac:dyDescent="0.2">
      <c r="A98" s="44" t="str">
        <f>Source!E204</f>
        <v>45</v>
      </c>
      <c r="B98" s="45" t="str">
        <f>Source!G204</f>
        <v>Изготовление и установка секций металлического ограждения, калиток, ворот из профилированной трубы, масса секции до 150 кг</v>
      </c>
      <c r="C98" s="46" t="str">
        <f>Source!H204</f>
        <v>м2</v>
      </c>
      <c r="D98" s="47">
        <f>Source!I204</f>
        <v>112.6</v>
      </c>
      <c r="E98" s="44"/>
    </row>
    <row r="99" spans="1:5" ht="42.75" x14ac:dyDescent="0.2">
      <c r="A99" s="44" t="str">
        <f>Source!E205</f>
        <v>45,1</v>
      </c>
      <c r="B99" s="45" t="str">
        <f>Source!G205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C99" s="46" t="str">
        <f>Source!H205</f>
        <v>т</v>
      </c>
      <c r="D99" s="47">
        <f>Source!I205</f>
        <v>0.69974999999999998</v>
      </c>
      <c r="E99" s="44"/>
    </row>
    <row r="100" spans="1:5" ht="42.75" x14ac:dyDescent="0.2">
      <c r="A100" s="44" t="str">
        <f>Source!E206</f>
        <v>45,2</v>
      </c>
      <c r="B100" s="45" t="str">
        <f>Source!G206</f>
        <v>Профили стальные электросварные прямоугольного сечения трубчатые, размер 40х60 мм, толщина стенки 3,0 мм (расход 4,30 кг/м.п., L=196,2 м.п.)</v>
      </c>
      <c r="C100" s="46" t="str">
        <f>Source!H206</f>
        <v>т</v>
      </c>
      <c r="D100" s="47">
        <f>Source!I206</f>
        <v>0.84365999999999997</v>
      </c>
      <c r="E100" s="44"/>
    </row>
    <row r="101" spans="1:5" ht="42.75" x14ac:dyDescent="0.2">
      <c r="A101" s="44" t="str">
        <f>Source!E207</f>
        <v>45,3</v>
      </c>
      <c r="B101" s="45" t="str">
        <f>Source!G207</f>
        <v>Профили стальные электросварные квадратного сечения трубчатые, размер стороны 20 мм, толщина стенки 2 мм (расход 1,075 кг/м.п., L=1724,4 м.п.)</v>
      </c>
      <c r="C101" s="46" t="str">
        <f>Source!H207</f>
        <v>т</v>
      </c>
      <c r="D101" s="47">
        <f>Source!I207</f>
        <v>1.8537300000000001</v>
      </c>
      <c r="E101" s="44"/>
    </row>
    <row r="102" spans="1:5" ht="14.25" x14ac:dyDescent="0.2">
      <c r="A102" s="44" t="str">
        <f>Source!E208</f>
        <v>45,4</v>
      </c>
      <c r="B102" s="45" t="str">
        <f>Source!G208</f>
        <v>Пластиковая заглушка для труб 80х80 мм</v>
      </c>
      <c r="C102" s="46" t="str">
        <f>Source!H208</f>
        <v>ШТ</v>
      </c>
      <c r="D102" s="47">
        <f>Source!I208</f>
        <v>21</v>
      </c>
      <c r="E102" s="44"/>
    </row>
    <row r="103" spans="1:5" ht="14.25" x14ac:dyDescent="0.2">
      <c r="A103" s="44" t="str">
        <f>Source!E209</f>
        <v>45,5</v>
      </c>
      <c r="B103" s="45" t="str">
        <f>Source!G209</f>
        <v>Пластиковая заглушка для труб 60х40 мм</v>
      </c>
      <c r="C103" s="46" t="str">
        <f>Source!H209</f>
        <v>ШТ</v>
      </c>
      <c r="D103" s="47">
        <f>Source!I209</f>
        <v>84</v>
      </c>
      <c r="E103" s="44"/>
    </row>
    <row r="104" spans="1:5" ht="14.25" x14ac:dyDescent="0.2">
      <c r="A104" s="44" t="str">
        <f>Source!E210</f>
        <v>45,6</v>
      </c>
      <c r="B104" s="45" t="str">
        <f>Source!G210</f>
        <v>Петля приварная</v>
      </c>
      <c r="C104" s="46" t="str">
        <f>Source!H210</f>
        <v>ШТ</v>
      </c>
      <c r="D104" s="47">
        <f>Source!I210</f>
        <v>6</v>
      </c>
      <c r="E104" s="44"/>
    </row>
    <row r="105" spans="1:5" ht="14.25" x14ac:dyDescent="0.2">
      <c r="A105" s="44" t="str">
        <f>Source!E211</f>
        <v>45,7</v>
      </c>
      <c r="B105" s="45" t="str">
        <f>Source!G211</f>
        <v>Засов воротный оцинкованный 430 мм</v>
      </c>
      <c r="C105" s="46" t="str">
        <f>Source!H211</f>
        <v>ШТ</v>
      </c>
      <c r="D105" s="47">
        <f>Source!I211</f>
        <v>1</v>
      </c>
      <c r="E105" s="44"/>
    </row>
    <row r="106" spans="1:5" ht="14.25" x14ac:dyDescent="0.2">
      <c r="A106" s="44" t="str">
        <f>Source!E212</f>
        <v>45,8</v>
      </c>
      <c r="B106" s="45" t="str">
        <f>Source!G212</f>
        <v>Задвижка черн.лист 100мм GAH 116064</v>
      </c>
      <c r="C106" s="46" t="str">
        <f>Source!H212</f>
        <v>ШТ</v>
      </c>
      <c r="D106" s="47">
        <f>Source!I212</f>
        <v>1</v>
      </c>
      <c r="E106" s="44"/>
    </row>
    <row r="107" spans="1:5" ht="28.5" x14ac:dyDescent="0.2">
      <c r="A107" s="44" t="str">
        <f>Source!E213</f>
        <v>45,9</v>
      </c>
      <c r="B107" s="45" t="str">
        <f>Source!G213</f>
        <v>Профили стальные электросварные квадратного сечения трубчатые, размер стороны 40 мм, толщина стенки 2 мм</v>
      </c>
      <c r="C107" s="46" t="str">
        <f>Source!H213</f>
        <v>т</v>
      </c>
      <c r="D107" s="47">
        <f>Source!I213</f>
        <v>-16.7774</v>
      </c>
      <c r="E107" s="44"/>
    </row>
    <row r="108" spans="1:5" ht="28.5" x14ac:dyDescent="0.2">
      <c r="A108" s="44" t="str">
        <f>Source!E214</f>
        <v>46</v>
      </c>
      <c r="B108" s="45" t="str">
        <f>Source!G214</f>
        <v>Антикоррозионная огрунтовка металлических поверхностей грунтовкой ГФ-021 за один раз</v>
      </c>
      <c r="C108" s="46" t="str">
        <f>Source!H214</f>
        <v>100 м2</v>
      </c>
      <c r="D108" s="47">
        <f>Source!I214</f>
        <v>1.1259999999999999</v>
      </c>
      <c r="E108" s="44"/>
    </row>
    <row r="109" spans="1:5" ht="28.5" x14ac:dyDescent="0.2">
      <c r="A109" s="44" t="str">
        <f>Source!E215</f>
        <v>47</v>
      </c>
      <c r="B109" s="45" t="str">
        <f>Source!G215</f>
        <v>Антикоррозионная окраска огрунтованных металлических поверхностей эмалями ПФ-115</v>
      </c>
      <c r="C109" s="46" t="str">
        <f>Source!H215</f>
        <v>100 м2</v>
      </c>
      <c r="D109" s="47">
        <f>Source!I215</f>
        <v>1.1259999999999999</v>
      </c>
      <c r="E109" s="44"/>
    </row>
    <row r="110" spans="1:5" ht="16.5" x14ac:dyDescent="0.25">
      <c r="A110" s="71" t="str">
        <f>CONCATENATE("Раздел: ", Source!G246)</f>
        <v>Раздел: Прочие затраты</v>
      </c>
      <c r="B110" s="71"/>
      <c r="C110" s="71"/>
      <c r="D110" s="71"/>
      <c r="E110" s="71"/>
    </row>
    <row r="111" spans="1:5" ht="28.5" x14ac:dyDescent="0.2">
      <c r="A111" s="44" t="str">
        <f>Source!E250</f>
        <v>48</v>
      </c>
      <c r="B111" s="45" t="str">
        <f>Source!G250</f>
        <v>Механизированная погрузка строительного мусора в автомобили-самосвалы</v>
      </c>
      <c r="C111" s="46" t="str">
        <f>Source!H250</f>
        <v>т</v>
      </c>
      <c r="D111" s="47">
        <f>Source!I250</f>
        <v>7.68</v>
      </c>
      <c r="E111" s="44"/>
    </row>
    <row r="112" spans="1:5" ht="28.5" x14ac:dyDescent="0.2">
      <c r="A112" s="44" t="str">
        <f>Source!E251</f>
        <v>49</v>
      </c>
      <c r="B112" s="45" t="str">
        <f>Source!G251</f>
        <v>Перевозка строительного мусора автосамосвалами грузоподъемностью до 10 т на расстояние 1 км - при механизированной погрузке</v>
      </c>
      <c r="C112" s="46" t="str">
        <f>Source!H251</f>
        <v>т</v>
      </c>
      <c r="D112" s="47">
        <f>Source!I251</f>
        <v>7.68</v>
      </c>
      <c r="E112" s="44"/>
    </row>
    <row r="113" spans="1:5" ht="28.5" x14ac:dyDescent="0.2">
      <c r="A113" s="40" t="str">
        <f>Source!E252</f>
        <v>50</v>
      </c>
      <c r="B113" s="41" t="str">
        <f>Source!G252</f>
        <v>Перевозка строительного мусора автосамосвалами грузоподъемностью до 10 т - добавляется на каждый последующий 1 км до 100 км (ВАО)</v>
      </c>
      <c r="C113" s="42" t="str">
        <f>Source!H252</f>
        <v>т</v>
      </c>
      <c r="D113" s="43">
        <f>Source!I252</f>
        <v>7.68</v>
      </c>
      <c r="E113" s="40"/>
    </row>
    <row r="116" spans="1:5" ht="15" x14ac:dyDescent="0.25">
      <c r="A116" s="32" t="s">
        <v>451</v>
      </c>
      <c r="B116" s="32"/>
      <c r="C116" s="32" t="s">
        <v>452</v>
      </c>
      <c r="D116" s="32"/>
      <c r="E116" s="32"/>
    </row>
  </sheetData>
  <mergeCells count="10">
    <mergeCell ref="A39:E39"/>
    <mergeCell ref="A58:E58"/>
    <mergeCell ref="A88:E88"/>
    <mergeCell ref="A110:E110"/>
    <mergeCell ref="C5:D5"/>
    <mergeCell ref="C7:D7"/>
    <mergeCell ref="A11:D11"/>
    <mergeCell ref="A12:D12"/>
    <mergeCell ref="A19:E19"/>
    <mergeCell ref="A20:E20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"/>
  <sheetViews>
    <sheetView workbookViewId="0"/>
  </sheetViews>
  <sheetFormatPr defaultRowHeight="12.75" x14ac:dyDescent="0.2"/>
  <sheetData>
    <row r="1" spans="1:23" x14ac:dyDescent="0.2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</row>
    <row r="2" spans="1:23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</row>
    <row r="4" spans="1:23" x14ac:dyDescent="0.2">
      <c r="A4" t="s">
        <v>453</v>
      </c>
      <c r="B4" t="s">
        <v>454</v>
      </c>
      <c r="C4" t="s">
        <v>455</v>
      </c>
      <c r="D4" t="s">
        <v>456</v>
      </c>
      <c r="E4" t="s">
        <v>457</v>
      </c>
      <c r="F4" t="s">
        <v>458</v>
      </c>
      <c r="G4" t="s">
        <v>459</v>
      </c>
      <c r="H4" t="s">
        <v>460</v>
      </c>
      <c r="I4" t="s">
        <v>461</v>
      </c>
      <c r="J4" t="s">
        <v>462</v>
      </c>
      <c r="K4" t="s">
        <v>463</v>
      </c>
      <c r="L4" t="s">
        <v>464</v>
      </c>
      <c r="M4" t="s">
        <v>465</v>
      </c>
      <c r="N4" t="s">
        <v>466</v>
      </c>
      <c r="O4" t="s">
        <v>467</v>
      </c>
      <c r="P4" t="s">
        <v>468</v>
      </c>
      <c r="Q4" t="s">
        <v>469</v>
      </c>
      <c r="R4" t="s">
        <v>470</v>
      </c>
      <c r="S4" t="s">
        <v>471</v>
      </c>
      <c r="T4" t="s">
        <v>472</v>
      </c>
      <c r="U4" t="s">
        <v>473</v>
      </c>
      <c r="V4" t="s">
        <v>474</v>
      </c>
      <c r="W4" t="s">
        <v>475</v>
      </c>
    </row>
    <row r="6" spans="1:23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3" x14ac:dyDescent="0.2">
      <c r="A7">
        <f>Source!A24</f>
        <v>4</v>
      </c>
      <c r="B7">
        <v>24</v>
      </c>
      <c r="G7" t="str">
        <f>Source!G24</f>
        <v>Установка ограждения - Участок 1</v>
      </c>
    </row>
    <row r="8" spans="1:23" x14ac:dyDescent="0.2">
      <c r="A8">
        <f>Source!A30</f>
        <v>17</v>
      </c>
      <c r="C8">
        <v>2</v>
      </c>
      <c r="D8">
        <v>0</v>
      </c>
      <c r="E8">
        <f>SmtRes!AV3</f>
        <v>0</v>
      </c>
      <c r="F8" t="str">
        <f>SmtRes!I3</f>
        <v>22.1-18-13</v>
      </c>
      <c r="G8" t="str">
        <f>SmtRes!K3</f>
        <v>Автомобили-самосвалы, грузоподъемность до 10 т</v>
      </c>
      <c r="H8" t="str">
        <f>SmtRes!O3</f>
        <v>маш.-ч</v>
      </c>
      <c r="I8">
        <f>SmtRes!Y3*Source!I30</f>
        <v>8.3700000000000011E-2</v>
      </c>
      <c r="J8">
        <f>SmtRes!AO3</f>
        <v>1</v>
      </c>
      <c r="K8">
        <f>SmtRes!AF3</f>
        <v>1014.12</v>
      </c>
      <c r="L8">
        <f>SmtRes!DB3</f>
        <v>31.44</v>
      </c>
      <c r="M8">
        <f>ROUND(ROUND(L8*Source!I30, 6)*1, 2)</f>
        <v>84.89</v>
      </c>
      <c r="N8">
        <f>SmtRes!AB3</f>
        <v>1014.12</v>
      </c>
      <c r="O8">
        <f>ROUND(ROUND(L8*Source!I30, 6)*SmtRes!DA3, 2)</f>
        <v>84.89</v>
      </c>
      <c r="P8">
        <f>SmtRes!AG3</f>
        <v>317.13</v>
      </c>
      <c r="Q8">
        <f>SmtRes!DC3</f>
        <v>9.83</v>
      </c>
      <c r="R8">
        <f>ROUND(ROUND(Q8*Source!I30, 6)*1, 2)</f>
        <v>26.54</v>
      </c>
      <c r="S8">
        <f>SmtRes!AC3</f>
        <v>317.13</v>
      </c>
      <c r="T8">
        <f>ROUND(ROUND(Q8*Source!I30, 6)*SmtRes!AK3, 2)</f>
        <v>26.54</v>
      </c>
      <c r="U8">
        <f>SmtRes!X3</f>
        <v>486337296</v>
      </c>
      <c r="V8">
        <v>-1297827098</v>
      </c>
      <c r="W8">
        <v>-1297827098</v>
      </c>
    </row>
    <row r="9" spans="1:23" x14ac:dyDescent="0.2">
      <c r="A9">
        <f>Source!A31</f>
        <v>17</v>
      </c>
      <c r="C9">
        <v>2</v>
      </c>
      <c r="D9">
        <v>0</v>
      </c>
      <c r="E9">
        <f>SmtRes!AV4</f>
        <v>0</v>
      </c>
      <c r="F9" t="str">
        <f>SmtRes!I4</f>
        <v>22.1-18-13</v>
      </c>
      <c r="G9" t="str">
        <f>SmtRes!K4</f>
        <v>Автомобили-самосвалы, грузоподъемность до 10 т</v>
      </c>
      <c r="H9" t="str">
        <f>SmtRes!O4</f>
        <v>маш.-ч</v>
      </c>
      <c r="I9">
        <f>SmtRes!Y4*Source!I31</f>
        <v>0.8640000000000001</v>
      </c>
      <c r="J9">
        <f>SmtRes!AO4</f>
        <v>1</v>
      </c>
      <c r="K9">
        <f>SmtRes!AF4</f>
        <v>1014.12</v>
      </c>
      <c r="L9">
        <f>SmtRes!DB4</f>
        <v>324.48</v>
      </c>
      <c r="M9">
        <f>ROUND(ROUND(L9*Source!I31, 6)*1, 2)</f>
        <v>876.1</v>
      </c>
      <c r="N9">
        <f>SmtRes!AB4</f>
        <v>1014.12</v>
      </c>
      <c r="O9">
        <f>ROUND(ROUND(L9*Source!I31, 6)*SmtRes!DA4, 2)</f>
        <v>876.1</v>
      </c>
      <c r="P9">
        <f>SmtRes!AG4</f>
        <v>317.13</v>
      </c>
      <c r="Q9">
        <f>SmtRes!DC4</f>
        <v>101.44</v>
      </c>
      <c r="R9">
        <f>ROUND(ROUND(Q9*Source!I31, 6)*1, 2)</f>
        <v>273.89</v>
      </c>
      <c r="S9">
        <f>SmtRes!AC4</f>
        <v>317.13</v>
      </c>
      <c r="T9">
        <f>ROUND(ROUND(Q9*Source!I31, 6)*SmtRes!AK4, 2)</f>
        <v>273.89</v>
      </c>
      <c r="U9">
        <f>SmtRes!X4</f>
        <v>486337296</v>
      </c>
      <c r="V9">
        <v>-1297827098</v>
      </c>
      <c r="W9">
        <v>-1297827098</v>
      </c>
    </row>
    <row r="10" spans="1:23" x14ac:dyDescent="0.2">
      <c r="A10">
        <f>Source!A32</f>
        <v>17</v>
      </c>
      <c r="C10">
        <v>3</v>
      </c>
      <c r="D10">
        <v>0</v>
      </c>
      <c r="E10">
        <f>SmtRes!AV8</f>
        <v>0</v>
      </c>
      <c r="F10" t="str">
        <f>SmtRes!I8</f>
        <v>21.1-25-13</v>
      </c>
      <c r="G10" t="str">
        <f>SmtRes!K8</f>
        <v>Вода</v>
      </c>
      <c r="H10" t="str">
        <f>SmtRes!O8</f>
        <v>м3</v>
      </c>
      <c r="I10">
        <f>SmtRes!Y8*Source!I32</f>
        <v>6.8999999999999992E-2</v>
      </c>
      <c r="J10">
        <f>SmtRes!AO8</f>
        <v>1</v>
      </c>
      <c r="K10">
        <f>SmtRes!AE8</f>
        <v>35.25</v>
      </c>
      <c r="L10">
        <f>SmtRes!DB8</f>
        <v>1.06</v>
      </c>
      <c r="M10">
        <f>ROUND(ROUND(L10*Source!I32, 6)*1, 2)</f>
        <v>2.44</v>
      </c>
      <c r="N10">
        <f>SmtRes!AA8</f>
        <v>35.25</v>
      </c>
      <c r="O10">
        <f>ROUND(ROUND(L10*Source!I32, 6)*SmtRes!DA8, 2)</f>
        <v>2.44</v>
      </c>
      <c r="P10">
        <f>SmtRes!AG8</f>
        <v>0</v>
      </c>
      <c r="Q10">
        <f>SmtRes!DC8</f>
        <v>0</v>
      </c>
      <c r="R10">
        <f>ROUND(ROUND(Q10*Source!I32, 6)*1, 2)</f>
        <v>0</v>
      </c>
      <c r="S10">
        <f>SmtRes!AC8</f>
        <v>0</v>
      </c>
      <c r="T10">
        <f>ROUND(ROUND(Q10*Source!I32, 6)*SmtRes!AK8, 2)</f>
        <v>0</v>
      </c>
      <c r="U10">
        <f>SmtRes!X8</f>
        <v>1927597627</v>
      </c>
      <c r="V10">
        <v>-1829664509</v>
      </c>
      <c r="W10">
        <v>-1829664509</v>
      </c>
    </row>
    <row r="11" spans="1:23" x14ac:dyDescent="0.2">
      <c r="A11">
        <f>Source!A32</f>
        <v>17</v>
      </c>
      <c r="C11">
        <v>3</v>
      </c>
      <c r="D11">
        <v>0</v>
      </c>
      <c r="E11">
        <f>SmtRes!AV7</f>
        <v>0</v>
      </c>
      <c r="F11" t="str">
        <f>SmtRes!I7</f>
        <v>21.1-12-36</v>
      </c>
      <c r="G11" t="str">
        <f>SmtRes!K7</f>
        <v>Щебень из естественного камня для строительных работ, марка 1200-800, фракция 20-40 мм</v>
      </c>
      <c r="H11" t="str">
        <f>SmtRes!O7</f>
        <v>м3</v>
      </c>
      <c r="I11">
        <f>SmtRes!Y7*Source!I32</f>
        <v>0.55199999999999994</v>
      </c>
      <c r="J11">
        <f>SmtRes!AO7</f>
        <v>1</v>
      </c>
      <c r="K11">
        <f>SmtRes!AE7</f>
        <v>1763.75</v>
      </c>
      <c r="L11">
        <f>SmtRes!DB7</f>
        <v>423.3</v>
      </c>
      <c r="M11">
        <f>ROUND(ROUND(L11*Source!I32, 6)*1, 2)</f>
        <v>973.59</v>
      </c>
      <c r="N11">
        <f>SmtRes!AA7</f>
        <v>1763.75</v>
      </c>
      <c r="O11">
        <f>ROUND(ROUND(L11*Source!I32, 6)*SmtRes!DA7, 2)</f>
        <v>973.59</v>
      </c>
      <c r="P11">
        <f>SmtRes!AG7</f>
        <v>0</v>
      </c>
      <c r="Q11">
        <f>SmtRes!DC7</f>
        <v>0</v>
      </c>
      <c r="R11">
        <f>ROUND(ROUND(Q11*Source!I32, 6)*1, 2)</f>
        <v>0</v>
      </c>
      <c r="S11">
        <f>SmtRes!AC7</f>
        <v>0</v>
      </c>
      <c r="T11">
        <f>ROUND(ROUND(Q11*Source!I32, 6)*SmtRes!AK7, 2)</f>
        <v>0</v>
      </c>
      <c r="U11">
        <f>SmtRes!X7</f>
        <v>-886425656</v>
      </c>
      <c r="V11">
        <v>-671760782</v>
      </c>
      <c r="W11">
        <v>-671760782</v>
      </c>
    </row>
    <row r="12" spans="1:23" x14ac:dyDescent="0.2">
      <c r="A12">
        <f>Source!A32</f>
        <v>17</v>
      </c>
      <c r="C12">
        <v>3</v>
      </c>
      <c r="D12">
        <v>0</v>
      </c>
      <c r="E12">
        <f>SmtRes!AV6</f>
        <v>0</v>
      </c>
      <c r="F12" t="str">
        <f>SmtRes!I6</f>
        <v>21.1-12-35</v>
      </c>
      <c r="G12" t="str">
        <f>SmtRes!K6</f>
        <v>Щебень из естественного камня для строительных работ, марка 1200-800, фракция 10-20 мм</v>
      </c>
      <c r="H12" t="str">
        <f>SmtRes!O6</f>
        <v>м3</v>
      </c>
      <c r="I12">
        <f>SmtRes!Y6*Source!I32</f>
        <v>0.13799999999999998</v>
      </c>
      <c r="J12">
        <f>SmtRes!AO6</f>
        <v>1</v>
      </c>
      <c r="K12">
        <f>SmtRes!AE6</f>
        <v>1865.77</v>
      </c>
      <c r="L12">
        <f>SmtRes!DB6</f>
        <v>111.95</v>
      </c>
      <c r="M12">
        <f>ROUND(ROUND(L12*Source!I32, 6)*1, 2)</f>
        <v>257.49</v>
      </c>
      <c r="N12">
        <f>SmtRes!AA6</f>
        <v>1865.77</v>
      </c>
      <c r="O12">
        <f>ROUND(ROUND(L12*Source!I32, 6)*SmtRes!DA6, 2)</f>
        <v>257.49</v>
      </c>
      <c r="P12">
        <f>SmtRes!AG6</f>
        <v>0</v>
      </c>
      <c r="Q12">
        <f>SmtRes!DC6</f>
        <v>0</v>
      </c>
      <c r="R12">
        <f>ROUND(ROUND(Q12*Source!I32, 6)*1, 2)</f>
        <v>0</v>
      </c>
      <c r="S12">
        <f>SmtRes!AC6</f>
        <v>0</v>
      </c>
      <c r="T12">
        <f>ROUND(ROUND(Q12*Source!I32, 6)*SmtRes!AK6, 2)</f>
        <v>0</v>
      </c>
      <c r="U12">
        <f>SmtRes!X6</f>
        <v>1099845635</v>
      </c>
      <c r="V12">
        <v>125426679</v>
      </c>
      <c r="W12">
        <v>125426679</v>
      </c>
    </row>
    <row r="13" spans="1:23" x14ac:dyDescent="0.2">
      <c r="A13">
        <f>Source!A33</f>
        <v>17</v>
      </c>
      <c r="C13">
        <v>3</v>
      </c>
      <c r="D13">
        <v>0</v>
      </c>
      <c r="E13">
        <f>SmtRes!AV12</f>
        <v>0</v>
      </c>
      <c r="F13" t="str">
        <f>SmtRes!I12</f>
        <v>21.1-25-13</v>
      </c>
      <c r="G13" t="str">
        <f>SmtRes!K12</f>
        <v>Вода</v>
      </c>
      <c r="H13" t="str">
        <f>SmtRes!O12</f>
        <v>м3</v>
      </c>
      <c r="I13">
        <f>SmtRes!Y12*Source!I33</f>
        <v>2.3E-2</v>
      </c>
      <c r="J13">
        <f>SmtRes!AO12</f>
        <v>1</v>
      </c>
      <c r="K13">
        <f>SmtRes!AE12</f>
        <v>35.25</v>
      </c>
      <c r="L13">
        <f>SmtRes!DB12</f>
        <v>0.35</v>
      </c>
      <c r="M13">
        <f>ROUND(ROUND(L13*Source!I33, 6)*1, 2)</f>
        <v>0.81</v>
      </c>
      <c r="N13">
        <f>SmtRes!AA12</f>
        <v>35.25</v>
      </c>
      <c r="O13">
        <f>ROUND(ROUND(L13*Source!I33, 6)*SmtRes!DA12, 2)</f>
        <v>0.81</v>
      </c>
      <c r="P13">
        <f>SmtRes!AG12</f>
        <v>0</v>
      </c>
      <c r="Q13">
        <f>SmtRes!DC12</f>
        <v>0</v>
      </c>
      <c r="R13">
        <f>ROUND(ROUND(Q13*Source!I33, 6)*1, 2)</f>
        <v>0</v>
      </c>
      <c r="S13">
        <f>SmtRes!AC12</f>
        <v>0</v>
      </c>
      <c r="T13">
        <f>ROUND(ROUND(Q13*Source!I33, 6)*SmtRes!AK12, 2)</f>
        <v>0</v>
      </c>
      <c r="U13">
        <f>SmtRes!X12</f>
        <v>1927597627</v>
      </c>
      <c r="V13">
        <v>-1829664509</v>
      </c>
      <c r="W13">
        <v>-1829664509</v>
      </c>
    </row>
    <row r="14" spans="1:23" x14ac:dyDescent="0.2">
      <c r="A14">
        <f>Source!A33</f>
        <v>17</v>
      </c>
      <c r="C14">
        <v>3</v>
      </c>
      <c r="D14">
        <v>0</v>
      </c>
      <c r="E14">
        <f>SmtRes!AV11</f>
        <v>0</v>
      </c>
      <c r="F14" t="str">
        <f>SmtRes!I11</f>
        <v>21.1-12-11</v>
      </c>
      <c r="G14" t="str">
        <f>SmtRes!K11</f>
        <v>Песок для строительных работ, рядовой</v>
      </c>
      <c r="H14" t="str">
        <f>SmtRes!O11</f>
        <v>м3</v>
      </c>
      <c r="I14">
        <f>SmtRes!Y11*Source!I33</f>
        <v>0.24149999999999996</v>
      </c>
      <c r="J14">
        <f>SmtRes!AO11</f>
        <v>1</v>
      </c>
      <c r="K14">
        <f>SmtRes!AE11</f>
        <v>590.78</v>
      </c>
      <c r="L14">
        <f>SmtRes!DB11</f>
        <v>62.03</v>
      </c>
      <c r="M14">
        <f>ROUND(ROUND(L14*Source!I33, 6)*1, 2)</f>
        <v>142.66999999999999</v>
      </c>
      <c r="N14">
        <f>SmtRes!AA11</f>
        <v>590.78</v>
      </c>
      <c r="O14">
        <f>ROUND(ROUND(L14*Source!I33, 6)*SmtRes!DA11, 2)</f>
        <v>142.66999999999999</v>
      </c>
      <c r="P14">
        <f>SmtRes!AG11</f>
        <v>0</v>
      </c>
      <c r="Q14">
        <f>SmtRes!DC11</f>
        <v>0</v>
      </c>
      <c r="R14">
        <f>ROUND(ROUND(Q14*Source!I33, 6)*1, 2)</f>
        <v>0</v>
      </c>
      <c r="S14">
        <f>SmtRes!AC11</f>
        <v>0</v>
      </c>
      <c r="T14">
        <f>ROUND(ROUND(Q14*Source!I33, 6)*SmtRes!AK11, 2)</f>
        <v>0</v>
      </c>
      <c r="U14">
        <f>SmtRes!X11</f>
        <v>909340900</v>
      </c>
      <c r="V14">
        <v>339149647</v>
      </c>
      <c r="W14">
        <v>339149647</v>
      </c>
    </row>
    <row r="15" spans="1:23" x14ac:dyDescent="0.2">
      <c r="A15">
        <f>Source!A33</f>
        <v>17</v>
      </c>
      <c r="C15">
        <v>2</v>
      </c>
      <c r="D15">
        <v>0</v>
      </c>
      <c r="E15">
        <f>SmtRes!AV10</f>
        <v>0</v>
      </c>
      <c r="F15" t="str">
        <f>SmtRes!I10</f>
        <v>22.1-5-17</v>
      </c>
      <c r="G15" t="str">
        <f>SmtRes!K10</f>
        <v>Поливомоечные машины, емкость цистерны до 5000 л</v>
      </c>
      <c r="H15" t="str">
        <f>SmtRes!O10</f>
        <v>маш.-ч</v>
      </c>
      <c r="I15">
        <f>SmtRes!Y10*Source!I33</f>
        <v>6.8999999999999999E-3</v>
      </c>
      <c r="J15">
        <f>SmtRes!AO10</f>
        <v>1</v>
      </c>
      <c r="K15">
        <f>SmtRes!AF10</f>
        <v>1270.56</v>
      </c>
      <c r="L15">
        <f>SmtRes!DB10</f>
        <v>3.81</v>
      </c>
      <c r="M15">
        <f>ROUND(ROUND(L15*Source!I33, 6)*1, 2)</f>
        <v>8.76</v>
      </c>
      <c r="N15">
        <f>SmtRes!AB10</f>
        <v>1270.56</v>
      </c>
      <c r="O15">
        <f>ROUND(ROUND(L15*Source!I33, 6)*SmtRes!DA10, 2)</f>
        <v>8.76</v>
      </c>
      <c r="P15">
        <f>SmtRes!AG10</f>
        <v>493.86</v>
      </c>
      <c r="Q15">
        <f>SmtRes!DC10</f>
        <v>1.48</v>
      </c>
      <c r="R15">
        <f>ROUND(ROUND(Q15*Source!I33, 6)*1, 2)</f>
        <v>3.4</v>
      </c>
      <c r="S15">
        <f>SmtRes!AC10</f>
        <v>493.86</v>
      </c>
      <c r="T15">
        <f>ROUND(ROUND(Q15*Source!I33, 6)*SmtRes!AK10, 2)</f>
        <v>3.4</v>
      </c>
      <c r="U15">
        <f>SmtRes!X10</f>
        <v>112346818</v>
      </c>
      <c r="V15">
        <v>-278163943</v>
      </c>
      <c r="W15">
        <v>-278163943</v>
      </c>
    </row>
    <row r="16" spans="1:23" x14ac:dyDescent="0.2">
      <c r="A16">
        <f>Source!A34</f>
        <v>17</v>
      </c>
      <c r="C16">
        <v>3</v>
      </c>
      <c r="D16">
        <v>0</v>
      </c>
      <c r="E16">
        <f>SmtRes!AV27</f>
        <v>0</v>
      </c>
      <c r="F16" t="str">
        <f>SmtRes!I27</f>
        <v>21.9-11-3</v>
      </c>
      <c r="G16" t="str">
        <f>SmtRes!K27</f>
        <v>Щиты деревянные для фундаментов, колонн, балок, перекрытий, стен, перегородок и других конструкций из досок, толщина 40мм</v>
      </c>
      <c r="H16" t="str">
        <f>SmtRes!O27</f>
        <v>м2</v>
      </c>
      <c r="I16">
        <f>SmtRes!Y27*Source!I34</f>
        <v>8.1000000000000003E-2</v>
      </c>
      <c r="J16">
        <f>SmtRes!AO27</f>
        <v>1</v>
      </c>
      <c r="K16">
        <f>SmtRes!AE27</f>
        <v>473.82</v>
      </c>
      <c r="L16">
        <f>SmtRes!DB27</f>
        <v>1705.75</v>
      </c>
      <c r="M16">
        <f>ROUND(ROUND(L16*Source!I34, 6)*1, 2)</f>
        <v>38.380000000000003</v>
      </c>
      <c r="N16">
        <f>SmtRes!AA27</f>
        <v>473.82</v>
      </c>
      <c r="O16">
        <f>ROUND(ROUND(L16*Source!I34, 6)*SmtRes!DA27, 2)</f>
        <v>38.380000000000003</v>
      </c>
      <c r="P16">
        <f>SmtRes!AG27</f>
        <v>0</v>
      </c>
      <c r="Q16">
        <f>SmtRes!DC27</f>
        <v>0</v>
      </c>
      <c r="R16">
        <f>ROUND(ROUND(Q16*Source!I34, 6)*1, 2)</f>
        <v>0</v>
      </c>
      <c r="S16">
        <f>SmtRes!AC27</f>
        <v>0</v>
      </c>
      <c r="T16">
        <f>ROUND(ROUND(Q16*Source!I34, 6)*SmtRes!AK27, 2)</f>
        <v>0</v>
      </c>
      <c r="U16">
        <f>SmtRes!X27</f>
        <v>1680411856</v>
      </c>
      <c r="V16">
        <v>-334664347</v>
      </c>
      <c r="W16">
        <v>-334664347</v>
      </c>
    </row>
    <row r="17" spans="1:23" x14ac:dyDescent="0.2">
      <c r="A17">
        <f>Source!A34</f>
        <v>17</v>
      </c>
      <c r="C17">
        <v>3</v>
      </c>
      <c r="D17">
        <v>0</v>
      </c>
      <c r="E17">
        <f>SmtRes!AV26</f>
        <v>0</v>
      </c>
      <c r="F17" t="str">
        <f>SmtRes!I26</f>
        <v>21.3-4-18</v>
      </c>
      <c r="G17" t="str">
        <f>SmtRes!K26</f>
        <v>Арматурные заготовки (стержни, хомуты и т.п.), не собранные в каркасы или сетки, арматурная сталь периодического профиля, класс А-III, диаметр 16-18 мм</v>
      </c>
      <c r="H17" t="str">
        <f>SmtRes!O26</f>
        <v>т</v>
      </c>
      <c r="I17">
        <f>SmtRes!Y26*Source!I34</f>
        <v>0.18225</v>
      </c>
      <c r="J17">
        <f>SmtRes!AO26</f>
        <v>1</v>
      </c>
      <c r="K17">
        <f>SmtRes!AE26</f>
        <v>34634.379999999997</v>
      </c>
      <c r="L17">
        <f>SmtRes!DB26</f>
        <v>280538.48</v>
      </c>
      <c r="M17">
        <f>ROUND(ROUND(L17*Source!I34, 6)*1, 2)</f>
        <v>6312.12</v>
      </c>
      <c r="N17">
        <f>SmtRes!AA26</f>
        <v>34634.379999999997</v>
      </c>
      <c r="O17">
        <f>ROUND(ROUND(L17*Source!I34, 6)*SmtRes!DA26, 2)</f>
        <v>6312.12</v>
      </c>
      <c r="P17">
        <f>SmtRes!AG26</f>
        <v>0</v>
      </c>
      <c r="Q17">
        <f>SmtRes!DC26</f>
        <v>0</v>
      </c>
      <c r="R17">
        <f>ROUND(ROUND(Q17*Source!I34, 6)*1, 2)</f>
        <v>0</v>
      </c>
      <c r="S17">
        <f>SmtRes!AC26</f>
        <v>0</v>
      </c>
      <c r="T17">
        <f>ROUND(ROUND(Q17*Source!I34, 6)*SmtRes!AK26, 2)</f>
        <v>0</v>
      </c>
      <c r="U17">
        <f>SmtRes!X26</f>
        <v>653530504</v>
      </c>
      <c r="V17">
        <v>2014880110</v>
      </c>
      <c r="W17">
        <v>2014880110</v>
      </c>
    </row>
    <row r="18" spans="1:23" x14ac:dyDescent="0.2">
      <c r="A18">
        <f>Source!A34</f>
        <v>17</v>
      </c>
      <c r="C18">
        <v>3</v>
      </c>
      <c r="D18">
        <v>0</v>
      </c>
      <c r="E18">
        <f>SmtRes!AV23</f>
        <v>0</v>
      </c>
      <c r="F18" t="str">
        <f>SmtRes!I23</f>
        <v>21.1-9-57</v>
      </c>
      <c r="G18" t="str">
        <f>SmtRes!K23</f>
        <v>Доски хвойных пород, обрезные, длина 2-6,5 м, сорт III, толщина 40-60 мм</v>
      </c>
      <c r="H18" t="str">
        <f>SmtRes!O23</f>
        <v>м3</v>
      </c>
      <c r="I18">
        <f>SmtRes!Y23*Source!I34</f>
        <v>8.9999999999999998E-4</v>
      </c>
      <c r="J18">
        <f>SmtRes!AO23</f>
        <v>1</v>
      </c>
      <c r="K18">
        <f>SmtRes!AE23</f>
        <v>7098.7</v>
      </c>
      <c r="L18">
        <f>SmtRes!DB23</f>
        <v>283.95</v>
      </c>
      <c r="M18">
        <f>ROUND(ROUND(L18*Source!I34, 6)*1, 2)</f>
        <v>6.39</v>
      </c>
      <c r="N18">
        <f>SmtRes!AA23</f>
        <v>7098.7</v>
      </c>
      <c r="O18">
        <f>ROUND(ROUND(L18*Source!I34, 6)*SmtRes!DA23, 2)</f>
        <v>6.39</v>
      </c>
      <c r="P18">
        <f>SmtRes!AG23</f>
        <v>0</v>
      </c>
      <c r="Q18">
        <f>SmtRes!DC23</f>
        <v>0</v>
      </c>
      <c r="R18">
        <f>ROUND(ROUND(Q18*Source!I34, 6)*1, 2)</f>
        <v>0</v>
      </c>
      <c r="S18">
        <f>SmtRes!AC23</f>
        <v>0</v>
      </c>
      <c r="T18">
        <f>ROUND(ROUND(Q18*Source!I34, 6)*SmtRes!AK23, 2)</f>
        <v>0</v>
      </c>
      <c r="U18">
        <f>SmtRes!X23</f>
        <v>538447250</v>
      </c>
      <c r="V18">
        <v>1167723416</v>
      </c>
      <c r="W18">
        <v>1167723416</v>
      </c>
    </row>
    <row r="19" spans="1:23" x14ac:dyDescent="0.2">
      <c r="A19">
        <f>Source!A34</f>
        <v>17</v>
      </c>
      <c r="C19">
        <v>3</v>
      </c>
      <c r="D19">
        <v>0</v>
      </c>
      <c r="E19">
        <f>SmtRes!AV22</f>
        <v>0</v>
      </c>
      <c r="F19" t="str">
        <f>SmtRes!I22</f>
        <v>21.1-25-13</v>
      </c>
      <c r="G19" t="str">
        <f>SmtRes!K22</f>
        <v>Вода</v>
      </c>
      <c r="H19" t="str">
        <f>SmtRes!O22</f>
        <v>м3</v>
      </c>
      <c r="I19">
        <f>SmtRes!Y22*Source!I34</f>
        <v>1.6424999999999999E-2</v>
      </c>
      <c r="J19">
        <f>SmtRes!AO22</f>
        <v>1</v>
      </c>
      <c r="K19">
        <f>SmtRes!AE22</f>
        <v>35.25</v>
      </c>
      <c r="L19">
        <f>SmtRes!DB22</f>
        <v>25.73</v>
      </c>
      <c r="M19">
        <f>ROUND(ROUND(L19*Source!I34, 6)*1, 2)</f>
        <v>0.57999999999999996</v>
      </c>
      <c r="N19">
        <f>SmtRes!AA22</f>
        <v>35.25</v>
      </c>
      <c r="O19">
        <f>ROUND(ROUND(L19*Source!I34, 6)*SmtRes!DA22, 2)</f>
        <v>0.57999999999999996</v>
      </c>
      <c r="P19">
        <f>SmtRes!AG22</f>
        <v>0</v>
      </c>
      <c r="Q19">
        <f>SmtRes!DC22</f>
        <v>0</v>
      </c>
      <c r="R19">
        <f>ROUND(ROUND(Q19*Source!I34, 6)*1, 2)</f>
        <v>0</v>
      </c>
      <c r="S19">
        <f>SmtRes!AC22</f>
        <v>0</v>
      </c>
      <c r="T19">
        <f>ROUND(ROUND(Q19*Source!I34, 6)*SmtRes!AK22, 2)</f>
        <v>0</v>
      </c>
      <c r="U19">
        <f>SmtRes!X22</f>
        <v>1927597627</v>
      </c>
      <c r="V19">
        <v>-1829664509</v>
      </c>
      <c r="W19">
        <v>-1829664509</v>
      </c>
    </row>
    <row r="20" spans="1:23" x14ac:dyDescent="0.2">
      <c r="A20">
        <f>Source!A34</f>
        <v>17</v>
      </c>
      <c r="C20">
        <v>3</v>
      </c>
      <c r="D20">
        <v>0</v>
      </c>
      <c r="E20">
        <f>SmtRes!AV21</f>
        <v>0</v>
      </c>
      <c r="F20" t="str">
        <f>SmtRes!I21</f>
        <v>21.1-2-4</v>
      </c>
      <c r="G20" t="str">
        <f>SmtRes!K21</f>
        <v>Известь негашеная комовая</v>
      </c>
      <c r="H20" t="str">
        <f>SmtRes!O21</f>
        <v>т</v>
      </c>
      <c r="I20">
        <f>SmtRes!Y21*Source!I34</f>
        <v>2.2499999999999999E-4</v>
      </c>
      <c r="J20">
        <f>SmtRes!AO21</f>
        <v>1</v>
      </c>
      <c r="K20">
        <f>SmtRes!AE21</f>
        <v>4752.34</v>
      </c>
      <c r="L20">
        <f>SmtRes!DB21</f>
        <v>47.52</v>
      </c>
      <c r="M20">
        <f>ROUND(ROUND(L20*Source!I34, 6)*1, 2)</f>
        <v>1.07</v>
      </c>
      <c r="N20">
        <f>SmtRes!AA21</f>
        <v>4752.34</v>
      </c>
      <c r="O20">
        <f>ROUND(ROUND(L20*Source!I34, 6)*SmtRes!DA21, 2)</f>
        <v>1.07</v>
      </c>
      <c r="P20">
        <f>SmtRes!AG21</f>
        <v>0</v>
      </c>
      <c r="Q20">
        <f>SmtRes!DC21</f>
        <v>0</v>
      </c>
      <c r="R20">
        <f>ROUND(ROUND(Q20*Source!I34, 6)*1, 2)</f>
        <v>0</v>
      </c>
      <c r="S20">
        <f>SmtRes!AC21</f>
        <v>0</v>
      </c>
      <c r="T20">
        <f>ROUND(ROUND(Q20*Source!I34, 6)*SmtRes!AK21, 2)</f>
        <v>0</v>
      </c>
      <c r="U20">
        <f>SmtRes!X21</f>
        <v>-459844717</v>
      </c>
      <c r="V20">
        <v>-928026910</v>
      </c>
      <c r="W20">
        <v>-928026910</v>
      </c>
    </row>
    <row r="21" spans="1:23" x14ac:dyDescent="0.2">
      <c r="A21">
        <f>Source!A34</f>
        <v>17</v>
      </c>
      <c r="C21">
        <v>3</v>
      </c>
      <c r="D21">
        <v>0</v>
      </c>
      <c r="E21">
        <f>SmtRes!AV20</f>
        <v>0</v>
      </c>
      <c r="F21" t="str">
        <f>SmtRes!I20</f>
        <v>21.1-23-9</v>
      </c>
      <c r="G21" t="str">
        <f>SmtRes!K20</f>
        <v>Электроды, тип Э-42, 46, 50, диаметр 4 - 6 мм</v>
      </c>
      <c r="H21" t="str">
        <f>SmtRes!O20</f>
        <v>т</v>
      </c>
      <c r="I21">
        <f>SmtRes!Y20*Source!I34</f>
        <v>3.5999999999999999E-3</v>
      </c>
      <c r="J21">
        <f>SmtRes!AO20</f>
        <v>1</v>
      </c>
      <c r="K21">
        <f>SmtRes!AE20</f>
        <v>110781.14</v>
      </c>
      <c r="L21">
        <f>SmtRes!DB20</f>
        <v>17724.98</v>
      </c>
      <c r="M21">
        <f>ROUND(ROUND(L21*Source!I34, 6)*1, 2)</f>
        <v>398.81</v>
      </c>
      <c r="N21">
        <f>SmtRes!AA20</f>
        <v>110781.14</v>
      </c>
      <c r="O21">
        <f>ROUND(ROUND(L21*Source!I34, 6)*SmtRes!DA20, 2)</f>
        <v>398.81</v>
      </c>
      <c r="P21">
        <f>SmtRes!AG20</f>
        <v>0</v>
      </c>
      <c r="Q21">
        <f>SmtRes!DC20</f>
        <v>0</v>
      </c>
      <c r="R21">
        <f>ROUND(ROUND(Q21*Source!I34, 6)*1, 2)</f>
        <v>0</v>
      </c>
      <c r="S21">
        <f>SmtRes!AC20</f>
        <v>0</v>
      </c>
      <c r="T21">
        <f>ROUND(ROUND(Q21*Source!I34, 6)*SmtRes!AK20, 2)</f>
        <v>0</v>
      </c>
      <c r="U21">
        <f>SmtRes!X20</f>
        <v>-672771621</v>
      </c>
      <c r="V21">
        <v>-1526606762</v>
      </c>
      <c r="W21">
        <v>-1526606762</v>
      </c>
    </row>
    <row r="22" spans="1:23" x14ac:dyDescent="0.2">
      <c r="A22">
        <f>Source!A34</f>
        <v>17</v>
      </c>
      <c r="C22">
        <v>3</v>
      </c>
      <c r="D22">
        <v>0</v>
      </c>
      <c r="E22">
        <f>SmtRes!AV19</f>
        <v>0</v>
      </c>
      <c r="F22" t="str">
        <f>SmtRes!I19</f>
        <v>21.1-20-17</v>
      </c>
      <c r="G22" t="str">
        <f>SmtRes!K19</f>
        <v>Мешковина</v>
      </c>
      <c r="H22" t="str">
        <f>SmtRes!O19</f>
        <v>м2</v>
      </c>
      <c r="I22">
        <f>SmtRes!Y19*Source!I34</f>
        <v>0.67499999999999993</v>
      </c>
      <c r="J22">
        <f>SmtRes!AO19</f>
        <v>1</v>
      </c>
      <c r="K22">
        <f>SmtRes!AE19</f>
        <v>91.89</v>
      </c>
      <c r="L22">
        <f>SmtRes!DB19</f>
        <v>2756.7</v>
      </c>
      <c r="M22">
        <f>ROUND(ROUND(L22*Source!I34, 6)*1, 2)</f>
        <v>62.03</v>
      </c>
      <c r="N22">
        <f>SmtRes!AA19</f>
        <v>91.89</v>
      </c>
      <c r="O22">
        <f>ROUND(ROUND(L22*Source!I34, 6)*SmtRes!DA19, 2)</f>
        <v>62.03</v>
      </c>
      <c r="P22">
        <f>SmtRes!AG19</f>
        <v>0</v>
      </c>
      <c r="Q22">
        <f>SmtRes!DC19</f>
        <v>0</v>
      </c>
      <c r="R22">
        <f>ROUND(ROUND(Q22*Source!I34, 6)*1, 2)</f>
        <v>0</v>
      </c>
      <c r="S22">
        <f>SmtRes!AC19</f>
        <v>0</v>
      </c>
      <c r="T22">
        <f>ROUND(ROUND(Q22*Source!I34, 6)*SmtRes!AK19, 2)</f>
        <v>0</v>
      </c>
      <c r="U22">
        <f>SmtRes!X19</f>
        <v>-2047649341</v>
      </c>
      <c r="V22">
        <v>-1336012766</v>
      </c>
      <c r="W22">
        <v>-1336012766</v>
      </c>
    </row>
    <row r="23" spans="1:23" x14ac:dyDescent="0.2">
      <c r="A23">
        <f>Source!A34</f>
        <v>17</v>
      </c>
      <c r="C23">
        <v>3</v>
      </c>
      <c r="D23">
        <v>0</v>
      </c>
      <c r="E23">
        <f>SmtRes!AV18</f>
        <v>0</v>
      </c>
      <c r="F23" t="str">
        <f>SmtRes!I18</f>
        <v>21.1-11-46</v>
      </c>
      <c r="G23" t="str">
        <f>SmtRes!K18</f>
        <v>Гвозди строительные</v>
      </c>
      <c r="H23" t="str">
        <f>SmtRes!O18</f>
        <v>т</v>
      </c>
      <c r="I23">
        <f>SmtRes!Y18*Source!I34</f>
        <v>4.4999999999999996E-5</v>
      </c>
      <c r="J23">
        <f>SmtRes!AO18</f>
        <v>1</v>
      </c>
      <c r="K23">
        <f>SmtRes!AE18</f>
        <v>49736.04</v>
      </c>
      <c r="L23">
        <f>SmtRes!DB18</f>
        <v>99.47</v>
      </c>
      <c r="M23">
        <f>ROUND(ROUND(L23*Source!I34, 6)*1, 2)</f>
        <v>2.2400000000000002</v>
      </c>
      <c r="N23">
        <f>SmtRes!AA18</f>
        <v>49736.04</v>
      </c>
      <c r="O23">
        <f>ROUND(ROUND(L23*Source!I34, 6)*SmtRes!DA18, 2)</f>
        <v>2.2400000000000002</v>
      </c>
      <c r="P23">
        <f>SmtRes!AG18</f>
        <v>0</v>
      </c>
      <c r="Q23">
        <f>SmtRes!DC18</f>
        <v>0</v>
      </c>
      <c r="R23">
        <f>ROUND(ROUND(Q23*Source!I34, 6)*1, 2)</f>
        <v>0</v>
      </c>
      <c r="S23">
        <f>SmtRes!AC18</f>
        <v>0</v>
      </c>
      <c r="T23">
        <f>ROUND(ROUND(Q23*Source!I34, 6)*SmtRes!AK18, 2)</f>
        <v>0</v>
      </c>
      <c r="U23">
        <f>SmtRes!X18</f>
        <v>1959613851</v>
      </c>
      <c r="V23">
        <v>-547263076</v>
      </c>
      <c r="W23">
        <v>-547263076</v>
      </c>
    </row>
    <row r="24" spans="1:23" x14ac:dyDescent="0.2">
      <c r="A24">
        <f>Source!A34</f>
        <v>17</v>
      </c>
      <c r="C24">
        <v>2</v>
      </c>
      <c r="D24">
        <v>0</v>
      </c>
      <c r="E24">
        <f>SmtRes!AV17</f>
        <v>0</v>
      </c>
      <c r="F24" t="str">
        <f>SmtRes!I17</f>
        <v>22.1-6-52</v>
      </c>
      <c r="G24" t="str">
        <f>SmtRes!K17</f>
        <v>Вибраторы глубинные</v>
      </c>
      <c r="H24" t="str">
        <f>SmtRes!O17</f>
        <v>маш.-ч</v>
      </c>
      <c r="I24">
        <f>SmtRes!Y17*Source!I34</f>
        <v>0.25312499999999999</v>
      </c>
      <c r="J24">
        <f>SmtRes!AO17</f>
        <v>1</v>
      </c>
      <c r="K24">
        <f>SmtRes!AF17</f>
        <v>10.82</v>
      </c>
      <c r="L24">
        <f>SmtRes!DB17</f>
        <v>121.73</v>
      </c>
      <c r="M24">
        <f>ROUND(ROUND(L24*Source!I34, 6)*1, 2)</f>
        <v>2.74</v>
      </c>
      <c r="N24">
        <f>SmtRes!AB17</f>
        <v>10.82</v>
      </c>
      <c r="O24">
        <f>ROUND(ROUND(L24*Source!I34, 6)*SmtRes!DA17, 2)</f>
        <v>2.74</v>
      </c>
      <c r="P24">
        <f>SmtRes!AG17</f>
        <v>2.97</v>
      </c>
      <c r="Q24">
        <f>SmtRes!DC17</f>
        <v>33.409999999999997</v>
      </c>
      <c r="R24">
        <f>ROUND(ROUND(Q24*Source!I34, 6)*1, 2)</f>
        <v>0.75</v>
      </c>
      <c r="S24">
        <f>SmtRes!AC17</f>
        <v>2.97</v>
      </c>
      <c r="T24">
        <f>ROUND(ROUND(Q24*Source!I34, 6)*SmtRes!AK17, 2)</f>
        <v>0.75</v>
      </c>
      <c r="U24">
        <f>SmtRes!X17</f>
        <v>1349119844</v>
      </c>
      <c r="V24">
        <v>-1115091794</v>
      </c>
      <c r="W24">
        <v>-1115091794</v>
      </c>
    </row>
    <row r="25" spans="1:23" x14ac:dyDescent="0.2">
      <c r="A25">
        <f>Source!A34</f>
        <v>17</v>
      </c>
      <c r="C25">
        <v>2</v>
      </c>
      <c r="D25">
        <v>0</v>
      </c>
      <c r="E25">
        <f>SmtRes!AV16</f>
        <v>0</v>
      </c>
      <c r="F25" t="str">
        <f>SmtRes!I16</f>
        <v>22.1-4-12</v>
      </c>
      <c r="G25" t="str">
        <f>SmtRes!K16</f>
        <v>Погрузчики на автомобильном ходу, грузоподъемность до 5 т</v>
      </c>
      <c r="H25" t="str">
        <f>SmtRes!O16</f>
        <v>маш.-ч</v>
      </c>
      <c r="I25">
        <f>SmtRes!Y16*Source!I34</f>
        <v>6.9749999999999994E-3</v>
      </c>
      <c r="J25">
        <f>SmtRes!AO16</f>
        <v>1</v>
      </c>
      <c r="K25">
        <f>SmtRes!AF16</f>
        <v>683.9</v>
      </c>
      <c r="L25">
        <f>SmtRes!DB16</f>
        <v>212.01</v>
      </c>
      <c r="M25">
        <f>ROUND(ROUND(L25*Source!I34, 6)*1, 2)</f>
        <v>4.7699999999999996</v>
      </c>
      <c r="N25">
        <f>SmtRes!AB16</f>
        <v>683.9</v>
      </c>
      <c r="O25">
        <f>ROUND(ROUND(L25*Source!I34, 6)*SmtRes!DA16, 2)</f>
        <v>4.7699999999999996</v>
      </c>
      <c r="P25">
        <f>SmtRes!AG16</f>
        <v>371.27</v>
      </c>
      <c r="Q25">
        <f>SmtRes!DC16</f>
        <v>115.09</v>
      </c>
      <c r="R25">
        <f>ROUND(ROUND(Q25*Source!I34, 6)*1, 2)</f>
        <v>2.59</v>
      </c>
      <c r="S25">
        <f>SmtRes!AC16</f>
        <v>371.27</v>
      </c>
      <c r="T25">
        <f>ROUND(ROUND(Q25*Source!I34, 6)*SmtRes!AK16, 2)</f>
        <v>2.59</v>
      </c>
      <c r="U25">
        <f>SmtRes!X16</f>
        <v>-1323805330</v>
      </c>
      <c r="V25">
        <v>1986574417</v>
      </c>
      <c r="W25">
        <v>1986574417</v>
      </c>
    </row>
    <row r="26" spans="1:23" x14ac:dyDescent="0.2">
      <c r="A26">
        <f>Source!A34</f>
        <v>17</v>
      </c>
      <c r="C26">
        <v>2</v>
      </c>
      <c r="D26">
        <v>0</v>
      </c>
      <c r="E26">
        <f>SmtRes!AV15</f>
        <v>0</v>
      </c>
      <c r="F26" t="str">
        <f>SmtRes!I15</f>
        <v>22.1-30-26</v>
      </c>
      <c r="G26" t="str">
        <f>SmtRes!K15</f>
        <v>Пилы ручные электрические</v>
      </c>
      <c r="H26" t="str">
        <f>SmtRes!O15</f>
        <v>маш.-ч</v>
      </c>
      <c r="I26">
        <f>SmtRes!Y15*Source!I34</f>
        <v>2.6999999999999997E-3</v>
      </c>
      <c r="J26">
        <f>SmtRes!AO15</f>
        <v>1</v>
      </c>
      <c r="K26">
        <f>SmtRes!AF15</f>
        <v>3.67</v>
      </c>
      <c r="L26">
        <f>SmtRes!DB15</f>
        <v>0.44</v>
      </c>
      <c r="M26">
        <f>ROUND(ROUND(L26*Source!I34, 6)*1, 2)</f>
        <v>0.01</v>
      </c>
      <c r="N26">
        <f>SmtRes!AB15</f>
        <v>3.67</v>
      </c>
      <c r="O26">
        <f>ROUND(ROUND(L26*Source!I34, 6)*SmtRes!DA15, 2)</f>
        <v>0.01</v>
      </c>
      <c r="P26">
        <f>SmtRes!AG15</f>
        <v>0.01</v>
      </c>
      <c r="Q26">
        <f>SmtRes!DC15</f>
        <v>0</v>
      </c>
      <c r="R26">
        <f>ROUND(ROUND(Q26*Source!I34, 6)*1, 2)</f>
        <v>0</v>
      </c>
      <c r="S26">
        <f>SmtRes!AC15</f>
        <v>0.01</v>
      </c>
      <c r="T26">
        <f>ROUND(ROUND(Q26*Source!I34, 6)*SmtRes!AK15, 2)</f>
        <v>0</v>
      </c>
      <c r="U26">
        <f>SmtRes!X15</f>
        <v>1598319406</v>
      </c>
      <c r="V26">
        <v>1181039040</v>
      </c>
      <c r="W26">
        <v>1181039040</v>
      </c>
    </row>
    <row r="27" spans="1:23" x14ac:dyDescent="0.2">
      <c r="A27">
        <f>Source!A34</f>
        <v>17</v>
      </c>
      <c r="C27">
        <v>2</v>
      </c>
      <c r="D27">
        <v>0</v>
      </c>
      <c r="E27">
        <f>SmtRes!AV14</f>
        <v>0</v>
      </c>
      <c r="F27" t="str">
        <f>SmtRes!I14</f>
        <v>22.1-13-14</v>
      </c>
      <c r="G27" t="str">
        <f>SmtRes!K14</f>
        <v>Установки для сварки ручной дуговой (постоянного тока)</v>
      </c>
      <c r="H27" t="str">
        <f>SmtRes!O14</f>
        <v>маш.-ч</v>
      </c>
      <c r="I27">
        <f>SmtRes!Y14*Source!I34</f>
        <v>3.375</v>
      </c>
      <c r="J27">
        <f>SmtRes!AO14</f>
        <v>1</v>
      </c>
      <c r="K27">
        <f>SmtRes!AF14</f>
        <v>27.21</v>
      </c>
      <c r="L27">
        <f>SmtRes!DB14</f>
        <v>4081.5</v>
      </c>
      <c r="M27">
        <f>ROUND(ROUND(L27*Source!I34, 6)*1, 2)</f>
        <v>91.83</v>
      </c>
      <c r="N27">
        <f>SmtRes!AB14</f>
        <v>27.21</v>
      </c>
      <c r="O27">
        <f>ROUND(ROUND(L27*Source!I34, 6)*SmtRes!DA14, 2)</f>
        <v>91.83</v>
      </c>
      <c r="P27">
        <f>SmtRes!AG14</f>
        <v>0.13</v>
      </c>
      <c r="Q27">
        <f>SmtRes!DC14</f>
        <v>19.5</v>
      </c>
      <c r="R27">
        <f>ROUND(ROUND(Q27*Source!I34, 6)*1, 2)</f>
        <v>0.44</v>
      </c>
      <c r="S27">
        <f>SmtRes!AC14</f>
        <v>0.13</v>
      </c>
      <c r="T27">
        <f>ROUND(ROUND(Q27*Source!I34, 6)*SmtRes!AK14, 2)</f>
        <v>0.44</v>
      </c>
      <c r="U27">
        <f>SmtRes!X14</f>
        <v>-1757825014</v>
      </c>
      <c r="V27">
        <v>-1042877116</v>
      </c>
      <c r="W27">
        <v>-1042877116</v>
      </c>
    </row>
    <row r="28" spans="1:23" x14ac:dyDescent="0.2">
      <c r="A28">
        <f>Source!A35</f>
        <v>18</v>
      </c>
      <c r="C28">
        <v>3</v>
      </c>
      <c r="D28">
        <f>Source!BI35</f>
        <v>4</v>
      </c>
      <c r="E28">
        <f>Source!FS35</f>
        <v>0</v>
      </c>
      <c r="F28" t="str">
        <f>Source!F35</f>
        <v>21.3-1-83</v>
      </c>
      <c r="G28" t="str">
        <f>Source!G35</f>
        <v>Смеси бетонные, БСГ, тяжелого бетона на гранитном щебне, фракция 5-20, класс прочности: В22,5 (М300); П3, F200, W6</v>
      </c>
      <c r="H28" t="str">
        <f>Source!H35</f>
        <v>м3</v>
      </c>
      <c r="I28">
        <f>Source!I35</f>
        <v>2.2837499999999999</v>
      </c>
      <c r="J28">
        <v>1</v>
      </c>
      <c r="K28">
        <f>Source!AC35</f>
        <v>3884.73</v>
      </c>
      <c r="M28">
        <f>ROUND(K28*I28, 2)</f>
        <v>8871.75</v>
      </c>
      <c r="N28">
        <f>Source!AC35*IF(Source!BC35&lt;&gt; 0, Source!BC35, 1)</f>
        <v>3884.73</v>
      </c>
      <c r="O28">
        <f>ROUND(N28*I28, 2)</f>
        <v>8871.75</v>
      </c>
      <c r="P28">
        <f>Source!AE35</f>
        <v>0</v>
      </c>
      <c r="R28">
        <f>ROUND(P28*I28, 2)</f>
        <v>0</v>
      </c>
      <c r="S28">
        <f>Source!AE35*IF(Source!BS35&lt;&gt; 0, Source!BS35, 1)</f>
        <v>0</v>
      </c>
      <c r="T28">
        <f>ROUND(S28*I28, 2)</f>
        <v>0</v>
      </c>
      <c r="U28">
        <f>Source!GF35</f>
        <v>-793492541</v>
      </c>
      <c r="V28">
        <v>-1648563401</v>
      </c>
      <c r="W28">
        <v>-1648563401</v>
      </c>
    </row>
    <row r="29" spans="1:23" x14ac:dyDescent="0.2">
      <c r="A29">
        <f>Source!A37</f>
        <v>17</v>
      </c>
      <c r="C29">
        <v>3</v>
      </c>
      <c r="D29">
        <v>0</v>
      </c>
      <c r="E29">
        <f>SmtRes!AV38</f>
        <v>0</v>
      </c>
      <c r="F29" t="str">
        <f>SmtRes!I38</f>
        <v>21.7-3-6</v>
      </c>
      <c r="G29" t="str">
        <f>SmtRes!K38</f>
        <v>Диск отрезной абразивный для резки по металлу, диаметр 125 мм</v>
      </c>
      <c r="H29" t="str">
        <f>SmtRes!O38</f>
        <v>шт.</v>
      </c>
      <c r="I29">
        <f>SmtRes!Y38*Source!I37</f>
        <v>1.7528000000000001</v>
      </c>
      <c r="J29">
        <f>SmtRes!AO38</f>
        <v>1</v>
      </c>
      <c r="K29">
        <f>SmtRes!AE38</f>
        <v>16.54</v>
      </c>
      <c r="L29">
        <f>SmtRes!DB38</f>
        <v>0.23</v>
      </c>
      <c r="M29">
        <f>ROUND(ROUND(L29*Source!I37, 6)*1, 2)</f>
        <v>28.8</v>
      </c>
      <c r="N29">
        <f>SmtRes!AA38</f>
        <v>16.54</v>
      </c>
      <c r="O29">
        <f>ROUND(ROUND(L29*Source!I37, 6)*SmtRes!DA38, 2)</f>
        <v>28.8</v>
      </c>
      <c r="P29">
        <f>SmtRes!AG38</f>
        <v>0</v>
      </c>
      <c r="Q29">
        <f>SmtRes!DC38</f>
        <v>0</v>
      </c>
      <c r="R29">
        <f>ROUND(ROUND(Q29*Source!I37, 6)*1, 2)</f>
        <v>0</v>
      </c>
      <c r="S29">
        <f>SmtRes!AC38</f>
        <v>0</v>
      </c>
      <c r="T29">
        <f>ROUND(ROUND(Q29*Source!I37, 6)*SmtRes!AK38, 2)</f>
        <v>0</v>
      </c>
      <c r="U29">
        <f>SmtRes!X38</f>
        <v>969740417</v>
      </c>
      <c r="V29">
        <v>1505566275</v>
      </c>
      <c r="W29">
        <v>1505566275</v>
      </c>
    </row>
    <row r="30" spans="1:23" x14ac:dyDescent="0.2">
      <c r="A30">
        <f>Source!A37</f>
        <v>17</v>
      </c>
      <c r="C30">
        <v>3</v>
      </c>
      <c r="D30">
        <v>0</v>
      </c>
      <c r="E30">
        <f>SmtRes!AV37</f>
        <v>0</v>
      </c>
      <c r="F30" t="str">
        <f>SmtRes!I37</f>
        <v>21.1-23-9</v>
      </c>
      <c r="G30" t="str">
        <f>SmtRes!K37</f>
        <v>Электроды, тип Э-42, 46, 50, диаметр 4 - 6 мм</v>
      </c>
      <c r="H30" t="str">
        <f>SmtRes!O37</f>
        <v>т</v>
      </c>
      <c r="I30">
        <f>SmtRes!Y37*Source!I37</f>
        <v>6.2600000000000003E-2</v>
      </c>
      <c r="J30">
        <f>SmtRes!AO37</f>
        <v>1</v>
      </c>
      <c r="K30">
        <f>SmtRes!AE37</f>
        <v>110781.14</v>
      </c>
      <c r="L30">
        <f>SmtRes!DB37</f>
        <v>55.39</v>
      </c>
      <c r="M30">
        <f>ROUND(ROUND(L30*Source!I37, 6)*1, 2)</f>
        <v>6934.83</v>
      </c>
      <c r="N30">
        <f>SmtRes!AA37</f>
        <v>110781.14</v>
      </c>
      <c r="O30">
        <f>ROUND(ROUND(L30*Source!I37, 6)*SmtRes!DA37, 2)</f>
        <v>6934.83</v>
      </c>
      <c r="P30">
        <f>SmtRes!AG37</f>
        <v>0</v>
      </c>
      <c r="Q30">
        <f>SmtRes!DC37</f>
        <v>0</v>
      </c>
      <c r="R30">
        <f>ROUND(ROUND(Q30*Source!I37, 6)*1, 2)</f>
        <v>0</v>
      </c>
      <c r="S30">
        <f>SmtRes!AC37</f>
        <v>0</v>
      </c>
      <c r="T30">
        <f>ROUND(ROUND(Q30*Source!I37, 6)*SmtRes!AK37, 2)</f>
        <v>0</v>
      </c>
      <c r="U30">
        <f>SmtRes!X37</f>
        <v>-672771621</v>
      </c>
      <c r="V30">
        <v>-1526606762</v>
      </c>
      <c r="W30">
        <v>-1526606762</v>
      </c>
    </row>
    <row r="31" spans="1:23" x14ac:dyDescent="0.2">
      <c r="A31">
        <f>Source!A37</f>
        <v>17</v>
      </c>
      <c r="C31">
        <v>3</v>
      </c>
      <c r="D31">
        <v>0</v>
      </c>
      <c r="E31">
        <f>SmtRes!AV33</f>
        <v>0</v>
      </c>
      <c r="F31" t="str">
        <f>SmtRes!I33</f>
        <v>21.1-10-171</v>
      </c>
      <c r="G31" t="str">
        <f>SmtRes!K33</f>
        <v>Сталь полосовая, марка Ст1кп-Ст4кп, Ст1пс-Ст6пс, Ст1Гпс-Ст5Гпс, кипящая и полуспокойная,</v>
      </c>
      <c r="H31" t="str">
        <f>SmtRes!O33</f>
        <v>т</v>
      </c>
      <c r="I31">
        <f>SmtRes!Y33*Source!I37</f>
        <v>0.12645200000000001</v>
      </c>
      <c r="J31">
        <f>SmtRes!AO33</f>
        <v>1</v>
      </c>
      <c r="K31">
        <f>SmtRes!AE33</f>
        <v>38268.54</v>
      </c>
      <c r="L31">
        <f>SmtRes!DB33</f>
        <v>38.65</v>
      </c>
      <c r="M31">
        <f>ROUND(ROUND(L31*Source!I37, 6)*1, 2)</f>
        <v>4838.9799999999996</v>
      </c>
      <c r="N31">
        <f>SmtRes!AA33</f>
        <v>38268.54</v>
      </c>
      <c r="O31">
        <f>ROUND(ROUND(L31*Source!I37, 6)*SmtRes!DA33, 2)</f>
        <v>4838.9799999999996</v>
      </c>
      <c r="P31">
        <f>SmtRes!AG33</f>
        <v>0</v>
      </c>
      <c r="Q31">
        <f>SmtRes!DC33</f>
        <v>0</v>
      </c>
      <c r="R31">
        <f>ROUND(ROUND(Q31*Source!I37, 6)*1, 2)</f>
        <v>0</v>
      </c>
      <c r="S31">
        <f>SmtRes!AC33</f>
        <v>0</v>
      </c>
      <c r="T31">
        <f>ROUND(ROUND(Q31*Source!I37, 6)*SmtRes!AK33, 2)</f>
        <v>0</v>
      </c>
      <c r="U31">
        <f>SmtRes!X33</f>
        <v>-1210277159</v>
      </c>
      <c r="V31">
        <v>-1029693808</v>
      </c>
      <c r="W31">
        <v>-1029693808</v>
      </c>
    </row>
    <row r="32" spans="1:23" x14ac:dyDescent="0.2">
      <c r="A32">
        <f>Source!A37</f>
        <v>17</v>
      </c>
      <c r="C32">
        <v>2</v>
      </c>
      <c r="D32">
        <v>0</v>
      </c>
      <c r="E32">
        <f>SmtRes!AV31</f>
        <v>0</v>
      </c>
      <c r="F32" t="str">
        <f>SmtRes!I31</f>
        <v>22.1-30-43</v>
      </c>
      <c r="G32" t="str">
        <f>SmtRes!K31</f>
        <v>Станки трубоотрезные</v>
      </c>
      <c r="H32" t="str">
        <f>SmtRes!O31</f>
        <v>маш.-ч</v>
      </c>
      <c r="I32">
        <f>SmtRes!Y31*Source!I37</f>
        <v>63.1008</v>
      </c>
      <c r="J32">
        <f>SmtRes!AO31</f>
        <v>1</v>
      </c>
      <c r="K32">
        <f>SmtRes!AF31</f>
        <v>652.16</v>
      </c>
      <c r="L32">
        <f>SmtRes!DB31</f>
        <v>328.69</v>
      </c>
      <c r="M32">
        <f>ROUND(ROUND(L32*Source!I37, 6)*1, 2)</f>
        <v>41151.99</v>
      </c>
      <c r="N32">
        <f>SmtRes!AB31</f>
        <v>652.16</v>
      </c>
      <c r="O32">
        <f>ROUND(ROUND(L32*Source!I37, 6)*SmtRes!DA31, 2)</f>
        <v>41151.99</v>
      </c>
      <c r="P32">
        <f>SmtRes!AG31</f>
        <v>581.9</v>
      </c>
      <c r="Q32">
        <f>SmtRes!DC31</f>
        <v>293.27999999999997</v>
      </c>
      <c r="R32">
        <f>ROUND(ROUND(Q32*Source!I37, 6)*1, 2)</f>
        <v>36718.660000000003</v>
      </c>
      <c r="S32">
        <f>SmtRes!AC31</f>
        <v>581.9</v>
      </c>
      <c r="T32">
        <f>ROUND(ROUND(Q32*Source!I37, 6)*SmtRes!AK31, 2)</f>
        <v>36718.660000000003</v>
      </c>
      <c r="U32">
        <f>SmtRes!X31</f>
        <v>676633484</v>
      </c>
      <c r="V32">
        <v>-1881072116</v>
      </c>
      <c r="W32">
        <v>-1881072116</v>
      </c>
    </row>
    <row r="33" spans="1:23" x14ac:dyDescent="0.2">
      <c r="A33">
        <f>Source!A37</f>
        <v>17</v>
      </c>
      <c r="C33">
        <v>2</v>
      </c>
      <c r="D33">
        <v>0</v>
      </c>
      <c r="E33">
        <f>SmtRes!AV30</f>
        <v>0</v>
      </c>
      <c r="F33" t="str">
        <f>SmtRes!I30</f>
        <v>22.1-30-19</v>
      </c>
      <c r="G33" t="str">
        <f>SmtRes!K30</f>
        <v>Машины шлифовальные электрические</v>
      </c>
      <c r="H33" t="str">
        <f>SmtRes!O30</f>
        <v>маш.-ч</v>
      </c>
      <c r="I33">
        <f>SmtRes!Y30*Source!I37</f>
        <v>14.398000000000001</v>
      </c>
      <c r="J33">
        <f>SmtRes!AO30</f>
        <v>1</v>
      </c>
      <c r="K33">
        <f>SmtRes!AF30</f>
        <v>5.94</v>
      </c>
      <c r="L33">
        <f>SmtRes!DB30</f>
        <v>0.68</v>
      </c>
      <c r="M33">
        <f>ROUND(ROUND(L33*Source!I37, 6)*1, 2)</f>
        <v>85.14</v>
      </c>
      <c r="N33">
        <f>SmtRes!AB30</f>
        <v>5.94</v>
      </c>
      <c r="O33">
        <f>ROUND(ROUND(L33*Source!I37, 6)*SmtRes!DA30, 2)</f>
        <v>85.14</v>
      </c>
      <c r="P33">
        <f>SmtRes!AG30</f>
        <v>0.02</v>
      </c>
      <c r="Q33">
        <f>SmtRes!DC30</f>
        <v>0</v>
      </c>
      <c r="R33">
        <f>ROUND(ROUND(Q33*Source!I37, 6)*1, 2)</f>
        <v>0</v>
      </c>
      <c r="S33">
        <f>SmtRes!AC30</f>
        <v>0.02</v>
      </c>
      <c r="T33">
        <f>ROUND(ROUND(Q33*Source!I37, 6)*SmtRes!AK30, 2)</f>
        <v>0</v>
      </c>
      <c r="U33">
        <f>SmtRes!X30</f>
        <v>-764600179</v>
      </c>
      <c r="V33">
        <v>892192163</v>
      </c>
      <c r="W33">
        <v>892192163</v>
      </c>
    </row>
    <row r="34" spans="1:23" x14ac:dyDescent="0.2">
      <c r="A34">
        <f>Source!A37</f>
        <v>17</v>
      </c>
      <c r="C34">
        <v>2</v>
      </c>
      <c r="D34">
        <v>0</v>
      </c>
      <c r="E34">
        <f>SmtRes!AV29</f>
        <v>0</v>
      </c>
      <c r="F34" t="str">
        <f>SmtRes!I29</f>
        <v>22.1-13-15</v>
      </c>
      <c r="G34" t="str">
        <f>SmtRes!K29</f>
        <v>Аппараты сварочные</v>
      </c>
      <c r="H34" t="str">
        <f>SmtRes!O29</f>
        <v>маш.-ч</v>
      </c>
      <c r="I34">
        <f>SmtRes!Y29*Source!I37</f>
        <v>48.076799999999999</v>
      </c>
      <c r="J34">
        <f>SmtRes!AO29</f>
        <v>1</v>
      </c>
      <c r="K34">
        <f>SmtRes!AF29</f>
        <v>351.29</v>
      </c>
      <c r="L34">
        <f>SmtRes!DB29</f>
        <v>134.9</v>
      </c>
      <c r="M34">
        <f>ROUND(ROUND(L34*Source!I37, 6)*1, 2)</f>
        <v>16889.48</v>
      </c>
      <c r="N34">
        <f>SmtRes!AB29</f>
        <v>351.29</v>
      </c>
      <c r="O34">
        <f>ROUND(ROUND(L34*Source!I37, 6)*SmtRes!DA29, 2)</f>
        <v>16889.48</v>
      </c>
      <c r="P34">
        <f>SmtRes!AG29</f>
        <v>7.02</v>
      </c>
      <c r="Q34">
        <f>SmtRes!DC29</f>
        <v>2.7</v>
      </c>
      <c r="R34">
        <f>ROUND(ROUND(Q34*Source!I37, 6)*1, 2)</f>
        <v>338.04</v>
      </c>
      <c r="S34">
        <f>SmtRes!AC29</f>
        <v>7.02</v>
      </c>
      <c r="T34">
        <f>ROUND(ROUND(Q34*Source!I37, 6)*SmtRes!AK29, 2)</f>
        <v>338.04</v>
      </c>
      <c r="U34">
        <f>SmtRes!X29</f>
        <v>-711828296</v>
      </c>
      <c r="V34">
        <v>-2029004941</v>
      </c>
      <c r="W34">
        <v>-2029004941</v>
      </c>
    </row>
    <row r="35" spans="1:23" x14ac:dyDescent="0.2">
      <c r="A35">
        <f>Source!A38</f>
        <v>18</v>
      </c>
      <c r="C35">
        <v>3</v>
      </c>
      <c r="D35">
        <f>Source!BI38</f>
        <v>4</v>
      </c>
      <c r="E35">
        <f>Source!FS38</f>
        <v>0</v>
      </c>
      <c r="F35" t="str">
        <f>Source!F38</f>
        <v>21.1-10-47</v>
      </c>
      <c r="G35" t="str">
        <f>Source!G38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H35" t="str">
        <f>Source!H38</f>
        <v>т</v>
      </c>
      <c r="I35">
        <f>Source!I38</f>
        <v>0.69974999999999998</v>
      </c>
      <c r="J35">
        <v>1</v>
      </c>
      <c r="K35">
        <f>Source!AC38</f>
        <v>37329.29</v>
      </c>
      <c r="M35">
        <f>ROUND(K35*I35, 2)</f>
        <v>26121.17</v>
      </c>
      <c r="N35">
        <f>Source!AC38*IF(Source!BC38&lt;&gt; 0, Source!BC38, 1)</f>
        <v>37329.29</v>
      </c>
      <c r="O35">
        <f>ROUND(N35*I35, 2)</f>
        <v>26121.17</v>
      </c>
      <c r="P35">
        <f>Source!AE38</f>
        <v>0</v>
      </c>
      <c r="R35">
        <f>ROUND(P35*I35, 2)</f>
        <v>0</v>
      </c>
      <c r="S35">
        <f>Source!AE38*IF(Source!BS38&lt;&gt; 0, Source!BS38, 1)</f>
        <v>0</v>
      </c>
      <c r="T35">
        <f>ROUND(S35*I35, 2)</f>
        <v>0</v>
      </c>
      <c r="U35">
        <f>Source!GF38</f>
        <v>1662963478</v>
      </c>
      <c r="V35">
        <v>1513119136</v>
      </c>
      <c r="W35">
        <v>1513119136</v>
      </c>
    </row>
    <row r="36" spans="1:23" x14ac:dyDescent="0.2">
      <c r="A36">
        <f>Source!A39</f>
        <v>18</v>
      </c>
      <c r="C36">
        <v>3</v>
      </c>
      <c r="D36">
        <f>Source!BI39</f>
        <v>4</v>
      </c>
      <c r="E36">
        <f>Source!FS39</f>
        <v>0</v>
      </c>
      <c r="F36" t="str">
        <f>Source!F39</f>
        <v>21.1-10-111</v>
      </c>
      <c r="G36" t="str">
        <f>Source!G39</f>
        <v>Профили стальные электросварные прямоугольного сечения трубчатые, размер 40х60 мм, толщина стенки 3,0 мм (расход 4,30 кг/м.п., L=211,6 м.п.)</v>
      </c>
      <c r="H36" t="str">
        <f>Source!H39</f>
        <v>т</v>
      </c>
      <c r="I36">
        <f>Source!I39</f>
        <v>0.90988000000000002</v>
      </c>
      <c r="J36">
        <v>1</v>
      </c>
      <c r="K36">
        <f>Source!AC39</f>
        <v>32819.879999999997</v>
      </c>
      <c r="M36">
        <f>ROUND(K36*I36, 2)</f>
        <v>29862.15</v>
      </c>
      <c r="N36">
        <f>Source!AC39*IF(Source!BC39&lt;&gt; 0, Source!BC39, 1)</f>
        <v>32819.879999999997</v>
      </c>
      <c r="O36">
        <f>ROUND(N36*I36, 2)</f>
        <v>29862.15</v>
      </c>
      <c r="P36">
        <f>Source!AE39</f>
        <v>0</v>
      </c>
      <c r="R36">
        <f>ROUND(P36*I36, 2)</f>
        <v>0</v>
      </c>
      <c r="S36">
        <f>Source!AE39*IF(Source!BS39&lt;&gt; 0, Source!BS39, 1)</f>
        <v>0</v>
      </c>
      <c r="T36">
        <f>ROUND(S36*I36, 2)</f>
        <v>0</v>
      </c>
      <c r="U36">
        <f>Source!GF39</f>
        <v>1459204131</v>
      </c>
      <c r="V36">
        <v>-552169090</v>
      </c>
      <c r="W36">
        <v>-552169090</v>
      </c>
    </row>
    <row r="37" spans="1:23" x14ac:dyDescent="0.2">
      <c r="A37">
        <f>Source!A40</f>
        <v>18</v>
      </c>
      <c r="C37">
        <v>3</v>
      </c>
      <c r="D37">
        <f>Source!BI40</f>
        <v>4</v>
      </c>
      <c r="E37">
        <f>Source!FS40</f>
        <v>0</v>
      </c>
      <c r="F37" t="str">
        <f>Source!F40</f>
        <v>21.1-10-34</v>
      </c>
      <c r="G37" t="str">
        <f>Source!G40</f>
        <v>Профили стальные электросварные квадратного сечения трубчатые, размер стороны 20 мм, толщина стенки 2 мм (расход 1,075 кг/м.п., L=1908,0 м.п.)</v>
      </c>
      <c r="H37" t="str">
        <f>Source!H40</f>
        <v>т</v>
      </c>
      <c r="I37">
        <f>Source!I40</f>
        <v>2.0510999999999999</v>
      </c>
      <c r="J37">
        <v>1</v>
      </c>
      <c r="K37">
        <f>Source!AC40</f>
        <v>40597.550000000003</v>
      </c>
      <c r="M37">
        <f>ROUND(K37*I37, 2)</f>
        <v>83269.63</v>
      </c>
      <c r="N37">
        <f>Source!AC40*IF(Source!BC40&lt;&gt; 0, Source!BC40, 1)</f>
        <v>40597.550000000003</v>
      </c>
      <c r="O37">
        <f>ROUND(N37*I37, 2)</f>
        <v>83269.63</v>
      </c>
      <c r="P37">
        <f>Source!AE40</f>
        <v>0</v>
      </c>
      <c r="R37">
        <f>ROUND(P37*I37, 2)</f>
        <v>0</v>
      </c>
      <c r="S37">
        <f>Source!AE40*IF(Source!BS40&lt;&gt; 0, Source!BS40, 1)</f>
        <v>0</v>
      </c>
      <c r="T37">
        <f>ROUND(S37*I37, 2)</f>
        <v>0</v>
      </c>
      <c r="U37">
        <f>Source!GF40</f>
        <v>-1203325895</v>
      </c>
      <c r="V37">
        <v>-916469736</v>
      </c>
      <c r="W37">
        <v>-916469736</v>
      </c>
    </row>
    <row r="38" spans="1:23" x14ac:dyDescent="0.2">
      <c r="A38">
        <f>Source!A41</f>
        <v>18</v>
      </c>
      <c r="C38">
        <v>3</v>
      </c>
      <c r="D38">
        <f>Source!BI41</f>
        <v>4</v>
      </c>
      <c r="E38">
        <f>Source!FS41</f>
        <v>0</v>
      </c>
      <c r="F38" t="str">
        <f>Source!F41</f>
        <v>Цена поставщика</v>
      </c>
      <c r="G38" t="str">
        <f>Source!G41</f>
        <v>Пластиковая заглушка для труб 80х80 мм</v>
      </c>
      <c r="H38" t="str">
        <f>Source!H41</f>
        <v>ШТ</v>
      </c>
      <c r="I38">
        <f>Source!I41</f>
        <v>25</v>
      </c>
      <c r="J38">
        <v>1</v>
      </c>
      <c r="K38">
        <f>Source!AC41</f>
        <v>37.5</v>
      </c>
      <c r="M38">
        <f>ROUND(K38*I38, 2)</f>
        <v>937.5</v>
      </c>
      <c r="N38">
        <f>Source!AC41*IF(Source!BC41&lt;&gt; 0, Source!BC41, 1)</f>
        <v>37.5</v>
      </c>
      <c r="O38">
        <f>ROUND(N38*I38, 2)</f>
        <v>937.5</v>
      </c>
      <c r="P38">
        <f>Source!AE41</f>
        <v>0</v>
      </c>
      <c r="R38">
        <f>ROUND(P38*I38, 2)</f>
        <v>0</v>
      </c>
      <c r="S38">
        <f>Source!AE41*IF(Source!BS41&lt;&gt; 0, Source!BS41, 1)</f>
        <v>0</v>
      </c>
      <c r="T38">
        <f>ROUND(S38*I38, 2)</f>
        <v>0</v>
      </c>
      <c r="U38">
        <f>Source!GF41</f>
        <v>-1591933177</v>
      </c>
      <c r="V38">
        <v>1813338865</v>
      </c>
      <c r="W38">
        <v>1813338865</v>
      </c>
    </row>
    <row r="39" spans="1:23" x14ac:dyDescent="0.2">
      <c r="A39">
        <f>Source!A42</f>
        <v>18</v>
      </c>
      <c r="C39">
        <v>3</v>
      </c>
      <c r="D39">
        <f>Source!BI42</f>
        <v>4</v>
      </c>
      <c r="E39">
        <f>Source!FS42</f>
        <v>0</v>
      </c>
      <c r="F39" t="str">
        <f>Source!F42</f>
        <v>Цена поставщика</v>
      </c>
      <c r="G39" t="str">
        <f>Source!G42</f>
        <v>Пластиковая заглушка для труб 60х40 мм</v>
      </c>
      <c r="H39" t="str">
        <f>Source!H42</f>
        <v>ШТ</v>
      </c>
      <c r="I39">
        <f>Source!I42</f>
        <v>96</v>
      </c>
      <c r="J39">
        <v>1</v>
      </c>
      <c r="K39">
        <f>Source!AC42</f>
        <v>16.53</v>
      </c>
      <c r="M39">
        <f>ROUND(K39*I39, 2)</f>
        <v>1586.88</v>
      </c>
      <c r="N39">
        <f>Source!AC42*IF(Source!BC42&lt;&gt; 0, Source!BC42, 1)</f>
        <v>16.53</v>
      </c>
      <c r="O39">
        <f>ROUND(N39*I39, 2)</f>
        <v>1586.88</v>
      </c>
      <c r="P39">
        <f>Source!AE42</f>
        <v>0</v>
      </c>
      <c r="R39">
        <f>ROUND(P39*I39, 2)</f>
        <v>0</v>
      </c>
      <c r="S39">
        <f>Source!AE42*IF(Source!BS42&lt;&gt; 0, Source!BS42, 1)</f>
        <v>0</v>
      </c>
      <c r="T39">
        <f>ROUND(S39*I39, 2)</f>
        <v>0</v>
      </c>
      <c r="U39">
        <f>Source!GF42</f>
        <v>-1949902326</v>
      </c>
      <c r="V39">
        <v>-269009906</v>
      </c>
      <c r="W39">
        <v>-269009906</v>
      </c>
    </row>
    <row r="40" spans="1:23" x14ac:dyDescent="0.2">
      <c r="A40">
        <f>Source!A44</f>
        <v>17</v>
      </c>
      <c r="C40">
        <v>3</v>
      </c>
      <c r="D40">
        <v>0</v>
      </c>
      <c r="E40">
        <f>SmtRes!AV46</f>
        <v>0</v>
      </c>
      <c r="F40" t="str">
        <f>SmtRes!I46</f>
        <v>21.1-6-12</v>
      </c>
      <c r="G40" t="str">
        <f>SmtRes!K46</f>
        <v>Грунтовка глифталевая, ГФ-021</v>
      </c>
      <c r="H40" t="str">
        <f>SmtRes!O46</f>
        <v>т</v>
      </c>
      <c r="I40">
        <f>SmtRes!Y46*Source!I44</f>
        <v>1.1267999999999999E-2</v>
      </c>
      <c r="J40">
        <f>SmtRes!AO46</f>
        <v>1</v>
      </c>
      <c r="K40">
        <f>SmtRes!AE46</f>
        <v>97017.58</v>
      </c>
      <c r="L40">
        <f>SmtRes!DB46</f>
        <v>873.16</v>
      </c>
      <c r="M40">
        <f>ROUND(ROUND(L40*Source!I44, 6)*1, 2)</f>
        <v>1093.2</v>
      </c>
      <c r="N40">
        <f>SmtRes!AA46</f>
        <v>97017.58</v>
      </c>
      <c r="O40">
        <f>ROUND(ROUND(L40*Source!I44, 6)*SmtRes!DA46, 2)</f>
        <v>1093.2</v>
      </c>
      <c r="P40">
        <f>SmtRes!AG46</f>
        <v>0</v>
      </c>
      <c r="Q40">
        <f>SmtRes!DC46</f>
        <v>0</v>
      </c>
      <c r="R40">
        <f>ROUND(ROUND(Q40*Source!I44, 6)*1, 2)</f>
        <v>0</v>
      </c>
      <c r="S40">
        <f>SmtRes!AC46</f>
        <v>0</v>
      </c>
      <c r="T40">
        <f>ROUND(ROUND(Q40*Source!I44, 6)*SmtRes!AK46, 2)</f>
        <v>0</v>
      </c>
      <c r="U40">
        <f>SmtRes!X46</f>
        <v>-383061258</v>
      </c>
      <c r="V40">
        <v>-804279578</v>
      </c>
      <c r="W40">
        <v>-804279578</v>
      </c>
    </row>
    <row r="41" spans="1:23" x14ac:dyDescent="0.2">
      <c r="A41">
        <f>Source!A44</f>
        <v>17</v>
      </c>
      <c r="C41">
        <v>3</v>
      </c>
      <c r="D41">
        <v>0</v>
      </c>
      <c r="E41">
        <f>SmtRes!AV45</f>
        <v>0</v>
      </c>
      <c r="F41" t="str">
        <f>SmtRes!I45</f>
        <v>21.1-16-57</v>
      </c>
      <c r="G41" t="str">
        <f>SmtRes!K45</f>
        <v>Ксилол нефтяной, марка А</v>
      </c>
      <c r="H41" t="str">
        <f>SmtRes!O45</f>
        <v>кг</v>
      </c>
      <c r="I41">
        <f>SmtRes!Y45*Source!I44</f>
        <v>1.8780000000000001</v>
      </c>
      <c r="J41">
        <f>SmtRes!AO45</f>
        <v>1</v>
      </c>
      <c r="K41">
        <f>SmtRes!AE45</f>
        <v>99.303030000000007</v>
      </c>
      <c r="L41">
        <f>SmtRes!DB45</f>
        <v>148.94999999999999</v>
      </c>
      <c r="M41">
        <f>ROUND(ROUND(L41*Source!I44, 6)*1, 2)</f>
        <v>186.49</v>
      </c>
      <c r="N41">
        <f>SmtRes!AA45</f>
        <v>99.3</v>
      </c>
      <c r="O41">
        <f>ROUND(ROUND(L41*Source!I44, 6)*SmtRes!DA45, 2)</f>
        <v>186.49</v>
      </c>
      <c r="P41">
        <f>SmtRes!AG45</f>
        <v>0</v>
      </c>
      <c r="Q41">
        <f>SmtRes!DC45</f>
        <v>0</v>
      </c>
      <c r="R41">
        <f>ROUND(ROUND(Q41*Source!I44, 6)*1, 2)</f>
        <v>0</v>
      </c>
      <c r="S41">
        <f>SmtRes!AC45</f>
        <v>0</v>
      </c>
      <c r="T41">
        <f>ROUND(ROUND(Q41*Source!I44, 6)*SmtRes!AK45, 2)</f>
        <v>0</v>
      </c>
      <c r="U41">
        <f>SmtRes!X45</f>
        <v>-126270252</v>
      </c>
      <c r="V41">
        <v>-1857108032</v>
      </c>
      <c r="W41">
        <v>2042275005</v>
      </c>
    </row>
    <row r="42" spans="1:23" x14ac:dyDescent="0.2">
      <c r="A42">
        <f>Source!A44</f>
        <v>17</v>
      </c>
      <c r="C42">
        <v>2</v>
      </c>
      <c r="D42">
        <v>0</v>
      </c>
      <c r="E42">
        <f>SmtRes!AV44</f>
        <v>0</v>
      </c>
      <c r="F42" t="str">
        <f>SmtRes!I44</f>
        <v>22.1-4-30</v>
      </c>
      <c r="G42" t="str">
        <f>SmtRes!K44</f>
        <v>Лебедки электрические, грузоподъемность до 0,5 т</v>
      </c>
      <c r="H42" t="str">
        <f>SmtRes!O44</f>
        <v>маш.-ч</v>
      </c>
      <c r="I42">
        <f>SmtRes!Y44*Source!I44</f>
        <v>1.252E-2</v>
      </c>
      <c r="J42">
        <f>SmtRes!AO44</f>
        <v>1</v>
      </c>
      <c r="K42">
        <f>SmtRes!AF44</f>
        <v>16.920000000000002</v>
      </c>
      <c r="L42">
        <f>SmtRes!DB44</f>
        <v>0.17</v>
      </c>
      <c r="M42">
        <f>ROUND(ROUND(L42*Source!I44, 6)*1, 2)</f>
        <v>0.21</v>
      </c>
      <c r="N42">
        <f>SmtRes!AB44</f>
        <v>16.920000000000002</v>
      </c>
      <c r="O42">
        <f>ROUND(ROUND(L42*Source!I44, 6)*SmtRes!DA44, 2)</f>
        <v>0.21</v>
      </c>
      <c r="P42">
        <f>SmtRes!AG44</f>
        <v>0.09</v>
      </c>
      <c r="Q42">
        <f>SmtRes!DC44</f>
        <v>0</v>
      </c>
      <c r="R42">
        <f>ROUND(ROUND(Q42*Source!I44, 6)*1, 2)</f>
        <v>0</v>
      </c>
      <c r="S42">
        <f>SmtRes!AC44</f>
        <v>0.09</v>
      </c>
      <c r="T42">
        <f>ROUND(ROUND(Q42*Source!I44, 6)*SmtRes!AK44, 2)</f>
        <v>0</v>
      </c>
      <c r="U42">
        <f>SmtRes!X44</f>
        <v>-54802859</v>
      </c>
      <c r="V42">
        <v>949162316</v>
      </c>
      <c r="W42">
        <v>949162316</v>
      </c>
    </row>
    <row r="43" spans="1:23" x14ac:dyDescent="0.2">
      <c r="A43">
        <f>Source!A44</f>
        <v>17</v>
      </c>
      <c r="C43">
        <v>2</v>
      </c>
      <c r="D43">
        <v>0</v>
      </c>
      <c r="E43">
        <f>SmtRes!AV43</f>
        <v>0</v>
      </c>
      <c r="F43" t="str">
        <f>SmtRes!I43</f>
        <v>22.1-4-12</v>
      </c>
      <c r="G43" t="str">
        <f>SmtRes!K43</f>
        <v>Погрузчики на автомобильном ходу, грузоподъемность до 5 т</v>
      </c>
      <c r="H43" t="str">
        <f>SmtRes!O43</f>
        <v>маш.-ч</v>
      </c>
      <c r="I43">
        <f>SmtRes!Y43*Source!I44</f>
        <v>1.252E-2</v>
      </c>
      <c r="J43">
        <f>SmtRes!AO43</f>
        <v>1</v>
      </c>
      <c r="K43">
        <f>SmtRes!AF43</f>
        <v>683.9</v>
      </c>
      <c r="L43">
        <f>SmtRes!DB43</f>
        <v>6.84</v>
      </c>
      <c r="M43">
        <f>ROUND(ROUND(L43*Source!I44, 6)*1, 2)</f>
        <v>8.56</v>
      </c>
      <c r="N43">
        <f>SmtRes!AB43</f>
        <v>683.9</v>
      </c>
      <c r="O43">
        <f>ROUND(ROUND(L43*Source!I44, 6)*SmtRes!DA43, 2)</f>
        <v>8.56</v>
      </c>
      <c r="P43">
        <f>SmtRes!AG43</f>
        <v>371.27</v>
      </c>
      <c r="Q43">
        <f>SmtRes!DC43</f>
        <v>3.71</v>
      </c>
      <c r="R43">
        <f>ROUND(ROUND(Q43*Source!I44, 6)*1, 2)</f>
        <v>4.6399999999999997</v>
      </c>
      <c r="S43">
        <f>SmtRes!AC43</f>
        <v>371.27</v>
      </c>
      <c r="T43">
        <f>ROUND(ROUND(Q43*Source!I44, 6)*SmtRes!AK43, 2)</f>
        <v>4.6399999999999997</v>
      </c>
      <c r="U43">
        <f>SmtRes!X43</f>
        <v>-1323805330</v>
      </c>
      <c r="V43">
        <v>1986574417</v>
      </c>
      <c r="W43">
        <v>1986574417</v>
      </c>
    </row>
    <row r="44" spans="1:23" x14ac:dyDescent="0.2">
      <c r="A44">
        <f>Source!A44</f>
        <v>17</v>
      </c>
      <c r="C44">
        <v>2</v>
      </c>
      <c r="D44">
        <v>0</v>
      </c>
      <c r="E44">
        <f>SmtRes!AV42</f>
        <v>0</v>
      </c>
      <c r="F44" t="str">
        <f>SmtRes!I42</f>
        <v>22.1-10-12</v>
      </c>
      <c r="G44" t="str">
        <f>SmtRes!K42</f>
        <v>Электрокомпрессоры прицепные, производительность до 3,5 м3/мин</v>
      </c>
      <c r="H44" t="str">
        <f>SmtRes!O42</f>
        <v>маш.-ч</v>
      </c>
      <c r="I44">
        <f>SmtRes!Y42*Source!I44</f>
        <v>1.7527999999999999</v>
      </c>
      <c r="J44">
        <f>SmtRes!AO42</f>
        <v>1</v>
      </c>
      <c r="K44">
        <f>SmtRes!AF42</f>
        <v>98.05</v>
      </c>
      <c r="L44">
        <f>SmtRes!DB42</f>
        <v>137.27000000000001</v>
      </c>
      <c r="M44">
        <f>ROUND(ROUND(L44*Source!I44, 6)*1, 2)</f>
        <v>171.86</v>
      </c>
      <c r="N44">
        <f>SmtRes!AB42</f>
        <v>98.05</v>
      </c>
      <c r="O44">
        <f>ROUND(ROUND(L44*Source!I44, 6)*SmtRes!DA42, 2)</f>
        <v>171.86</v>
      </c>
      <c r="P44">
        <f>SmtRes!AG42</f>
        <v>33.06</v>
      </c>
      <c r="Q44">
        <f>SmtRes!DC42</f>
        <v>46.28</v>
      </c>
      <c r="R44">
        <f>ROUND(ROUND(Q44*Source!I44, 6)*1, 2)</f>
        <v>57.94</v>
      </c>
      <c r="S44">
        <f>SmtRes!AC42</f>
        <v>33.06</v>
      </c>
      <c r="T44">
        <f>ROUND(ROUND(Q44*Source!I44, 6)*SmtRes!AK42, 2)</f>
        <v>57.94</v>
      </c>
      <c r="U44">
        <f>SmtRes!X42</f>
        <v>-2137968664</v>
      </c>
      <c r="V44">
        <v>-262383052</v>
      </c>
      <c r="W44">
        <v>-262383052</v>
      </c>
    </row>
    <row r="45" spans="1:23" x14ac:dyDescent="0.2">
      <c r="A45">
        <f>Source!A45</f>
        <v>17</v>
      </c>
      <c r="C45">
        <v>3</v>
      </c>
      <c r="D45">
        <v>0</v>
      </c>
      <c r="E45">
        <f>SmtRes!AV50</f>
        <v>0</v>
      </c>
      <c r="F45" t="str">
        <f>SmtRes!I50</f>
        <v>21.1-6-139</v>
      </c>
      <c r="G45" t="str">
        <f>SmtRes!K50</f>
        <v>Эмаль, марка ПФ-115 (цветная), пентафталевая</v>
      </c>
      <c r="H45" t="str">
        <f>SmtRes!O50</f>
        <v>кг</v>
      </c>
      <c r="I45">
        <f>SmtRes!Y50*Source!I45</f>
        <v>11.268000000000001</v>
      </c>
      <c r="J45">
        <f>SmtRes!AO50</f>
        <v>1</v>
      </c>
      <c r="K45">
        <f>SmtRes!AE50</f>
        <v>105.32</v>
      </c>
      <c r="L45">
        <f>SmtRes!DB50</f>
        <v>947.88</v>
      </c>
      <c r="M45">
        <f>ROUND(ROUND(L45*Source!I45, 6)*1, 2)</f>
        <v>1186.75</v>
      </c>
      <c r="N45">
        <f>SmtRes!AA50</f>
        <v>105.32</v>
      </c>
      <c r="O45">
        <f>ROUND(ROUND(L45*Source!I45, 6)*SmtRes!DA50, 2)</f>
        <v>1186.75</v>
      </c>
      <c r="P45">
        <f>SmtRes!AG50</f>
        <v>0</v>
      </c>
      <c r="Q45">
        <f>SmtRes!DC50</f>
        <v>0</v>
      </c>
      <c r="R45">
        <f>ROUND(ROUND(Q45*Source!I45, 6)*1, 2)</f>
        <v>0</v>
      </c>
      <c r="S45">
        <f>SmtRes!AC50</f>
        <v>0</v>
      </c>
      <c r="T45">
        <f>ROUND(ROUND(Q45*Source!I45, 6)*SmtRes!AK50, 2)</f>
        <v>0</v>
      </c>
      <c r="U45">
        <f>SmtRes!X50</f>
        <v>-1364504988</v>
      </c>
      <c r="V45">
        <v>566368814</v>
      </c>
      <c r="W45">
        <v>566368814</v>
      </c>
    </row>
    <row r="46" spans="1:23" x14ac:dyDescent="0.2">
      <c r="A46">
        <f>Source!A45</f>
        <v>17</v>
      </c>
      <c r="C46">
        <v>3</v>
      </c>
      <c r="D46">
        <v>0</v>
      </c>
      <c r="E46">
        <f>SmtRes!AV49</f>
        <v>0</v>
      </c>
      <c r="F46" t="str">
        <f>SmtRes!I49</f>
        <v>21.1-6-114</v>
      </c>
      <c r="G46" t="str">
        <f>SmtRes!K49</f>
        <v>Растворитель "Уайт-спирит"</v>
      </c>
      <c r="H46" t="str">
        <f>SmtRes!O49</f>
        <v>т</v>
      </c>
      <c r="I46">
        <f>SmtRes!Y49*Source!I45</f>
        <v>1.8529600000000001E-3</v>
      </c>
      <c r="J46">
        <f>SmtRes!AO49</f>
        <v>1</v>
      </c>
      <c r="K46">
        <f>SmtRes!AE49</f>
        <v>63195.54</v>
      </c>
      <c r="L46">
        <f>SmtRes!DB49</f>
        <v>93.53</v>
      </c>
      <c r="M46">
        <f>ROUND(ROUND(L46*Source!I45, 6)*1, 2)</f>
        <v>117.1</v>
      </c>
      <c r="N46">
        <f>SmtRes!AA49</f>
        <v>63195.54</v>
      </c>
      <c r="O46">
        <f>ROUND(ROUND(L46*Source!I45, 6)*SmtRes!DA49, 2)</f>
        <v>117.1</v>
      </c>
      <c r="P46">
        <f>SmtRes!AG49</f>
        <v>0</v>
      </c>
      <c r="Q46">
        <f>SmtRes!DC49</f>
        <v>0</v>
      </c>
      <c r="R46">
        <f>ROUND(ROUND(Q46*Source!I45, 6)*1, 2)</f>
        <v>0</v>
      </c>
      <c r="S46">
        <f>SmtRes!AC49</f>
        <v>0</v>
      </c>
      <c r="T46">
        <f>ROUND(ROUND(Q46*Source!I45, 6)*SmtRes!AK49, 2)</f>
        <v>0</v>
      </c>
      <c r="U46">
        <f>SmtRes!X49</f>
        <v>1958569313</v>
      </c>
      <c r="V46">
        <v>1861839422</v>
      </c>
      <c r="W46">
        <v>1861839422</v>
      </c>
    </row>
    <row r="47" spans="1:23" x14ac:dyDescent="0.2">
      <c r="A47">
        <f>Source!A45</f>
        <v>17</v>
      </c>
      <c r="C47">
        <v>2</v>
      </c>
      <c r="D47">
        <v>0</v>
      </c>
      <c r="E47">
        <f>SmtRes!AV48</f>
        <v>0</v>
      </c>
      <c r="F47" t="str">
        <f>SmtRes!I48</f>
        <v>22.1-4-12</v>
      </c>
      <c r="G47" t="str">
        <f>SmtRes!K48</f>
        <v>Погрузчики на автомобильном ходу, грузоподъемность до 5 т</v>
      </c>
      <c r="H47" t="str">
        <f>SmtRes!O48</f>
        <v>маш.-ч</v>
      </c>
      <c r="I47">
        <f>SmtRes!Y48*Source!I45</f>
        <v>1.252E-2</v>
      </c>
      <c r="J47">
        <f>SmtRes!AO48</f>
        <v>1</v>
      </c>
      <c r="K47">
        <f>SmtRes!AF48</f>
        <v>683.9</v>
      </c>
      <c r="L47">
        <f>SmtRes!DB48</f>
        <v>6.84</v>
      </c>
      <c r="M47">
        <f>ROUND(ROUND(L47*Source!I45, 6)*1, 2)</f>
        <v>8.56</v>
      </c>
      <c r="N47">
        <f>SmtRes!AB48</f>
        <v>683.9</v>
      </c>
      <c r="O47">
        <f>ROUND(ROUND(L47*Source!I45, 6)*SmtRes!DA48, 2)</f>
        <v>8.56</v>
      </c>
      <c r="P47">
        <f>SmtRes!AG48</f>
        <v>371.27</v>
      </c>
      <c r="Q47">
        <f>SmtRes!DC48</f>
        <v>3.71</v>
      </c>
      <c r="R47">
        <f>ROUND(ROUND(Q47*Source!I45, 6)*1, 2)</f>
        <v>4.6399999999999997</v>
      </c>
      <c r="S47">
        <f>SmtRes!AC48</f>
        <v>371.27</v>
      </c>
      <c r="T47">
        <f>ROUND(ROUND(Q47*Source!I45, 6)*SmtRes!AK48, 2)</f>
        <v>4.6399999999999997</v>
      </c>
      <c r="U47">
        <f>SmtRes!X48</f>
        <v>-1323805330</v>
      </c>
      <c r="V47">
        <v>1986574417</v>
      </c>
      <c r="W47">
        <v>1986574417</v>
      </c>
    </row>
    <row r="48" spans="1:23" x14ac:dyDescent="0.2">
      <c r="A48">
        <f>Source!A76</f>
        <v>4</v>
      </c>
      <c r="B48">
        <v>76</v>
      </c>
      <c r="G48" t="str">
        <f>Source!G76</f>
        <v>Установка ограждения - Участок 2</v>
      </c>
    </row>
    <row r="49" spans="1:23" x14ac:dyDescent="0.2">
      <c r="A49">
        <f>Source!A82</f>
        <v>17</v>
      </c>
      <c r="C49">
        <v>2</v>
      </c>
      <c r="D49">
        <v>0</v>
      </c>
      <c r="E49">
        <f>SmtRes!AV53</f>
        <v>0</v>
      </c>
      <c r="F49" t="str">
        <f>SmtRes!I53</f>
        <v>22.1-18-13</v>
      </c>
      <c r="G49" t="str">
        <f>SmtRes!K53</f>
        <v>Автомобили-самосвалы, грузоподъемность до 10 т</v>
      </c>
      <c r="H49" t="str">
        <f>SmtRes!O53</f>
        <v>маш.-ч</v>
      </c>
      <c r="I49">
        <f>SmtRes!Y53*Source!I82</f>
        <v>8.0600000000000005E-2</v>
      </c>
      <c r="J49">
        <f>SmtRes!AO53</f>
        <v>1</v>
      </c>
      <c r="K49">
        <f>SmtRes!AF53</f>
        <v>1014.12</v>
      </c>
      <c r="L49">
        <f>SmtRes!DB53</f>
        <v>31.44</v>
      </c>
      <c r="M49">
        <f>ROUND(ROUND(L49*Source!I82, 6)*1, 2)</f>
        <v>81.739999999999995</v>
      </c>
      <c r="N49">
        <f>SmtRes!AB53</f>
        <v>1014.12</v>
      </c>
      <c r="O49">
        <f>ROUND(ROUND(L49*Source!I82, 6)*SmtRes!DA53, 2)</f>
        <v>81.739999999999995</v>
      </c>
      <c r="P49">
        <f>SmtRes!AG53</f>
        <v>317.13</v>
      </c>
      <c r="Q49">
        <f>SmtRes!DC53</f>
        <v>9.83</v>
      </c>
      <c r="R49">
        <f>ROUND(ROUND(Q49*Source!I82, 6)*1, 2)</f>
        <v>25.56</v>
      </c>
      <c r="S49">
        <f>SmtRes!AC53</f>
        <v>317.13</v>
      </c>
      <c r="T49">
        <f>ROUND(ROUND(Q49*Source!I82, 6)*SmtRes!AK53, 2)</f>
        <v>25.56</v>
      </c>
      <c r="U49">
        <f>SmtRes!X53</f>
        <v>486337296</v>
      </c>
      <c r="V49">
        <v>-1297827098</v>
      </c>
      <c r="W49">
        <v>-1297827098</v>
      </c>
    </row>
    <row r="50" spans="1:23" x14ac:dyDescent="0.2">
      <c r="A50">
        <f>Source!A83</f>
        <v>17</v>
      </c>
      <c r="C50">
        <v>2</v>
      </c>
      <c r="D50">
        <v>0</v>
      </c>
      <c r="E50">
        <f>SmtRes!AV54</f>
        <v>0</v>
      </c>
      <c r="F50" t="str">
        <f>SmtRes!I54</f>
        <v>22.1-18-13</v>
      </c>
      <c r="G50" t="str">
        <f>SmtRes!K54</f>
        <v>Автомобили-самосвалы, грузоподъемность до 10 т</v>
      </c>
      <c r="H50" t="str">
        <f>SmtRes!O54</f>
        <v>маш.-ч</v>
      </c>
      <c r="I50">
        <f>SmtRes!Y54*Source!I83</f>
        <v>0.83200000000000007</v>
      </c>
      <c r="J50">
        <f>SmtRes!AO54</f>
        <v>1</v>
      </c>
      <c r="K50">
        <f>SmtRes!AF54</f>
        <v>1014.12</v>
      </c>
      <c r="L50">
        <f>SmtRes!DB54</f>
        <v>324.48</v>
      </c>
      <c r="M50">
        <f>ROUND(ROUND(L50*Source!I83, 6)*1, 2)</f>
        <v>843.65</v>
      </c>
      <c r="N50">
        <f>SmtRes!AB54</f>
        <v>1014.12</v>
      </c>
      <c r="O50">
        <f>ROUND(ROUND(L50*Source!I83, 6)*SmtRes!DA54, 2)</f>
        <v>843.65</v>
      </c>
      <c r="P50">
        <f>SmtRes!AG54</f>
        <v>317.13</v>
      </c>
      <c r="Q50">
        <f>SmtRes!DC54</f>
        <v>101.44</v>
      </c>
      <c r="R50">
        <f>ROUND(ROUND(Q50*Source!I83, 6)*1, 2)</f>
        <v>263.74</v>
      </c>
      <c r="S50">
        <f>SmtRes!AC54</f>
        <v>317.13</v>
      </c>
      <c r="T50">
        <f>ROUND(ROUND(Q50*Source!I83, 6)*SmtRes!AK54, 2)</f>
        <v>263.74</v>
      </c>
      <c r="U50">
        <f>SmtRes!X54</f>
        <v>486337296</v>
      </c>
      <c r="V50">
        <v>-1297827098</v>
      </c>
      <c r="W50">
        <v>-1297827098</v>
      </c>
    </row>
    <row r="51" spans="1:23" x14ac:dyDescent="0.2">
      <c r="A51">
        <f>Source!A84</f>
        <v>17</v>
      </c>
      <c r="C51">
        <v>3</v>
      </c>
      <c r="D51">
        <v>0</v>
      </c>
      <c r="E51">
        <f>SmtRes!AV58</f>
        <v>0</v>
      </c>
      <c r="F51" t="str">
        <f>SmtRes!I58</f>
        <v>21.1-25-13</v>
      </c>
      <c r="G51" t="str">
        <f>SmtRes!K58</f>
        <v>Вода</v>
      </c>
      <c r="H51" t="str">
        <f>SmtRes!O58</f>
        <v>м3</v>
      </c>
      <c r="I51">
        <f>SmtRes!Y58*Source!I84</f>
        <v>6.6000000000000003E-2</v>
      </c>
      <c r="J51">
        <f>SmtRes!AO58</f>
        <v>1</v>
      </c>
      <c r="K51">
        <f>SmtRes!AE58</f>
        <v>35.25</v>
      </c>
      <c r="L51">
        <f>SmtRes!DB58</f>
        <v>1.06</v>
      </c>
      <c r="M51">
        <f>ROUND(ROUND(L51*Source!I84, 6)*1, 2)</f>
        <v>2.33</v>
      </c>
      <c r="N51">
        <f>SmtRes!AA58</f>
        <v>35.25</v>
      </c>
      <c r="O51">
        <f>ROUND(ROUND(L51*Source!I84, 6)*SmtRes!DA58, 2)</f>
        <v>2.33</v>
      </c>
      <c r="P51">
        <f>SmtRes!AG58</f>
        <v>0</v>
      </c>
      <c r="Q51">
        <f>SmtRes!DC58</f>
        <v>0</v>
      </c>
      <c r="R51">
        <f>ROUND(ROUND(Q51*Source!I84, 6)*1, 2)</f>
        <v>0</v>
      </c>
      <c r="S51">
        <f>SmtRes!AC58</f>
        <v>0</v>
      </c>
      <c r="T51">
        <f>ROUND(ROUND(Q51*Source!I84, 6)*SmtRes!AK58, 2)</f>
        <v>0</v>
      </c>
      <c r="U51">
        <f>SmtRes!X58</f>
        <v>1927597627</v>
      </c>
      <c r="V51">
        <v>-1829664509</v>
      </c>
      <c r="W51">
        <v>-1829664509</v>
      </c>
    </row>
    <row r="52" spans="1:23" x14ac:dyDescent="0.2">
      <c r="A52">
        <f>Source!A84</f>
        <v>17</v>
      </c>
      <c r="C52">
        <v>3</v>
      </c>
      <c r="D52">
        <v>0</v>
      </c>
      <c r="E52">
        <f>SmtRes!AV57</f>
        <v>0</v>
      </c>
      <c r="F52" t="str">
        <f>SmtRes!I57</f>
        <v>21.1-12-36</v>
      </c>
      <c r="G52" t="str">
        <f>SmtRes!K57</f>
        <v>Щебень из естественного камня для строительных работ, марка 1200-800, фракция 20-40 мм</v>
      </c>
      <c r="H52" t="str">
        <f>SmtRes!O57</f>
        <v>м3</v>
      </c>
      <c r="I52">
        <f>SmtRes!Y57*Source!I84</f>
        <v>0.52800000000000002</v>
      </c>
      <c r="J52">
        <f>SmtRes!AO57</f>
        <v>1</v>
      </c>
      <c r="K52">
        <f>SmtRes!AE57</f>
        <v>1763.75</v>
      </c>
      <c r="L52">
        <f>SmtRes!DB57</f>
        <v>423.3</v>
      </c>
      <c r="M52">
        <f>ROUND(ROUND(L52*Source!I84, 6)*1, 2)</f>
        <v>931.26</v>
      </c>
      <c r="N52">
        <f>SmtRes!AA57</f>
        <v>1763.75</v>
      </c>
      <c r="O52">
        <f>ROUND(ROUND(L52*Source!I84, 6)*SmtRes!DA57, 2)</f>
        <v>931.26</v>
      </c>
      <c r="P52">
        <f>SmtRes!AG57</f>
        <v>0</v>
      </c>
      <c r="Q52">
        <f>SmtRes!DC57</f>
        <v>0</v>
      </c>
      <c r="R52">
        <f>ROUND(ROUND(Q52*Source!I84, 6)*1, 2)</f>
        <v>0</v>
      </c>
      <c r="S52">
        <f>SmtRes!AC57</f>
        <v>0</v>
      </c>
      <c r="T52">
        <f>ROUND(ROUND(Q52*Source!I84, 6)*SmtRes!AK57, 2)</f>
        <v>0</v>
      </c>
      <c r="U52">
        <f>SmtRes!X57</f>
        <v>-886425656</v>
      </c>
      <c r="V52">
        <v>-671760782</v>
      </c>
      <c r="W52">
        <v>-671760782</v>
      </c>
    </row>
    <row r="53" spans="1:23" x14ac:dyDescent="0.2">
      <c r="A53">
        <f>Source!A84</f>
        <v>17</v>
      </c>
      <c r="C53">
        <v>3</v>
      </c>
      <c r="D53">
        <v>0</v>
      </c>
      <c r="E53">
        <f>SmtRes!AV56</f>
        <v>0</v>
      </c>
      <c r="F53" t="str">
        <f>SmtRes!I56</f>
        <v>21.1-12-35</v>
      </c>
      <c r="G53" t="str">
        <f>SmtRes!K56</f>
        <v>Щебень из естественного камня для строительных работ, марка 1200-800, фракция 10-20 мм</v>
      </c>
      <c r="H53" t="str">
        <f>SmtRes!O56</f>
        <v>м3</v>
      </c>
      <c r="I53">
        <f>SmtRes!Y56*Source!I84</f>
        <v>0.13200000000000001</v>
      </c>
      <c r="J53">
        <f>SmtRes!AO56</f>
        <v>1</v>
      </c>
      <c r="K53">
        <f>SmtRes!AE56</f>
        <v>1865.77</v>
      </c>
      <c r="L53">
        <f>SmtRes!DB56</f>
        <v>111.95</v>
      </c>
      <c r="M53">
        <f>ROUND(ROUND(L53*Source!I84, 6)*1, 2)</f>
        <v>246.29</v>
      </c>
      <c r="N53">
        <f>SmtRes!AA56</f>
        <v>1865.77</v>
      </c>
      <c r="O53">
        <f>ROUND(ROUND(L53*Source!I84, 6)*SmtRes!DA56, 2)</f>
        <v>246.29</v>
      </c>
      <c r="P53">
        <f>SmtRes!AG56</f>
        <v>0</v>
      </c>
      <c r="Q53">
        <f>SmtRes!DC56</f>
        <v>0</v>
      </c>
      <c r="R53">
        <f>ROUND(ROUND(Q53*Source!I84, 6)*1, 2)</f>
        <v>0</v>
      </c>
      <c r="S53">
        <f>SmtRes!AC56</f>
        <v>0</v>
      </c>
      <c r="T53">
        <f>ROUND(ROUND(Q53*Source!I84, 6)*SmtRes!AK56, 2)</f>
        <v>0</v>
      </c>
      <c r="U53">
        <f>SmtRes!X56</f>
        <v>1099845635</v>
      </c>
      <c r="V53">
        <v>125426679</v>
      </c>
      <c r="W53">
        <v>125426679</v>
      </c>
    </row>
    <row r="54" spans="1:23" x14ac:dyDescent="0.2">
      <c r="A54">
        <f>Source!A85</f>
        <v>17</v>
      </c>
      <c r="C54">
        <v>3</v>
      </c>
      <c r="D54">
        <v>0</v>
      </c>
      <c r="E54">
        <f>SmtRes!AV62</f>
        <v>0</v>
      </c>
      <c r="F54" t="str">
        <f>SmtRes!I62</f>
        <v>21.1-25-13</v>
      </c>
      <c r="G54" t="str">
        <f>SmtRes!K62</f>
        <v>Вода</v>
      </c>
      <c r="H54" t="str">
        <f>SmtRes!O62</f>
        <v>м3</v>
      </c>
      <c r="I54">
        <f>SmtRes!Y62*Source!I85</f>
        <v>2.2000000000000002E-2</v>
      </c>
      <c r="J54">
        <f>SmtRes!AO62</f>
        <v>1</v>
      </c>
      <c r="K54">
        <f>SmtRes!AE62</f>
        <v>35.25</v>
      </c>
      <c r="L54">
        <f>SmtRes!DB62</f>
        <v>0.35</v>
      </c>
      <c r="M54">
        <f>ROUND(ROUND(L54*Source!I85, 6)*1, 2)</f>
        <v>0.77</v>
      </c>
      <c r="N54">
        <f>SmtRes!AA62</f>
        <v>35.25</v>
      </c>
      <c r="O54">
        <f>ROUND(ROUND(L54*Source!I85, 6)*SmtRes!DA62, 2)</f>
        <v>0.77</v>
      </c>
      <c r="P54">
        <f>SmtRes!AG62</f>
        <v>0</v>
      </c>
      <c r="Q54">
        <f>SmtRes!DC62</f>
        <v>0</v>
      </c>
      <c r="R54">
        <f>ROUND(ROUND(Q54*Source!I85, 6)*1, 2)</f>
        <v>0</v>
      </c>
      <c r="S54">
        <f>SmtRes!AC62</f>
        <v>0</v>
      </c>
      <c r="T54">
        <f>ROUND(ROUND(Q54*Source!I85, 6)*SmtRes!AK62, 2)</f>
        <v>0</v>
      </c>
      <c r="U54">
        <f>SmtRes!X62</f>
        <v>1927597627</v>
      </c>
      <c r="V54">
        <v>-1829664509</v>
      </c>
      <c r="W54">
        <v>-1829664509</v>
      </c>
    </row>
    <row r="55" spans="1:23" x14ac:dyDescent="0.2">
      <c r="A55">
        <f>Source!A85</f>
        <v>17</v>
      </c>
      <c r="C55">
        <v>3</v>
      </c>
      <c r="D55">
        <v>0</v>
      </c>
      <c r="E55">
        <f>SmtRes!AV61</f>
        <v>0</v>
      </c>
      <c r="F55" t="str">
        <f>SmtRes!I61</f>
        <v>21.1-12-11</v>
      </c>
      <c r="G55" t="str">
        <f>SmtRes!K61</f>
        <v>Песок для строительных работ, рядовой</v>
      </c>
      <c r="H55" t="str">
        <f>SmtRes!O61</f>
        <v>м3</v>
      </c>
      <c r="I55">
        <f>SmtRes!Y61*Source!I85</f>
        <v>0.23100000000000001</v>
      </c>
      <c r="J55">
        <f>SmtRes!AO61</f>
        <v>1</v>
      </c>
      <c r="K55">
        <f>SmtRes!AE61</f>
        <v>590.78</v>
      </c>
      <c r="L55">
        <f>SmtRes!DB61</f>
        <v>62.03</v>
      </c>
      <c r="M55">
        <f>ROUND(ROUND(L55*Source!I85, 6)*1, 2)</f>
        <v>136.47</v>
      </c>
      <c r="N55">
        <f>SmtRes!AA61</f>
        <v>590.78</v>
      </c>
      <c r="O55">
        <f>ROUND(ROUND(L55*Source!I85, 6)*SmtRes!DA61, 2)</f>
        <v>136.47</v>
      </c>
      <c r="P55">
        <f>SmtRes!AG61</f>
        <v>0</v>
      </c>
      <c r="Q55">
        <f>SmtRes!DC61</f>
        <v>0</v>
      </c>
      <c r="R55">
        <f>ROUND(ROUND(Q55*Source!I85, 6)*1, 2)</f>
        <v>0</v>
      </c>
      <c r="S55">
        <f>SmtRes!AC61</f>
        <v>0</v>
      </c>
      <c r="T55">
        <f>ROUND(ROUND(Q55*Source!I85, 6)*SmtRes!AK61, 2)</f>
        <v>0</v>
      </c>
      <c r="U55">
        <f>SmtRes!X61</f>
        <v>909340900</v>
      </c>
      <c r="V55">
        <v>339149647</v>
      </c>
      <c r="W55">
        <v>339149647</v>
      </c>
    </row>
    <row r="56" spans="1:23" x14ac:dyDescent="0.2">
      <c r="A56">
        <f>Source!A85</f>
        <v>17</v>
      </c>
      <c r="C56">
        <v>2</v>
      </c>
      <c r="D56">
        <v>0</v>
      </c>
      <c r="E56">
        <f>SmtRes!AV60</f>
        <v>0</v>
      </c>
      <c r="F56" t="str">
        <f>SmtRes!I60</f>
        <v>22.1-5-17</v>
      </c>
      <c r="G56" t="str">
        <f>SmtRes!K60</f>
        <v>Поливомоечные машины, емкость цистерны до 5000 л</v>
      </c>
      <c r="H56" t="str">
        <f>SmtRes!O60</f>
        <v>маш.-ч</v>
      </c>
      <c r="I56">
        <f>SmtRes!Y60*Source!I85</f>
        <v>6.6000000000000008E-3</v>
      </c>
      <c r="J56">
        <f>SmtRes!AO60</f>
        <v>1</v>
      </c>
      <c r="K56">
        <f>SmtRes!AF60</f>
        <v>1270.56</v>
      </c>
      <c r="L56">
        <f>SmtRes!DB60</f>
        <v>3.81</v>
      </c>
      <c r="M56">
        <f>ROUND(ROUND(L56*Source!I85, 6)*1, 2)</f>
        <v>8.3800000000000008</v>
      </c>
      <c r="N56">
        <f>SmtRes!AB60</f>
        <v>1270.56</v>
      </c>
      <c r="O56">
        <f>ROUND(ROUND(L56*Source!I85, 6)*SmtRes!DA60, 2)</f>
        <v>8.3800000000000008</v>
      </c>
      <c r="P56">
        <f>SmtRes!AG60</f>
        <v>493.86</v>
      </c>
      <c r="Q56">
        <f>SmtRes!DC60</f>
        <v>1.48</v>
      </c>
      <c r="R56">
        <f>ROUND(ROUND(Q56*Source!I85, 6)*1, 2)</f>
        <v>3.26</v>
      </c>
      <c r="S56">
        <f>SmtRes!AC60</f>
        <v>493.86</v>
      </c>
      <c r="T56">
        <f>ROUND(ROUND(Q56*Source!I85, 6)*SmtRes!AK60, 2)</f>
        <v>3.26</v>
      </c>
      <c r="U56">
        <f>SmtRes!X60</f>
        <v>112346818</v>
      </c>
      <c r="V56">
        <v>-278163943</v>
      </c>
      <c r="W56">
        <v>-278163943</v>
      </c>
    </row>
    <row r="57" spans="1:23" x14ac:dyDescent="0.2">
      <c r="A57">
        <f>Source!A86</f>
        <v>17</v>
      </c>
      <c r="C57">
        <v>3</v>
      </c>
      <c r="D57">
        <v>0</v>
      </c>
      <c r="E57">
        <f>SmtRes!AV77</f>
        <v>0</v>
      </c>
      <c r="F57" t="str">
        <f>SmtRes!I77</f>
        <v>21.9-11-3</v>
      </c>
      <c r="G57" t="str">
        <f>SmtRes!K77</f>
        <v>Щиты деревянные для фундаментов, колонн, балок, перекрытий, стен, перегородок и других конструкций из досок, толщина 40мм</v>
      </c>
      <c r="H57" t="str">
        <f>SmtRes!O77</f>
        <v>м2</v>
      </c>
      <c r="I57">
        <f>SmtRes!Y77*Source!I86</f>
        <v>7.776000000000001E-2</v>
      </c>
      <c r="J57">
        <f>SmtRes!AO77</f>
        <v>1</v>
      </c>
      <c r="K57">
        <f>SmtRes!AE77</f>
        <v>473.82</v>
      </c>
      <c r="L57">
        <f>SmtRes!DB77</f>
        <v>1705.75</v>
      </c>
      <c r="M57">
        <f>ROUND(ROUND(L57*Source!I86, 6)*1, 2)</f>
        <v>36.840000000000003</v>
      </c>
      <c r="N57">
        <f>SmtRes!AA77</f>
        <v>473.82</v>
      </c>
      <c r="O57">
        <f>ROUND(ROUND(L57*Source!I86, 6)*SmtRes!DA77, 2)</f>
        <v>36.840000000000003</v>
      </c>
      <c r="P57">
        <f>SmtRes!AG77</f>
        <v>0</v>
      </c>
      <c r="Q57">
        <f>SmtRes!DC77</f>
        <v>0</v>
      </c>
      <c r="R57">
        <f>ROUND(ROUND(Q57*Source!I86, 6)*1, 2)</f>
        <v>0</v>
      </c>
      <c r="S57">
        <f>SmtRes!AC77</f>
        <v>0</v>
      </c>
      <c r="T57">
        <f>ROUND(ROUND(Q57*Source!I86, 6)*SmtRes!AK77, 2)</f>
        <v>0</v>
      </c>
      <c r="U57">
        <f>SmtRes!X77</f>
        <v>1680411856</v>
      </c>
      <c r="V57">
        <v>-334664347</v>
      </c>
      <c r="W57">
        <v>-334664347</v>
      </c>
    </row>
    <row r="58" spans="1:23" x14ac:dyDescent="0.2">
      <c r="A58">
        <f>Source!A86</f>
        <v>17</v>
      </c>
      <c r="C58">
        <v>3</v>
      </c>
      <c r="D58">
        <v>0</v>
      </c>
      <c r="E58">
        <f>SmtRes!AV76</f>
        <v>0</v>
      </c>
      <c r="F58" t="str">
        <f>SmtRes!I76</f>
        <v>21.3-4-18</v>
      </c>
      <c r="G58" t="str">
        <f>SmtRes!K76</f>
        <v>Арматурные заготовки (стержни, хомуты и т.п.), не собранные в каркасы или сетки, арматурная сталь периодического профиля, класс А-III, диаметр 16-18 мм</v>
      </c>
      <c r="H58" t="str">
        <f>SmtRes!O76</f>
        <v>т</v>
      </c>
      <c r="I58">
        <f>SmtRes!Y76*Source!I86</f>
        <v>0.17496</v>
      </c>
      <c r="J58">
        <f>SmtRes!AO76</f>
        <v>1</v>
      </c>
      <c r="K58">
        <f>SmtRes!AE76</f>
        <v>34634.379999999997</v>
      </c>
      <c r="L58">
        <f>SmtRes!DB76</f>
        <v>280538.48</v>
      </c>
      <c r="M58">
        <f>ROUND(ROUND(L58*Source!I86, 6)*1, 2)</f>
        <v>6059.63</v>
      </c>
      <c r="N58">
        <f>SmtRes!AA76</f>
        <v>34634.379999999997</v>
      </c>
      <c r="O58">
        <f>ROUND(ROUND(L58*Source!I86, 6)*SmtRes!DA76, 2)</f>
        <v>6059.63</v>
      </c>
      <c r="P58">
        <f>SmtRes!AG76</f>
        <v>0</v>
      </c>
      <c r="Q58">
        <f>SmtRes!DC76</f>
        <v>0</v>
      </c>
      <c r="R58">
        <f>ROUND(ROUND(Q58*Source!I86, 6)*1, 2)</f>
        <v>0</v>
      </c>
      <c r="S58">
        <f>SmtRes!AC76</f>
        <v>0</v>
      </c>
      <c r="T58">
        <f>ROUND(ROUND(Q58*Source!I86, 6)*SmtRes!AK76, 2)</f>
        <v>0</v>
      </c>
      <c r="U58">
        <f>SmtRes!X76</f>
        <v>653530504</v>
      </c>
      <c r="V58">
        <v>2014880110</v>
      </c>
      <c r="W58">
        <v>2014880110</v>
      </c>
    </row>
    <row r="59" spans="1:23" x14ac:dyDescent="0.2">
      <c r="A59">
        <f>Source!A86</f>
        <v>17</v>
      </c>
      <c r="C59">
        <v>3</v>
      </c>
      <c r="D59">
        <v>0</v>
      </c>
      <c r="E59">
        <f>SmtRes!AV73</f>
        <v>0</v>
      </c>
      <c r="F59" t="str">
        <f>SmtRes!I73</f>
        <v>21.1-9-57</v>
      </c>
      <c r="G59" t="str">
        <f>SmtRes!K73</f>
        <v>Доски хвойных пород, обрезные, длина 2-6,5 м, сорт III, толщина 40-60 мм</v>
      </c>
      <c r="H59" t="str">
        <f>SmtRes!O73</f>
        <v>м3</v>
      </c>
      <c r="I59">
        <f>SmtRes!Y73*Source!I86</f>
        <v>8.6400000000000008E-4</v>
      </c>
      <c r="J59">
        <f>SmtRes!AO73</f>
        <v>1</v>
      </c>
      <c r="K59">
        <f>SmtRes!AE73</f>
        <v>7098.7</v>
      </c>
      <c r="L59">
        <f>SmtRes!DB73</f>
        <v>283.95</v>
      </c>
      <c r="M59">
        <f>ROUND(ROUND(L59*Source!I86, 6)*1, 2)</f>
        <v>6.13</v>
      </c>
      <c r="N59">
        <f>SmtRes!AA73</f>
        <v>7098.7</v>
      </c>
      <c r="O59">
        <f>ROUND(ROUND(L59*Source!I86, 6)*SmtRes!DA73, 2)</f>
        <v>6.13</v>
      </c>
      <c r="P59">
        <f>SmtRes!AG73</f>
        <v>0</v>
      </c>
      <c r="Q59">
        <f>SmtRes!DC73</f>
        <v>0</v>
      </c>
      <c r="R59">
        <f>ROUND(ROUND(Q59*Source!I86, 6)*1, 2)</f>
        <v>0</v>
      </c>
      <c r="S59">
        <f>SmtRes!AC73</f>
        <v>0</v>
      </c>
      <c r="T59">
        <f>ROUND(ROUND(Q59*Source!I86, 6)*SmtRes!AK73, 2)</f>
        <v>0</v>
      </c>
      <c r="U59">
        <f>SmtRes!X73</f>
        <v>538447250</v>
      </c>
      <c r="V59">
        <v>1167723416</v>
      </c>
      <c r="W59">
        <v>1167723416</v>
      </c>
    </row>
    <row r="60" spans="1:23" x14ac:dyDescent="0.2">
      <c r="A60">
        <f>Source!A86</f>
        <v>17</v>
      </c>
      <c r="C60">
        <v>3</v>
      </c>
      <c r="D60">
        <v>0</v>
      </c>
      <c r="E60">
        <f>SmtRes!AV72</f>
        <v>0</v>
      </c>
      <c r="F60" t="str">
        <f>SmtRes!I72</f>
        <v>21.1-25-13</v>
      </c>
      <c r="G60" t="str">
        <f>SmtRes!K72</f>
        <v>Вода</v>
      </c>
      <c r="H60" t="str">
        <f>SmtRes!O72</f>
        <v>м3</v>
      </c>
      <c r="I60">
        <f>SmtRes!Y72*Source!I86</f>
        <v>1.5768000000000001E-2</v>
      </c>
      <c r="J60">
        <f>SmtRes!AO72</f>
        <v>1</v>
      </c>
      <c r="K60">
        <f>SmtRes!AE72</f>
        <v>35.25</v>
      </c>
      <c r="L60">
        <f>SmtRes!DB72</f>
        <v>25.73</v>
      </c>
      <c r="M60">
        <f>ROUND(ROUND(L60*Source!I86, 6)*1, 2)</f>
        <v>0.56000000000000005</v>
      </c>
      <c r="N60">
        <f>SmtRes!AA72</f>
        <v>35.25</v>
      </c>
      <c r="O60">
        <f>ROUND(ROUND(L60*Source!I86, 6)*SmtRes!DA72, 2)</f>
        <v>0.56000000000000005</v>
      </c>
      <c r="P60">
        <f>SmtRes!AG72</f>
        <v>0</v>
      </c>
      <c r="Q60">
        <f>SmtRes!DC72</f>
        <v>0</v>
      </c>
      <c r="R60">
        <f>ROUND(ROUND(Q60*Source!I86, 6)*1, 2)</f>
        <v>0</v>
      </c>
      <c r="S60">
        <f>SmtRes!AC72</f>
        <v>0</v>
      </c>
      <c r="T60">
        <f>ROUND(ROUND(Q60*Source!I86, 6)*SmtRes!AK72, 2)</f>
        <v>0</v>
      </c>
      <c r="U60">
        <f>SmtRes!X72</f>
        <v>1927597627</v>
      </c>
      <c r="V60">
        <v>-1829664509</v>
      </c>
      <c r="W60">
        <v>-1829664509</v>
      </c>
    </row>
    <row r="61" spans="1:23" x14ac:dyDescent="0.2">
      <c r="A61">
        <f>Source!A86</f>
        <v>17</v>
      </c>
      <c r="C61">
        <v>3</v>
      </c>
      <c r="D61">
        <v>0</v>
      </c>
      <c r="E61">
        <f>SmtRes!AV71</f>
        <v>0</v>
      </c>
      <c r="F61" t="str">
        <f>SmtRes!I71</f>
        <v>21.1-2-4</v>
      </c>
      <c r="G61" t="str">
        <f>SmtRes!K71</f>
        <v>Известь негашеная комовая</v>
      </c>
      <c r="H61" t="str">
        <f>SmtRes!O71</f>
        <v>т</v>
      </c>
      <c r="I61">
        <f>SmtRes!Y71*Source!I86</f>
        <v>2.1600000000000002E-4</v>
      </c>
      <c r="J61">
        <f>SmtRes!AO71</f>
        <v>1</v>
      </c>
      <c r="K61">
        <f>SmtRes!AE71</f>
        <v>4752.34</v>
      </c>
      <c r="L61">
        <f>SmtRes!DB71</f>
        <v>47.52</v>
      </c>
      <c r="M61">
        <f>ROUND(ROUND(L61*Source!I86, 6)*1, 2)</f>
        <v>1.03</v>
      </c>
      <c r="N61">
        <f>SmtRes!AA71</f>
        <v>4752.34</v>
      </c>
      <c r="O61">
        <f>ROUND(ROUND(L61*Source!I86, 6)*SmtRes!DA71, 2)</f>
        <v>1.03</v>
      </c>
      <c r="P61">
        <f>SmtRes!AG71</f>
        <v>0</v>
      </c>
      <c r="Q61">
        <f>SmtRes!DC71</f>
        <v>0</v>
      </c>
      <c r="R61">
        <f>ROUND(ROUND(Q61*Source!I86, 6)*1, 2)</f>
        <v>0</v>
      </c>
      <c r="S61">
        <f>SmtRes!AC71</f>
        <v>0</v>
      </c>
      <c r="T61">
        <f>ROUND(ROUND(Q61*Source!I86, 6)*SmtRes!AK71, 2)</f>
        <v>0</v>
      </c>
      <c r="U61">
        <f>SmtRes!X71</f>
        <v>-459844717</v>
      </c>
      <c r="V61">
        <v>-928026910</v>
      </c>
      <c r="W61">
        <v>-928026910</v>
      </c>
    </row>
    <row r="62" spans="1:23" x14ac:dyDescent="0.2">
      <c r="A62">
        <f>Source!A86</f>
        <v>17</v>
      </c>
      <c r="C62">
        <v>3</v>
      </c>
      <c r="D62">
        <v>0</v>
      </c>
      <c r="E62">
        <f>SmtRes!AV70</f>
        <v>0</v>
      </c>
      <c r="F62" t="str">
        <f>SmtRes!I70</f>
        <v>21.1-23-9</v>
      </c>
      <c r="G62" t="str">
        <f>SmtRes!K70</f>
        <v>Электроды, тип Э-42, 46, 50, диаметр 4 - 6 мм</v>
      </c>
      <c r="H62" t="str">
        <f>SmtRes!O70</f>
        <v>т</v>
      </c>
      <c r="I62">
        <f>SmtRes!Y70*Source!I86</f>
        <v>3.4560000000000003E-3</v>
      </c>
      <c r="J62">
        <f>SmtRes!AO70</f>
        <v>1</v>
      </c>
      <c r="K62">
        <f>SmtRes!AE70</f>
        <v>110781.14</v>
      </c>
      <c r="L62">
        <f>SmtRes!DB70</f>
        <v>17724.98</v>
      </c>
      <c r="M62">
        <f>ROUND(ROUND(L62*Source!I86, 6)*1, 2)</f>
        <v>382.86</v>
      </c>
      <c r="N62">
        <f>SmtRes!AA70</f>
        <v>110781.14</v>
      </c>
      <c r="O62">
        <f>ROUND(ROUND(L62*Source!I86, 6)*SmtRes!DA70, 2)</f>
        <v>382.86</v>
      </c>
      <c r="P62">
        <f>SmtRes!AG70</f>
        <v>0</v>
      </c>
      <c r="Q62">
        <f>SmtRes!DC70</f>
        <v>0</v>
      </c>
      <c r="R62">
        <f>ROUND(ROUND(Q62*Source!I86, 6)*1, 2)</f>
        <v>0</v>
      </c>
      <c r="S62">
        <f>SmtRes!AC70</f>
        <v>0</v>
      </c>
      <c r="T62">
        <f>ROUND(ROUND(Q62*Source!I86, 6)*SmtRes!AK70, 2)</f>
        <v>0</v>
      </c>
      <c r="U62">
        <f>SmtRes!X70</f>
        <v>-672771621</v>
      </c>
      <c r="V62">
        <v>-1526606762</v>
      </c>
      <c r="W62">
        <v>-1526606762</v>
      </c>
    </row>
    <row r="63" spans="1:23" x14ac:dyDescent="0.2">
      <c r="A63">
        <f>Source!A86</f>
        <v>17</v>
      </c>
      <c r="C63">
        <v>3</v>
      </c>
      <c r="D63">
        <v>0</v>
      </c>
      <c r="E63">
        <f>SmtRes!AV69</f>
        <v>0</v>
      </c>
      <c r="F63" t="str">
        <f>SmtRes!I69</f>
        <v>21.1-20-17</v>
      </c>
      <c r="G63" t="str">
        <f>SmtRes!K69</f>
        <v>Мешковина</v>
      </c>
      <c r="H63" t="str">
        <f>SmtRes!O69</f>
        <v>м2</v>
      </c>
      <c r="I63">
        <f>SmtRes!Y69*Source!I86</f>
        <v>0.64800000000000002</v>
      </c>
      <c r="J63">
        <f>SmtRes!AO69</f>
        <v>1</v>
      </c>
      <c r="K63">
        <f>SmtRes!AE69</f>
        <v>91.89</v>
      </c>
      <c r="L63">
        <f>SmtRes!DB69</f>
        <v>2756.7</v>
      </c>
      <c r="M63">
        <f>ROUND(ROUND(L63*Source!I86, 6)*1, 2)</f>
        <v>59.54</v>
      </c>
      <c r="N63">
        <f>SmtRes!AA69</f>
        <v>91.89</v>
      </c>
      <c r="O63">
        <f>ROUND(ROUND(L63*Source!I86, 6)*SmtRes!DA69, 2)</f>
        <v>59.54</v>
      </c>
      <c r="P63">
        <f>SmtRes!AG69</f>
        <v>0</v>
      </c>
      <c r="Q63">
        <f>SmtRes!DC69</f>
        <v>0</v>
      </c>
      <c r="R63">
        <f>ROUND(ROUND(Q63*Source!I86, 6)*1, 2)</f>
        <v>0</v>
      </c>
      <c r="S63">
        <f>SmtRes!AC69</f>
        <v>0</v>
      </c>
      <c r="T63">
        <f>ROUND(ROUND(Q63*Source!I86, 6)*SmtRes!AK69, 2)</f>
        <v>0</v>
      </c>
      <c r="U63">
        <f>SmtRes!X69</f>
        <v>-2047649341</v>
      </c>
      <c r="V63">
        <v>-1336012766</v>
      </c>
      <c r="W63">
        <v>-1336012766</v>
      </c>
    </row>
    <row r="64" spans="1:23" x14ac:dyDescent="0.2">
      <c r="A64">
        <f>Source!A86</f>
        <v>17</v>
      </c>
      <c r="C64">
        <v>3</v>
      </c>
      <c r="D64">
        <v>0</v>
      </c>
      <c r="E64">
        <f>SmtRes!AV68</f>
        <v>0</v>
      </c>
      <c r="F64" t="str">
        <f>SmtRes!I68</f>
        <v>21.1-11-46</v>
      </c>
      <c r="G64" t="str">
        <f>SmtRes!K68</f>
        <v>Гвозди строительные</v>
      </c>
      <c r="H64" t="str">
        <f>SmtRes!O68</f>
        <v>т</v>
      </c>
      <c r="I64">
        <f>SmtRes!Y68*Source!I86</f>
        <v>4.3200000000000007E-5</v>
      </c>
      <c r="J64">
        <f>SmtRes!AO68</f>
        <v>1</v>
      </c>
      <c r="K64">
        <f>SmtRes!AE68</f>
        <v>49736.04</v>
      </c>
      <c r="L64">
        <f>SmtRes!DB68</f>
        <v>99.47</v>
      </c>
      <c r="M64">
        <f>ROUND(ROUND(L64*Source!I86, 6)*1, 2)</f>
        <v>2.15</v>
      </c>
      <c r="N64">
        <f>SmtRes!AA68</f>
        <v>49736.04</v>
      </c>
      <c r="O64">
        <f>ROUND(ROUND(L64*Source!I86, 6)*SmtRes!DA68, 2)</f>
        <v>2.15</v>
      </c>
      <c r="P64">
        <f>SmtRes!AG68</f>
        <v>0</v>
      </c>
      <c r="Q64">
        <f>SmtRes!DC68</f>
        <v>0</v>
      </c>
      <c r="R64">
        <f>ROUND(ROUND(Q64*Source!I86, 6)*1, 2)</f>
        <v>0</v>
      </c>
      <c r="S64">
        <f>SmtRes!AC68</f>
        <v>0</v>
      </c>
      <c r="T64">
        <f>ROUND(ROUND(Q64*Source!I86, 6)*SmtRes!AK68, 2)</f>
        <v>0</v>
      </c>
      <c r="U64">
        <f>SmtRes!X68</f>
        <v>1959613851</v>
      </c>
      <c r="V64">
        <v>-547263076</v>
      </c>
      <c r="W64">
        <v>-547263076</v>
      </c>
    </row>
    <row r="65" spans="1:23" x14ac:dyDescent="0.2">
      <c r="A65">
        <f>Source!A86</f>
        <v>17</v>
      </c>
      <c r="C65">
        <v>2</v>
      </c>
      <c r="D65">
        <v>0</v>
      </c>
      <c r="E65">
        <f>SmtRes!AV67</f>
        <v>0</v>
      </c>
      <c r="F65" t="str">
        <f>SmtRes!I67</f>
        <v>22.1-6-52</v>
      </c>
      <c r="G65" t="str">
        <f>SmtRes!K67</f>
        <v>Вибраторы глубинные</v>
      </c>
      <c r="H65" t="str">
        <f>SmtRes!O67</f>
        <v>маш.-ч</v>
      </c>
      <c r="I65">
        <f>SmtRes!Y67*Source!I86</f>
        <v>0.24300000000000002</v>
      </c>
      <c r="J65">
        <f>SmtRes!AO67</f>
        <v>1</v>
      </c>
      <c r="K65">
        <f>SmtRes!AF67</f>
        <v>10.82</v>
      </c>
      <c r="L65">
        <f>SmtRes!DB67</f>
        <v>121.73</v>
      </c>
      <c r="M65">
        <f>ROUND(ROUND(L65*Source!I86, 6)*1, 2)</f>
        <v>2.63</v>
      </c>
      <c r="N65">
        <f>SmtRes!AB67</f>
        <v>10.82</v>
      </c>
      <c r="O65">
        <f>ROUND(ROUND(L65*Source!I86, 6)*SmtRes!DA67, 2)</f>
        <v>2.63</v>
      </c>
      <c r="P65">
        <f>SmtRes!AG67</f>
        <v>2.97</v>
      </c>
      <c r="Q65">
        <f>SmtRes!DC67</f>
        <v>33.409999999999997</v>
      </c>
      <c r="R65">
        <f>ROUND(ROUND(Q65*Source!I86, 6)*1, 2)</f>
        <v>0.72</v>
      </c>
      <c r="S65">
        <f>SmtRes!AC67</f>
        <v>2.97</v>
      </c>
      <c r="T65">
        <f>ROUND(ROUND(Q65*Source!I86, 6)*SmtRes!AK67, 2)</f>
        <v>0.72</v>
      </c>
      <c r="U65">
        <f>SmtRes!X67</f>
        <v>1349119844</v>
      </c>
      <c r="V65">
        <v>-1115091794</v>
      </c>
      <c r="W65">
        <v>-1115091794</v>
      </c>
    </row>
    <row r="66" spans="1:23" x14ac:dyDescent="0.2">
      <c r="A66">
        <f>Source!A86</f>
        <v>17</v>
      </c>
      <c r="C66">
        <v>2</v>
      </c>
      <c r="D66">
        <v>0</v>
      </c>
      <c r="E66">
        <f>SmtRes!AV66</f>
        <v>0</v>
      </c>
      <c r="F66" t="str">
        <f>SmtRes!I66</f>
        <v>22.1-4-12</v>
      </c>
      <c r="G66" t="str">
        <f>SmtRes!K66</f>
        <v>Погрузчики на автомобильном ходу, грузоподъемность до 5 т</v>
      </c>
      <c r="H66" t="str">
        <f>SmtRes!O66</f>
        <v>маш.-ч</v>
      </c>
      <c r="I66">
        <f>SmtRes!Y66*Source!I86</f>
        <v>6.6960000000000006E-3</v>
      </c>
      <c r="J66">
        <f>SmtRes!AO66</f>
        <v>1</v>
      </c>
      <c r="K66">
        <f>SmtRes!AF66</f>
        <v>683.9</v>
      </c>
      <c r="L66">
        <f>SmtRes!DB66</f>
        <v>212.01</v>
      </c>
      <c r="M66">
        <f>ROUND(ROUND(L66*Source!I86, 6)*1, 2)</f>
        <v>4.58</v>
      </c>
      <c r="N66">
        <f>SmtRes!AB66</f>
        <v>683.9</v>
      </c>
      <c r="O66">
        <f>ROUND(ROUND(L66*Source!I86, 6)*SmtRes!DA66, 2)</f>
        <v>4.58</v>
      </c>
      <c r="P66">
        <f>SmtRes!AG66</f>
        <v>371.27</v>
      </c>
      <c r="Q66">
        <f>SmtRes!DC66</f>
        <v>115.09</v>
      </c>
      <c r="R66">
        <f>ROUND(ROUND(Q66*Source!I86, 6)*1, 2)</f>
        <v>2.4900000000000002</v>
      </c>
      <c r="S66">
        <f>SmtRes!AC66</f>
        <v>371.27</v>
      </c>
      <c r="T66">
        <f>ROUND(ROUND(Q66*Source!I86, 6)*SmtRes!AK66, 2)</f>
        <v>2.4900000000000002</v>
      </c>
      <c r="U66">
        <f>SmtRes!X66</f>
        <v>-1323805330</v>
      </c>
      <c r="V66">
        <v>1986574417</v>
      </c>
      <c r="W66">
        <v>1986574417</v>
      </c>
    </row>
    <row r="67" spans="1:23" x14ac:dyDescent="0.2">
      <c r="A67">
        <f>Source!A86</f>
        <v>17</v>
      </c>
      <c r="C67">
        <v>2</v>
      </c>
      <c r="D67">
        <v>0</v>
      </c>
      <c r="E67">
        <f>SmtRes!AV65</f>
        <v>0</v>
      </c>
      <c r="F67" t="str">
        <f>SmtRes!I65</f>
        <v>22.1-30-26</v>
      </c>
      <c r="G67" t="str">
        <f>SmtRes!K65</f>
        <v>Пилы ручные электрические</v>
      </c>
      <c r="H67" t="str">
        <f>SmtRes!O65</f>
        <v>маш.-ч</v>
      </c>
      <c r="I67">
        <f>SmtRes!Y65*Source!I86</f>
        <v>2.5920000000000001E-3</v>
      </c>
      <c r="J67">
        <f>SmtRes!AO65</f>
        <v>1</v>
      </c>
      <c r="K67">
        <f>SmtRes!AF65</f>
        <v>3.67</v>
      </c>
      <c r="L67">
        <f>SmtRes!DB65</f>
        <v>0.44</v>
      </c>
      <c r="M67">
        <f>ROUND(ROUND(L67*Source!I86, 6)*1, 2)</f>
        <v>0.01</v>
      </c>
      <c r="N67">
        <f>SmtRes!AB65</f>
        <v>3.67</v>
      </c>
      <c r="O67">
        <f>ROUND(ROUND(L67*Source!I86, 6)*SmtRes!DA65, 2)</f>
        <v>0.01</v>
      </c>
      <c r="P67">
        <f>SmtRes!AG65</f>
        <v>0.01</v>
      </c>
      <c r="Q67">
        <f>SmtRes!DC65</f>
        <v>0</v>
      </c>
      <c r="R67">
        <f>ROUND(ROUND(Q67*Source!I86, 6)*1, 2)</f>
        <v>0</v>
      </c>
      <c r="S67">
        <f>SmtRes!AC65</f>
        <v>0.01</v>
      </c>
      <c r="T67">
        <f>ROUND(ROUND(Q67*Source!I86, 6)*SmtRes!AK65, 2)</f>
        <v>0</v>
      </c>
      <c r="U67">
        <f>SmtRes!X65</f>
        <v>1598319406</v>
      </c>
      <c r="V67">
        <v>1181039040</v>
      </c>
      <c r="W67">
        <v>1181039040</v>
      </c>
    </row>
    <row r="68" spans="1:23" x14ac:dyDescent="0.2">
      <c r="A68">
        <f>Source!A86</f>
        <v>17</v>
      </c>
      <c r="C68">
        <v>2</v>
      </c>
      <c r="D68">
        <v>0</v>
      </c>
      <c r="E68">
        <f>SmtRes!AV64</f>
        <v>0</v>
      </c>
      <c r="F68" t="str">
        <f>SmtRes!I64</f>
        <v>22.1-13-14</v>
      </c>
      <c r="G68" t="str">
        <f>SmtRes!K64</f>
        <v>Установки для сварки ручной дуговой (постоянного тока)</v>
      </c>
      <c r="H68" t="str">
        <f>SmtRes!O64</f>
        <v>маш.-ч</v>
      </c>
      <c r="I68">
        <f>SmtRes!Y64*Source!I86</f>
        <v>3.24</v>
      </c>
      <c r="J68">
        <f>SmtRes!AO64</f>
        <v>1</v>
      </c>
      <c r="K68">
        <f>SmtRes!AF64</f>
        <v>27.21</v>
      </c>
      <c r="L68">
        <f>SmtRes!DB64</f>
        <v>4081.5</v>
      </c>
      <c r="M68">
        <f>ROUND(ROUND(L68*Source!I86, 6)*1, 2)</f>
        <v>88.16</v>
      </c>
      <c r="N68">
        <f>SmtRes!AB64</f>
        <v>27.21</v>
      </c>
      <c r="O68">
        <f>ROUND(ROUND(L68*Source!I86, 6)*SmtRes!DA64, 2)</f>
        <v>88.16</v>
      </c>
      <c r="P68">
        <f>SmtRes!AG64</f>
        <v>0.13</v>
      </c>
      <c r="Q68">
        <f>SmtRes!DC64</f>
        <v>19.5</v>
      </c>
      <c r="R68">
        <f>ROUND(ROUND(Q68*Source!I86, 6)*1, 2)</f>
        <v>0.42</v>
      </c>
      <c r="S68">
        <f>SmtRes!AC64</f>
        <v>0.13</v>
      </c>
      <c r="T68">
        <f>ROUND(ROUND(Q68*Source!I86, 6)*SmtRes!AK64, 2)</f>
        <v>0.42</v>
      </c>
      <c r="U68">
        <f>SmtRes!X64</f>
        <v>-1757825014</v>
      </c>
      <c r="V68">
        <v>-1042877116</v>
      </c>
      <c r="W68">
        <v>-1042877116</v>
      </c>
    </row>
    <row r="69" spans="1:23" x14ac:dyDescent="0.2">
      <c r="A69">
        <f>Source!A87</f>
        <v>18</v>
      </c>
      <c r="C69">
        <v>3</v>
      </c>
      <c r="D69">
        <f>Source!BI87</f>
        <v>4</v>
      </c>
      <c r="E69">
        <f>Source!FS87</f>
        <v>0</v>
      </c>
      <c r="F69" t="str">
        <f>Source!F87</f>
        <v>21.3-1-83</v>
      </c>
      <c r="G69" t="str">
        <f>Source!G87</f>
        <v>Смеси бетонные, БСГ, тяжелого бетона на гранитном щебне, фракция 5-20, класс прочности: В22,5 (М300); П3, F200, W6</v>
      </c>
      <c r="H69" t="str">
        <f>Source!H87</f>
        <v>м3</v>
      </c>
      <c r="I69">
        <f>Source!I87</f>
        <v>2.1924000000000001</v>
      </c>
      <c r="J69">
        <v>1</v>
      </c>
      <c r="K69">
        <f>Source!AC87</f>
        <v>3884.73</v>
      </c>
      <c r="M69">
        <f>ROUND(K69*I69, 2)</f>
        <v>8516.8799999999992</v>
      </c>
      <c r="N69">
        <f>Source!AC87*IF(Source!BC87&lt;&gt; 0, Source!BC87, 1)</f>
        <v>3884.73</v>
      </c>
      <c r="O69">
        <f>ROUND(N69*I69, 2)</f>
        <v>8516.8799999999992</v>
      </c>
      <c r="P69">
        <f>Source!AE87</f>
        <v>0</v>
      </c>
      <c r="R69">
        <f>ROUND(P69*I69, 2)</f>
        <v>0</v>
      </c>
      <c r="S69">
        <f>Source!AE87*IF(Source!BS87&lt;&gt; 0, Source!BS87, 1)</f>
        <v>0</v>
      </c>
      <c r="T69">
        <f>ROUND(S69*I69, 2)</f>
        <v>0</v>
      </c>
      <c r="U69">
        <f>Source!GF87</f>
        <v>-793492541</v>
      </c>
      <c r="V69">
        <v>-1648563401</v>
      </c>
      <c r="W69">
        <v>-1648563401</v>
      </c>
    </row>
    <row r="70" spans="1:23" x14ac:dyDescent="0.2">
      <c r="A70">
        <f>Source!A89</f>
        <v>17</v>
      </c>
      <c r="C70">
        <v>3</v>
      </c>
      <c r="D70">
        <v>0</v>
      </c>
      <c r="E70">
        <f>SmtRes!AV88</f>
        <v>0</v>
      </c>
      <c r="F70" t="str">
        <f>SmtRes!I88</f>
        <v>21.7-3-6</v>
      </c>
      <c r="G70" t="str">
        <f>SmtRes!K88</f>
        <v>Диск отрезной абразивный для резки по металлу, диаметр 125 мм</v>
      </c>
      <c r="H70" t="str">
        <f>SmtRes!O88</f>
        <v>шт.</v>
      </c>
      <c r="I70">
        <f>SmtRes!Y88*Source!I89</f>
        <v>1.6212</v>
      </c>
      <c r="J70">
        <f>SmtRes!AO88</f>
        <v>1</v>
      </c>
      <c r="K70">
        <f>SmtRes!AE88</f>
        <v>16.54</v>
      </c>
      <c r="L70">
        <f>SmtRes!DB88</f>
        <v>0.23</v>
      </c>
      <c r="M70">
        <f>ROUND(ROUND(L70*Source!I89, 6)*1, 2)</f>
        <v>26.63</v>
      </c>
      <c r="N70">
        <f>SmtRes!AA88</f>
        <v>16.54</v>
      </c>
      <c r="O70">
        <f>ROUND(ROUND(L70*Source!I89, 6)*SmtRes!DA88, 2)</f>
        <v>26.63</v>
      </c>
      <c r="P70">
        <f>SmtRes!AG88</f>
        <v>0</v>
      </c>
      <c r="Q70">
        <f>SmtRes!DC88</f>
        <v>0</v>
      </c>
      <c r="R70">
        <f>ROUND(ROUND(Q70*Source!I89, 6)*1, 2)</f>
        <v>0</v>
      </c>
      <c r="S70">
        <f>SmtRes!AC88</f>
        <v>0</v>
      </c>
      <c r="T70">
        <f>ROUND(ROUND(Q70*Source!I89, 6)*SmtRes!AK88, 2)</f>
        <v>0</v>
      </c>
      <c r="U70">
        <f>SmtRes!X88</f>
        <v>969740417</v>
      </c>
      <c r="V70">
        <v>1505566275</v>
      </c>
      <c r="W70">
        <v>1505566275</v>
      </c>
    </row>
    <row r="71" spans="1:23" x14ac:dyDescent="0.2">
      <c r="A71">
        <f>Source!A89</f>
        <v>17</v>
      </c>
      <c r="C71">
        <v>3</v>
      </c>
      <c r="D71">
        <v>0</v>
      </c>
      <c r="E71">
        <f>SmtRes!AV87</f>
        <v>0</v>
      </c>
      <c r="F71" t="str">
        <f>SmtRes!I87</f>
        <v>21.1-23-9</v>
      </c>
      <c r="G71" t="str">
        <f>SmtRes!K87</f>
        <v>Электроды, тип Э-42, 46, 50, диаметр 4 - 6 мм</v>
      </c>
      <c r="H71" t="str">
        <f>SmtRes!O87</f>
        <v>т</v>
      </c>
      <c r="I71">
        <f>SmtRes!Y87*Source!I89</f>
        <v>5.79E-2</v>
      </c>
      <c r="J71">
        <f>SmtRes!AO87</f>
        <v>1</v>
      </c>
      <c r="K71">
        <f>SmtRes!AE87</f>
        <v>110781.14</v>
      </c>
      <c r="L71">
        <f>SmtRes!DB87</f>
        <v>55.39</v>
      </c>
      <c r="M71">
        <f>ROUND(ROUND(L71*Source!I89, 6)*1, 2)</f>
        <v>6414.16</v>
      </c>
      <c r="N71">
        <f>SmtRes!AA87</f>
        <v>110781.14</v>
      </c>
      <c r="O71">
        <f>ROUND(ROUND(L71*Source!I89, 6)*SmtRes!DA87, 2)</f>
        <v>6414.16</v>
      </c>
      <c r="P71">
        <f>SmtRes!AG87</f>
        <v>0</v>
      </c>
      <c r="Q71">
        <f>SmtRes!DC87</f>
        <v>0</v>
      </c>
      <c r="R71">
        <f>ROUND(ROUND(Q71*Source!I89, 6)*1, 2)</f>
        <v>0</v>
      </c>
      <c r="S71">
        <f>SmtRes!AC87</f>
        <v>0</v>
      </c>
      <c r="T71">
        <f>ROUND(ROUND(Q71*Source!I89, 6)*SmtRes!AK87, 2)</f>
        <v>0</v>
      </c>
      <c r="U71">
        <f>SmtRes!X87</f>
        <v>-672771621</v>
      </c>
      <c r="V71">
        <v>-1526606762</v>
      </c>
      <c r="W71">
        <v>-1526606762</v>
      </c>
    </row>
    <row r="72" spans="1:23" x14ac:dyDescent="0.2">
      <c r="A72">
        <f>Source!A89</f>
        <v>17</v>
      </c>
      <c r="C72">
        <v>3</v>
      </c>
      <c r="D72">
        <v>0</v>
      </c>
      <c r="E72">
        <f>SmtRes!AV83</f>
        <v>0</v>
      </c>
      <c r="F72" t="str">
        <f>SmtRes!I83</f>
        <v>21.1-10-171</v>
      </c>
      <c r="G72" t="str">
        <f>SmtRes!K83</f>
        <v>Сталь полосовая, марка Ст1кп-Ст4кп, Ст1пс-Ст6пс, Ст1Гпс-Ст5Гпс, кипящая и полуспокойная,</v>
      </c>
      <c r="H72" t="str">
        <f>SmtRes!O83</f>
        <v>т</v>
      </c>
      <c r="I72">
        <f>SmtRes!Y83*Source!I89</f>
        <v>0.11695800000000001</v>
      </c>
      <c r="J72">
        <f>SmtRes!AO83</f>
        <v>1</v>
      </c>
      <c r="K72">
        <f>SmtRes!AE83</f>
        <v>38268.54</v>
      </c>
      <c r="L72">
        <f>SmtRes!DB83</f>
        <v>38.65</v>
      </c>
      <c r="M72">
        <f>ROUND(ROUND(L72*Source!I89, 6)*1, 2)</f>
        <v>4475.67</v>
      </c>
      <c r="N72">
        <f>SmtRes!AA83</f>
        <v>38268.54</v>
      </c>
      <c r="O72">
        <f>ROUND(ROUND(L72*Source!I89, 6)*SmtRes!DA83, 2)</f>
        <v>4475.67</v>
      </c>
      <c r="P72">
        <f>SmtRes!AG83</f>
        <v>0</v>
      </c>
      <c r="Q72">
        <f>SmtRes!DC83</f>
        <v>0</v>
      </c>
      <c r="R72">
        <f>ROUND(ROUND(Q72*Source!I89, 6)*1, 2)</f>
        <v>0</v>
      </c>
      <c r="S72">
        <f>SmtRes!AC83</f>
        <v>0</v>
      </c>
      <c r="T72">
        <f>ROUND(ROUND(Q72*Source!I89, 6)*SmtRes!AK83, 2)</f>
        <v>0</v>
      </c>
      <c r="U72">
        <f>SmtRes!X83</f>
        <v>-1210277159</v>
      </c>
      <c r="V72">
        <v>-1029693808</v>
      </c>
      <c r="W72">
        <v>-1029693808</v>
      </c>
    </row>
    <row r="73" spans="1:23" x14ac:dyDescent="0.2">
      <c r="A73">
        <f>Source!A89</f>
        <v>17</v>
      </c>
      <c r="C73">
        <v>2</v>
      </c>
      <c r="D73">
        <v>0</v>
      </c>
      <c r="E73">
        <f>SmtRes!AV81</f>
        <v>0</v>
      </c>
      <c r="F73" t="str">
        <f>SmtRes!I81</f>
        <v>22.1-30-43</v>
      </c>
      <c r="G73" t="str">
        <f>SmtRes!K81</f>
        <v>Станки трубоотрезные</v>
      </c>
      <c r="H73" t="str">
        <f>SmtRes!O81</f>
        <v>маш.-ч</v>
      </c>
      <c r="I73">
        <f>SmtRes!Y81*Source!I89</f>
        <v>58.363199999999999</v>
      </c>
      <c r="J73">
        <f>SmtRes!AO81</f>
        <v>1</v>
      </c>
      <c r="K73">
        <f>SmtRes!AF81</f>
        <v>652.16</v>
      </c>
      <c r="L73">
        <f>SmtRes!DB81</f>
        <v>328.69</v>
      </c>
      <c r="M73">
        <f>ROUND(ROUND(L73*Source!I89, 6)*1, 2)</f>
        <v>38062.300000000003</v>
      </c>
      <c r="N73">
        <f>SmtRes!AB81</f>
        <v>652.16</v>
      </c>
      <c r="O73">
        <f>ROUND(ROUND(L73*Source!I89, 6)*SmtRes!DA81, 2)</f>
        <v>38062.300000000003</v>
      </c>
      <c r="P73">
        <f>SmtRes!AG81</f>
        <v>581.9</v>
      </c>
      <c r="Q73">
        <f>SmtRes!DC81</f>
        <v>293.27999999999997</v>
      </c>
      <c r="R73">
        <f>ROUND(ROUND(Q73*Source!I89, 6)*1, 2)</f>
        <v>33961.82</v>
      </c>
      <c r="S73">
        <f>SmtRes!AC81</f>
        <v>581.9</v>
      </c>
      <c r="T73">
        <f>ROUND(ROUND(Q73*Source!I89, 6)*SmtRes!AK81, 2)</f>
        <v>33961.82</v>
      </c>
      <c r="U73">
        <f>SmtRes!X81</f>
        <v>676633484</v>
      </c>
      <c r="V73">
        <v>-1881072116</v>
      </c>
      <c r="W73">
        <v>-1881072116</v>
      </c>
    </row>
    <row r="74" spans="1:23" x14ac:dyDescent="0.2">
      <c r="A74">
        <f>Source!A89</f>
        <v>17</v>
      </c>
      <c r="C74">
        <v>2</v>
      </c>
      <c r="D74">
        <v>0</v>
      </c>
      <c r="E74">
        <f>SmtRes!AV80</f>
        <v>0</v>
      </c>
      <c r="F74" t="str">
        <f>SmtRes!I80</f>
        <v>22.1-30-19</v>
      </c>
      <c r="G74" t="str">
        <f>SmtRes!K80</f>
        <v>Машины шлифовальные электрические</v>
      </c>
      <c r="H74" t="str">
        <f>SmtRes!O80</f>
        <v>маш.-ч</v>
      </c>
      <c r="I74">
        <f>SmtRes!Y80*Source!I89</f>
        <v>13.317</v>
      </c>
      <c r="J74">
        <f>SmtRes!AO80</f>
        <v>1</v>
      </c>
      <c r="K74">
        <f>SmtRes!AF80</f>
        <v>5.94</v>
      </c>
      <c r="L74">
        <f>SmtRes!DB80</f>
        <v>0.68</v>
      </c>
      <c r="M74">
        <f>ROUND(ROUND(L74*Source!I89, 6)*1, 2)</f>
        <v>78.739999999999995</v>
      </c>
      <c r="N74">
        <f>SmtRes!AB80</f>
        <v>5.94</v>
      </c>
      <c r="O74">
        <f>ROUND(ROUND(L74*Source!I89, 6)*SmtRes!DA80, 2)</f>
        <v>78.739999999999995</v>
      </c>
      <c r="P74">
        <f>SmtRes!AG80</f>
        <v>0.02</v>
      </c>
      <c r="Q74">
        <f>SmtRes!DC80</f>
        <v>0</v>
      </c>
      <c r="R74">
        <f>ROUND(ROUND(Q74*Source!I89, 6)*1, 2)</f>
        <v>0</v>
      </c>
      <c r="S74">
        <f>SmtRes!AC80</f>
        <v>0.02</v>
      </c>
      <c r="T74">
        <f>ROUND(ROUND(Q74*Source!I89, 6)*SmtRes!AK80, 2)</f>
        <v>0</v>
      </c>
      <c r="U74">
        <f>SmtRes!X80</f>
        <v>-764600179</v>
      </c>
      <c r="V74">
        <v>892192163</v>
      </c>
      <c r="W74">
        <v>892192163</v>
      </c>
    </row>
    <row r="75" spans="1:23" x14ac:dyDescent="0.2">
      <c r="A75">
        <f>Source!A89</f>
        <v>17</v>
      </c>
      <c r="C75">
        <v>2</v>
      </c>
      <c r="D75">
        <v>0</v>
      </c>
      <c r="E75">
        <f>SmtRes!AV79</f>
        <v>0</v>
      </c>
      <c r="F75" t="str">
        <f>SmtRes!I79</f>
        <v>22.1-13-15</v>
      </c>
      <c r="G75" t="str">
        <f>SmtRes!K79</f>
        <v>Аппараты сварочные</v>
      </c>
      <c r="H75" t="str">
        <f>SmtRes!O79</f>
        <v>маш.-ч</v>
      </c>
      <c r="I75">
        <f>SmtRes!Y79*Source!I89</f>
        <v>44.467199999999998</v>
      </c>
      <c r="J75">
        <f>SmtRes!AO79</f>
        <v>1</v>
      </c>
      <c r="K75">
        <f>SmtRes!AF79</f>
        <v>351.29</v>
      </c>
      <c r="L75">
        <f>SmtRes!DB79</f>
        <v>134.9</v>
      </c>
      <c r="M75">
        <f>ROUND(ROUND(L75*Source!I89, 6)*1, 2)</f>
        <v>15621.42</v>
      </c>
      <c r="N75">
        <f>SmtRes!AB79</f>
        <v>351.29</v>
      </c>
      <c r="O75">
        <f>ROUND(ROUND(L75*Source!I89, 6)*SmtRes!DA79, 2)</f>
        <v>15621.42</v>
      </c>
      <c r="P75">
        <f>SmtRes!AG79</f>
        <v>7.02</v>
      </c>
      <c r="Q75">
        <f>SmtRes!DC79</f>
        <v>2.7</v>
      </c>
      <c r="R75">
        <f>ROUND(ROUND(Q75*Source!I89, 6)*1, 2)</f>
        <v>312.66000000000003</v>
      </c>
      <c r="S75">
        <f>SmtRes!AC79</f>
        <v>7.02</v>
      </c>
      <c r="T75">
        <f>ROUND(ROUND(Q75*Source!I89, 6)*SmtRes!AK79, 2)</f>
        <v>312.66000000000003</v>
      </c>
      <c r="U75">
        <f>SmtRes!X79</f>
        <v>-711828296</v>
      </c>
      <c r="V75">
        <v>-2029004941</v>
      </c>
      <c r="W75">
        <v>-2029004941</v>
      </c>
    </row>
    <row r="76" spans="1:23" x14ac:dyDescent="0.2">
      <c r="A76">
        <f>Source!A90</f>
        <v>18</v>
      </c>
      <c r="C76">
        <v>3</v>
      </c>
      <c r="D76">
        <f>Source!BI90</f>
        <v>4</v>
      </c>
      <c r="E76">
        <f>Source!FS90</f>
        <v>0</v>
      </c>
      <c r="F76" t="str">
        <f>Source!F90</f>
        <v>21.1-10-47</v>
      </c>
      <c r="G76" t="str">
        <f>Source!G90</f>
        <v>Профили стальные электросварные квадратного сечения трубчатые, размер стороны 80 мм, толщина стенки 3-6 мм (толщ.4 мм, расход 9,33 кг/м.п., L=72,0 м.п.)</v>
      </c>
      <c r="H76" t="str">
        <f>Source!H90</f>
        <v>т</v>
      </c>
      <c r="I76">
        <f>Source!I90</f>
        <v>0.67176000000000002</v>
      </c>
      <c r="J76">
        <v>1</v>
      </c>
      <c r="K76">
        <f>Source!AC90</f>
        <v>37329.29</v>
      </c>
      <c r="M76">
        <f>ROUND(K76*I76, 2)</f>
        <v>25076.32</v>
      </c>
      <c r="N76">
        <f>Source!AC90*IF(Source!BC90&lt;&gt; 0, Source!BC90, 1)</f>
        <v>37329.29</v>
      </c>
      <c r="O76">
        <f>ROUND(N76*I76, 2)</f>
        <v>25076.32</v>
      </c>
      <c r="P76">
        <f>Source!AE90</f>
        <v>0</v>
      </c>
      <c r="R76">
        <f>ROUND(P76*I76, 2)</f>
        <v>0</v>
      </c>
      <c r="S76">
        <f>Source!AE90*IF(Source!BS90&lt;&gt; 0, Source!BS90, 1)</f>
        <v>0</v>
      </c>
      <c r="T76">
        <f>ROUND(S76*I76, 2)</f>
        <v>0</v>
      </c>
      <c r="U76">
        <f>Source!GF90</f>
        <v>-2136427542</v>
      </c>
      <c r="V76">
        <v>-780796714</v>
      </c>
      <c r="W76">
        <v>-780796714</v>
      </c>
    </row>
    <row r="77" spans="1:23" x14ac:dyDescent="0.2">
      <c r="A77">
        <f>Source!A91</f>
        <v>18</v>
      </c>
      <c r="C77">
        <v>3</v>
      </c>
      <c r="D77">
        <f>Source!BI91</f>
        <v>4</v>
      </c>
      <c r="E77">
        <f>Source!FS91</f>
        <v>0</v>
      </c>
      <c r="F77" t="str">
        <f>Source!F91</f>
        <v>21.1-10-111</v>
      </c>
      <c r="G77" t="str">
        <f>Source!G91</f>
        <v>Профили стальные электросварные прямоугольного сечения трубчатые, размер 40х60 мм, толщина стенки 3,0 мм (расход 4,30 кг/м.п., L=198,6 м.п.)</v>
      </c>
      <c r="H77" t="str">
        <f>Source!H91</f>
        <v>т</v>
      </c>
      <c r="I77">
        <f>Source!I91</f>
        <v>0.85397999999999996</v>
      </c>
      <c r="J77">
        <v>1</v>
      </c>
      <c r="K77">
        <f>Source!AC91</f>
        <v>32819.879999999997</v>
      </c>
      <c r="M77">
        <f>ROUND(K77*I77, 2)</f>
        <v>28027.52</v>
      </c>
      <c r="N77">
        <f>Source!AC91*IF(Source!BC91&lt;&gt; 0, Source!BC91, 1)</f>
        <v>32819.879999999997</v>
      </c>
      <c r="O77">
        <f>ROUND(N77*I77, 2)</f>
        <v>28027.52</v>
      </c>
      <c r="P77">
        <f>Source!AE91</f>
        <v>0</v>
      </c>
      <c r="R77">
        <f>ROUND(P77*I77, 2)</f>
        <v>0</v>
      </c>
      <c r="S77">
        <f>Source!AE91*IF(Source!BS91&lt;&gt; 0, Source!BS91, 1)</f>
        <v>0</v>
      </c>
      <c r="T77">
        <f>ROUND(S77*I77, 2)</f>
        <v>0</v>
      </c>
      <c r="U77">
        <f>Source!GF91</f>
        <v>526509494</v>
      </c>
      <c r="V77">
        <v>137549655</v>
      </c>
      <c r="W77">
        <v>137549655</v>
      </c>
    </row>
    <row r="78" spans="1:23" x14ac:dyDescent="0.2">
      <c r="A78">
        <f>Source!A92</f>
        <v>18</v>
      </c>
      <c r="C78">
        <v>3</v>
      </c>
      <c r="D78">
        <f>Source!BI92</f>
        <v>4</v>
      </c>
      <c r="E78">
        <f>Source!FS92</f>
        <v>0</v>
      </c>
      <c r="F78" t="str">
        <f>Source!F92</f>
        <v>21.1-10-34</v>
      </c>
      <c r="G78" t="str">
        <f>Source!G92</f>
        <v>Профили стальные электросварные квадратного сечения трубчатые, размер стороны 20 мм, толщина стенки 2 мм (расход 1,075 кг/м.п., L=1753,2 м.п.)</v>
      </c>
      <c r="H78" t="str">
        <f>Source!H92</f>
        <v>т</v>
      </c>
      <c r="I78">
        <f>Source!I92</f>
        <v>1.8846900000000002</v>
      </c>
      <c r="J78">
        <v>1</v>
      </c>
      <c r="K78">
        <f>Source!AC92</f>
        <v>40597.550000000003</v>
      </c>
      <c r="M78">
        <f>ROUND(K78*I78, 2)</f>
        <v>76513.8</v>
      </c>
      <c r="N78">
        <f>Source!AC92*IF(Source!BC92&lt;&gt; 0, Source!BC92, 1)</f>
        <v>40597.550000000003</v>
      </c>
      <c r="O78">
        <f>ROUND(N78*I78, 2)</f>
        <v>76513.8</v>
      </c>
      <c r="P78">
        <f>Source!AE92</f>
        <v>0</v>
      </c>
      <c r="R78">
        <f>ROUND(P78*I78, 2)</f>
        <v>0</v>
      </c>
      <c r="S78">
        <f>Source!AE92*IF(Source!BS92&lt;&gt; 0, Source!BS92, 1)</f>
        <v>0</v>
      </c>
      <c r="T78">
        <f>ROUND(S78*I78, 2)</f>
        <v>0</v>
      </c>
      <c r="U78">
        <f>Source!GF92</f>
        <v>-49825837</v>
      </c>
      <c r="V78">
        <v>1888372272</v>
      </c>
      <c r="W78">
        <v>1888372272</v>
      </c>
    </row>
    <row r="79" spans="1:23" x14ac:dyDescent="0.2">
      <c r="A79">
        <f>Source!A93</f>
        <v>18</v>
      </c>
      <c r="C79">
        <v>3</v>
      </c>
      <c r="D79">
        <f>Source!BI93</f>
        <v>4</v>
      </c>
      <c r="E79">
        <f>Source!FS93</f>
        <v>0</v>
      </c>
      <c r="F79" t="str">
        <f>Source!F93</f>
        <v>Цена поставщика</v>
      </c>
      <c r="G79" t="str">
        <f>Source!G93</f>
        <v>Пластиковая заглушка для труб 80х80 мм</v>
      </c>
      <c r="H79" t="str">
        <f>Source!H93</f>
        <v>ШТ</v>
      </c>
      <c r="I79">
        <f>Source!I93</f>
        <v>24</v>
      </c>
      <c r="J79">
        <v>1</v>
      </c>
      <c r="K79">
        <f>Source!AC93</f>
        <v>37.5</v>
      </c>
      <c r="M79">
        <f>ROUND(K79*I79, 2)</f>
        <v>900</v>
      </c>
      <c r="N79">
        <f>Source!AC93*IF(Source!BC93&lt;&gt; 0, Source!BC93, 1)</f>
        <v>37.5</v>
      </c>
      <c r="O79">
        <f>ROUND(N79*I79, 2)</f>
        <v>900</v>
      </c>
      <c r="P79">
        <f>Source!AE93</f>
        <v>0</v>
      </c>
      <c r="R79">
        <f>ROUND(P79*I79, 2)</f>
        <v>0</v>
      </c>
      <c r="S79">
        <f>Source!AE93*IF(Source!BS93&lt;&gt; 0, Source!BS93, 1)</f>
        <v>0</v>
      </c>
      <c r="T79">
        <f>ROUND(S79*I79, 2)</f>
        <v>0</v>
      </c>
      <c r="U79">
        <f>Source!GF93</f>
        <v>-1591933177</v>
      </c>
      <c r="V79">
        <v>1813338865</v>
      </c>
      <c r="W79">
        <v>1813338865</v>
      </c>
    </row>
    <row r="80" spans="1:23" x14ac:dyDescent="0.2">
      <c r="A80">
        <f>Source!A94</f>
        <v>18</v>
      </c>
      <c r="C80">
        <v>3</v>
      </c>
      <c r="D80">
        <f>Source!BI94</f>
        <v>4</v>
      </c>
      <c r="E80">
        <f>Source!FS94</f>
        <v>0</v>
      </c>
      <c r="F80" t="str">
        <f>Source!F94</f>
        <v>Цена поставщика</v>
      </c>
      <c r="G80" t="str">
        <f>Source!G94</f>
        <v>Пластиковая заглушка для труб 60х40 мм</v>
      </c>
      <c r="H80" t="str">
        <f>Source!H94</f>
        <v>ШТ</v>
      </c>
      <c r="I80">
        <f>Source!I94</f>
        <v>92</v>
      </c>
      <c r="J80">
        <v>1</v>
      </c>
      <c r="K80">
        <f>Source!AC94</f>
        <v>16.53</v>
      </c>
      <c r="M80">
        <f>ROUND(K80*I80, 2)</f>
        <v>1520.76</v>
      </c>
      <c r="N80">
        <f>Source!AC94*IF(Source!BC94&lt;&gt; 0, Source!BC94, 1)</f>
        <v>16.53</v>
      </c>
      <c r="O80">
        <f>ROUND(N80*I80, 2)</f>
        <v>1520.76</v>
      </c>
      <c r="P80">
        <f>Source!AE94</f>
        <v>0</v>
      </c>
      <c r="R80">
        <f>ROUND(P80*I80, 2)</f>
        <v>0</v>
      </c>
      <c r="S80">
        <f>Source!AE94*IF(Source!BS94&lt;&gt; 0, Source!BS94, 1)</f>
        <v>0</v>
      </c>
      <c r="T80">
        <f>ROUND(S80*I80, 2)</f>
        <v>0</v>
      </c>
      <c r="U80">
        <f>Source!GF94</f>
        <v>-1949902326</v>
      </c>
      <c r="V80">
        <v>-269009906</v>
      </c>
      <c r="W80">
        <v>-269009906</v>
      </c>
    </row>
    <row r="81" spans="1:23" x14ac:dyDescent="0.2">
      <c r="A81">
        <f>Source!A96</f>
        <v>17</v>
      </c>
      <c r="C81">
        <v>3</v>
      </c>
      <c r="D81">
        <v>0</v>
      </c>
      <c r="E81">
        <f>SmtRes!AV96</f>
        <v>0</v>
      </c>
      <c r="F81" t="str">
        <f>SmtRes!I96</f>
        <v>21.1-6-12</v>
      </c>
      <c r="G81" t="str">
        <f>SmtRes!K96</f>
        <v>Грунтовка глифталевая, ГФ-021</v>
      </c>
      <c r="H81" t="str">
        <f>SmtRes!O96</f>
        <v>т</v>
      </c>
      <c r="I81">
        <f>SmtRes!Y96*Source!I96</f>
        <v>1.0421999999999999E-2</v>
      </c>
      <c r="J81">
        <f>SmtRes!AO96</f>
        <v>1</v>
      </c>
      <c r="K81">
        <f>SmtRes!AE96</f>
        <v>97017.58</v>
      </c>
      <c r="L81">
        <f>SmtRes!DB96</f>
        <v>873.16</v>
      </c>
      <c r="M81">
        <f>ROUND(ROUND(L81*Source!I96, 6)*1, 2)</f>
        <v>1011.12</v>
      </c>
      <c r="N81">
        <f>SmtRes!AA96</f>
        <v>97017.58</v>
      </c>
      <c r="O81">
        <f>ROUND(ROUND(L81*Source!I96, 6)*SmtRes!DA96, 2)</f>
        <v>1011.12</v>
      </c>
      <c r="P81">
        <f>SmtRes!AG96</f>
        <v>0</v>
      </c>
      <c r="Q81">
        <f>SmtRes!DC96</f>
        <v>0</v>
      </c>
      <c r="R81">
        <f>ROUND(ROUND(Q81*Source!I96, 6)*1, 2)</f>
        <v>0</v>
      </c>
      <c r="S81">
        <f>SmtRes!AC96</f>
        <v>0</v>
      </c>
      <c r="T81">
        <f>ROUND(ROUND(Q81*Source!I96, 6)*SmtRes!AK96, 2)</f>
        <v>0</v>
      </c>
      <c r="U81">
        <f>SmtRes!X96</f>
        <v>-383061258</v>
      </c>
      <c r="V81">
        <v>-804279578</v>
      </c>
      <c r="W81">
        <v>-804279578</v>
      </c>
    </row>
    <row r="82" spans="1:23" x14ac:dyDescent="0.2">
      <c r="A82">
        <f>Source!A96</f>
        <v>17</v>
      </c>
      <c r="C82">
        <v>3</v>
      </c>
      <c r="D82">
        <v>0</v>
      </c>
      <c r="E82">
        <f>SmtRes!AV95</f>
        <v>0</v>
      </c>
      <c r="F82" t="str">
        <f>SmtRes!I95</f>
        <v>21.1-16-57</v>
      </c>
      <c r="G82" t="str">
        <f>SmtRes!K95</f>
        <v>Ксилол нефтяной, марка А</v>
      </c>
      <c r="H82" t="str">
        <f>SmtRes!O95</f>
        <v>кг</v>
      </c>
      <c r="I82">
        <f>SmtRes!Y95*Source!I96</f>
        <v>1.7369999999999999</v>
      </c>
      <c r="J82">
        <f>SmtRes!AO95</f>
        <v>1</v>
      </c>
      <c r="K82">
        <f>SmtRes!AE95</f>
        <v>99.303030000000007</v>
      </c>
      <c r="L82">
        <f>SmtRes!DB95</f>
        <v>148.94999999999999</v>
      </c>
      <c r="M82">
        <f>ROUND(ROUND(L82*Source!I96, 6)*1, 2)</f>
        <v>172.48</v>
      </c>
      <c r="N82">
        <f>SmtRes!AA95</f>
        <v>99.3</v>
      </c>
      <c r="O82">
        <f>ROUND(ROUND(L82*Source!I96, 6)*SmtRes!DA95, 2)</f>
        <v>172.48</v>
      </c>
      <c r="P82">
        <f>SmtRes!AG95</f>
        <v>0</v>
      </c>
      <c r="Q82">
        <f>SmtRes!DC95</f>
        <v>0</v>
      </c>
      <c r="R82">
        <f>ROUND(ROUND(Q82*Source!I96, 6)*1, 2)</f>
        <v>0</v>
      </c>
      <c r="S82">
        <f>SmtRes!AC95</f>
        <v>0</v>
      </c>
      <c r="T82">
        <f>ROUND(ROUND(Q82*Source!I96, 6)*SmtRes!AK95, 2)</f>
        <v>0</v>
      </c>
      <c r="U82">
        <f>SmtRes!X95</f>
        <v>-126270252</v>
      </c>
      <c r="V82">
        <v>-1857108032</v>
      </c>
      <c r="W82">
        <v>2042275005</v>
      </c>
    </row>
    <row r="83" spans="1:23" x14ac:dyDescent="0.2">
      <c r="A83">
        <f>Source!A96</f>
        <v>17</v>
      </c>
      <c r="C83">
        <v>2</v>
      </c>
      <c r="D83">
        <v>0</v>
      </c>
      <c r="E83">
        <f>SmtRes!AV94</f>
        <v>0</v>
      </c>
      <c r="F83" t="str">
        <f>SmtRes!I94</f>
        <v>22.1-4-30</v>
      </c>
      <c r="G83" t="str">
        <f>SmtRes!K94</f>
        <v>Лебедки электрические, грузоподъемность до 0,5 т</v>
      </c>
      <c r="H83" t="str">
        <f>SmtRes!O94</f>
        <v>маш.-ч</v>
      </c>
      <c r="I83">
        <f>SmtRes!Y94*Source!I96</f>
        <v>1.158E-2</v>
      </c>
      <c r="J83">
        <f>SmtRes!AO94</f>
        <v>1</v>
      </c>
      <c r="K83">
        <f>SmtRes!AF94</f>
        <v>16.920000000000002</v>
      </c>
      <c r="L83">
        <f>SmtRes!DB94</f>
        <v>0.17</v>
      </c>
      <c r="M83">
        <f>ROUND(ROUND(L83*Source!I96, 6)*1, 2)</f>
        <v>0.2</v>
      </c>
      <c r="N83">
        <f>SmtRes!AB94</f>
        <v>16.920000000000002</v>
      </c>
      <c r="O83">
        <f>ROUND(ROUND(L83*Source!I96, 6)*SmtRes!DA94, 2)</f>
        <v>0.2</v>
      </c>
      <c r="P83">
        <f>SmtRes!AG94</f>
        <v>0.09</v>
      </c>
      <c r="Q83">
        <f>SmtRes!DC94</f>
        <v>0</v>
      </c>
      <c r="R83">
        <f>ROUND(ROUND(Q83*Source!I96, 6)*1, 2)</f>
        <v>0</v>
      </c>
      <c r="S83">
        <f>SmtRes!AC94</f>
        <v>0.09</v>
      </c>
      <c r="T83">
        <f>ROUND(ROUND(Q83*Source!I96, 6)*SmtRes!AK94, 2)</f>
        <v>0</v>
      </c>
      <c r="U83">
        <f>SmtRes!X94</f>
        <v>-54802859</v>
      </c>
      <c r="V83">
        <v>949162316</v>
      </c>
      <c r="W83">
        <v>949162316</v>
      </c>
    </row>
    <row r="84" spans="1:23" x14ac:dyDescent="0.2">
      <c r="A84">
        <f>Source!A96</f>
        <v>17</v>
      </c>
      <c r="C84">
        <v>2</v>
      </c>
      <c r="D84">
        <v>0</v>
      </c>
      <c r="E84">
        <f>SmtRes!AV93</f>
        <v>0</v>
      </c>
      <c r="F84" t="str">
        <f>SmtRes!I93</f>
        <v>22.1-4-12</v>
      </c>
      <c r="G84" t="str">
        <f>SmtRes!K93</f>
        <v>Погрузчики на автомобильном ходу, грузоподъемность до 5 т</v>
      </c>
      <c r="H84" t="str">
        <f>SmtRes!O93</f>
        <v>маш.-ч</v>
      </c>
      <c r="I84">
        <f>SmtRes!Y93*Source!I96</f>
        <v>1.158E-2</v>
      </c>
      <c r="J84">
        <f>SmtRes!AO93</f>
        <v>1</v>
      </c>
      <c r="K84">
        <f>SmtRes!AF93</f>
        <v>683.9</v>
      </c>
      <c r="L84">
        <f>SmtRes!DB93</f>
        <v>6.84</v>
      </c>
      <c r="M84">
        <f>ROUND(ROUND(L84*Source!I96, 6)*1, 2)</f>
        <v>7.92</v>
      </c>
      <c r="N84">
        <f>SmtRes!AB93</f>
        <v>683.9</v>
      </c>
      <c r="O84">
        <f>ROUND(ROUND(L84*Source!I96, 6)*SmtRes!DA93, 2)</f>
        <v>7.92</v>
      </c>
      <c r="P84">
        <f>SmtRes!AG93</f>
        <v>371.27</v>
      </c>
      <c r="Q84">
        <f>SmtRes!DC93</f>
        <v>3.71</v>
      </c>
      <c r="R84">
        <f>ROUND(ROUND(Q84*Source!I96, 6)*1, 2)</f>
        <v>4.3</v>
      </c>
      <c r="S84">
        <f>SmtRes!AC93</f>
        <v>371.27</v>
      </c>
      <c r="T84">
        <f>ROUND(ROUND(Q84*Source!I96, 6)*SmtRes!AK93, 2)</f>
        <v>4.3</v>
      </c>
      <c r="U84">
        <f>SmtRes!X93</f>
        <v>-1323805330</v>
      </c>
      <c r="V84">
        <v>1986574417</v>
      </c>
      <c r="W84">
        <v>1986574417</v>
      </c>
    </row>
    <row r="85" spans="1:23" x14ac:dyDescent="0.2">
      <c r="A85">
        <f>Source!A96</f>
        <v>17</v>
      </c>
      <c r="C85">
        <v>2</v>
      </c>
      <c r="D85">
        <v>0</v>
      </c>
      <c r="E85">
        <f>SmtRes!AV92</f>
        <v>0</v>
      </c>
      <c r="F85" t="str">
        <f>SmtRes!I92</f>
        <v>22.1-10-12</v>
      </c>
      <c r="G85" t="str">
        <f>SmtRes!K92</f>
        <v>Электрокомпрессоры прицепные, производительность до 3,5 м3/мин</v>
      </c>
      <c r="H85" t="str">
        <f>SmtRes!O92</f>
        <v>маш.-ч</v>
      </c>
      <c r="I85">
        <f>SmtRes!Y92*Source!I96</f>
        <v>1.6211999999999998</v>
      </c>
      <c r="J85">
        <f>SmtRes!AO92</f>
        <v>1</v>
      </c>
      <c r="K85">
        <f>SmtRes!AF92</f>
        <v>98.05</v>
      </c>
      <c r="L85">
        <f>SmtRes!DB92</f>
        <v>137.27000000000001</v>
      </c>
      <c r="M85">
        <f>ROUND(ROUND(L85*Source!I96, 6)*1, 2)</f>
        <v>158.96</v>
      </c>
      <c r="N85">
        <f>SmtRes!AB92</f>
        <v>98.05</v>
      </c>
      <c r="O85">
        <f>ROUND(ROUND(L85*Source!I96, 6)*SmtRes!DA92, 2)</f>
        <v>158.96</v>
      </c>
      <c r="P85">
        <f>SmtRes!AG92</f>
        <v>33.06</v>
      </c>
      <c r="Q85">
        <f>SmtRes!DC92</f>
        <v>46.28</v>
      </c>
      <c r="R85">
        <f>ROUND(ROUND(Q85*Source!I96, 6)*1, 2)</f>
        <v>53.59</v>
      </c>
      <c r="S85">
        <f>SmtRes!AC92</f>
        <v>33.06</v>
      </c>
      <c r="T85">
        <f>ROUND(ROUND(Q85*Source!I96, 6)*SmtRes!AK92, 2)</f>
        <v>53.59</v>
      </c>
      <c r="U85">
        <f>SmtRes!X92</f>
        <v>-2137968664</v>
      </c>
      <c r="V85">
        <v>-262383052</v>
      </c>
      <c r="W85">
        <v>-262383052</v>
      </c>
    </row>
    <row r="86" spans="1:23" x14ac:dyDescent="0.2">
      <c r="A86">
        <f>Source!A97</f>
        <v>17</v>
      </c>
      <c r="C86">
        <v>3</v>
      </c>
      <c r="D86">
        <v>0</v>
      </c>
      <c r="E86">
        <f>SmtRes!AV100</f>
        <v>0</v>
      </c>
      <c r="F86" t="str">
        <f>SmtRes!I100</f>
        <v>21.1-6-139</v>
      </c>
      <c r="G86" t="str">
        <f>SmtRes!K100</f>
        <v>Эмаль, марка ПФ-115 (цветная), пентафталевая</v>
      </c>
      <c r="H86" t="str">
        <f>SmtRes!O100</f>
        <v>кг</v>
      </c>
      <c r="I86">
        <f>SmtRes!Y100*Source!I97</f>
        <v>10.421999999999999</v>
      </c>
      <c r="J86">
        <f>SmtRes!AO100</f>
        <v>1</v>
      </c>
      <c r="K86">
        <f>SmtRes!AE100</f>
        <v>105.32</v>
      </c>
      <c r="L86">
        <f>SmtRes!DB100</f>
        <v>947.88</v>
      </c>
      <c r="M86">
        <f>ROUND(ROUND(L86*Source!I97, 6)*1, 2)</f>
        <v>1097.6500000000001</v>
      </c>
      <c r="N86">
        <f>SmtRes!AA100</f>
        <v>105.32</v>
      </c>
      <c r="O86">
        <f>ROUND(ROUND(L86*Source!I97, 6)*SmtRes!DA100, 2)</f>
        <v>1097.6500000000001</v>
      </c>
      <c r="P86">
        <f>SmtRes!AG100</f>
        <v>0</v>
      </c>
      <c r="Q86">
        <f>SmtRes!DC100</f>
        <v>0</v>
      </c>
      <c r="R86">
        <f>ROUND(ROUND(Q86*Source!I97, 6)*1, 2)</f>
        <v>0</v>
      </c>
      <c r="S86">
        <f>SmtRes!AC100</f>
        <v>0</v>
      </c>
      <c r="T86">
        <f>ROUND(ROUND(Q86*Source!I97, 6)*SmtRes!AK100, 2)</f>
        <v>0</v>
      </c>
      <c r="U86">
        <f>SmtRes!X100</f>
        <v>-1364504988</v>
      </c>
      <c r="V86">
        <v>566368814</v>
      </c>
      <c r="W86">
        <v>566368814</v>
      </c>
    </row>
    <row r="87" spans="1:23" x14ac:dyDescent="0.2">
      <c r="A87">
        <f>Source!A97</f>
        <v>17</v>
      </c>
      <c r="C87">
        <v>3</v>
      </c>
      <c r="D87">
        <v>0</v>
      </c>
      <c r="E87">
        <f>SmtRes!AV99</f>
        <v>0</v>
      </c>
      <c r="F87" t="str">
        <f>SmtRes!I99</f>
        <v>21.1-6-114</v>
      </c>
      <c r="G87" t="str">
        <f>SmtRes!K99</f>
        <v>Растворитель "Уайт-спирит"</v>
      </c>
      <c r="H87" t="str">
        <f>SmtRes!O99</f>
        <v>т</v>
      </c>
      <c r="I87">
        <f>SmtRes!Y99*Source!I97</f>
        <v>1.7138399999999999E-3</v>
      </c>
      <c r="J87">
        <f>SmtRes!AO99</f>
        <v>1</v>
      </c>
      <c r="K87">
        <f>SmtRes!AE99</f>
        <v>63195.54</v>
      </c>
      <c r="L87">
        <f>SmtRes!DB99</f>
        <v>93.53</v>
      </c>
      <c r="M87">
        <f>ROUND(ROUND(L87*Source!I97, 6)*1, 2)</f>
        <v>108.31</v>
      </c>
      <c r="N87">
        <f>SmtRes!AA99</f>
        <v>63195.54</v>
      </c>
      <c r="O87">
        <f>ROUND(ROUND(L87*Source!I97, 6)*SmtRes!DA99, 2)</f>
        <v>108.31</v>
      </c>
      <c r="P87">
        <f>SmtRes!AG99</f>
        <v>0</v>
      </c>
      <c r="Q87">
        <f>SmtRes!DC99</f>
        <v>0</v>
      </c>
      <c r="R87">
        <f>ROUND(ROUND(Q87*Source!I97, 6)*1, 2)</f>
        <v>0</v>
      </c>
      <c r="S87">
        <f>SmtRes!AC99</f>
        <v>0</v>
      </c>
      <c r="T87">
        <f>ROUND(ROUND(Q87*Source!I97, 6)*SmtRes!AK99, 2)</f>
        <v>0</v>
      </c>
      <c r="U87">
        <f>SmtRes!X99</f>
        <v>1958569313</v>
      </c>
      <c r="V87">
        <v>1861839422</v>
      </c>
      <c r="W87">
        <v>1861839422</v>
      </c>
    </row>
    <row r="88" spans="1:23" x14ac:dyDescent="0.2">
      <c r="A88">
        <f>Source!A97</f>
        <v>17</v>
      </c>
      <c r="C88">
        <v>2</v>
      </c>
      <c r="D88">
        <v>0</v>
      </c>
      <c r="E88">
        <f>SmtRes!AV98</f>
        <v>0</v>
      </c>
      <c r="F88" t="str">
        <f>SmtRes!I98</f>
        <v>22.1-4-12</v>
      </c>
      <c r="G88" t="str">
        <f>SmtRes!K98</f>
        <v>Погрузчики на автомобильном ходу, грузоподъемность до 5 т</v>
      </c>
      <c r="H88" t="str">
        <f>SmtRes!O98</f>
        <v>маш.-ч</v>
      </c>
      <c r="I88">
        <f>SmtRes!Y98*Source!I97</f>
        <v>1.158E-2</v>
      </c>
      <c r="J88">
        <f>SmtRes!AO98</f>
        <v>1</v>
      </c>
      <c r="K88">
        <f>SmtRes!AF98</f>
        <v>683.9</v>
      </c>
      <c r="L88">
        <f>SmtRes!DB98</f>
        <v>6.84</v>
      </c>
      <c r="M88">
        <f>ROUND(ROUND(L88*Source!I97, 6)*1, 2)</f>
        <v>7.92</v>
      </c>
      <c r="N88">
        <f>SmtRes!AB98</f>
        <v>683.9</v>
      </c>
      <c r="O88">
        <f>ROUND(ROUND(L88*Source!I97, 6)*SmtRes!DA98, 2)</f>
        <v>7.92</v>
      </c>
      <c r="P88">
        <f>SmtRes!AG98</f>
        <v>371.27</v>
      </c>
      <c r="Q88">
        <f>SmtRes!DC98</f>
        <v>3.71</v>
      </c>
      <c r="R88">
        <f>ROUND(ROUND(Q88*Source!I97, 6)*1, 2)</f>
        <v>4.3</v>
      </c>
      <c r="S88">
        <f>SmtRes!AC98</f>
        <v>371.27</v>
      </c>
      <c r="T88">
        <f>ROUND(ROUND(Q88*Source!I97, 6)*SmtRes!AK98, 2)</f>
        <v>4.3</v>
      </c>
      <c r="U88">
        <f>SmtRes!X98</f>
        <v>-1323805330</v>
      </c>
      <c r="V88">
        <v>1986574417</v>
      </c>
      <c r="W88">
        <v>1986574417</v>
      </c>
    </row>
    <row r="89" spans="1:23" x14ac:dyDescent="0.2">
      <c r="A89">
        <f>Source!A128</f>
        <v>4</v>
      </c>
      <c r="B89">
        <v>128</v>
      </c>
      <c r="G89" t="str">
        <f>Source!G128</f>
        <v>Установка ограждения - Участок 3</v>
      </c>
    </row>
    <row r="90" spans="1:23" x14ac:dyDescent="0.2">
      <c r="A90">
        <f>Source!A132</f>
        <v>17</v>
      </c>
      <c r="C90">
        <v>2</v>
      </c>
      <c r="D90">
        <v>0</v>
      </c>
      <c r="E90">
        <f>SmtRes!AV104</f>
        <v>0</v>
      </c>
      <c r="F90" t="str">
        <f>SmtRes!I104</f>
        <v>22.1-30-43</v>
      </c>
      <c r="G90" t="str">
        <f>SmtRes!K104</f>
        <v>Станки трубоотрезные</v>
      </c>
      <c r="H90" t="str">
        <f>SmtRes!O104</f>
        <v>маш.-ч</v>
      </c>
      <c r="I90">
        <f>SmtRes!Y104*Source!I132</f>
        <v>7.3684799999999999</v>
      </c>
      <c r="J90">
        <f>SmtRes!AO104</f>
        <v>1</v>
      </c>
      <c r="K90">
        <f>SmtRes!AF104</f>
        <v>652.16</v>
      </c>
      <c r="L90">
        <f>SmtRes!DB104</f>
        <v>65.738</v>
      </c>
      <c r="M90">
        <f>ROUND(ROUND(L90*Source!I132, 6)*1, 2)</f>
        <v>4805.45</v>
      </c>
      <c r="N90">
        <f>SmtRes!AB104</f>
        <v>652.16</v>
      </c>
      <c r="O90">
        <f>ROUND(ROUND(L90*Source!I132, 6)*SmtRes!DA104, 2)</f>
        <v>4805.45</v>
      </c>
      <c r="P90">
        <f>SmtRes!AG104</f>
        <v>581.9</v>
      </c>
      <c r="Q90">
        <f>SmtRes!DC104</f>
        <v>58.655999999999999</v>
      </c>
      <c r="R90">
        <f>ROUND(ROUND(Q90*Source!I132, 6)*1, 2)</f>
        <v>4287.75</v>
      </c>
      <c r="S90">
        <f>SmtRes!AC104</f>
        <v>581.9</v>
      </c>
      <c r="T90">
        <f>ROUND(ROUND(Q90*Source!I132, 6)*SmtRes!AK104, 2)</f>
        <v>4287.75</v>
      </c>
      <c r="U90">
        <f>SmtRes!X104</f>
        <v>676633484</v>
      </c>
      <c r="V90">
        <v>-1881072116</v>
      </c>
      <c r="W90">
        <v>-1881072116</v>
      </c>
    </row>
    <row r="91" spans="1:23" x14ac:dyDescent="0.2">
      <c r="A91">
        <f>Source!A132</f>
        <v>17</v>
      </c>
      <c r="C91">
        <v>2</v>
      </c>
      <c r="D91">
        <v>0</v>
      </c>
      <c r="E91">
        <f>SmtRes!AV103</f>
        <v>0</v>
      </c>
      <c r="F91" t="str">
        <f>SmtRes!I103</f>
        <v>22.1-30-19</v>
      </c>
      <c r="G91" t="str">
        <f>SmtRes!K103</f>
        <v>Машины шлифовальные электрические</v>
      </c>
      <c r="H91" t="str">
        <f>SmtRes!O103</f>
        <v>маш.-ч</v>
      </c>
      <c r="I91">
        <f>SmtRes!Y103*Source!I132</f>
        <v>1.6813</v>
      </c>
      <c r="J91">
        <f>SmtRes!AO103</f>
        <v>1</v>
      </c>
      <c r="K91">
        <f>SmtRes!AF103</f>
        <v>5.94</v>
      </c>
      <c r="L91">
        <f>SmtRes!DB103</f>
        <v>0.13600000000000001</v>
      </c>
      <c r="M91">
        <f>ROUND(ROUND(L91*Source!I132, 6)*1, 2)</f>
        <v>9.94</v>
      </c>
      <c r="N91">
        <f>SmtRes!AB103</f>
        <v>5.94</v>
      </c>
      <c r="O91">
        <f>ROUND(ROUND(L91*Source!I132, 6)*SmtRes!DA103, 2)</f>
        <v>9.94</v>
      </c>
      <c r="P91">
        <f>SmtRes!AG103</f>
        <v>0.02</v>
      </c>
      <c r="Q91">
        <f>SmtRes!DC103</f>
        <v>0</v>
      </c>
      <c r="R91">
        <f>ROUND(ROUND(Q91*Source!I132, 6)*1, 2)</f>
        <v>0</v>
      </c>
      <c r="S91">
        <f>SmtRes!AC103</f>
        <v>0.02</v>
      </c>
      <c r="T91">
        <f>ROUND(ROUND(Q91*Source!I132, 6)*SmtRes!AK103, 2)</f>
        <v>0</v>
      </c>
      <c r="U91">
        <f>SmtRes!X103</f>
        <v>-764600179</v>
      </c>
      <c r="V91">
        <v>892192163</v>
      </c>
      <c r="W91">
        <v>892192163</v>
      </c>
    </row>
    <row r="92" spans="1:23" x14ac:dyDescent="0.2">
      <c r="A92">
        <f>Source!A132</f>
        <v>17</v>
      </c>
      <c r="C92">
        <v>2</v>
      </c>
      <c r="D92">
        <v>0</v>
      </c>
      <c r="E92">
        <f>SmtRes!AV102</f>
        <v>0</v>
      </c>
      <c r="F92" t="str">
        <f>SmtRes!I102</f>
        <v>22.1-13-15</v>
      </c>
      <c r="G92" t="str">
        <f>SmtRes!K102</f>
        <v>Аппараты сварочные</v>
      </c>
      <c r="H92" t="str">
        <f>SmtRes!O102</f>
        <v>маш.-ч</v>
      </c>
      <c r="I92">
        <f>SmtRes!Y102*Source!I132</f>
        <v>5.6140800000000004</v>
      </c>
      <c r="J92">
        <f>SmtRes!AO102</f>
        <v>1</v>
      </c>
      <c r="K92">
        <f>SmtRes!AF102</f>
        <v>351.29</v>
      </c>
      <c r="L92">
        <f>SmtRes!DB102</f>
        <v>26.98</v>
      </c>
      <c r="M92">
        <f>ROUND(ROUND(L92*Source!I132, 6)*1, 2)</f>
        <v>1972.24</v>
      </c>
      <c r="N92">
        <f>SmtRes!AB102</f>
        <v>351.29</v>
      </c>
      <c r="O92">
        <f>ROUND(ROUND(L92*Source!I132, 6)*SmtRes!DA102, 2)</f>
        <v>1972.24</v>
      </c>
      <c r="P92">
        <f>SmtRes!AG102</f>
        <v>7.02</v>
      </c>
      <c r="Q92">
        <f>SmtRes!DC102</f>
        <v>0.54</v>
      </c>
      <c r="R92">
        <f>ROUND(ROUND(Q92*Source!I132, 6)*1, 2)</f>
        <v>39.47</v>
      </c>
      <c r="S92">
        <f>SmtRes!AC102</f>
        <v>7.02</v>
      </c>
      <c r="T92">
        <f>ROUND(ROUND(Q92*Source!I132, 6)*SmtRes!AK102, 2)</f>
        <v>39.47</v>
      </c>
      <c r="U92">
        <f>SmtRes!X102</f>
        <v>-711828296</v>
      </c>
      <c r="V92">
        <v>-2029004941</v>
      </c>
      <c r="W92">
        <v>-2029004941</v>
      </c>
    </row>
    <row r="93" spans="1:23" x14ac:dyDescent="0.2">
      <c r="A93">
        <f>Source!A133</f>
        <v>17</v>
      </c>
      <c r="C93">
        <v>2</v>
      </c>
      <c r="D93">
        <v>0</v>
      </c>
      <c r="E93">
        <f>SmtRes!AV111</f>
        <v>0</v>
      </c>
      <c r="F93" t="str">
        <f>SmtRes!I111</f>
        <v>22.1-30-54</v>
      </c>
      <c r="G93" t="str">
        <f>SmtRes!K111</f>
        <v>Молотки отбойные</v>
      </c>
      <c r="H93" t="str">
        <f>SmtRes!O111</f>
        <v>маш.-ч</v>
      </c>
      <c r="I93">
        <f>SmtRes!Y111*Source!I133</f>
        <v>1.7549999999999999</v>
      </c>
      <c r="J93">
        <f>SmtRes!AO111</f>
        <v>1</v>
      </c>
      <c r="K93">
        <f>SmtRes!AF111</f>
        <v>6.02</v>
      </c>
      <c r="L93">
        <f>SmtRes!DB111</f>
        <v>11.74</v>
      </c>
      <c r="M93">
        <f>ROUND(ROUND(L93*Source!I133, 6)*1, 2)</f>
        <v>10.57</v>
      </c>
      <c r="N93">
        <f>SmtRes!AB111</f>
        <v>6.02</v>
      </c>
      <c r="O93">
        <f>ROUND(ROUND(L93*Source!I133, 6)*SmtRes!DA111, 2)</f>
        <v>10.57</v>
      </c>
      <c r="P93">
        <f>SmtRes!AG111</f>
        <v>0.02</v>
      </c>
      <c r="Q93">
        <f>SmtRes!DC111</f>
        <v>0.04</v>
      </c>
      <c r="R93">
        <f>ROUND(ROUND(Q93*Source!I133, 6)*1, 2)</f>
        <v>0.04</v>
      </c>
      <c r="S93">
        <f>SmtRes!AC111</f>
        <v>0.02</v>
      </c>
      <c r="T93">
        <f>ROUND(ROUND(Q93*Source!I133, 6)*SmtRes!AK111, 2)</f>
        <v>0.04</v>
      </c>
      <c r="U93">
        <f>SmtRes!X111</f>
        <v>-352447613</v>
      </c>
      <c r="V93">
        <v>422992909</v>
      </c>
      <c r="W93">
        <v>422992909</v>
      </c>
    </row>
    <row r="94" spans="1:23" x14ac:dyDescent="0.2">
      <c r="A94">
        <f>Source!A133</f>
        <v>17</v>
      </c>
      <c r="C94">
        <v>2</v>
      </c>
      <c r="D94">
        <v>0</v>
      </c>
      <c r="E94">
        <f>SmtRes!AV110</f>
        <v>0</v>
      </c>
      <c r="F94" t="str">
        <f>SmtRes!I110</f>
        <v>22.1-10-4</v>
      </c>
      <c r="G94" t="str">
        <f>SmtRes!K110</f>
        <v>Компрессоры с дизельным двигателем прицепные до 2,5 м3/мин</v>
      </c>
      <c r="H94" t="str">
        <f>SmtRes!O110</f>
        <v>маш.-ч</v>
      </c>
      <c r="I94">
        <f>SmtRes!Y110*Source!I133</f>
        <v>1.7549999999999999</v>
      </c>
      <c r="J94">
        <f>SmtRes!AO110</f>
        <v>1</v>
      </c>
      <c r="K94">
        <f>SmtRes!AF110</f>
        <v>470.71</v>
      </c>
      <c r="L94">
        <f>SmtRes!DB110</f>
        <v>917.88</v>
      </c>
      <c r="M94">
        <f>ROUND(ROUND(L94*Source!I133, 6)*1, 2)</f>
        <v>826.09</v>
      </c>
      <c r="N94">
        <f>SmtRes!AB110</f>
        <v>470.71</v>
      </c>
      <c r="O94">
        <f>ROUND(ROUND(L94*Source!I133, 6)*SmtRes!DA110, 2)</f>
        <v>826.09</v>
      </c>
      <c r="P94">
        <f>SmtRes!AG110</f>
        <v>359.8</v>
      </c>
      <c r="Q94">
        <f>SmtRes!DC110</f>
        <v>701.61</v>
      </c>
      <c r="R94">
        <f>ROUND(ROUND(Q94*Source!I133, 6)*1, 2)</f>
        <v>631.45000000000005</v>
      </c>
      <c r="S94">
        <f>SmtRes!AC110</f>
        <v>359.8</v>
      </c>
      <c r="T94">
        <f>ROUND(ROUND(Q94*Source!I133, 6)*SmtRes!AK110, 2)</f>
        <v>631.45000000000005</v>
      </c>
      <c r="U94">
        <f>SmtRes!X110</f>
        <v>830483721</v>
      </c>
      <c r="V94">
        <v>948852901</v>
      </c>
      <c r="W94">
        <v>948852901</v>
      </c>
    </row>
    <row r="95" spans="1:23" x14ac:dyDescent="0.2">
      <c r="A95">
        <f>Source!A137</f>
        <v>17</v>
      </c>
      <c r="C95">
        <v>2</v>
      </c>
      <c r="D95">
        <v>0</v>
      </c>
      <c r="E95">
        <f>SmtRes!AV116</f>
        <v>0</v>
      </c>
      <c r="F95" t="str">
        <f>SmtRes!I116</f>
        <v>22.1-18-13</v>
      </c>
      <c r="G95" t="str">
        <f>SmtRes!K116</f>
        <v>Автомобили-самосвалы, грузоподъемность до 10 т</v>
      </c>
      <c r="H95" t="str">
        <f>SmtRes!O116</f>
        <v>маш.-ч</v>
      </c>
      <c r="I95">
        <f>SmtRes!Y116*Source!I137</f>
        <v>4.3399999999999994E-2</v>
      </c>
      <c r="J95">
        <f>SmtRes!AO116</f>
        <v>1</v>
      </c>
      <c r="K95">
        <f>SmtRes!AF116</f>
        <v>1014.12</v>
      </c>
      <c r="L95">
        <f>SmtRes!DB116</f>
        <v>31.44</v>
      </c>
      <c r="M95">
        <f>ROUND(ROUND(L95*Source!I137, 6)*1, 2)</f>
        <v>44.02</v>
      </c>
      <c r="N95">
        <f>SmtRes!AB116</f>
        <v>1014.12</v>
      </c>
      <c r="O95">
        <f>ROUND(ROUND(L95*Source!I137, 6)*SmtRes!DA116, 2)</f>
        <v>44.02</v>
      </c>
      <c r="P95">
        <f>SmtRes!AG116</f>
        <v>317.13</v>
      </c>
      <c r="Q95">
        <f>SmtRes!DC116</f>
        <v>9.83</v>
      </c>
      <c r="R95">
        <f>ROUND(ROUND(Q95*Source!I137, 6)*1, 2)</f>
        <v>13.76</v>
      </c>
      <c r="S95">
        <f>SmtRes!AC116</f>
        <v>317.13</v>
      </c>
      <c r="T95">
        <f>ROUND(ROUND(Q95*Source!I137, 6)*SmtRes!AK116, 2)</f>
        <v>13.76</v>
      </c>
      <c r="U95">
        <f>SmtRes!X116</f>
        <v>486337296</v>
      </c>
      <c r="V95">
        <v>-1297827098</v>
      </c>
      <c r="W95">
        <v>-1297827098</v>
      </c>
    </row>
    <row r="96" spans="1:23" x14ac:dyDescent="0.2">
      <c r="A96">
        <f>Source!A138</f>
        <v>17</v>
      </c>
      <c r="C96">
        <v>2</v>
      </c>
      <c r="D96">
        <v>0</v>
      </c>
      <c r="E96">
        <f>SmtRes!AV117</f>
        <v>0</v>
      </c>
      <c r="F96" t="str">
        <f>SmtRes!I117</f>
        <v>22.1-18-13</v>
      </c>
      <c r="G96" t="str">
        <f>SmtRes!K117</f>
        <v>Автомобили-самосвалы, грузоподъемность до 10 т</v>
      </c>
      <c r="H96" t="str">
        <f>SmtRes!O117</f>
        <v>маш.-ч</v>
      </c>
      <c r="I96">
        <f>SmtRes!Y117*Source!I138</f>
        <v>0.44799999999999995</v>
      </c>
      <c r="J96">
        <f>SmtRes!AO117</f>
        <v>1</v>
      </c>
      <c r="K96">
        <f>SmtRes!AF117</f>
        <v>1014.12</v>
      </c>
      <c r="L96">
        <f>SmtRes!DB117</f>
        <v>324.48</v>
      </c>
      <c r="M96">
        <f>ROUND(ROUND(L96*Source!I138, 6)*1, 2)</f>
        <v>454.27</v>
      </c>
      <c r="N96">
        <f>SmtRes!AB117</f>
        <v>1014.12</v>
      </c>
      <c r="O96">
        <f>ROUND(ROUND(L96*Source!I138, 6)*SmtRes!DA117, 2)</f>
        <v>454.27</v>
      </c>
      <c r="P96">
        <f>SmtRes!AG117</f>
        <v>317.13</v>
      </c>
      <c r="Q96">
        <f>SmtRes!DC117</f>
        <v>101.44</v>
      </c>
      <c r="R96">
        <f>ROUND(ROUND(Q96*Source!I138, 6)*1, 2)</f>
        <v>142.02000000000001</v>
      </c>
      <c r="S96">
        <f>SmtRes!AC117</f>
        <v>317.13</v>
      </c>
      <c r="T96">
        <f>ROUND(ROUND(Q96*Source!I138, 6)*SmtRes!AK117, 2)</f>
        <v>142.02000000000001</v>
      </c>
      <c r="U96">
        <f>SmtRes!X117</f>
        <v>486337296</v>
      </c>
      <c r="V96">
        <v>-1297827098</v>
      </c>
      <c r="W96">
        <v>-1297827098</v>
      </c>
    </row>
    <row r="97" spans="1:23" x14ac:dyDescent="0.2">
      <c r="A97">
        <f>Source!A139</f>
        <v>17</v>
      </c>
      <c r="C97">
        <v>3</v>
      </c>
      <c r="D97">
        <v>0</v>
      </c>
      <c r="E97">
        <f>SmtRes!AV121</f>
        <v>0</v>
      </c>
      <c r="F97" t="str">
        <f>SmtRes!I121</f>
        <v>21.1-25-13</v>
      </c>
      <c r="G97" t="str">
        <f>SmtRes!K121</f>
        <v>Вода</v>
      </c>
      <c r="H97" t="str">
        <f>SmtRes!O121</f>
        <v>м3</v>
      </c>
      <c r="I97">
        <f>SmtRes!Y121*Source!I139</f>
        <v>5.6999999999999995E-2</v>
      </c>
      <c r="J97">
        <f>SmtRes!AO121</f>
        <v>1</v>
      </c>
      <c r="K97">
        <f>SmtRes!AE121</f>
        <v>35.25</v>
      </c>
      <c r="L97">
        <f>SmtRes!DB121</f>
        <v>1.06</v>
      </c>
      <c r="M97">
        <f>ROUND(ROUND(L97*Source!I139, 6)*1, 2)</f>
        <v>2.0099999999999998</v>
      </c>
      <c r="N97">
        <f>SmtRes!AA121</f>
        <v>35.25</v>
      </c>
      <c r="O97">
        <f>ROUND(ROUND(L97*Source!I139, 6)*SmtRes!DA121, 2)</f>
        <v>2.0099999999999998</v>
      </c>
      <c r="P97">
        <f>SmtRes!AG121</f>
        <v>0</v>
      </c>
      <c r="Q97">
        <f>SmtRes!DC121</f>
        <v>0</v>
      </c>
      <c r="R97">
        <f>ROUND(ROUND(Q97*Source!I139, 6)*1, 2)</f>
        <v>0</v>
      </c>
      <c r="S97">
        <f>SmtRes!AC121</f>
        <v>0</v>
      </c>
      <c r="T97">
        <f>ROUND(ROUND(Q97*Source!I139, 6)*SmtRes!AK121, 2)</f>
        <v>0</v>
      </c>
      <c r="U97">
        <f>SmtRes!X121</f>
        <v>1927597627</v>
      </c>
      <c r="V97">
        <v>-1829664509</v>
      </c>
      <c r="W97">
        <v>-1829664509</v>
      </c>
    </row>
    <row r="98" spans="1:23" x14ac:dyDescent="0.2">
      <c r="A98">
        <f>Source!A139</f>
        <v>17</v>
      </c>
      <c r="C98">
        <v>3</v>
      </c>
      <c r="D98">
        <v>0</v>
      </c>
      <c r="E98">
        <f>SmtRes!AV120</f>
        <v>0</v>
      </c>
      <c r="F98" t="str">
        <f>SmtRes!I120</f>
        <v>21.1-12-36</v>
      </c>
      <c r="G98" t="str">
        <f>SmtRes!K120</f>
        <v>Щебень из естественного камня для строительных работ, марка 1200-800, фракция 20-40 мм</v>
      </c>
      <c r="H98" t="str">
        <f>SmtRes!O120</f>
        <v>м3</v>
      </c>
      <c r="I98">
        <f>SmtRes!Y120*Source!I139</f>
        <v>0.45599999999999996</v>
      </c>
      <c r="J98">
        <f>SmtRes!AO120</f>
        <v>1</v>
      </c>
      <c r="K98">
        <f>SmtRes!AE120</f>
        <v>1763.75</v>
      </c>
      <c r="L98">
        <f>SmtRes!DB120</f>
        <v>423.3</v>
      </c>
      <c r="M98">
        <f>ROUND(ROUND(L98*Source!I139, 6)*1, 2)</f>
        <v>804.27</v>
      </c>
      <c r="N98">
        <f>SmtRes!AA120</f>
        <v>1763.75</v>
      </c>
      <c r="O98">
        <f>ROUND(ROUND(L98*Source!I139, 6)*SmtRes!DA120, 2)</f>
        <v>804.27</v>
      </c>
      <c r="P98">
        <f>SmtRes!AG120</f>
        <v>0</v>
      </c>
      <c r="Q98">
        <f>SmtRes!DC120</f>
        <v>0</v>
      </c>
      <c r="R98">
        <f>ROUND(ROUND(Q98*Source!I139, 6)*1, 2)</f>
        <v>0</v>
      </c>
      <c r="S98">
        <f>SmtRes!AC120</f>
        <v>0</v>
      </c>
      <c r="T98">
        <f>ROUND(ROUND(Q98*Source!I139, 6)*SmtRes!AK120, 2)</f>
        <v>0</v>
      </c>
      <c r="U98">
        <f>SmtRes!X120</f>
        <v>-886425656</v>
      </c>
      <c r="V98">
        <v>-671760782</v>
      </c>
      <c r="W98">
        <v>-671760782</v>
      </c>
    </row>
    <row r="99" spans="1:23" x14ac:dyDescent="0.2">
      <c r="A99">
        <f>Source!A139</f>
        <v>17</v>
      </c>
      <c r="C99">
        <v>3</v>
      </c>
      <c r="D99">
        <v>0</v>
      </c>
      <c r="E99">
        <f>SmtRes!AV119</f>
        <v>0</v>
      </c>
      <c r="F99" t="str">
        <f>SmtRes!I119</f>
        <v>21.1-12-35</v>
      </c>
      <c r="G99" t="str">
        <f>SmtRes!K119</f>
        <v>Щебень из естественного камня для строительных работ, марка 1200-800, фракция 10-20 мм</v>
      </c>
      <c r="H99" t="str">
        <f>SmtRes!O119</f>
        <v>м3</v>
      </c>
      <c r="I99">
        <f>SmtRes!Y119*Source!I139</f>
        <v>0.11399999999999999</v>
      </c>
      <c r="J99">
        <f>SmtRes!AO119</f>
        <v>1</v>
      </c>
      <c r="K99">
        <f>SmtRes!AE119</f>
        <v>1865.77</v>
      </c>
      <c r="L99">
        <f>SmtRes!DB119</f>
        <v>111.95</v>
      </c>
      <c r="M99">
        <f>ROUND(ROUND(L99*Source!I139, 6)*1, 2)</f>
        <v>212.71</v>
      </c>
      <c r="N99">
        <f>SmtRes!AA119</f>
        <v>1865.77</v>
      </c>
      <c r="O99">
        <f>ROUND(ROUND(L99*Source!I139, 6)*SmtRes!DA119, 2)</f>
        <v>212.71</v>
      </c>
      <c r="P99">
        <f>SmtRes!AG119</f>
        <v>0</v>
      </c>
      <c r="Q99">
        <f>SmtRes!DC119</f>
        <v>0</v>
      </c>
      <c r="R99">
        <f>ROUND(ROUND(Q99*Source!I139, 6)*1, 2)</f>
        <v>0</v>
      </c>
      <c r="S99">
        <f>SmtRes!AC119</f>
        <v>0</v>
      </c>
      <c r="T99">
        <f>ROUND(ROUND(Q99*Source!I139, 6)*SmtRes!AK119, 2)</f>
        <v>0</v>
      </c>
      <c r="U99">
        <f>SmtRes!X119</f>
        <v>1099845635</v>
      </c>
      <c r="V99">
        <v>125426679</v>
      </c>
      <c r="W99">
        <v>125426679</v>
      </c>
    </row>
    <row r="100" spans="1:23" x14ac:dyDescent="0.2">
      <c r="A100">
        <f>Source!A140</f>
        <v>17</v>
      </c>
      <c r="C100">
        <v>3</v>
      </c>
      <c r="D100">
        <v>0</v>
      </c>
      <c r="E100">
        <f>SmtRes!AV125</f>
        <v>0</v>
      </c>
      <c r="F100" t="str">
        <f>SmtRes!I125</f>
        <v>21.1-25-13</v>
      </c>
      <c r="G100" t="str">
        <f>SmtRes!K125</f>
        <v>Вода</v>
      </c>
      <c r="H100" t="str">
        <f>SmtRes!O125</f>
        <v>м3</v>
      </c>
      <c r="I100">
        <f>SmtRes!Y125*Source!I140</f>
        <v>1.9E-2</v>
      </c>
      <c r="J100">
        <f>SmtRes!AO125</f>
        <v>1</v>
      </c>
      <c r="K100">
        <f>SmtRes!AE125</f>
        <v>35.25</v>
      </c>
      <c r="L100">
        <f>SmtRes!DB125</f>
        <v>0.35</v>
      </c>
      <c r="M100">
        <f>ROUND(ROUND(L100*Source!I140, 6)*1, 2)</f>
        <v>0.67</v>
      </c>
      <c r="N100">
        <f>SmtRes!AA125</f>
        <v>35.25</v>
      </c>
      <c r="O100">
        <f>ROUND(ROUND(L100*Source!I140, 6)*SmtRes!DA125, 2)</f>
        <v>0.67</v>
      </c>
      <c r="P100">
        <f>SmtRes!AG125</f>
        <v>0</v>
      </c>
      <c r="Q100">
        <f>SmtRes!DC125</f>
        <v>0</v>
      </c>
      <c r="R100">
        <f>ROUND(ROUND(Q100*Source!I140, 6)*1, 2)</f>
        <v>0</v>
      </c>
      <c r="S100">
        <f>SmtRes!AC125</f>
        <v>0</v>
      </c>
      <c r="T100">
        <f>ROUND(ROUND(Q100*Source!I140, 6)*SmtRes!AK125, 2)</f>
        <v>0</v>
      </c>
      <c r="U100">
        <f>SmtRes!X125</f>
        <v>1927597627</v>
      </c>
      <c r="V100">
        <v>-1829664509</v>
      </c>
      <c r="W100">
        <v>-1829664509</v>
      </c>
    </row>
    <row r="101" spans="1:23" x14ac:dyDescent="0.2">
      <c r="A101">
        <f>Source!A140</f>
        <v>17</v>
      </c>
      <c r="C101">
        <v>3</v>
      </c>
      <c r="D101">
        <v>0</v>
      </c>
      <c r="E101">
        <f>SmtRes!AV124</f>
        <v>0</v>
      </c>
      <c r="F101" t="str">
        <f>SmtRes!I124</f>
        <v>21.1-12-11</v>
      </c>
      <c r="G101" t="str">
        <f>SmtRes!K124</f>
        <v>Песок для строительных работ, рядовой</v>
      </c>
      <c r="H101" t="str">
        <f>SmtRes!O124</f>
        <v>м3</v>
      </c>
      <c r="I101">
        <f>SmtRes!Y124*Source!I140</f>
        <v>0.19949999999999998</v>
      </c>
      <c r="J101">
        <f>SmtRes!AO124</f>
        <v>1</v>
      </c>
      <c r="K101">
        <f>SmtRes!AE124</f>
        <v>590.78</v>
      </c>
      <c r="L101">
        <f>SmtRes!DB124</f>
        <v>62.03</v>
      </c>
      <c r="M101">
        <f>ROUND(ROUND(L101*Source!I140, 6)*1, 2)</f>
        <v>117.86</v>
      </c>
      <c r="N101">
        <f>SmtRes!AA124</f>
        <v>590.78</v>
      </c>
      <c r="O101">
        <f>ROUND(ROUND(L101*Source!I140, 6)*SmtRes!DA124, 2)</f>
        <v>117.86</v>
      </c>
      <c r="P101">
        <f>SmtRes!AG124</f>
        <v>0</v>
      </c>
      <c r="Q101">
        <f>SmtRes!DC124</f>
        <v>0</v>
      </c>
      <c r="R101">
        <f>ROUND(ROUND(Q101*Source!I140, 6)*1, 2)</f>
        <v>0</v>
      </c>
      <c r="S101">
        <f>SmtRes!AC124</f>
        <v>0</v>
      </c>
      <c r="T101">
        <f>ROUND(ROUND(Q101*Source!I140, 6)*SmtRes!AK124, 2)</f>
        <v>0</v>
      </c>
      <c r="U101">
        <f>SmtRes!X124</f>
        <v>909340900</v>
      </c>
      <c r="V101">
        <v>339149647</v>
      </c>
      <c r="W101">
        <v>339149647</v>
      </c>
    </row>
    <row r="102" spans="1:23" x14ac:dyDescent="0.2">
      <c r="A102">
        <f>Source!A140</f>
        <v>17</v>
      </c>
      <c r="C102">
        <v>2</v>
      </c>
      <c r="D102">
        <v>0</v>
      </c>
      <c r="E102">
        <f>SmtRes!AV123</f>
        <v>0</v>
      </c>
      <c r="F102" t="str">
        <f>SmtRes!I123</f>
        <v>22.1-5-17</v>
      </c>
      <c r="G102" t="str">
        <f>SmtRes!K123</f>
        <v>Поливомоечные машины, емкость цистерны до 5000 л</v>
      </c>
      <c r="H102" t="str">
        <f>SmtRes!O123</f>
        <v>маш.-ч</v>
      </c>
      <c r="I102">
        <f>SmtRes!Y123*Source!I140</f>
        <v>5.7000000000000002E-3</v>
      </c>
      <c r="J102">
        <f>SmtRes!AO123</f>
        <v>1</v>
      </c>
      <c r="K102">
        <f>SmtRes!AF123</f>
        <v>1270.56</v>
      </c>
      <c r="L102">
        <f>SmtRes!DB123</f>
        <v>3.81</v>
      </c>
      <c r="M102">
        <f>ROUND(ROUND(L102*Source!I140, 6)*1, 2)</f>
        <v>7.24</v>
      </c>
      <c r="N102">
        <f>SmtRes!AB123</f>
        <v>1270.56</v>
      </c>
      <c r="O102">
        <f>ROUND(ROUND(L102*Source!I140, 6)*SmtRes!DA123, 2)</f>
        <v>7.24</v>
      </c>
      <c r="P102">
        <f>SmtRes!AG123</f>
        <v>493.86</v>
      </c>
      <c r="Q102">
        <f>SmtRes!DC123</f>
        <v>1.48</v>
      </c>
      <c r="R102">
        <f>ROUND(ROUND(Q102*Source!I140, 6)*1, 2)</f>
        <v>2.81</v>
      </c>
      <c r="S102">
        <f>SmtRes!AC123</f>
        <v>493.86</v>
      </c>
      <c r="T102">
        <f>ROUND(ROUND(Q102*Source!I140, 6)*SmtRes!AK123, 2)</f>
        <v>2.81</v>
      </c>
      <c r="U102">
        <f>SmtRes!X123</f>
        <v>112346818</v>
      </c>
      <c r="V102">
        <v>-278163943</v>
      </c>
      <c r="W102">
        <v>-278163943</v>
      </c>
    </row>
    <row r="103" spans="1:23" x14ac:dyDescent="0.2">
      <c r="A103">
        <f>Source!A141</f>
        <v>17</v>
      </c>
      <c r="C103">
        <v>3</v>
      </c>
      <c r="D103">
        <v>0</v>
      </c>
      <c r="E103">
        <f>SmtRes!AV140</f>
        <v>0</v>
      </c>
      <c r="F103" t="str">
        <f>SmtRes!I140</f>
        <v>21.9-11-3</v>
      </c>
      <c r="G103" t="str">
        <f>SmtRes!K140</f>
        <v>Щиты деревянные для фундаментов, колонн, балок, перекрытий, стен, перегородок и других конструкций из досок, толщина 40мм</v>
      </c>
      <c r="H103" t="str">
        <f>SmtRes!O140</f>
        <v>м2</v>
      </c>
      <c r="I103">
        <f>SmtRes!Y140*Source!I141</f>
        <v>6.8040000000000003E-2</v>
      </c>
      <c r="J103">
        <f>SmtRes!AO140</f>
        <v>1</v>
      </c>
      <c r="K103">
        <f>SmtRes!AE140</f>
        <v>473.82</v>
      </c>
      <c r="L103">
        <f>SmtRes!DB140</f>
        <v>1705.75</v>
      </c>
      <c r="M103">
        <f>ROUND(ROUND(L103*Source!I141, 6)*1, 2)</f>
        <v>32.24</v>
      </c>
      <c r="N103">
        <f>SmtRes!AA140</f>
        <v>473.82</v>
      </c>
      <c r="O103">
        <f>ROUND(ROUND(L103*Source!I141, 6)*SmtRes!DA140, 2)</f>
        <v>32.24</v>
      </c>
      <c r="P103">
        <f>SmtRes!AG140</f>
        <v>0</v>
      </c>
      <c r="Q103">
        <f>SmtRes!DC140</f>
        <v>0</v>
      </c>
      <c r="R103">
        <f>ROUND(ROUND(Q103*Source!I141, 6)*1, 2)</f>
        <v>0</v>
      </c>
      <c r="S103">
        <f>SmtRes!AC140</f>
        <v>0</v>
      </c>
      <c r="T103">
        <f>ROUND(ROUND(Q103*Source!I141, 6)*SmtRes!AK140, 2)</f>
        <v>0</v>
      </c>
      <c r="U103">
        <f>SmtRes!X140</f>
        <v>1680411856</v>
      </c>
      <c r="V103">
        <v>-334664347</v>
      </c>
      <c r="W103">
        <v>-334664347</v>
      </c>
    </row>
    <row r="104" spans="1:23" x14ac:dyDescent="0.2">
      <c r="A104">
        <f>Source!A141</f>
        <v>17</v>
      </c>
      <c r="C104">
        <v>3</v>
      </c>
      <c r="D104">
        <v>0</v>
      </c>
      <c r="E104">
        <f>SmtRes!AV139</f>
        <v>0</v>
      </c>
      <c r="F104" t="str">
        <f>SmtRes!I139</f>
        <v>21.3-4-18</v>
      </c>
      <c r="G104" t="str">
        <f>SmtRes!K139</f>
        <v>Арматурные заготовки (стержни, хомуты и т.п.), не собранные в каркасы или сетки, арматурная сталь периодического профиля, класс А-III, диаметр 16-18 мм</v>
      </c>
      <c r="H104" t="str">
        <f>SmtRes!O139</f>
        <v>т</v>
      </c>
      <c r="I104">
        <f>SmtRes!Y139*Source!I141</f>
        <v>0.15309</v>
      </c>
      <c r="J104">
        <f>SmtRes!AO139</f>
        <v>1</v>
      </c>
      <c r="K104">
        <f>SmtRes!AE139</f>
        <v>34634.379999999997</v>
      </c>
      <c r="L104">
        <f>SmtRes!DB139</f>
        <v>280538.48</v>
      </c>
      <c r="M104">
        <f>ROUND(ROUND(L104*Source!I141, 6)*1, 2)</f>
        <v>5302.18</v>
      </c>
      <c r="N104">
        <f>SmtRes!AA139</f>
        <v>34634.379999999997</v>
      </c>
      <c r="O104">
        <f>ROUND(ROUND(L104*Source!I141, 6)*SmtRes!DA139, 2)</f>
        <v>5302.18</v>
      </c>
      <c r="P104">
        <f>SmtRes!AG139</f>
        <v>0</v>
      </c>
      <c r="Q104">
        <f>SmtRes!DC139</f>
        <v>0</v>
      </c>
      <c r="R104">
        <f>ROUND(ROUND(Q104*Source!I141, 6)*1, 2)</f>
        <v>0</v>
      </c>
      <c r="S104">
        <f>SmtRes!AC139</f>
        <v>0</v>
      </c>
      <c r="T104">
        <f>ROUND(ROUND(Q104*Source!I141, 6)*SmtRes!AK139, 2)</f>
        <v>0</v>
      </c>
      <c r="U104">
        <f>SmtRes!X139</f>
        <v>653530504</v>
      </c>
      <c r="V104">
        <v>2014880110</v>
      </c>
      <c r="W104">
        <v>2014880110</v>
      </c>
    </row>
    <row r="105" spans="1:23" x14ac:dyDescent="0.2">
      <c r="A105">
        <f>Source!A141</f>
        <v>17</v>
      </c>
      <c r="C105">
        <v>3</v>
      </c>
      <c r="D105">
        <v>0</v>
      </c>
      <c r="E105">
        <f>SmtRes!AV136</f>
        <v>0</v>
      </c>
      <c r="F105" t="str">
        <f>SmtRes!I136</f>
        <v>21.1-9-57</v>
      </c>
      <c r="G105" t="str">
        <f>SmtRes!K136</f>
        <v>Доски хвойных пород, обрезные, длина 2-6,5 м, сорт III, толщина 40-60 мм</v>
      </c>
      <c r="H105" t="str">
        <f>SmtRes!O136</f>
        <v>м3</v>
      </c>
      <c r="I105">
        <f>SmtRes!Y136*Source!I141</f>
        <v>7.5600000000000005E-4</v>
      </c>
      <c r="J105">
        <f>SmtRes!AO136</f>
        <v>1</v>
      </c>
      <c r="K105">
        <f>SmtRes!AE136</f>
        <v>7098.7</v>
      </c>
      <c r="L105">
        <f>SmtRes!DB136</f>
        <v>283.95</v>
      </c>
      <c r="M105">
        <f>ROUND(ROUND(L105*Source!I141, 6)*1, 2)</f>
        <v>5.37</v>
      </c>
      <c r="N105">
        <f>SmtRes!AA136</f>
        <v>7098.7</v>
      </c>
      <c r="O105">
        <f>ROUND(ROUND(L105*Source!I141, 6)*SmtRes!DA136, 2)</f>
        <v>5.37</v>
      </c>
      <c r="P105">
        <f>SmtRes!AG136</f>
        <v>0</v>
      </c>
      <c r="Q105">
        <f>SmtRes!DC136</f>
        <v>0</v>
      </c>
      <c r="R105">
        <f>ROUND(ROUND(Q105*Source!I141, 6)*1, 2)</f>
        <v>0</v>
      </c>
      <c r="S105">
        <f>SmtRes!AC136</f>
        <v>0</v>
      </c>
      <c r="T105">
        <f>ROUND(ROUND(Q105*Source!I141, 6)*SmtRes!AK136, 2)</f>
        <v>0</v>
      </c>
      <c r="U105">
        <f>SmtRes!X136</f>
        <v>538447250</v>
      </c>
      <c r="V105">
        <v>1167723416</v>
      </c>
      <c r="W105">
        <v>1167723416</v>
      </c>
    </row>
    <row r="106" spans="1:23" x14ac:dyDescent="0.2">
      <c r="A106">
        <f>Source!A141</f>
        <v>17</v>
      </c>
      <c r="C106">
        <v>3</v>
      </c>
      <c r="D106">
        <v>0</v>
      </c>
      <c r="E106">
        <f>SmtRes!AV135</f>
        <v>0</v>
      </c>
      <c r="F106" t="str">
        <f>SmtRes!I135</f>
        <v>21.1-25-13</v>
      </c>
      <c r="G106" t="str">
        <f>SmtRes!K135</f>
        <v>Вода</v>
      </c>
      <c r="H106" t="str">
        <f>SmtRes!O135</f>
        <v>м3</v>
      </c>
      <c r="I106">
        <f>SmtRes!Y135*Source!I141</f>
        <v>1.3797E-2</v>
      </c>
      <c r="J106">
        <f>SmtRes!AO135</f>
        <v>1</v>
      </c>
      <c r="K106">
        <f>SmtRes!AE135</f>
        <v>35.25</v>
      </c>
      <c r="L106">
        <f>SmtRes!DB135</f>
        <v>25.73</v>
      </c>
      <c r="M106">
        <f>ROUND(ROUND(L106*Source!I141, 6)*1, 2)</f>
        <v>0.49</v>
      </c>
      <c r="N106">
        <f>SmtRes!AA135</f>
        <v>35.25</v>
      </c>
      <c r="O106">
        <f>ROUND(ROUND(L106*Source!I141, 6)*SmtRes!DA135, 2)</f>
        <v>0.49</v>
      </c>
      <c r="P106">
        <f>SmtRes!AG135</f>
        <v>0</v>
      </c>
      <c r="Q106">
        <f>SmtRes!DC135</f>
        <v>0</v>
      </c>
      <c r="R106">
        <f>ROUND(ROUND(Q106*Source!I141, 6)*1, 2)</f>
        <v>0</v>
      </c>
      <c r="S106">
        <f>SmtRes!AC135</f>
        <v>0</v>
      </c>
      <c r="T106">
        <f>ROUND(ROUND(Q106*Source!I141, 6)*SmtRes!AK135, 2)</f>
        <v>0</v>
      </c>
      <c r="U106">
        <f>SmtRes!X135</f>
        <v>1927597627</v>
      </c>
      <c r="V106">
        <v>-1829664509</v>
      </c>
      <c r="W106">
        <v>-1829664509</v>
      </c>
    </row>
    <row r="107" spans="1:23" x14ac:dyDescent="0.2">
      <c r="A107">
        <f>Source!A141</f>
        <v>17</v>
      </c>
      <c r="C107">
        <v>3</v>
      </c>
      <c r="D107">
        <v>0</v>
      </c>
      <c r="E107">
        <f>SmtRes!AV134</f>
        <v>0</v>
      </c>
      <c r="F107" t="str">
        <f>SmtRes!I134</f>
        <v>21.1-2-4</v>
      </c>
      <c r="G107" t="str">
        <f>SmtRes!K134</f>
        <v>Известь негашеная комовая</v>
      </c>
      <c r="H107" t="str">
        <f>SmtRes!O134</f>
        <v>т</v>
      </c>
      <c r="I107">
        <f>SmtRes!Y134*Source!I141</f>
        <v>1.8900000000000001E-4</v>
      </c>
      <c r="J107">
        <f>SmtRes!AO134</f>
        <v>1</v>
      </c>
      <c r="K107">
        <f>SmtRes!AE134</f>
        <v>4752.34</v>
      </c>
      <c r="L107">
        <f>SmtRes!DB134</f>
        <v>47.52</v>
      </c>
      <c r="M107">
        <f>ROUND(ROUND(L107*Source!I141, 6)*1, 2)</f>
        <v>0.9</v>
      </c>
      <c r="N107">
        <f>SmtRes!AA134</f>
        <v>4752.34</v>
      </c>
      <c r="O107">
        <f>ROUND(ROUND(L107*Source!I141, 6)*SmtRes!DA134, 2)</f>
        <v>0.9</v>
      </c>
      <c r="P107">
        <f>SmtRes!AG134</f>
        <v>0</v>
      </c>
      <c r="Q107">
        <f>SmtRes!DC134</f>
        <v>0</v>
      </c>
      <c r="R107">
        <f>ROUND(ROUND(Q107*Source!I141, 6)*1, 2)</f>
        <v>0</v>
      </c>
      <c r="S107">
        <f>SmtRes!AC134</f>
        <v>0</v>
      </c>
      <c r="T107">
        <f>ROUND(ROUND(Q107*Source!I141, 6)*SmtRes!AK134, 2)</f>
        <v>0</v>
      </c>
      <c r="U107">
        <f>SmtRes!X134</f>
        <v>-459844717</v>
      </c>
      <c r="V107">
        <v>-928026910</v>
      </c>
      <c r="W107">
        <v>-928026910</v>
      </c>
    </row>
    <row r="108" spans="1:23" x14ac:dyDescent="0.2">
      <c r="A108">
        <f>Source!A141</f>
        <v>17</v>
      </c>
      <c r="C108">
        <v>3</v>
      </c>
      <c r="D108">
        <v>0</v>
      </c>
      <c r="E108">
        <f>SmtRes!AV133</f>
        <v>0</v>
      </c>
      <c r="F108" t="str">
        <f>SmtRes!I133</f>
        <v>21.1-23-9</v>
      </c>
      <c r="G108" t="str">
        <f>SmtRes!K133</f>
        <v>Электроды, тип Э-42, 46, 50, диаметр 4 - 6 мм</v>
      </c>
      <c r="H108" t="str">
        <f>SmtRes!O133</f>
        <v>т</v>
      </c>
      <c r="I108">
        <f>SmtRes!Y133*Source!I141</f>
        <v>3.0240000000000002E-3</v>
      </c>
      <c r="J108">
        <f>SmtRes!AO133</f>
        <v>1</v>
      </c>
      <c r="K108">
        <f>SmtRes!AE133</f>
        <v>110781.14</v>
      </c>
      <c r="L108">
        <f>SmtRes!DB133</f>
        <v>17724.98</v>
      </c>
      <c r="M108">
        <f>ROUND(ROUND(L108*Source!I141, 6)*1, 2)</f>
        <v>335</v>
      </c>
      <c r="N108">
        <f>SmtRes!AA133</f>
        <v>110781.14</v>
      </c>
      <c r="O108">
        <f>ROUND(ROUND(L108*Source!I141, 6)*SmtRes!DA133, 2)</f>
        <v>335</v>
      </c>
      <c r="P108">
        <f>SmtRes!AG133</f>
        <v>0</v>
      </c>
      <c r="Q108">
        <f>SmtRes!DC133</f>
        <v>0</v>
      </c>
      <c r="R108">
        <f>ROUND(ROUND(Q108*Source!I141, 6)*1, 2)</f>
        <v>0</v>
      </c>
      <c r="S108">
        <f>SmtRes!AC133</f>
        <v>0</v>
      </c>
      <c r="T108">
        <f>ROUND(ROUND(Q108*Source!I141, 6)*SmtRes!AK133, 2)</f>
        <v>0</v>
      </c>
      <c r="U108">
        <f>SmtRes!X133</f>
        <v>-672771621</v>
      </c>
      <c r="V108">
        <v>-1526606762</v>
      </c>
      <c r="W108">
        <v>-1526606762</v>
      </c>
    </row>
    <row r="109" spans="1:23" x14ac:dyDescent="0.2">
      <c r="A109">
        <f>Source!A141</f>
        <v>17</v>
      </c>
      <c r="C109">
        <v>3</v>
      </c>
      <c r="D109">
        <v>0</v>
      </c>
      <c r="E109">
        <f>SmtRes!AV132</f>
        <v>0</v>
      </c>
      <c r="F109" t="str">
        <f>SmtRes!I132</f>
        <v>21.1-20-17</v>
      </c>
      <c r="G109" t="str">
        <f>SmtRes!K132</f>
        <v>Мешковина</v>
      </c>
      <c r="H109" t="str">
        <f>SmtRes!O132</f>
        <v>м2</v>
      </c>
      <c r="I109">
        <f>SmtRes!Y132*Source!I141</f>
        <v>0.56699999999999995</v>
      </c>
      <c r="J109">
        <f>SmtRes!AO132</f>
        <v>1</v>
      </c>
      <c r="K109">
        <f>SmtRes!AE132</f>
        <v>91.89</v>
      </c>
      <c r="L109">
        <f>SmtRes!DB132</f>
        <v>2756.7</v>
      </c>
      <c r="M109">
        <f>ROUND(ROUND(L109*Source!I141, 6)*1, 2)</f>
        <v>52.1</v>
      </c>
      <c r="N109">
        <f>SmtRes!AA132</f>
        <v>91.89</v>
      </c>
      <c r="O109">
        <f>ROUND(ROUND(L109*Source!I141, 6)*SmtRes!DA132, 2)</f>
        <v>52.1</v>
      </c>
      <c r="P109">
        <f>SmtRes!AG132</f>
        <v>0</v>
      </c>
      <c r="Q109">
        <f>SmtRes!DC132</f>
        <v>0</v>
      </c>
      <c r="R109">
        <f>ROUND(ROUND(Q109*Source!I141, 6)*1, 2)</f>
        <v>0</v>
      </c>
      <c r="S109">
        <f>SmtRes!AC132</f>
        <v>0</v>
      </c>
      <c r="T109">
        <f>ROUND(ROUND(Q109*Source!I141, 6)*SmtRes!AK132, 2)</f>
        <v>0</v>
      </c>
      <c r="U109">
        <f>SmtRes!X132</f>
        <v>-2047649341</v>
      </c>
      <c r="V109">
        <v>-1336012766</v>
      </c>
      <c r="W109">
        <v>-1336012766</v>
      </c>
    </row>
    <row r="110" spans="1:23" x14ac:dyDescent="0.2">
      <c r="A110">
        <f>Source!A141</f>
        <v>17</v>
      </c>
      <c r="C110">
        <v>3</v>
      </c>
      <c r="D110">
        <v>0</v>
      </c>
      <c r="E110">
        <f>SmtRes!AV131</f>
        <v>0</v>
      </c>
      <c r="F110" t="str">
        <f>SmtRes!I131</f>
        <v>21.1-11-46</v>
      </c>
      <c r="G110" t="str">
        <f>SmtRes!K131</f>
        <v>Гвозди строительные</v>
      </c>
      <c r="H110" t="str">
        <f>SmtRes!O131</f>
        <v>т</v>
      </c>
      <c r="I110">
        <f>SmtRes!Y131*Source!I141</f>
        <v>3.7800000000000004E-5</v>
      </c>
      <c r="J110">
        <f>SmtRes!AO131</f>
        <v>1</v>
      </c>
      <c r="K110">
        <f>SmtRes!AE131</f>
        <v>49736.04</v>
      </c>
      <c r="L110">
        <f>SmtRes!DB131</f>
        <v>99.47</v>
      </c>
      <c r="M110">
        <f>ROUND(ROUND(L110*Source!I141, 6)*1, 2)</f>
        <v>1.88</v>
      </c>
      <c r="N110">
        <f>SmtRes!AA131</f>
        <v>49736.04</v>
      </c>
      <c r="O110">
        <f>ROUND(ROUND(L110*Source!I141, 6)*SmtRes!DA131, 2)</f>
        <v>1.88</v>
      </c>
      <c r="P110">
        <f>SmtRes!AG131</f>
        <v>0</v>
      </c>
      <c r="Q110">
        <f>SmtRes!DC131</f>
        <v>0</v>
      </c>
      <c r="R110">
        <f>ROUND(ROUND(Q110*Source!I141, 6)*1, 2)</f>
        <v>0</v>
      </c>
      <c r="S110">
        <f>SmtRes!AC131</f>
        <v>0</v>
      </c>
      <c r="T110">
        <f>ROUND(ROUND(Q110*Source!I141, 6)*SmtRes!AK131, 2)</f>
        <v>0</v>
      </c>
      <c r="U110">
        <f>SmtRes!X131</f>
        <v>1959613851</v>
      </c>
      <c r="V110">
        <v>-547263076</v>
      </c>
      <c r="W110">
        <v>-547263076</v>
      </c>
    </row>
    <row r="111" spans="1:23" x14ac:dyDescent="0.2">
      <c r="A111">
        <f>Source!A141</f>
        <v>17</v>
      </c>
      <c r="C111">
        <v>2</v>
      </c>
      <c r="D111">
        <v>0</v>
      </c>
      <c r="E111">
        <f>SmtRes!AV130</f>
        <v>0</v>
      </c>
      <c r="F111" t="str">
        <f>SmtRes!I130</f>
        <v>22.1-6-52</v>
      </c>
      <c r="G111" t="str">
        <f>SmtRes!K130</f>
        <v>Вибраторы глубинные</v>
      </c>
      <c r="H111" t="str">
        <f>SmtRes!O130</f>
        <v>маш.-ч</v>
      </c>
      <c r="I111">
        <f>SmtRes!Y130*Source!I141</f>
        <v>0.21262500000000001</v>
      </c>
      <c r="J111">
        <f>SmtRes!AO130</f>
        <v>1</v>
      </c>
      <c r="K111">
        <f>SmtRes!AF130</f>
        <v>10.82</v>
      </c>
      <c r="L111">
        <f>SmtRes!DB130</f>
        <v>121.73</v>
      </c>
      <c r="M111">
        <f>ROUND(ROUND(L111*Source!I141, 6)*1, 2)</f>
        <v>2.2999999999999998</v>
      </c>
      <c r="N111">
        <f>SmtRes!AB130</f>
        <v>10.82</v>
      </c>
      <c r="O111">
        <f>ROUND(ROUND(L111*Source!I141, 6)*SmtRes!DA130, 2)</f>
        <v>2.2999999999999998</v>
      </c>
      <c r="P111">
        <f>SmtRes!AG130</f>
        <v>2.97</v>
      </c>
      <c r="Q111">
        <f>SmtRes!DC130</f>
        <v>33.409999999999997</v>
      </c>
      <c r="R111">
        <f>ROUND(ROUND(Q111*Source!I141, 6)*1, 2)</f>
        <v>0.63</v>
      </c>
      <c r="S111">
        <f>SmtRes!AC130</f>
        <v>2.97</v>
      </c>
      <c r="T111">
        <f>ROUND(ROUND(Q111*Source!I141, 6)*SmtRes!AK130, 2)</f>
        <v>0.63</v>
      </c>
      <c r="U111">
        <f>SmtRes!X130</f>
        <v>1349119844</v>
      </c>
      <c r="V111">
        <v>-1115091794</v>
      </c>
      <c r="W111">
        <v>-1115091794</v>
      </c>
    </row>
    <row r="112" spans="1:23" x14ac:dyDescent="0.2">
      <c r="A112">
        <f>Source!A141</f>
        <v>17</v>
      </c>
      <c r="C112">
        <v>2</v>
      </c>
      <c r="D112">
        <v>0</v>
      </c>
      <c r="E112">
        <f>SmtRes!AV129</f>
        <v>0</v>
      </c>
      <c r="F112" t="str">
        <f>SmtRes!I129</f>
        <v>22.1-4-12</v>
      </c>
      <c r="G112" t="str">
        <f>SmtRes!K129</f>
        <v>Погрузчики на автомобильном ходу, грузоподъемность до 5 т</v>
      </c>
      <c r="H112" t="str">
        <f>SmtRes!O129</f>
        <v>маш.-ч</v>
      </c>
      <c r="I112">
        <f>SmtRes!Y129*Source!I141</f>
        <v>5.8589999999999996E-3</v>
      </c>
      <c r="J112">
        <f>SmtRes!AO129</f>
        <v>1</v>
      </c>
      <c r="K112">
        <f>SmtRes!AF129</f>
        <v>683.9</v>
      </c>
      <c r="L112">
        <f>SmtRes!DB129</f>
        <v>212.01</v>
      </c>
      <c r="M112">
        <f>ROUND(ROUND(L112*Source!I141, 6)*1, 2)</f>
        <v>4.01</v>
      </c>
      <c r="N112">
        <f>SmtRes!AB129</f>
        <v>683.9</v>
      </c>
      <c r="O112">
        <f>ROUND(ROUND(L112*Source!I141, 6)*SmtRes!DA129, 2)</f>
        <v>4.01</v>
      </c>
      <c r="P112">
        <f>SmtRes!AG129</f>
        <v>371.27</v>
      </c>
      <c r="Q112">
        <f>SmtRes!DC129</f>
        <v>115.09</v>
      </c>
      <c r="R112">
        <f>ROUND(ROUND(Q112*Source!I141, 6)*1, 2)</f>
        <v>2.1800000000000002</v>
      </c>
      <c r="S112">
        <f>SmtRes!AC129</f>
        <v>371.27</v>
      </c>
      <c r="T112">
        <f>ROUND(ROUND(Q112*Source!I141, 6)*SmtRes!AK129, 2)</f>
        <v>2.1800000000000002</v>
      </c>
      <c r="U112">
        <f>SmtRes!X129</f>
        <v>-1323805330</v>
      </c>
      <c r="V112">
        <v>1986574417</v>
      </c>
      <c r="W112">
        <v>1986574417</v>
      </c>
    </row>
    <row r="113" spans="1:23" x14ac:dyDescent="0.2">
      <c r="A113">
        <f>Source!A141</f>
        <v>17</v>
      </c>
      <c r="C113">
        <v>2</v>
      </c>
      <c r="D113">
        <v>0</v>
      </c>
      <c r="E113">
        <f>SmtRes!AV128</f>
        <v>0</v>
      </c>
      <c r="F113" t="str">
        <f>SmtRes!I128</f>
        <v>22.1-30-26</v>
      </c>
      <c r="G113" t="str">
        <f>SmtRes!K128</f>
        <v>Пилы ручные электрические</v>
      </c>
      <c r="H113" t="str">
        <f>SmtRes!O128</f>
        <v>маш.-ч</v>
      </c>
      <c r="I113">
        <f>SmtRes!Y128*Source!I141</f>
        <v>2.2680000000000001E-3</v>
      </c>
      <c r="J113">
        <f>SmtRes!AO128</f>
        <v>1</v>
      </c>
      <c r="K113">
        <f>SmtRes!AF128</f>
        <v>3.67</v>
      </c>
      <c r="L113">
        <f>SmtRes!DB128</f>
        <v>0.44</v>
      </c>
      <c r="M113">
        <f>ROUND(ROUND(L113*Source!I141, 6)*1, 2)</f>
        <v>0.01</v>
      </c>
      <c r="N113">
        <f>SmtRes!AB128</f>
        <v>3.67</v>
      </c>
      <c r="O113">
        <f>ROUND(ROUND(L113*Source!I141, 6)*SmtRes!DA128, 2)</f>
        <v>0.01</v>
      </c>
      <c r="P113">
        <f>SmtRes!AG128</f>
        <v>0.01</v>
      </c>
      <c r="Q113">
        <f>SmtRes!DC128</f>
        <v>0</v>
      </c>
      <c r="R113">
        <f>ROUND(ROUND(Q113*Source!I141, 6)*1, 2)</f>
        <v>0</v>
      </c>
      <c r="S113">
        <f>SmtRes!AC128</f>
        <v>0.01</v>
      </c>
      <c r="T113">
        <f>ROUND(ROUND(Q113*Source!I141, 6)*SmtRes!AK128, 2)</f>
        <v>0</v>
      </c>
      <c r="U113">
        <f>SmtRes!X128</f>
        <v>1598319406</v>
      </c>
      <c r="V113">
        <v>1181039040</v>
      </c>
      <c r="W113">
        <v>1181039040</v>
      </c>
    </row>
    <row r="114" spans="1:23" x14ac:dyDescent="0.2">
      <c r="A114">
        <f>Source!A141</f>
        <v>17</v>
      </c>
      <c r="C114">
        <v>2</v>
      </c>
      <c r="D114">
        <v>0</v>
      </c>
      <c r="E114">
        <f>SmtRes!AV127</f>
        <v>0</v>
      </c>
      <c r="F114" t="str">
        <f>SmtRes!I127</f>
        <v>22.1-13-14</v>
      </c>
      <c r="G114" t="str">
        <f>SmtRes!K127</f>
        <v>Установки для сварки ручной дуговой (постоянного тока)</v>
      </c>
      <c r="H114" t="str">
        <f>SmtRes!O127</f>
        <v>маш.-ч</v>
      </c>
      <c r="I114">
        <f>SmtRes!Y127*Source!I141</f>
        <v>2.835</v>
      </c>
      <c r="J114">
        <f>SmtRes!AO127</f>
        <v>1</v>
      </c>
      <c r="K114">
        <f>SmtRes!AF127</f>
        <v>27.21</v>
      </c>
      <c r="L114">
        <f>SmtRes!DB127</f>
        <v>4081.5</v>
      </c>
      <c r="M114">
        <f>ROUND(ROUND(L114*Source!I141, 6)*1, 2)</f>
        <v>77.14</v>
      </c>
      <c r="N114">
        <f>SmtRes!AB127</f>
        <v>27.21</v>
      </c>
      <c r="O114">
        <f>ROUND(ROUND(L114*Source!I141, 6)*SmtRes!DA127, 2)</f>
        <v>77.14</v>
      </c>
      <c r="P114">
        <f>SmtRes!AG127</f>
        <v>0.13</v>
      </c>
      <c r="Q114">
        <f>SmtRes!DC127</f>
        <v>19.5</v>
      </c>
      <c r="R114">
        <f>ROUND(ROUND(Q114*Source!I141, 6)*1, 2)</f>
        <v>0.37</v>
      </c>
      <c r="S114">
        <f>SmtRes!AC127</f>
        <v>0.13</v>
      </c>
      <c r="T114">
        <f>ROUND(ROUND(Q114*Source!I141, 6)*SmtRes!AK127, 2)</f>
        <v>0.37</v>
      </c>
      <c r="U114">
        <f>SmtRes!X127</f>
        <v>-1757825014</v>
      </c>
      <c r="V114">
        <v>-1042877116</v>
      </c>
      <c r="W114">
        <v>-1042877116</v>
      </c>
    </row>
    <row r="115" spans="1:23" x14ac:dyDescent="0.2">
      <c r="A115">
        <f>Source!A142</f>
        <v>18</v>
      </c>
      <c r="C115">
        <v>3</v>
      </c>
      <c r="D115">
        <f>Source!BI142</f>
        <v>4</v>
      </c>
      <c r="E115">
        <f>Source!FS142</f>
        <v>0</v>
      </c>
      <c r="F115" t="str">
        <f>Source!F142</f>
        <v>21.3-1-83</v>
      </c>
      <c r="G115" t="str">
        <f>Source!G142</f>
        <v>Смеси бетонные, БСГ, тяжелого бетона на гранитном щебне, фракция 5-20, класс прочности: В22,5 (М300); П3, F200, W6</v>
      </c>
      <c r="H115" t="str">
        <f>Source!H142</f>
        <v>м3</v>
      </c>
      <c r="I115">
        <f>Source!I142</f>
        <v>1.91835</v>
      </c>
      <c r="J115">
        <v>1</v>
      </c>
      <c r="K115">
        <f>Source!AC142</f>
        <v>3884.73</v>
      </c>
      <c r="M115">
        <f>ROUND(K115*I115, 2)</f>
        <v>7452.27</v>
      </c>
      <c r="N115">
        <f>Source!AC142*IF(Source!BC142&lt;&gt; 0, Source!BC142, 1)</f>
        <v>3884.73</v>
      </c>
      <c r="O115">
        <f>ROUND(N115*I115, 2)</f>
        <v>7452.27</v>
      </c>
      <c r="P115">
        <f>Source!AE142</f>
        <v>0</v>
      </c>
      <c r="R115">
        <f>ROUND(P115*I115, 2)</f>
        <v>0</v>
      </c>
      <c r="S115">
        <f>Source!AE142*IF(Source!BS142&lt;&gt; 0, Source!BS142, 1)</f>
        <v>0</v>
      </c>
      <c r="T115">
        <f>ROUND(S115*I115, 2)</f>
        <v>0</v>
      </c>
      <c r="U115">
        <f>Source!GF142</f>
        <v>-793492541</v>
      </c>
      <c r="V115">
        <v>-1648563401</v>
      </c>
      <c r="W115">
        <v>-1648563401</v>
      </c>
    </row>
    <row r="116" spans="1:23" x14ac:dyDescent="0.2">
      <c r="A116">
        <f>Source!A145</f>
        <v>17</v>
      </c>
      <c r="C116">
        <v>3</v>
      </c>
      <c r="D116">
        <v>0</v>
      </c>
      <c r="E116">
        <f>SmtRes!AV143</f>
        <v>0</v>
      </c>
      <c r="F116" t="str">
        <f>SmtRes!I143</f>
        <v>21.3-2-10</v>
      </c>
      <c r="G116" t="str">
        <f>SmtRes!K143</f>
        <v>Растворы цементно-известковые, марка 75</v>
      </c>
      <c r="H116" t="str">
        <f>SmtRes!O143</f>
        <v>м3</v>
      </c>
      <c r="I116">
        <f>SmtRes!Y143*Source!I145</f>
        <v>0.16500000000000001</v>
      </c>
      <c r="J116">
        <f>SmtRes!AO143</f>
        <v>1</v>
      </c>
      <c r="K116">
        <f>SmtRes!AE143</f>
        <v>3386.9</v>
      </c>
      <c r="L116">
        <f>SmtRes!DB143</f>
        <v>7451.18</v>
      </c>
      <c r="M116">
        <f>ROUND(ROUND(L116*Source!I145, 6)*1, 2)</f>
        <v>558.84</v>
      </c>
      <c r="N116">
        <f>SmtRes!AA143</f>
        <v>3386.9</v>
      </c>
      <c r="O116">
        <f>ROUND(ROUND(L116*Source!I145, 6)*SmtRes!DA143, 2)</f>
        <v>558.84</v>
      </c>
      <c r="P116">
        <f>SmtRes!AG143</f>
        <v>0</v>
      </c>
      <c r="Q116">
        <f>SmtRes!DC143</f>
        <v>0</v>
      </c>
      <c r="R116">
        <f>ROUND(ROUND(Q116*Source!I145, 6)*1, 2)</f>
        <v>0</v>
      </c>
      <c r="S116">
        <f>SmtRes!AC143</f>
        <v>0</v>
      </c>
      <c r="T116">
        <f>ROUND(ROUND(Q116*Source!I145, 6)*SmtRes!AK143, 2)</f>
        <v>0</v>
      </c>
      <c r="U116">
        <f>SmtRes!X143</f>
        <v>635135946</v>
      </c>
      <c r="V116">
        <v>-1754165830</v>
      </c>
      <c r="W116">
        <v>-1754165830</v>
      </c>
    </row>
    <row r="117" spans="1:23" x14ac:dyDescent="0.2">
      <c r="A117">
        <f>Source!A146</f>
        <v>17</v>
      </c>
      <c r="C117">
        <v>3</v>
      </c>
      <c r="D117">
        <v>0</v>
      </c>
      <c r="E117">
        <f>SmtRes!AV149</f>
        <v>0</v>
      </c>
      <c r="F117" t="str">
        <f>SmtRes!I149</f>
        <v>21.1-6-114</v>
      </c>
      <c r="G117" t="str">
        <f>SmtRes!K149</f>
        <v>Растворитель "Уайт-спирит"</v>
      </c>
      <c r="H117" t="str">
        <f>SmtRes!O149</f>
        <v>т</v>
      </c>
      <c r="I117">
        <f>SmtRes!Y149*Source!I146</f>
        <v>4.0000000000000002E-4</v>
      </c>
      <c r="J117">
        <f>SmtRes!AO149</f>
        <v>1</v>
      </c>
      <c r="K117">
        <f>SmtRes!AE149</f>
        <v>63195.54</v>
      </c>
      <c r="L117">
        <f>SmtRes!DB149</f>
        <v>101.11</v>
      </c>
      <c r="M117">
        <f>ROUND(ROUND(L117*Source!I146, 6)*1, 2)</f>
        <v>25.28</v>
      </c>
      <c r="N117">
        <f>SmtRes!AA149</f>
        <v>63195.54</v>
      </c>
      <c r="O117">
        <f>ROUND(ROUND(L117*Source!I146, 6)*SmtRes!DA149, 2)</f>
        <v>25.28</v>
      </c>
      <c r="P117">
        <f>SmtRes!AG149</f>
        <v>0</v>
      </c>
      <c r="Q117">
        <f>SmtRes!DC149</f>
        <v>0</v>
      </c>
      <c r="R117">
        <f>ROUND(ROUND(Q117*Source!I146, 6)*1, 2)</f>
        <v>0</v>
      </c>
      <c r="S117">
        <f>SmtRes!AC149</f>
        <v>0</v>
      </c>
      <c r="T117">
        <f>ROUND(ROUND(Q117*Source!I146, 6)*SmtRes!AK149, 2)</f>
        <v>0</v>
      </c>
      <c r="U117">
        <f>SmtRes!X149</f>
        <v>1958569313</v>
      </c>
      <c r="V117">
        <v>1861839422</v>
      </c>
      <c r="W117">
        <v>1861839422</v>
      </c>
    </row>
    <row r="118" spans="1:23" x14ac:dyDescent="0.2">
      <c r="A118">
        <f>Source!A146</f>
        <v>17</v>
      </c>
      <c r="C118">
        <v>3</v>
      </c>
      <c r="D118">
        <v>0</v>
      </c>
      <c r="E118">
        <f>SmtRes!AV148</f>
        <v>0</v>
      </c>
      <c r="F118" t="str">
        <f>SmtRes!I148</f>
        <v>21.1-20-7</v>
      </c>
      <c r="G118" t="str">
        <f>SmtRes!K148</f>
        <v>Ветошь</v>
      </c>
      <c r="H118" t="str">
        <f>SmtRes!O148</f>
        <v>кг</v>
      </c>
      <c r="I118">
        <f>SmtRes!Y148*Source!I146</f>
        <v>0.10249999999999999</v>
      </c>
      <c r="J118">
        <f>SmtRes!AO148</f>
        <v>1</v>
      </c>
      <c r="K118">
        <f>SmtRes!AE148</f>
        <v>28.41</v>
      </c>
      <c r="L118">
        <f>SmtRes!DB148</f>
        <v>11.65</v>
      </c>
      <c r="M118">
        <f>ROUND(ROUND(L118*Source!I146, 6)*1, 2)</f>
        <v>2.91</v>
      </c>
      <c r="N118">
        <f>SmtRes!AA148</f>
        <v>28.41</v>
      </c>
      <c r="O118">
        <f>ROUND(ROUND(L118*Source!I146, 6)*SmtRes!DA148, 2)</f>
        <v>2.91</v>
      </c>
      <c r="P118">
        <f>SmtRes!AG148</f>
        <v>0</v>
      </c>
      <c r="Q118">
        <f>SmtRes!DC148</f>
        <v>0</v>
      </c>
      <c r="R118">
        <f>ROUND(ROUND(Q118*Source!I146, 6)*1, 2)</f>
        <v>0</v>
      </c>
      <c r="S118">
        <f>SmtRes!AC148</f>
        <v>0</v>
      </c>
      <c r="T118">
        <f>ROUND(ROUND(Q118*Source!I146, 6)*SmtRes!AK148, 2)</f>
        <v>0</v>
      </c>
      <c r="U118">
        <f>SmtRes!X148</f>
        <v>44890498</v>
      </c>
      <c r="V118">
        <v>1909301085</v>
      </c>
      <c r="W118">
        <v>1909301085</v>
      </c>
    </row>
    <row r="119" spans="1:23" x14ac:dyDescent="0.2">
      <c r="A119">
        <f>Source!A146</f>
        <v>17</v>
      </c>
      <c r="C119">
        <v>2</v>
      </c>
      <c r="D119">
        <v>0</v>
      </c>
      <c r="E119">
        <f>SmtRes!AV147</f>
        <v>0</v>
      </c>
      <c r="F119" t="str">
        <f>SmtRes!I147</f>
        <v>22.1-4-30</v>
      </c>
      <c r="G119" t="str">
        <f>SmtRes!K147</f>
        <v>Лебедки электрические, грузоподъемность до 0,5 т</v>
      </c>
      <c r="H119" t="str">
        <f>SmtRes!O147</f>
        <v>маш.-ч</v>
      </c>
      <c r="I119">
        <f>SmtRes!Y147*Source!I146</f>
        <v>2.2499999999999999E-2</v>
      </c>
      <c r="J119">
        <f>SmtRes!AO147</f>
        <v>1</v>
      </c>
      <c r="K119">
        <f>SmtRes!AF147</f>
        <v>16.920000000000002</v>
      </c>
      <c r="L119">
        <f>SmtRes!DB147</f>
        <v>1.52</v>
      </c>
      <c r="M119">
        <f>ROUND(ROUND(L119*Source!I146, 6)*1, 2)</f>
        <v>0.38</v>
      </c>
      <c r="N119">
        <f>SmtRes!AB147</f>
        <v>16.920000000000002</v>
      </c>
      <c r="O119">
        <f>ROUND(ROUND(L119*Source!I146, 6)*SmtRes!DA147, 2)</f>
        <v>0.38</v>
      </c>
      <c r="P119">
        <f>SmtRes!AG147</f>
        <v>0.09</v>
      </c>
      <c r="Q119">
        <f>SmtRes!DC147</f>
        <v>0.01</v>
      </c>
      <c r="R119">
        <f>ROUND(ROUND(Q119*Source!I146, 6)*1, 2)</f>
        <v>0</v>
      </c>
      <c r="S119">
        <f>SmtRes!AC147</f>
        <v>0.09</v>
      </c>
      <c r="T119">
        <f>ROUND(ROUND(Q119*Source!I146, 6)*SmtRes!AK147, 2)</f>
        <v>0</v>
      </c>
      <c r="U119">
        <f>SmtRes!X147</f>
        <v>-54802859</v>
      </c>
      <c r="V119">
        <v>949162316</v>
      </c>
      <c r="W119">
        <v>949162316</v>
      </c>
    </row>
    <row r="120" spans="1:23" x14ac:dyDescent="0.2">
      <c r="A120">
        <f>Source!A146</f>
        <v>17</v>
      </c>
      <c r="C120">
        <v>2</v>
      </c>
      <c r="D120">
        <v>0</v>
      </c>
      <c r="E120">
        <f>SmtRes!AV146</f>
        <v>0</v>
      </c>
      <c r="F120" t="str">
        <f>SmtRes!I146</f>
        <v>22.1-14-11</v>
      </c>
      <c r="G120" t="str">
        <f>SmtRes!K146</f>
        <v>Пистолеты-напылители</v>
      </c>
      <c r="H120" t="str">
        <f>SmtRes!O146</f>
        <v>маш.-ч</v>
      </c>
      <c r="I120">
        <f>SmtRes!Y146*Source!I146</f>
        <v>2.6</v>
      </c>
      <c r="J120">
        <f>SmtRes!AO146</f>
        <v>1</v>
      </c>
      <c r="K120">
        <f>SmtRes!AF146</f>
        <v>45.47</v>
      </c>
      <c r="L120">
        <f>SmtRes!DB146</f>
        <v>472.89</v>
      </c>
      <c r="M120">
        <f>ROUND(ROUND(L120*Source!I146, 6)*1, 2)</f>
        <v>118.22</v>
      </c>
      <c r="N120">
        <f>SmtRes!AB146</f>
        <v>45.47</v>
      </c>
      <c r="O120">
        <f>ROUND(ROUND(L120*Source!I146, 6)*SmtRes!DA146, 2)</f>
        <v>118.22</v>
      </c>
      <c r="P120">
        <f>SmtRes!AG146</f>
        <v>25.5</v>
      </c>
      <c r="Q120">
        <f>SmtRes!DC146</f>
        <v>265.2</v>
      </c>
      <c r="R120">
        <f>ROUND(ROUND(Q120*Source!I146, 6)*1, 2)</f>
        <v>66.3</v>
      </c>
      <c r="S120">
        <f>SmtRes!AC146</f>
        <v>25.5</v>
      </c>
      <c r="T120">
        <f>ROUND(ROUND(Q120*Source!I146, 6)*SmtRes!AK146, 2)</f>
        <v>66.3</v>
      </c>
      <c r="U120">
        <f>SmtRes!X146</f>
        <v>-521417728</v>
      </c>
      <c r="V120">
        <v>986654638</v>
      </c>
      <c r="W120">
        <v>986654638</v>
      </c>
    </row>
    <row r="121" spans="1:23" x14ac:dyDescent="0.2">
      <c r="A121">
        <f>Source!A146</f>
        <v>17</v>
      </c>
      <c r="C121">
        <v>2</v>
      </c>
      <c r="D121">
        <v>0</v>
      </c>
      <c r="E121">
        <f>SmtRes!AV145</f>
        <v>0</v>
      </c>
      <c r="F121" t="str">
        <f>SmtRes!I145</f>
        <v>22.1-10-12</v>
      </c>
      <c r="G121" t="str">
        <f>SmtRes!K145</f>
        <v>Электрокомпрессоры прицепные, производительность до 3,5 м3/мин</v>
      </c>
      <c r="H121" t="str">
        <f>SmtRes!O145</f>
        <v>маш.-ч</v>
      </c>
      <c r="I121">
        <f>SmtRes!Y145*Source!I146</f>
        <v>1.3</v>
      </c>
      <c r="J121">
        <f>SmtRes!AO145</f>
        <v>1</v>
      </c>
      <c r="K121">
        <f>SmtRes!AF145</f>
        <v>98.05</v>
      </c>
      <c r="L121">
        <f>SmtRes!DB145</f>
        <v>509.86</v>
      </c>
      <c r="M121">
        <f>ROUND(ROUND(L121*Source!I146, 6)*1, 2)</f>
        <v>127.47</v>
      </c>
      <c r="N121">
        <f>SmtRes!AB145</f>
        <v>98.05</v>
      </c>
      <c r="O121">
        <f>ROUND(ROUND(L121*Source!I146, 6)*SmtRes!DA145, 2)</f>
        <v>127.47</v>
      </c>
      <c r="P121">
        <f>SmtRes!AG145</f>
        <v>33.06</v>
      </c>
      <c r="Q121">
        <f>SmtRes!DC145</f>
        <v>171.91</v>
      </c>
      <c r="R121">
        <f>ROUND(ROUND(Q121*Source!I146, 6)*1, 2)</f>
        <v>42.98</v>
      </c>
      <c r="S121">
        <f>SmtRes!AC145</f>
        <v>33.06</v>
      </c>
      <c r="T121">
        <f>ROUND(ROUND(Q121*Source!I146, 6)*SmtRes!AK145, 2)</f>
        <v>42.98</v>
      </c>
      <c r="U121">
        <f>SmtRes!X145</f>
        <v>-2137968664</v>
      </c>
      <c r="V121">
        <v>-262383052</v>
      </c>
      <c r="W121">
        <v>-262383052</v>
      </c>
    </row>
    <row r="122" spans="1:23" x14ac:dyDescent="0.2">
      <c r="A122">
        <f>Source!A147</f>
        <v>18</v>
      </c>
      <c r="C122">
        <v>3</v>
      </c>
      <c r="D122">
        <f>Source!BI147</f>
        <v>4</v>
      </c>
      <c r="E122">
        <f>Source!FS147</f>
        <v>0</v>
      </c>
      <c r="F122" t="str">
        <f>Source!F147</f>
        <v>21.1-6-58</v>
      </c>
      <c r="G122" t="str">
        <f>Source!G147</f>
        <v>Краски фасадные перхлорвиниловые, марка ХВ-161 "Б" (цветная)</v>
      </c>
      <c r="H122" t="str">
        <f>Source!H147</f>
        <v>т</v>
      </c>
      <c r="I122">
        <f>Source!I147</f>
        <v>1.345E-2</v>
      </c>
      <c r="J122">
        <v>1</v>
      </c>
      <c r="K122">
        <f>Source!AC147</f>
        <v>110447.55</v>
      </c>
      <c r="M122">
        <f>ROUND(K122*I122, 2)</f>
        <v>1485.52</v>
      </c>
      <c r="N122">
        <f>Source!AC147*IF(Source!BC147&lt;&gt; 0, Source!BC147, 1)</f>
        <v>110447.55</v>
      </c>
      <c r="O122">
        <f>ROUND(N122*I122, 2)</f>
        <v>1485.52</v>
      </c>
      <c r="P122">
        <f>Source!AE147</f>
        <v>0</v>
      </c>
      <c r="R122">
        <f>ROUND(P122*I122, 2)</f>
        <v>0</v>
      </c>
      <c r="S122">
        <f>Source!AE147*IF(Source!BS147&lt;&gt; 0, Source!BS147, 1)</f>
        <v>0</v>
      </c>
      <c r="T122">
        <f>ROUND(S122*I122, 2)</f>
        <v>0</v>
      </c>
      <c r="U122">
        <f>Source!GF147</f>
        <v>302977583</v>
      </c>
      <c r="V122">
        <v>-464918311</v>
      </c>
      <c r="W122">
        <v>-464918311</v>
      </c>
    </row>
    <row r="123" spans="1:23" x14ac:dyDescent="0.2">
      <c r="A123">
        <f>Source!A149</f>
        <v>17</v>
      </c>
      <c r="C123">
        <v>3</v>
      </c>
      <c r="D123">
        <v>0</v>
      </c>
      <c r="E123">
        <f>SmtRes!AV153</f>
        <v>0</v>
      </c>
      <c r="F123" t="str">
        <f>SmtRes!I153</f>
        <v>21.1-10-165</v>
      </c>
      <c r="G123" t="str">
        <f>SmtRes!K153</f>
        <v>Сталь листовая, оцинкованная, толщина 0,5 мм</v>
      </c>
      <c r="H123" t="str">
        <f>SmtRes!O153</f>
        <v>т</v>
      </c>
      <c r="I123">
        <f>SmtRes!Y153*Source!I149</f>
        <v>1.5959999999999998E-2</v>
      </c>
      <c r="J123">
        <f>SmtRes!AO153</f>
        <v>1</v>
      </c>
      <c r="K123">
        <f>SmtRes!AE153</f>
        <v>52115.040000000001</v>
      </c>
      <c r="L123">
        <f>SmtRes!DB153</f>
        <v>29705.57</v>
      </c>
      <c r="M123">
        <f>ROUND(ROUND(L123*Source!I149, 6)*1, 2)</f>
        <v>831.76</v>
      </c>
      <c r="N123">
        <f>SmtRes!AA153</f>
        <v>52115.040000000001</v>
      </c>
      <c r="O123">
        <f>ROUND(ROUND(L123*Source!I149, 6)*SmtRes!DA153, 2)</f>
        <v>831.76</v>
      </c>
      <c r="P123">
        <f>SmtRes!AG153</f>
        <v>0</v>
      </c>
      <c r="Q123">
        <f>SmtRes!DC153</f>
        <v>0</v>
      </c>
      <c r="R123">
        <f>ROUND(ROUND(Q123*Source!I149, 6)*1, 2)</f>
        <v>0</v>
      </c>
      <c r="S123">
        <f>SmtRes!AC153</f>
        <v>0</v>
      </c>
      <c r="T123">
        <f>ROUND(ROUND(Q123*Source!I149, 6)*SmtRes!AK153, 2)</f>
        <v>0</v>
      </c>
      <c r="U123">
        <f>SmtRes!X153</f>
        <v>-1892654938</v>
      </c>
      <c r="V123">
        <v>1686761674</v>
      </c>
      <c r="W123">
        <v>1686761674</v>
      </c>
    </row>
    <row r="124" spans="1:23" x14ac:dyDescent="0.2">
      <c r="A124">
        <f>Source!A150</f>
        <v>17</v>
      </c>
      <c r="C124">
        <v>3</v>
      </c>
      <c r="D124">
        <v>0</v>
      </c>
      <c r="E124">
        <f>SmtRes!AV164</f>
        <v>0</v>
      </c>
      <c r="F124" t="str">
        <f>SmtRes!I164</f>
        <v>21.7-3-6</v>
      </c>
      <c r="G124" t="str">
        <f>SmtRes!K164</f>
        <v>Диск отрезной абразивный для резки по металлу, диаметр 125 мм</v>
      </c>
      <c r="H124" t="str">
        <f>SmtRes!O164</f>
        <v>шт.</v>
      </c>
      <c r="I124">
        <f>SmtRes!Y164*Source!I150</f>
        <v>1.5148000000000001</v>
      </c>
      <c r="J124">
        <f>SmtRes!AO164</f>
        <v>1</v>
      </c>
      <c r="K124">
        <f>SmtRes!AE164</f>
        <v>16.54</v>
      </c>
      <c r="L124">
        <f>SmtRes!DB164</f>
        <v>0.23</v>
      </c>
      <c r="M124">
        <f>ROUND(ROUND(L124*Source!I150, 6)*1, 2)</f>
        <v>24.89</v>
      </c>
      <c r="N124">
        <f>SmtRes!AA164</f>
        <v>16.54</v>
      </c>
      <c r="O124">
        <f>ROUND(ROUND(L124*Source!I150, 6)*SmtRes!DA164, 2)</f>
        <v>24.89</v>
      </c>
      <c r="P124">
        <f>SmtRes!AG164</f>
        <v>0</v>
      </c>
      <c r="Q124">
        <f>SmtRes!DC164</f>
        <v>0</v>
      </c>
      <c r="R124">
        <f>ROUND(ROUND(Q124*Source!I150, 6)*1, 2)</f>
        <v>0</v>
      </c>
      <c r="S124">
        <f>SmtRes!AC164</f>
        <v>0</v>
      </c>
      <c r="T124">
        <f>ROUND(ROUND(Q124*Source!I150, 6)*SmtRes!AK164, 2)</f>
        <v>0</v>
      </c>
      <c r="U124">
        <f>SmtRes!X164</f>
        <v>969740417</v>
      </c>
      <c r="V124">
        <v>1505566275</v>
      </c>
      <c r="W124">
        <v>1505566275</v>
      </c>
    </row>
    <row r="125" spans="1:23" x14ac:dyDescent="0.2">
      <c r="A125">
        <f>Source!A150</f>
        <v>17</v>
      </c>
      <c r="C125">
        <v>3</v>
      </c>
      <c r="D125">
        <v>0</v>
      </c>
      <c r="E125">
        <f>SmtRes!AV163</f>
        <v>0</v>
      </c>
      <c r="F125" t="str">
        <f>SmtRes!I163</f>
        <v>21.1-23-9</v>
      </c>
      <c r="G125" t="str">
        <f>SmtRes!K163</f>
        <v>Электроды, тип Э-42, 46, 50, диаметр 4 - 6 мм</v>
      </c>
      <c r="H125" t="str">
        <f>SmtRes!O163</f>
        <v>т</v>
      </c>
      <c r="I125">
        <f>SmtRes!Y163*Source!I150</f>
        <v>5.4100000000000002E-2</v>
      </c>
      <c r="J125">
        <f>SmtRes!AO163</f>
        <v>1</v>
      </c>
      <c r="K125">
        <f>SmtRes!AE163</f>
        <v>110781.14</v>
      </c>
      <c r="L125">
        <f>SmtRes!DB163</f>
        <v>55.39</v>
      </c>
      <c r="M125">
        <f>ROUND(ROUND(L125*Source!I150, 6)*1, 2)</f>
        <v>5993.2</v>
      </c>
      <c r="N125">
        <f>SmtRes!AA163</f>
        <v>110781.14</v>
      </c>
      <c r="O125">
        <f>ROUND(ROUND(L125*Source!I150, 6)*SmtRes!DA163, 2)</f>
        <v>5993.2</v>
      </c>
      <c r="P125">
        <f>SmtRes!AG163</f>
        <v>0</v>
      </c>
      <c r="Q125">
        <f>SmtRes!DC163</f>
        <v>0</v>
      </c>
      <c r="R125">
        <f>ROUND(ROUND(Q125*Source!I150, 6)*1, 2)</f>
        <v>0</v>
      </c>
      <c r="S125">
        <f>SmtRes!AC163</f>
        <v>0</v>
      </c>
      <c r="T125">
        <f>ROUND(ROUND(Q125*Source!I150, 6)*SmtRes!AK163, 2)</f>
        <v>0</v>
      </c>
      <c r="U125">
        <f>SmtRes!X163</f>
        <v>-672771621</v>
      </c>
      <c r="V125">
        <v>-1526606762</v>
      </c>
      <c r="W125">
        <v>-1526606762</v>
      </c>
    </row>
    <row r="126" spans="1:23" x14ac:dyDescent="0.2">
      <c r="A126">
        <f>Source!A150</f>
        <v>17</v>
      </c>
      <c r="C126">
        <v>3</v>
      </c>
      <c r="D126">
        <v>0</v>
      </c>
      <c r="E126">
        <f>SmtRes!AV159</f>
        <v>0</v>
      </c>
      <c r="F126" t="str">
        <f>SmtRes!I159</f>
        <v>21.1-10-171</v>
      </c>
      <c r="G126" t="str">
        <f>SmtRes!K159</f>
        <v>Сталь полосовая, марка Ст1кп-Ст4кп, Ст1пс-Ст6пс, Ст1Гпс-Ст5Гпс, кипящая и полуспокойная,</v>
      </c>
      <c r="H126" t="str">
        <f>SmtRes!O159</f>
        <v>т</v>
      </c>
      <c r="I126">
        <f>SmtRes!Y159*Source!I150</f>
        <v>0.109282</v>
      </c>
      <c r="J126">
        <f>SmtRes!AO159</f>
        <v>1</v>
      </c>
      <c r="K126">
        <f>SmtRes!AE159</f>
        <v>38268.54</v>
      </c>
      <c r="L126">
        <f>SmtRes!DB159</f>
        <v>38.65</v>
      </c>
      <c r="M126">
        <f>ROUND(ROUND(L126*Source!I150, 6)*1, 2)</f>
        <v>4181.93</v>
      </c>
      <c r="N126">
        <f>SmtRes!AA159</f>
        <v>38268.54</v>
      </c>
      <c r="O126">
        <f>ROUND(ROUND(L126*Source!I150, 6)*SmtRes!DA159, 2)</f>
        <v>4181.93</v>
      </c>
      <c r="P126">
        <f>SmtRes!AG159</f>
        <v>0</v>
      </c>
      <c r="Q126">
        <f>SmtRes!DC159</f>
        <v>0</v>
      </c>
      <c r="R126">
        <f>ROUND(ROUND(Q126*Source!I150, 6)*1, 2)</f>
        <v>0</v>
      </c>
      <c r="S126">
        <f>SmtRes!AC159</f>
        <v>0</v>
      </c>
      <c r="T126">
        <f>ROUND(ROUND(Q126*Source!I150, 6)*SmtRes!AK159, 2)</f>
        <v>0</v>
      </c>
      <c r="U126">
        <f>SmtRes!X159</f>
        <v>-1210277159</v>
      </c>
      <c r="V126">
        <v>-1029693808</v>
      </c>
      <c r="W126">
        <v>-1029693808</v>
      </c>
    </row>
    <row r="127" spans="1:23" x14ac:dyDescent="0.2">
      <c r="A127">
        <f>Source!A150</f>
        <v>17</v>
      </c>
      <c r="C127">
        <v>2</v>
      </c>
      <c r="D127">
        <v>0</v>
      </c>
      <c r="E127">
        <f>SmtRes!AV157</f>
        <v>0</v>
      </c>
      <c r="F127" t="str">
        <f>SmtRes!I157</f>
        <v>22.1-30-43</v>
      </c>
      <c r="G127" t="str">
        <f>SmtRes!K157</f>
        <v>Станки трубоотрезные</v>
      </c>
      <c r="H127" t="str">
        <f>SmtRes!O157</f>
        <v>маш.-ч</v>
      </c>
      <c r="I127">
        <f>SmtRes!Y157*Source!I150</f>
        <v>54.532800000000002</v>
      </c>
      <c r="J127">
        <f>SmtRes!AO157</f>
        <v>1</v>
      </c>
      <c r="K127">
        <f>SmtRes!AF157</f>
        <v>652.16</v>
      </c>
      <c r="L127">
        <f>SmtRes!DB157</f>
        <v>328.69</v>
      </c>
      <c r="M127">
        <f>ROUND(ROUND(L127*Source!I150, 6)*1, 2)</f>
        <v>35564.26</v>
      </c>
      <c r="N127">
        <f>SmtRes!AB157</f>
        <v>652.16</v>
      </c>
      <c r="O127">
        <f>ROUND(ROUND(L127*Source!I150, 6)*SmtRes!DA157, 2)</f>
        <v>35564.26</v>
      </c>
      <c r="P127">
        <f>SmtRes!AG157</f>
        <v>581.9</v>
      </c>
      <c r="Q127">
        <f>SmtRes!DC157</f>
        <v>293.27999999999997</v>
      </c>
      <c r="R127">
        <f>ROUND(ROUND(Q127*Source!I150, 6)*1, 2)</f>
        <v>31732.9</v>
      </c>
      <c r="S127">
        <f>SmtRes!AC157</f>
        <v>581.9</v>
      </c>
      <c r="T127">
        <f>ROUND(ROUND(Q127*Source!I150, 6)*SmtRes!AK157, 2)</f>
        <v>31732.9</v>
      </c>
      <c r="U127">
        <f>SmtRes!X157</f>
        <v>676633484</v>
      </c>
      <c r="V127">
        <v>-1881072116</v>
      </c>
      <c r="W127">
        <v>-1881072116</v>
      </c>
    </row>
    <row r="128" spans="1:23" x14ac:dyDescent="0.2">
      <c r="A128">
        <f>Source!A150</f>
        <v>17</v>
      </c>
      <c r="C128">
        <v>2</v>
      </c>
      <c r="D128">
        <v>0</v>
      </c>
      <c r="E128">
        <f>SmtRes!AV156</f>
        <v>0</v>
      </c>
      <c r="F128" t="str">
        <f>SmtRes!I156</f>
        <v>22.1-30-19</v>
      </c>
      <c r="G128" t="str">
        <f>SmtRes!K156</f>
        <v>Машины шлифовальные электрические</v>
      </c>
      <c r="H128" t="str">
        <f>SmtRes!O156</f>
        <v>маш.-ч</v>
      </c>
      <c r="I128">
        <f>SmtRes!Y156*Source!I150</f>
        <v>12.443000000000001</v>
      </c>
      <c r="J128">
        <f>SmtRes!AO156</f>
        <v>1</v>
      </c>
      <c r="K128">
        <f>SmtRes!AF156</f>
        <v>5.94</v>
      </c>
      <c r="L128">
        <f>SmtRes!DB156</f>
        <v>0.68</v>
      </c>
      <c r="M128">
        <f>ROUND(ROUND(L128*Source!I150, 6)*1, 2)</f>
        <v>73.58</v>
      </c>
      <c r="N128">
        <f>SmtRes!AB156</f>
        <v>5.94</v>
      </c>
      <c r="O128">
        <f>ROUND(ROUND(L128*Source!I150, 6)*SmtRes!DA156, 2)</f>
        <v>73.58</v>
      </c>
      <c r="P128">
        <f>SmtRes!AG156</f>
        <v>0.02</v>
      </c>
      <c r="Q128">
        <f>SmtRes!DC156</f>
        <v>0</v>
      </c>
      <c r="R128">
        <f>ROUND(ROUND(Q128*Source!I150, 6)*1, 2)</f>
        <v>0</v>
      </c>
      <c r="S128">
        <f>SmtRes!AC156</f>
        <v>0.02</v>
      </c>
      <c r="T128">
        <f>ROUND(ROUND(Q128*Source!I150, 6)*SmtRes!AK156, 2)</f>
        <v>0</v>
      </c>
      <c r="U128">
        <f>SmtRes!X156</f>
        <v>-764600179</v>
      </c>
      <c r="V128">
        <v>892192163</v>
      </c>
      <c r="W128">
        <v>892192163</v>
      </c>
    </row>
    <row r="129" spans="1:23" x14ac:dyDescent="0.2">
      <c r="A129">
        <f>Source!A150</f>
        <v>17</v>
      </c>
      <c r="C129">
        <v>2</v>
      </c>
      <c r="D129">
        <v>0</v>
      </c>
      <c r="E129">
        <f>SmtRes!AV155</f>
        <v>0</v>
      </c>
      <c r="F129" t="str">
        <f>SmtRes!I155</f>
        <v>22.1-13-15</v>
      </c>
      <c r="G129" t="str">
        <f>SmtRes!K155</f>
        <v>Аппараты сварочные</v>
      </c>
      <c r="H129" t="str">
        <f>SmtRes!O155</f>
        <v>маш.-ч</v>
      </c>
      <c r="I129">
        <f>SmtRes!Y155*Source!I150</f>
        <v>41.5488</v>
      </c>
      <c r="J129">
        <f>SmtRes!AO155</f>
        <v>1</v>
      </c>
      <c r="K129">
        <f>SmtRes!AF155</f>
        <v>351.29</v>
      </c>
      <c r="L129">
        <f>SmtRes!DB155</f>
        <v>134.9</v>
      </c>
      <c r="M129">
        <f>ROUND(ROUND(L129*Source!I150, 6)*1, 2)</f>
        <v>14596.18</v>
      </c>
      <c r="N129">
        <f>SmtRes!AB155</f>
        <v>351.29</v>
      </c>
      <c r="O129">
        <f>ROUND(ROUND(L129*Source!I150, 6)*SmtRes!DA155, 2)</f>
        <v>14596.18</v>
      </c>
      <c r="P129">
        <f>SmtRes!AG155</f>
        <v>7.02</v>
      </c>
      <c r="Q129">
        <f>SmtRes!DC155</f>
        <v>2.7</v>
      </c>
      <c r="R129">
        <f>ROUND(ROUND(Q129*Source!I150, 6)*1, 2)</f>
        <v>292.14</v>
      </c>
      <c r="S129">
        <f>SmtRes!AC155</f>
        <v>7.02</v>
      </c>
      <c r="T129">
        <f>ROUND(ROUND(Q129*Source!I150, 6)*SmtRes!AK155, 2)</f>
        <v>292.14</v>
      </c>
      <c r="U129">
        <f>SmtRes!X155</f>
        <v>-711828296</v>
      </c>
      <c r="V129">
        <v>-2029004941</v>
      </c>
      <c r="W129">
        <v>-2029004941</v>
      </c>
    </row>
    <row r="130" spans="1:23" x14ac:dyDescent="0.2">
      <c r="A130">
        <f>Source!A151</f>
        <v>18</v>
      </c>
      <c r="C130">
        <v>3</v>
      </c>
      <c r="D130">
        <f>Source!BI151</f>
        <v>4</v>
      </c>
      <c r="E130">
        <f>Source!FS151</f>
        <v>0</v>
      </c>
      <c r="F130" t="str">
        <f>Source!F151</f>
        <v>21.1-10-47</v>
      </c>
      <c r="G130" t="str">
        <f>Source!G151</f>
        <v>Профили стальные электросварные квадратного сечения трубчатые, размер стороны 80 мм, толщина стенки 3-6 мм (толщ.4 мм, расход 9,33 кг/м.п., L=69,0 м.п.)</v>
      </c>
      <c r="H130" t="str">
        <f>Source!H151</f>
        <v>т</v>
      </c>
      <c r="I130">
        <f>Source!I151</f>
        <v>0.64376999999999995</v>
      </c>
      <c r="J130">
        <v>1</v>
      </c>
      <c r="K130">
        <f>Source!AC151</f>
        <v>37329.29</v>
      </c>
      <c r="M130">
        <f t="shared" ref="M130:M136" si="0">ROUND(K130*I130, 2)</f>
        <v>24031.48</v>
      </c>
      <c r="N130">
        <f>Source!AC151*IF(Source!BC151&lt;&gt; 0, Source!BC151, 1)</f>
        <v>37329.29</v>
      </c>
      <c r="O130">
        <f t="shared" ref="O130:O136" si="1">ROUND(N130*I130, 2)</f>
        <v>24031.48</v>
      </c>
      <c r="P130">
        <f>Source!AE151</f>
        <v>0</v>
      </c>
      <c r="R130">
        <f t="shared" ref="R130:R136" si="2">ROUND(P130*I130, 2)</f>
        <v>0</v>
      </c>
      <c r="S130">
        <f>Source!AE151*IF(Source!BS151&lt;&gt; 0, Source!BS151, 1)</f>
        <v>0</v>
      </c>
      <c r="T130">
        <f t="shared" ref="T130:T136" si="3">ROUND(S130*I130, 2)</f>
        <v>0</v>
      </c>
      <c r="U130">
        <f>Source!GF151</f>
        <v>351161841</v>
      </c>
      <c r="V130">
        <v>-52615507</v>
      </c>
      <c r="W130">
        <v>-52615507</v>
      </c>
    </row>
    <row r="131" spans="1:23" x14ac:dyDescent="0.2">
      <c r="A131">
        <f>Source!A152</f>
        <v>18</v>
      </c>
      <c r="C131">
        <v>3</v>
      </c>
      <c r="D131">
        <f>Source!BI152</f>
        <v>4</v>
      </c>
      <c r="E131">
        <f>Source!FS152</f>
        <v>0</v>
      </c>
      <c r="F131" t="str">
        <f>Source!F152</f>
        <v>21.1-10-111</v>
      </c>
      <c r="G131" t="str">
        <f>Source!G152</f>
        <v>Профили стальные электросварные прямоугольного сечения трубчатые, размер 40х60 мм, толщина стенки 3,0 мм (расход 4,30 кг/м.п., L=192,6 м.п.)</v>
      </c>
      <c r="H131" t="str">
        <f>Source!H152</f>
        <v>т</v>
      </c>
      <c r="I131">
        <f>Source!I152</f>
        <v>0.82818000000000003</v>
      </c>
      <c r="J131">
        <v>1</v>
      </c>
      <c r="K131">
        <f>Source!AC152</f>
        <v>32819.879999999997</v>
      </c>
      <c r="M131">
        <f t="shared" si="0"/>
        <v>27180.77</v>
      </c>
      <c r="N131">
        <f>Source!AC152*IF(Source!BC152&lt;&gt; 0, Source!BC152, 1)</f>
        <v>32819.879999999997</v>
      </c>
      <c r="O131">
        <f t="shared" si="1"/>
        <v>27180.77</v>
      </c>
      <c r="P131">
        <f>Source!AE152</f>
        <v>0</v>
      </c>
      <c r="R131">
        <f t="shared" si="2"/>
        <v>0</v>
      </c>
      <c r="S131">
        <f>Source!AE152*IF(Source!BS152&lt;&gt; 0, Source!BS152, 1)</f>
        <v>0</v>
      </c>
      <c r="T131">
        <f t="shared" si="3"/>
        <v>0</v>
      </c>
      <c r="U131">
        <f>Source!GF152</f>
        <v>1148419560</v>
      </c>
      <c r="V131">
        <v>578279897</v>
      </c>
      <c r="W131">
        <v>578279897</v>
      </c>
    </row>
    <row r="132" spans="1:23" x14ac:dyDescent="0.2">
      <c r="A132">
        <f>Source!A153</f>
        <v>18</v>
      </c>
      <c r="C132">
        <v>3</v>
      </c>
      <c r="D132">
        <f>Source!BI153</f>
        <v>4</v>
      </c>
      <c r="E132">
        <f>Source!FS153</f>
        <v>0</v>
      </c>
      <c r="F132" t="str">
        <f>Source!F153</f>
        <v>21.1-10-34</v>
      </c>
      <c r="G132" t="str">
        <f>Source!G153</f>
        <v>Профили стальные электросварные квадратного сечения трубчатые, размер стороны 20 мм, толщина стенки 2 мм (расход 1,075 кг/м.п., L=1666,8 м.п.)</v>
      </c>
      <c r="H132" t="str">
        <f>Source!H153</f>
        <v>т</v>
      </c>
      <c r="I132">
        <f>Source!I153</f>
        <v>1.7918099999999999</v>
      </c>
      <c r="J132">
        <v>1</v>
      </c>
      <c r="K132">
        <f>Source!AC153</f>
        <v>40597.550000000003</v>
      </c>
      <c r="M132">
        <f t="shared" si="0"/>
        <v>72743.100000000006</v>
      </c>
      <c r="N132">
        <f>Source!AC153*IF(Source!BC153&lt;&gt; 0, Source!BC153, 1)</f>
        <v>40597.550000000003</v>
      </c>
      <c r="O132">
        <f t="shared" si="1"/>
        <v>72743.100000000006</v>
      </c>
      <c r="P132">
        <f>Source!AE153</f>
        <v>0</v>
      </c>
      <c r="R132">
        <f t="shared" si="2"/>
        <v>0</v>
      </c>
      <c r="S132">
        <f>Source!AE153*IF(Source!BS153&lt;&gt; 0, Source!BS153, 1)</f>
        <v>0</v>
      </c>
      <c r="T132">
        <f t="shared" si="3"/>
        <v>0</v>
      </c>
      <c r="U132">
        <f>Source!GF153</f>
        <v>-532271667</v>
      </c>
      <c r="V132">
        <v>-1582969391</v>
      </c>
      <c r="W132">
        <v>-1582969391</v>
      </c>
    </row>
    <row r="133" spans="1:23" x14ac:dyDescent="0.2">
      <c r="A133">
        <f>Source!A154</f>
        <v>18</v>
      </c>
      <c r="C133">
        <v>3</v>
      </c>
      <c r="D133">
        <f>Source!BI154</f>
        <v>4</v>
      </c>
      <c r="E133">
        <f>Source!FS154</f>
        <v>0</v>
      </c>
      <c r="F133" t="str">
        <f>Source!F154</f>
        <v>Цена поставщика</v>
      </c>
      <c r="G133" t="str">
        <f>Source!G154</f>
        <v>Пластиковая заглушка для труб 80х80 мм</v>
      </c>
      <c r="H133" t="str">
        <f>Source!H154</f>
        <v>ШТ</v>
      </c>
      <c r="I133">
        <f>Source!I154</f>
        <v>23</v>
      </c>
      <c r="J133">
        <v>1</v>
      </c>
      <c r="K133">
        <f>Source!AC154</f>
        <v>37.5</v>
      </c>
      <c r="M133">
        <f t="shared" si="0"/>
        <v>862.5</v>
      </c>
      <c r="N133">
        <f>Source!AC154*IF(Source!BC154&lt;&gt; 0, Source!BC154, 1)</f>
        <v>37.5</v>
      </c>
      <c r="O133">
        <f t="shared" si="1"/>
        <v>862.5</v>
      </c>
      <c r="P133">
        <f>Source!AE154</f>
        <v>0</v>
      </c>
      <c r="R133">
        <f t="shared" si="2"/>
        <v>0</v>
      </c>
      <c r="S133">
        <f>Source!AE154*IF(Source!BS154&lt;&gt; 0, Source!BS154, 1)</f>
        <v>0</v>
      </c>
      <c r="T133">
        <f t="shared" si="3"/>
        <v>0</v>
      </c>
      <c r="U133">
        <f>Source!GF154</f>
        <v>-1591933177</v>
      </c>
      <c r="V133">
        <v>1813338865</v>
      </c>
      <c r="W133">
        <v>1813338865</v>
      </c>
    </row>
    <row r="134" spans="1:23" x14ac:dyDescent="0.2">
      <c r="A134">
        <f>Source!A155</f>
        <v>18</v>
      </c>
      <c r="C134">
        <v>3</v>
      </c>
      <c r="D134">
        <f>Source!BI155</f>
        <v>4</v>
      </c>
      <c r="E134">
        <f>Source!FS155</f>
        <v>0</v>
      </c>
      <c r="F134" t="str">
        <f>Source!F155</f>
        <v>Цена поставщика</v>
      </c>
      <c r="G134" t="str">
        <f>Source!G155</f>
        <v>Пластиковая заглушка для труб 60х40 мм</v>
      </c>
      <c r="H134" t="str">
        <f>Source!H155</f>
        <v>ШТ</v>
      </c>
      <c r="I134">
        <f>Source!I155</f>
        <v>84</v>
      </c>
      <c r="J134">
        <v>1</v>
      </c>
      <c r="K134">
        <f>Source!AC155</f>
        <v>16.53</v>
      </c>
      <c r="M134">
        <f t="shared" si="0"/>
        <v>1388.52</v>
      </c>
      <c r="N134">
        <f>Source!AC155*IF(Source!BC155&lt;&gt; 0, Source!BC155, 1)</f>
        <v>16.53</v>
      </c>
      <c r="O134">
        <f t="shared" si="1"/>
        <v>1388.52</v>
      </c>
      <c r="P134">
        <f>Source!AE155</f>
        <v>0</v>
      </c>
      <c r="R134">
        <f t="shared" si="2"/>
        <v>0</v>
      </c>
      <c r="S134">
        <f>Source!AE155*IF(Source!BS155&lt;&gt; 0, Source!BS155, 1)</f>
        <v>0</v>
      </c>
      <c r="T134">
        <f t="shared" si="3"/>
        <v>0</v>
      </c>
      <c r="U134">
        <f>Source!GF155</f>
        <v>-1949902326</v>
      </c>
      <c r="V134">
        <v>-269009906</v>
      </c>
      <c r="W134">
        <v>-269009906</v>
      </c>
    </row>
    <row r="135" spans="1:23" x14ac:dyDescent="0.2">
      <c r="A135">
        <f>Source!A156</f>
        <v>18</v>
      </c>
      <c r="C135">
        <v>3</v>
      </c>
      <c r="D135">
        <f>Source!BI156</f>
        <v>4</v>
      </c>
      <c r="E135">
        <f>Source!FS156</f>
        <v>0</v>
      </c>
      <c r="F135" t="str">
        <f>Source!F156</f>
        <v>Цена поставщика</v>
      </c>
      <c r="G135" t="str">
        <f>Source!G156</f>
        <v>Петля приварная</v>
      </c>
      <c r="H135" t="str">
        <f>Source!H156</f>
        <v>ШТ</v>
      </c>
      <c r="I135">
        <f>Source!I156</f>
        <v>3.9999999999999996</v>
      </c>
      <c r="J135">
        <v>1</v>
      </c>
      <c r="K135">
        <f>Source!AC156</f>
        <v>220.78</v>
      </c>
      <c r="M135">
        <f t="shared" si="0"/>
        <v>883.12</v>
      </c>
      <c r="N135">
        <f>Source!AC156*IF(Source!BC156&lt;&gt; 0, Source!BC156, 1)</f>
        <v>220.78</v>
      </c>
      <c r="O135">
        <f t="shared" si="1"/>
        <v>883.12</v>
      </c>
      <c r="P135">
        <f>Source!AE156</f>
        <v>0</v>
      </c>
      <c r="R135">
        <f t="shared" si="2"/>
        <v>0</v>
      </c>
      <c r="S135">
        <f>Source!AE156*IF(Source!BS156&lt;&gt; 0, Source!BS156, 1)</f>
        <v>0</v>
      </c>
      <c r="T135">
        <f t="shared" si="3"/>
        <v>0</v>
      </c>
      <c r="U135">
        <f>Source!GF156</f>
        <v>-632778472</v>
      </c>
      <c r="V135">
        <v>1134996209</v>
      </c>
      <c r="W135">
        <v>1134996209</v>
      </c>
    </row>
    <row r="136" spans="1:23" x14ac:dyDescent="0.2">
      <c r="A136">
        <f>Source!A157</f>
        <v>18</v>
      </c>
      <c r="C136">
        <v>3</v>
      </c>
      <c r="D136">
        <f>Source!BI157</f>
        <v>4</v>
      </c>
      <c r="E136">
        <f>Source!FS157</f>
        <v>0</v>
      </c>
      <c r="F136" t="str">
        <f>Source!F157</f>
        <v>Цена поставщика</v>
      </c>
      <c r="G136" t="str">
        <f>Source!G157</f>
        <v>Засов воротный оцинкованный 430 мм</v>
      </c>
      <c r="H136" t="str">
        <f>Source!H157</f>
        <v>ШТ</v>
      </c>
      <c r="I136">
        <f>Source!I157</f>
        <v>0.99999999999999989</v>
      </c>
      <c r="J136">
        <v>1</v>
      </c>
      <c r="K136">
        <f>Source!AC157</f>
        <v>674.17</v>
      </c>
      <c r="M136">
        <f t="shared" si="0"/>
        <v>674.17</v>
      </c>
      <c r="N136">
        <f>Source!AC157*IF(Source!BC157&lt;&gt; 0, Source!BC157, 1)</f>
        <v>674.17</v>
      </c>
      <c r="O136">
        <f t="shared" si="1"/>
        <v>674.17</v>
      </c>
      <c r="P136">
        <f>Source!AE157</f>
        <v>0</v>
      </c>
      <c r="R136">
        <f t="shared" si="2"/>
        <v>0</v>
      </c>
      <c r="S136">
        <f>Source!AE157*IF(Source!BS157&lt;&gt; 0, Source!BS157, 1)</f>
        <v>0</v>
      </c>
      <c r="T136">
        <f t="shared" si="3"/>
        <v>0</v>
      </c>
      <c r="U136">
        <f>Source!GF157</f>
        <v>1479756592</v>
      </c>
      <c r="V136">
        <v>165661765</v>
      </c>
      <c r="W136">
        <v>165661765</v>
      </c>
    </row>
    <row r="137" spans="1:23" x14ac:dyDescent="0.2">
      <c r="A137">
        <f>Source!A159</f>
        <v>17</v>
      </c>
      <c r="C137">
        <v>3</v>
      </c>
      <c r="D137">
        <v>0</v>
      </c>
      <c r="E137">
        <f>SmtRes!AV174</f>
        <v>0</v>
      </c>
      <c r="F137" t="str">
        <f>SmtRes!I174</f>
        <v>21.1-6-12</v>
      </c>
      <c r="G137" t="str">
        <f>SmtRes!K174</f>
        <v>Грунтовка глифталевая, ГФ-021</v>
      </c>
      <c r="H137" t="str">
        <f>SmtRes!O174</f>
        <v>т</v>
      </c>
      <c r="I137">
        <f>SmtRes!Y174*Source!I159</f>
        <v>9.7380000000000001E-3</v>
      </c>
      <c r="J137">
        <f>SmtRes!AO174</f>
        <v>1</v>
      </c>
      <c r="K137">
        <f>SmtRes!AE174</f>
        <v>97017.58</v>
      </c>
      <c r="L137">
        <f>SmtRes!DB174</f>
        <v>873.16</v>
      </c>
      <c r="M137">
        <f>ROUND(ROUND(L137*Source!I159, 6)*1, 2)</f>
        <v>944.76</v>
      </c>
      <c r="N137">
        <f>SmtRes!AA174</f>
        <v>97017.58</v>
      </c>
      <c r="O137">
        <f>ROUND(ROUND(L137*Source!I159, 6)*SmtRes!DA174, 2)</f>
        <v>944.76</v>
      </c>
      <c r="P137">
        <f>SmtRes!AG174</f>
        <v>0</v>
      </c>
      <c r="Q137">
        <f>SmtRes!DC174</f>
        <v>0</v>
      </c>
      <c r="R137">
        <f>ROUND(ROUND(Q137*Source!I159, 6)*1, 2)</f>
        <v>0</v>
      </c>
      <c r="S137">
        <f>SmtRes!AC174</f>
        <v>0</v>
      </c>
      <c r="T137">
        <f>ROUND(ROUND(Q137*Source!I159, 6)*SmtRes!AK174, 2)</f>
        <v>0</v>
      </c>
      <c r="U137">
        <f>SmtRes!X174</f>
        <v>-383061258</v>
      </c>
      <c r="V137">
        <v>-804279578</v>
      </c>
      <c r="W137">
        <v>-804279578</v>
      </c>
    </row>
    <row r="138" spans="1:23" x14ac:dyDescent="0.2">
      <c r="A138">
        <f>Source!A159</f>
        <v>17</v>
      </c>
      <c r="C138">
        <v>3</v>
      </c>
      <c r="D138">
        <v>0</v>
      </c>
      <c r="E138">
        <f>SmtRes!AV173</f>
        <v>0</v>
      </c>
      <c r="F138" t="str">
        <f>SmtRes!I173</f>
        <v>21.1-16-57</v>
      </c>
      <c r="G138" t="str">
        <f>SmtRes!K173</f>
        <v>Ксилол нефтяной, марка А</v>
      </c>
      <c r="H138" t="str">
        <f>SmtRes!O173</f>
        <v>кг</v>
      </c>
      <c r="I138">
        <f>SmtRes!Y173*Source!I159</f>
        <v>1.6230000000000002</v>
      </c>
      <c r="J138">
        <f>SmtRes!AO173</f>
        <v>1</v>
      </c>
      <c r="K138">
        <f>SmtRes!AE173</f>
        <v>99.303030000000007</v>
      </c>
      <c r="L138">
        <f>SmtRes!DB173</f>
        <v>148.94999999999999</v>
      </c>
      <c r="M138">
        <f>ROUND(ROUND(L138*Source!I159, 6)*1, 2)</f>
        <v>161.16</v>
      </c>
      <c r="N138">
        <f>SmtRes!AA173</f>
        <v>99.3</v>
      </c>
      <c r="O138">
        <f>ROUND(ROUND(L138*Source!I159, 6)*SmtRes!DA173, 2)</f>
        <v>161.16</v>
      </c>
      <c r="P138">
        <f>SmtRes!AG173</f>
        <v>0</v>
      </c>
      <c r="Q138">
        <f>SmtRes!DC173</f>
        <v>0</v>
      </c>
      <c r="R138">
        <f>ROUND(ROUND(Q138*Source!I159, 6)*1, 2)</f>
        <v>0</v>
      </c>
      <c r="S138">
        <f>SmtRes!AC173</f>
        <v>0</v>
      </c>
      <c r="T138">
        <f>ROUND(ROUND(Q138*Source!I159, 6)*SmtRes!AK173, 2)</f>
        <v>0</v>
      </c>
      <c r="U138">
        <f>SmtRes!X173</f>
        <v>-126270252</v>
      </c>
      <c r="V138">
        <v>-1857108032</v>
      </c>
      <c r="W138">
        <v>2042275005</v>
      </c>
    </row>
    <row r="139" spans="1:23" x14ac:dyDescent="0.2">
      <c r="A139">
        <f>Source!A159</f>
        <v>17</v>
      </c>
      <c r="C139">
        <v>2</v>
      </c>
      <c r="D139">
        <v>0</v>
      </c>
      <c r="E139">
        <f>SmtRes!AV172</f>
        <v>0</v>
      </c>
      <c r="F139" t="str">
        <f>SmtRes!I172</f>
        <v>22.1-4-30</v>
      </c>
      <c r="G139" t="str">
        <f>SmtRes!K172</f>
        <v>Лебедки электрические, грузоподъемность до 0,5 т</v>
      </c>
      <c r="H139" t="str">
        <f>SmtRes!O172</f>
        <v>маш.-ч</v>
      </c>
      <c r="I139">
        <f>SmtRes!Y172*Source!I159</f>
        <v>1.0820000000000001E-2</v>
      </c>
      <c r="J139">
        <f>SmtRes!AO172</f>
        <v>1</v>
      </c>
      <c r="K139">
        <f>SmtRes!AF172</f>
        <v>16.920000000000002</v>
      </c>
      <c r="L139">
        <f>SmtRes!DB172</f>
        <v>0.17</v>
      </c>
      <c r="M139">
        <f>ROUND(ROUND(L139*Source!I159, 6)*1, 2)</f>
        <v>0.18</v>
      </c>
      <c r="N139">
        <f>SmtRes!AB172</f>
        <v>16.920000000000002</v>
      </c>
      <c r="O139">
        <f>ROUND(ROUND(L139*Source!I159, 6)*SmtRes!DA172, 2)</f>
        <v>0.18</v>
      </c>
      <c r="P139">
        <f>SmtRes!AG172</f>
        <v>0.09</v>
      </c>
      <c r="Q139">
        <f>SmtRes!DC172</f>
        <v>0</v>
      </c>
      <c r="R139">
        <f>ROUND(ROUND(Q139*Source!I159, 6)*1, 2)</f>
        <v>0</v>
      </c>
      <c r="S139">
        <f>SmtRes!AC172</f>
        <v>0.09</v>
      </c>
      <c r="T139">
        <f>ROUND(ROUND(Q139*Source!I159, 6)*SmtRes!AK172, 2)</f>
        <v>0</v>
      </c>
      <c r="U139">
        <f>SmtRes!X172</f>
        <v>-54802859</v>
      </c>
      <c r="V139">
        <v>949162316</v>
      </c>
      <c r="W139">
        <v>949162316</v>
      </c>
    </row>
    <row r="140" spans="1:23" x14ac:dyDescent="0.2">
      <c r="A140">
        <f>Source!A159</f>
        <v>17</v>
      </c>
      <c r="C140">
        <v>2</v>
      </c>
      <c r="D140">
        <v>0</v>
      </c>
      <c r="E140">
        <f>SmtRes!AV171</f>
        <v>0</v>
      </c>
      <c r="F140" t="str">
        <f>SmtRes!I171</f>
        <v>22.1-4-12</v>
      </c>
      <c r="G140" t="str">
        <f>SmtRes!K171</f>
        <v>Погрузчики на автомобильном ходу, грузоподъемность до 5 т</v>
      </c>
      <c r="H140" t="str">
        <f>SmtRes!O171</f>
        <v>маш.-ч</v>
      </c>
      <c r="I140">
        <f>SmtRes!Y171*Source!I159</f>
        <v>1.0820000000000001E-2</v>
      </c>
      <c r="J140">
        <f>SmtRes!AO171</f>
        <v>1</v>
      </c>
      <c r="K140">
        <f>SmtRes!AF171</f>
        <v>683.9</v>
      </c>
      <c r="L140">
        <f>SmtRes!DB171</f>
        <v>6.84</v>
      </c>
      <c r="M140">
        <f>ROUND(ROUND(L140*Source!I159, 6)*1, 2)</f>
        <v>7.4</v>
      </c>
      <c r="N140">
        <f>SmtRes!AB171</f>
        <v>683.9</v>
      </c>
      <c r="O140">
        <f>ROUND(ROUND(L140*Source!I159, 6)*SmtRes!DA171, 2)</f>
        <v>7.4</v>
      </c>
      <c r="P140">
        <f>SmtRes!AG171</f>
        <v>371.27</v>
      </c>
      <c r="Q140">
        <f>SmtRes!DC171</f>
        <v>3.71</v>
      </c>
      <c r="R140">
        <f>ROUND(ROUND(Q140*Source!I159, 6)*1, 2)</f>
        <v>4.01</v>
      </c>
      <c r="S140">
        <f>SmtRes!AC171</f>
        <v>371.27</v>
      </c>
      <c r="T140">
        <f>ROUND(ROUND(Q140*Source!I159, 6)*SmtRes!AK171, 2)</f>
        <v>4.01</v>
      </c>
      <c r="U140">
        <f>SmtRes!X171</f>
        <v>-1323805330</v>
      </c>
      <c r="V140">
        <v>1986574417</v>
      </c>
      <c r="W140">
        <v>1986574417</v>
      </c>
    </row>
    <row r="141" spans="1:23" x14ac:dyDescent="0.2">
      <c r="A141">
        <f>Source!A159</f>
        <v>17</v>
      </c>
      <c r="C141">
        <v>2</v>
      </c>
      <c r="D141">
        <v>0</v>
      </c>
      <c r="E141">
        <f>SmtRes!AV170</f>
        <v>0</v>
      </c>
      <c r="F141" t="str">
        <f>SmtRes!I170</f>
        <v>22.1-10-12</v>
      </c>
      <c r="G141" t="str">
        <f>SmtRes!K170</f>
        <v>Электрокомпрессоры прицепные, производительность до 3,5 м3/мин</v>
      </c>
      <c r="H141" t="str">
        <f>SmtRes!O170</f>
        <v>маш.-ч</v>
      </c>
      <c r="I141">
        <f>SmtRes!Y170*Source!I159</f>
        <v>1.5147999999999999</v>
      </c>
      <c r="J141">
        <f>SmtRes!AO170</f>
        <v>1</v>
      </c>
      <c r="K141">
        <f>SmtRes!AF170</f>
        <v>98.05</v>
      </c>
      <c r="L141">
        <f>SmtRes!DB170</f>
        <v>137.27000000000001</v>
      </c>
      <c r="M141">
        <f>ROUND(ROUND(L141*Source!I159, 6)*1, 2)</f>
        <v>148.53</v>
      </c>
      <c r="N141">
        <f>SmtRes!AB170</f>
        <v>98.05</v>
      </c>
      <c r="O141">
        <f>ROUND(ROUND(L141*Source!I159, 6)*SmtRes!DA170, 2)</f>
        <v>148.53</v>
      </c>
      <c r="P141">
        <f>SmtRes!AG170</f>
        <v>33.06</v>
      </c>
      <c r="Q141">
        <f>SmtRes!DC170</f>
        <v>46.28</v>
      </c>
      <c r="R141">
        <f>ROUND(ROUND(Q141*Source!I159, 6)*1, 2)</f>
        <v>50.07</v>
      </c>
      <c r="S141">
        <f>SmtRes!AC170</f>
        <v>33.06</v>
      </c>
      <c r="T141">
        <f>ROUND(ROUND(Q141*Source!I159, 6)*SmtRes!AK170, 2)</f>
        <v>50.07</v>
      </c>
      <c r="U141">
        <f>SmtRes!X170</f>
        <v>-2137968664</v>
      </c>
      <c r="V141">
        <v>-262383052</v>
      </c>
      <c r="W141">
        <v>-262383052</v>
      </c>
    </row>
    <row r="142" spans="1:23" x14ac:dyDescent="0.2">
      <c r="A142">
        <f>Source!A160</f>
        <v>17</v>
      </c>
      <c r="C142">
        <v>3</v>
      </c>
      <c r="D142">
        <v>0</v>
      </c>
      <c r="E142">
        <f>SmtRes!AV178</f>
        <v>0</v>
      </c>
      <c r="F142" t="str">
        <f>SmtRes!I178</f>
        <v>21.1-6-139</v>
      </c>
      <c r="G142" t="str">
        <f>SmtRes!K178</f>
        <v>Эмаль, марка ПФ-115 (цветная), пентафталевая</v>
      </c>
      <c r="H142" t="str">
        <f>SmtRes!O178</f>
        <v>кг</v>
      </c>
      <c r="I142">
        <f>SmtRes!Y178*Source!I160</f>
        <v>9.7380000000000013</v>
      </c>
      <c r="J142">
        <f>SmtRes!AO178</f>
        <v>1</v>
      </c>
      <c r="K142">
        <f>SmtRes!AE178</f>
        <v>105.32</v>
      </c>
      <c r="L142">
        <f>SmtRes!DB178</f>
        <v>947.88</v>
      </c>
      <c r="M142">
        <f>ROUND(ROUND(L142*Source!I160, 6)*1, 2)</f>
        <v>1025.6099999999999</v>
      </c>
      <c r="N142">
        <f>SmtRes!AA178</f>
        <v>105.32</v>
      </c>
      <c r="O142">
        <f>ROUND(ROUND(L142*Source!I160, 6)*SmtRes!DA178, 2)</f>
        <v>1025.6099999999999</v>
      </c>
      <c r="P142">
        <f>SmtRes!AG178</f>
        <v>0</v>
      </c>
      <c r="Q142">
        <f>SmtRes!DC178</f>
        <v>0</v>
      </c>
      <c r="R142">
        <f>ROUND(ROUND(Q142*Source!I160, 6)*1, 2)</f>
        <v>0</v>
      </c>
      <c r="S142">
        <f>SmtRes!AC178</f>
        <v>0</v>
      </c>
      <c r="T142">
        <f>ROUND(ROUND(Q142*Source!I160, 6)*SmtRes!AK178, 2)</f>
        <v>0</v>
      </c>
      <c r="U142">
        <f>SmtRes!X178</f>
        <v>-1364504988</v>
      </c>
      <c r="V142">
        <v>566368814</v>
      </c>
      <c r="W142">
        <v>566368814</v>
      </c>
    </row>
    <row r="143" spans="1:23" x14ac:dyDescent="0.2">
      <c r="A143">
        <f>Source!A160</f>
        <v>17</v>
      </c>
      <c r="C143">
        <v>3</v>
      </c>
      <c r="D143">
        <v>0</v>
      </c>
      <c r="E143">
        <f>SmtRes!AV177</f>
        <v>0</v>
      </c>
      <c r="F143" t="str">
        <f>SmtRes!I177</f>
        <v>21.1-6-114</v>
      </c>
      <c r="G143" t="str">
        <f>SmtRes!K177</f>
        <v>Растворитель "Уайт-спирит"</v>
      </c>
      <c r="H143" t="str">
        <f>SmtRes!O177</f>
        <v>т</v>
      </c>
      <c r="I143">
        <f>SmtRes!Y177*Source!I160</f>
        <v>1.60136E-3</v>
      </c>
      <c r="J143">
        <f>SmtRes!AO177</f>
        <v>1</v>
      </c>
      <c r="K143">
        <f>SmtRes!AE177</f>
        <v>63195.54</v>
      </c>
      <c r="L143">
        <f>SmtRes!DB177</f>
        <v>93.53</v>
      </c>
      <c r="M143">
        <f>ROUND(ROUND(L143*Source!I160, 6)*1, 2)</f>
        <v>101.2</v>
      </c>
      <c r="N143">
        <f>SmtRes!AA177</f>
        <v>63195.54</v>
      </c>
      <c r="O143">
        <f>ROUND(ROUND(L143*Source!I160, 6)*SmtRes!DA177, 2)</f>
        <v>101.2</v>
      </c>
      <c r="P143">
        <f>SmtRes!AG177</f>
        <v>0</v>
      </c>
      <c r="Q143">
        <f>SmtRes!DC177</f>
        <v>0</v>
      </c>
      <c r="R143">
        <f>ROUND(ROUND(Q143*Source!I160, 6)*1, 2)</f>
        <v>0</v>
      </c>
      <c r="S143">
        <f>SmtRes!AC177</f>
        <v>0</v>
      </c>
      <c r="T143">
        <f>ROUND(ROUND(Q143*Source!I160, 6)*SmtRes!AK177, 2)</f>
        <v>0</v>
      </c>
      <c r="U143">
        <f>SmtRes!X177</f>
        <v>1958569313</v>
      </c>
      <c r="V143">
        <v>1861839422</v>
      </c>
      <c r="W143">
        <v>1861839422</v>
      </c>
    </row>
    <row r="144" spans="1:23" x14ac:dyDescent="0.2">
      <c r="A144">
        <f>Source!A160</f>
        <v>17</v>
      </c>
      <c r="C144">
        <v>2</v>
      </c>
      <c r="D144">
        <v>0</v>
      </c>
      <c r="E144">
        <f>SmtRes!AV176</f>
        <v>0</v>
      </c>
      <c r="F144" t="str">
        <f>SmtRes!I176</f>
        <v>22.1-4-12</v>
      </c>
      <c r="G144" t="str">
        <f>SmtRes!K176</f>
        <v>Погрузчики на автомобильном ходу, грузоподъемность до 5 т</v>
      </c>
      <c r="H144" t="str">
        <f>SmtRes!O176</f>
        <v>маш.-ч</v>
      </c>
      <c r="I144">
        <f>SmtRes!Y176*Source!I160</f>
        <v>1.0820000000000001E-2</v>
      </c>
      <c r="J144">
        <f>SmtRes!AO176</f>
        <v>1</v>
      </c>
      <c r="K144">
        <f>SmtRes!AF176</f>
        <v>683.9</v>
      </c>
      <c r="L144">
        <f>SmtRes!DB176</f>
        <v>6.84</v>
      </c>
      <c r="M144">
        <f>ROUND(ROUND(L144*Source!I160, 6)*1, 2)</f>
        <v>7.4</v>
      </c>
      <c r="N144">
        <f>SmtRes!AB176</f>
        <v>683.9</v>
      </c>
      <c r="O144">
        <f>ROUND(ROUND(L144*Source!I160, 6)*SmtRes!DA176, 2)</f>
        <v>7.4</v>
      </c>
      <c r="P144">
        <f>SmtRes!AG176</f>
        <v>371.27</v>
      </c>
      <c r="Q144">
        <f>SmtRes!DC176</f>
        <v>3.71</v>
      </c>
      <c r="R144">
        <f>ROUND(ROUND(Q144*Source!I160, 6)*1, 2)</f>
        <v>4.01</v>
      </c>
      <c r="S144">
        <f>SmtRes!AC176</f>
        <v>371.27</v>
      </c>
      <c r="T144">
        <f>ROUND(ROUND(Q144*Source!I160, 6)*SmtRes!AK176, 2)</f>
        <v>4.01</v>
      </c>
      <c r="U144">
        <f>SmtRes!X176</f>
        <v>-1323805330</v>
      </c>
      <c r="V144">
        <v>1986574417</v>
      </c>
      <c r="W144">
        <v>1986574417</v>
      </c>
    </row>
    <row r="145" spans="1:23" x14ac:dyDescent="0.2">
      <c r="A145">
        <f>Source!A191</f>
        <v>4</v>
      </c>
      <c r="B145">
        <v>191</v>
      </c>
      <c r="G145" t="str">
        <f>Source!G191</f>
        <v>Установка ограждения - Участок 4</v>
      </c>
    </row>
    <row r="146" spans="1:23" x14ac:dyDescent="0.2">
      <c r="A146">
        <f>Source!A195</f>
        <v>17</v>
      </c>
      <c r="C146">
        <v>2</v>
      </c>
      <c r="D146">
        <v>0</v>
      </c>
      <c r="E146">
        <f>SmtRes!AV182</f>
        <v>0</v>
      </c>
      <c r="F146" t="str">
        <f>SmtRes!I182</f>
        <v>22.1-30-43</v>
      </c>
      <c r="G146" t="str">
        <f>SmtRes!K182</f>
        <v>Станки трубоотрезные</v>
      </c>
      <c r="H146" t="str">
        <f>SmtRes!O182</f>
        <v>маш.-ч</v>
      </c>
      <c r="I146">
        <f>SmtRes!Y182*Source!I195</f>
        <v>12.519360000000001</v>
      </c>
      <c r="J146">
        <f>SmtRes!AO182</f>
        <v>1</v>
      </c>
      <c r="K146">
        <f>SmtRes!AF182</f>
        <v>652.16</v>
      </c>
      <c r="L146">
        <f>SmtRes!DB182</f>
        <v>65.738</v>
      </c>
      <c r="M146">
        <f>ROUND(ROUND(L146*Source!I195, 6)*1, 2)</f>
        <v>8164.66</v>
      </c>
      <c r="N146">
        <f>SmtRes!AB182</f>
        <v>652.16</v>
      </c>
      <c r="O146">
        <f>ROUND(ROUND(L146*Source!I195, 6)*SmtRes!DA182, 2)</f>
        <v>8164.66</v>
      </c>
      <c r="P146">
        <f>SmtRes!AG182</f>
        <v>581.9</v>
      </c>
      <c r="Q146">
        <f>SmtRes!DC182</f>
        <v>58.655999999999999</v>
      </c>
      <c r="R146">
        <f>ROUND(ROUND(Q146*Source!I195, 6)*1, 2)</f>
        <v>7285.08</v>
      </c>
      <c r="S146">
        <f>SmtRes!AC182</f>
        <v>581.9</v>
      </c>
      <c r="T146">
        <f>ROUND(ROUND(Q146*Source!I195, 6)*SmtRes!AK182, 2)</f>
        <v>7285.08</v>
      </c>
      <c r="U146">
        <f>SmtRes!X182</f>
        <v>676633484</v>
      </c>
      <c r="V146">
        <v>-1881072116</v>
      </c>
      <c r="W146">
        <v>-1881072116</v>
      </c>
    </row>
    <row r="147" spans="1:23" x14ac:dyDescent="0.2">
      <c r="A147">
        <f>Source!A195</f>
        <v>17</v>
      </c>
      <c r="C147">
        <v>2</v>
      </c>
      <c r="D147">
        <v>0</v>
      </c>
      <c r="E147">
        <f>SmtRes!AV181</f>
        <v>0</v>
      </c>
      <c r="F147" t="str">
        <f>SmtRes!I181</f>
        <v>22.1-30-19</v>
      </c>
      <c r="G147" t="str">
        <f>SmtRes!K181</f>
        <v>Машины шлифовальные электрические</v>
      </c>
      <c r="H147" t="str">
        <f>SmtRes!O181</f>
        <v>маш.-ч</v>
      </c>
      <c r="I147">
        <f>SmtRes!Y181*Source!I195</f>
        <v>2.8566000000000003</v>
      </c>
      <c r="J147">
        <f>SmtRes!AO181</f>
        <v>1</v>
      </c>
      <c r="K147">
        <f>SmtRes!AF181</f>
        <v>5.94</v>
      </c>
      <c r="L147">
        <f>SmtRes!DB181</f>
        <v>0.13600000000000001</v>
      </c>
      <c r="M147">
        <f>ROUND(ROUND(L147*Source!I195, 6)*1, 2)</f>
        <v>16.89</v>
      </c>
      <c r="N147">
        <f>SmtRes!AB181</f>
        <v>5.94</v>
      </c>
      <c r="O147">
        <f>ROUND(ROUND(L147*Source!I195, 6)*SmtRes!DA181, 2)</f>
        <v>16.89</v>
      </c>
      <c r="P147">
        <f>SmtRes!AG181</f>
        <v>0.02</v>
      </c>
      <c r="Q147">
        <f>SmtRes!DC181</f>
        <v>0</v>
      </c>
      <c r="R147">
        <f>ROUND(ROUND(Q147*Source!I195, 6)*1, 2)</f>
        <v>0</v>
      </c>
      <c r="S147">
        <f>SmtRes!AC181</f>
        <v>0.02</v>
      </c>
      <c r="T147">
        <f>ROUND(ROUND(Q147*Source!I195, 6)*SmtRes!AK181, 2)</f>
        <v>0</v>
      </c>
      <c r="U147">
        <f>SmtRes!X181</f>
        <v>-764600179</v>
      </c>
      <c r="V147">
        <v>892192163</v>
      </c>
      <c r="W147">
        <v>892192163</v>
      </c>
    </row>
    <row r="148" spans="1:23" x14ac:dyDescent="0.2">
      <c r="A148">
        <f>Source!A195</f>
        <v>17</v>
      </c>
      <c r="C148">
        <v>2</v>
      </c>
      <c r="D148">
        <v>0</v>
      </c>
      <c r="E148">
        <f>SmtRes!AV180</f>
        <v>0</v>
      </c>
      <c r="F148" t="str">
        <f>SmtRes!I180</f>
        <v>22.1-13-15</v>
      </c>
      <c r="G148" t="str">
        <f>SmtRes!K180</f>
        <v>Аппараты сварочные</v>
      </c>
      <c r="H148" t="str">
        <f>SmtRes!O180</f>
        <v>маш.-ч</v>
      </c>
      <c r="I148">
        <f>SmtRes!Y180*Source!I195</f>
        <v>9.5385600000000004</v>
      </c>
      <c r="J148">
        <f>SmtRes!AO180</f>
        <v>1</v>
      </c>
      <c r="K148">
        <f>SmtRes!AF180</f>
        <v>351.29</v>
      </c>
      <c r="L148">
        <f>SmtRes!DB180</f>
        <v>26.98</v>
      </c>
      <c r="M148">
        <f>ROUND(ROUND(L148*Source!I195, 6)*1, 2)</f>
        <v>3350.92</v>
      </c>
      <c r="N148">
        <f>SmtRes!AB180</f>
        <v>351.29</v>
      </c>
      <c r="O148">
        <f>ROUND(ROUND(L148*Source!I195, 6)*SmtRes!DA180, 2)</f>
        <v>3350.92</v>
      </c>
      <c r="P148">
        <f>SmtRes!AG180</f>
        <v>7.02</v>
      </c>
      <c r="Q148">
        <f>SmtRes!DC180</f>
        <v>0.54</v>
      </c>
      <c r="R148">
        <f>ROUND(ROUND(Q148*Source!I195, 6)*1, 2)</f>
        <v>67.069999999999993</v>
      </c>
      <c r="S148">
        <f>SmtRes!AC180</f>
        <v>7.02</v>
      </c>
      <c r="T148">
        <f>ROUND(ROUND(Q148*Source!I195, 6)*SmtRes!AK180, 2)</f>
        <v>67.069999999999993</v>
      </c>
      <c r="U148">
        <f>SmtRes!X180</f>
        <v>-711828296</v>
      </c>
      <c r="V148">
        <v>-2029004941</v>
      </c>
      <c r="W148">
        <v>-2029004941</v>
      </c>
    </row>
    <row r="149" spans="1:23" x14ac:dyDescent="0.2">
      <c r="A149">
        <f>Source!A196</f>
        <v>17</v>
      </c>
      <c r="C149">
        <v>2</v>
      </c>
      <c r="D149">
        <v>0</v>
      </c>
      <c r="E149">
        <f>SmtRes!AV189</f>
        <v>0</v>
      </c>
      <c r="F149" t="str">
        <f>SmtRes!I189</f>
        <v>22.1-30-54</v>
      </c>
      <c r="G149" t="str">
        <f>SmtRes!K189</f>
        <v>Молотки отбойные</v>
      </c>
      <c r="H149" t="str">
        <f>SmtRes!O189</f>
        <v>маш.-ч</v>
      </c>
      <c r="I149">
        <f>SmtRes!Y189*Source!I196</f>
        <v>4.4849999999999994</v>
      </c>
      <c r="J149">
        <f>SmtRes!AO189</f>
        <v>1</v>
      </c>
      <c r="K149">
        <f>SmtRes!AF189</f>
        <v>6.02</v>
      </c>
      <c r="L149">
        <f>SmtRes!DB189</f>
        <v>11.74</v>
      </c>
      <c r="M149">
        <f>ROUND(ROUND(L149*Source!I196, 6)*1, 2)</f>
        <v>27</v>
      </c>
      <c r="N149">
        <f>SmtRes!AB189</f>
        <v>6.02</v>
      </c>
      <c r="O149">
        <f>ROUND(ROUND(L149*Source!I196, 6)*SmtRes!DA189, 2)</f>
        <v>27</v>
      </c>
      <c r="P149">
        <f>SmtRes!AG189</f>
        <v>0.02</v>
      </c>
      <c r="Q149">
        <f>SmtRes!DC189</f>
        <v>0.04</v>
      </c>
      <c r="R149">
        <f>ROUND(ROUND(Q149*Source!I196, 6)*1, 2)</f>
        <v>0.09</v>
      </c>
      <c r="S149">
        <f>SmtRes!AC189</f>
        <v>0.02</v>
      </c>
      <c r="T149">
        <f>ROUND(ROUND(Q149*Source!I196, 6)*SmtRes!AK189, 2)</f>
        <v>0.09</v>
      </c>
      <c r="U149">
        <f>SmtRes!X189</f>
        <v>-352447613</v>
      </c>
      <c r="V149">
        <v>422992909</v>
      </c>
      <c r="W149">
        <v>422992909</v>
      </c>
    </row>
    <row r="150" spans="1:23" x14ac:dyDescent="0.2">
      <c r="A150">
        <f>Source!A196</f>
        <v>17</v>
      </c>
      <c r="C150">
        <v>2</v>
      </c>
      <c r="D150">
        <v>0</v>
      </c>
      <c r="E150">
        <f>SmtRes!AV188</f>
        <v>0</v>
      </c>
      <c r="F150" t="str">
        <f>SmtRes!I188</f>
        <v>22.1-10-4</v>
      </c>
      <c r="G150" t="str">
        <f>SmtRes!K188</f>
        <v>Компрессоры с дизельным двигателем прицепные до 2,5 м3/мин</v>
      </c>
      <c r="H150" t="str">
        <f>SmtRes!O188</f>
        <v>маш.-ч</v>
      </c>
      <c r="I150">
        <f>SmtRes!Y188*Source!I196</f>
        <v>4.4849999999999994</v>
      </c>
      <c r="J150">
        <f>SmtRes!AO188</f>
        <v>1</v>
      </c>
      <c r="K150">
        <f>SmtRes!AF188</f>
        <v>470.71</v>
      </c>
      <c r="L150">
        <f>SmtRes!DB188</f>
        <v>917.88</v>
      </c>
      <c r="M150">
        <f>ROUND(ROUND(L150*Source!I196, 6)*1, 2)</f>
        <v>2111.12</v>
      </c>
      <c r="N150">
        <f>SmtRes!AB188</f>
        <v>470.71</v>
      </c>
      <c r="O150">
        <f>ROUND(ROUND(L150*Source!I196, 6)*SmtRes!DA188, 2)</f>
        <v>2111.12</v>
      </c>
      <c r="P150">
        <f>SmtRes!AG188</f>
        <v>359.8</v>
      </c>
      <c r="Q150">
        <f>SmtRes!DC188</f>
        <v>701.61</v>
      </c>
      <c r="R150">
        <f>ROUND(ROUND(Q150*Source!I196, 6)*1, 2)</f>
        <v>1613.7</v>
      </c>
      <c r="S150">
        <f>SmtRes!AC188</f>
        <v>359.8</v>
      </c>
      <c r="T150">
        <f>ROUND(ROUND(Q150*Source!I196, 6)*SmtRes!AK188, 2)</f>
        <v>1613.7</v>
      </c>
      <c r="U150">
        <f>SmtRes!X188</f>
        <v>830483721</v>
      </c>
      <c r="V150">
        <v>948852901</v>
      </c>
      <c r="W150">
        <v>948852901</v>
      </c>
    </row>
    <row r="151" spans="1:23" x14ac:dyDescent="0.2">
      <c r="A151">
        <f>Source!A199</f>
        <v>17</v>
      </c>
      <c r="C151">
        <v>3</v>
      </c>
      <c r="D151">
        <v>0</v>
      </c>
      <c r="E151">
        <f>SmtRes!AV196</f>
        <v>0</v>
      </c>
      <c r="F151" t="str">
        <f>SmtRes!I196</f>
        <v>21.1-25-13</v>
      </c>
      <c r="G151" t="str">
        <f>SmtRes!K196</f>
        <v>Вода</v>
      </c>
      <c r="H151" t="str">
        <f>SmtRes!O196</f>
        <v>м3</v>
      </c>
      <c r="I151">
        <f>SmtRes!Y196*Source!I199</f>
        <v>5.6999999999999995E-2</v>
      </c>
      <c r="J151">
        <f>SmtRes!AO196</f>
        <v>1</v>
      </c>
      <c r="K151">
        <f>SmtRes!AE196</f>
        <v>35.25</v>
      </c>
      <c r="L151">
        <f>SmtRes!DB196</f>
        <v>1.06</v>
      </c>
      <c r="M151">
        <f>ROUND(ROUND(L151*Source!I199, 6)*1, 2)</f>
        <v>2.0099999999999998</v>
      </c>
      <c r="N151">
        <f>SmtRes!AA196</f>
        <v>35.25</v>
      </c>
      <c r="O151">
        <f>ROUND(ROUND(L151*Source!I199, 6)*SmtRes!DA196, 2)</f>
        <v>2.0099999999999998</v>
      </c>
      <c r="P151">
        <f>SmtRes!AG196</f>
        <v>0</v>
      </c>
      <c r="Q151">
        <f>SmtRes!DC196</f>
        <v>0</v>
      </c>
      <c r="R151">
        <f>ROUND(ROUND(Q151*Source!I199, 6)*1, 2)</f>
        <v>0</v>
      </c>
      <c r="S151">
        <f>SmtRes!AC196</f>
        <v>0</v>
      </c>
      <c r="T151">
        <f>ROUND(ROUND(Q151*Source!I199, 6)*SmtRes!AK196, 2)</f>
        <v>0</v>
      </c>
      <c r="U151">
        <f>SmtRes!X196</f>
        <v>1927597627</v>
      </c>
      <c r="V151">
        <v>-1829664509</v>
      </c>
      <c r="W151">
        <v>-1829664509</v>
      </c>
    </row>
    <row r="152" spans="1:23" x14ac:dyDescent="0.2">
      <c r="A152">
        <f>Source!A199</f>
        <v>17</v>
      </c>
      <c r="C152">
        <v>3</v>
      </c>
      <c r="D152">
        <v>0</v>
      </c>
      <c r="E152">
        <f>SmtRes!AV195</f>
        <v>0</v>
      </c>
      <c r="F152" t="str">
        <f>SmtRes!I195</f>
        <v>21.1-12-36</v>
      </c>
      <c r="G152" t="str">
        <f>SmtRes!K195</f>
        <v>Щебень из естественного камня для строительных работ, марка 1200-800, фракция 20-40 мм</v>
      </c>
      <c r="H152" t="str">
        <f>SmtRes!O195</f>
        <v>м3</v>
      </c>
      <c r="I152">
        <f>SmtRes!Y195*Source!I199</f>
        <v>0.45599999999999996</v>
      </c>
      <c r="J152">
        <f>SmtRes!AO195</f>
        <v>1</v>
      </c>
      <c r="K152">
        <f>SmtRes!AE195</f>
        <v>1763.75</v>
      </c>
      <c r="L152">
        <f>SmtRes!DB195</f>
        <v>423.3</v>
      </c>
      <c r="M152">
        <f>ROUND(ROUND(L152*Source!I199, 6)*1, 2)</f>
        <v>804.27</v>
      </c>
      <c r="N152">
        <f>SmtRes!AA195</f>
        <v>1763.75</v>
      </c>
      <c r="O152">
        <f>ROUND(ROUND(L152*Source!I199, 6)*SmtRes!DA195, 2)</f>
        <v>804.27</v>
      </c>
      <c r="P152">
        <f>SmtRes!AG195</f>
        <v>0</v>
      </c>
      <c r="Q152">
        <f>SmtRes!DC195</f>
        <v>0</v>
      </c>
      <c r="R152">
        <f>ROUND(ROUND(Q152*Source!I199, 6)*1, 2)</f>
        <v>0</v>
      </c>
      <c r="S152">
        <f>SmtRes!AC195</f>
        <v>0</v>
      </c>
      <c r="T152">
        <f>ROUND(ROUND(Q152*Source!I199, 6)*SmtRes!AK195, 2)</f>
        <v>0</v>
      </c>
      <c r="U152">
        <f>SmtRes!X195</f>
        <v>-886425656</v>
      </c>
      <c r="V152">
        <v>-671760782</v>
      </c>
      <c r="W152">
        <v>-671760782</v>
      </c>
    </row>
    <row r="153" spans="1:23" x14ac:dyDescent="0.2">
      <c r="A153">
        <f>Source!A199</f>
        <v>17</v>
      </c>
      <c r="C153">
        <v>3</v>
      </c>
      <c r="D153">
        <v>0</v>
      </c>
      <c r="E153">
        <f>SmtRes!AV194</f>
        <v>0</v>
      </c>
      <c r="F153" t="str">
        <f>SmtRes!I194</f>
        <v>21.1-12-35</v>
      </c>
      <c r="G153" t="str">
        <f>SmtRes!K194</f>
        <v>Щебень из естественного камня для строительных работ, марка 1200-800, фракция 10-20 мм</v>
      </c>
      <c r="H153" t="str">
        <f>SmtRes!O194</f>
        <v>м3</v>
      </c>
      <c r="I153">
        <f>SmtRes!Y194*Source!I199</f>
        <v>0.11399999999999999</v>
      </c>
      <c r="J153">
        <f>SmtRes!AO194</f>
        <v>1</v>
      </c>
      <c r="K153">
        <f>SmtRes!AE194</f>
        <v>1865.77</v>
      </c>
      <c r="L153">
        <f>SmtRes!DB194</f>
        <v>111.95</v>
      </c>
      <c r="M153">
        <f>ROUND(ROUND(L153*Source!I199, 6)*1, 2)</f>
        <v>212.71</v>
      </c>
      <c r="N153">
        <f>SmtRes!AA194</f>
        <v>1865.77</v>
      </c>
      <c r="O153">
        <f>ROUND(ROUND(L153*Source!I199, 6)*SmtRes!DA194, 2)</f>
        <v>212.71</v>
      </c>
      <c r="P153">
        <f>SmtRes!AG194</f>
        <v>0</v>
      </c>
      <c r="Q153">
        <f>SmtRes!DC194</f>
        <v>0</v>
      </c>
      <c r="R153">
        <f>ROUND(ROUND(Q153*Source!I199, 6)*1, 2)</f>
        <v>0</v>
      </c>
      <c r="S153">
        <f>SmtRes!AC194</f>
        <v>0</v>
      </c>
      <c r="T153">
        <f>ROUND(ROUND(Q153*Source!I199, 6)*SmtRes!AK194, 2)</f>
        <v>0</v>
      </c>
      <c r="U153">
        <f>SmtRes!X194</f>
        <v>1099845635</v>
      </c>
      <c r="V153">
        <v>125426679</v>
      </c>
      <c r="W153">
        <v>125426679</v>
      </c>
    </row>
    <row r="154" spans="1:23" x14ac:dyDescent="0.2">
      <c r="A154">
        <f>Source!A200</f>
        <v>17</v>
      </c>
      <c r="C154">
        <v>3</v>
      </c>
      <c r="D154">
        <v>0</v>
      </c>
      <c r="E154">
        <f>SmtRes!AV200</f>
        <v>0</v>
      </c>
      <c r="F154" t="str">
        <f>SmtRes!I200</f>
        <v>21.1-25-13</v>
      </c>
      <c r="G154" t="str">
        <f>SmtRes!K200</f>
        <v>Вода</v>
      </c>
      <c r="H154" t="str">
        <f>SmtRes!O200</f>
        <v>м3</v>
      </c>
      <c r="I154">
        <f>SmtRes!Y200*Source!I200</f>
        <v>1.9E-2</v>
      </c>
      <c r="J154">
        <f>SmtRes!AO200</f>
        <v>1</v>
      </c>
      <c r="K154">
        <f>SmtRes!AE200</f>
        <v>35.25</v>
      </c>
      <c r="L154">
        <f>SmtRes!DB200</f>
        <v>0.35</v>
      </c>
      <c r="M154">
        <f>ROUND(ROUND(L154*Source!I200, 6)*1, 2)</f>
        <v>0.67</v>
      </c>
      <c r="N154">
        <f>SmtRes!AA200</f>
        <v>35.25</v>
      </c>
      <c r="O154">
        <f>ROUND(ROUND(L154*Source!I200, 6)*SmtRes!DA200, 2)</f>
        <v>0.67</v>
      </c>
      <c r="P154">
        <f>SmtRes!AG200</f>
        <v>0</v>
      </c>
      <c r="Q154">
        <f>SmtRes!DC200</f>
        <v>0</v>
      </c>
      <c r="R154">
        <f>ROUND(ROUND(Q154*Source!I200, 6)*1, 2)</f>
        <v>0</v>
      </c>
      <c r="S154">
        <f>SmtRes!AC200</f>
        <v>0</v>
      </c>
      <c r="T154">
        <f>ROUND(ROUND(Q154*Source!I200, 6)*SmtRes!AK200, 2)</f>
        <v>0</v>
      </c>
      <c r="U154">
        <f>SmtRes!X200</f>
        <v>1927597627</v>
      </c>
      <c r="V154">
        <v>-1829664509</v>
      </c>
      <c r="W154">
        <v>-1829664509</v>
      </c>
    </row>
    <row r="155" spans="1:23" x14ac:dyDescent="0.2">
      <c r="A155">
        <f>Source!A200</f>
        <v>17</v>
      </c>
      <c r="C155">
        <v>3</v>
      </c>
      <c r="D155">
        <v>0</v>
      </c>
      <c r="E155">
        <f>SmtRes!AV199</f>
        <v>0</v>
      </c>
      <c r="F155" t="str">
        <f>SmtRes!I199</f>
        <v>21.1-12-11</v>
      </c>
      <c r="G155" t="str">
        <f>SmtRes!K199</f>
        <v>Песок для строительных работ, рядовой</v>
      </c>
      <c r="H155" t="str">
        <f>SmtRes!O199</f>
        <v>м3</v>
      </c>
      <c r="I155">
        <f>SmtRes!Y199*Source!I200</f>
        <v>0.19949999999999998</v>
      </c>
      <c r="J155">
        <f>SmtRes!AO199</f>
        <v>1</v>
      </c>
      <c r="K155">
        <f>SmtRes!AE199</f>
        <v>590.78</v>
      </c>
      <c r="L155">
        <f>SmtRes!DB199</f>
        <v>62.03</v>
      </c>
      <c r="M155">
        <f>ROUND(ROUND(L155*Source!I200, 6)*1, 2)</f>
        <v>117.86</v>
      </c>
      <c r="N155">
        <f>SmtRes!AA199</f>
        <v>590.78</v>
      </c>
      <c r="O155">
        <f>ROUND(ROUND(L155*Source!I200, 6)*SmtRes!DA199, 2)</f>
        <v>117.86</v>
      </c>
      <c r="P155">
        <f>SmtRes!AG199</f>
        <v>0</v>
      </c>
      <c r="Q155">
        <f>SmtRes!DC199</f>
        <v>0</v>
      </c>
      <c r="R155">
        <f>ROUND(ROUND(Q155*Source!I200, 6)*1, 2)</f>
        <v>0</v>
      </c>
      <c r="S155">
        <f>SmtRes!AC199</f>
        <v>0</v>
      </c>
      <c r="T155">
        <f>ROUND(ROUND(Q155*Source!I200, 6)*SmtRes!AK199, 2)</f>
        <v>0</v>
      </c>
      <c r="U155">
        <f>SmtRes!X199</f>
        <v>909340900</v>
      </c>
      <c r="V155">
        <v>339149647</v>
      </c>
      <c r="W155">
        <v>339149647</v>
      </c>
    </row>
    <row r="156" spans="1:23" x14ac:dyDescent="0.2">
      <c r="A156">
        <f>Source!A200</f>
        <v>17</v>
      </c>
      <c r="C156">
        <v>2</v>
      </c>
      <c r="D156">
        <v>0</v>
      </c>
      <c r="E156">
        <f>SmtRes!AV198</f>
        <v>0</v>
      </c>
      <c r="F156" t="str">
        <f>SmtRes!I198</f>
        <v>22.1-5-17</v>
      </c>
      <c r="G156" t="str">
        <f>SmtRes!K198</f>
        <v>Поливомоечные машины, емкость цистерны до 5000 л</v>
      </c>
      <c r="H156" t="str">
        <f>SmtRes!O198</f>
        <v>маш.-ч</v>
      </c>
      <c r="I156">
        <f>SmtRes!Y198*Source!I200</f>
        <v>5.7000000000000002E-3</v>
      </c>
      <c r="J156">
        <f>SmtRes!AO198</f>
        <v>1</v>
      </c>
      <c r="K156">
        <f>SmtRes!AF198</f>
        <v>1270.56</v>
      </c>
      <c r="L156">
        <f>SmtRes!DB198</f>
        <v>3.81</v>
      </c>
      <c r="M156">
        <f>ROUND(ROUND(L156*Source!I200, 6)*1, 2)</f>
        <v>7.24</v>
      </c>
      <c r="N156">
        <f>SmtRes!AB198</f>
        <v>1270.56</v>
      </c>
      <c r="O156">
        <f>ROUND(ROUND(L156*Source!I200, 6)*SmtRes!DA198, 2)</f>
        <v>7.24</v>
      </c>
      <c r="P156">
        <f>SmtRes!AG198</f>
        <v>493.86</v>
      </c>
      <c r="Q156">
        <f>SmtRes!DC198</f>
        <v>1.48</v>
      </c>
      <c r="R156">
        <f>ROUND(ROUND(Q156*Source!I200, 6)*1, 2)</f>
        <v>2.81</v>
      </c>
      <c r="S156">
        <f>SmtRes!AC198</f>
        <v>493.86</v>
      </c>
      <c r="T156">
        <f>ROUND(ROUND(Q156*Source!I200, 6)*SmtRes!AK198, 2)</f>
        <v>2.81</v>
      </c>
      <c r="U156">
        <f>SmtRes!X198</f>
        <v>112346818</v>
      </c>
      <c r="V156">
        <v>-278163943</v>
      </c>
      <c r="W156">
        <v>-278163943</v>
      </c>
    </row>
    <row r="157" spans="1:23" x14ac:dyDescent="0.2">
      <c r="A157">
        <f>Source!A201</f>
        <v>17</v>
      </c>
      <c r="C157">
        <v>3</v>
      </c>
      <c r="D157">
        <v>0</v>
      </c>
      <c r="E157">
        <f>SmtRes!AV215</f>
        <v>0</v>
      </c>
      <c r="F157" t="str">
        <f>SmtRes!I215</f>
        <v>21.9-11-3</v>
      </c>
      <c r="G157" t="str">
        <f>SmtRes!K215</f>
        <v>Щиты деревянные для фундаментов, колонн, балок, перекрытий, стен, перегородок и других конструкций из досок, толщина 40мм</v>
      </c>
      <c r="H157" t="str">
        <f>SmtRes!O215</f>
        <v>м2</v>
      </c>
      <c r="I157">
        <f>SmtRes!Y215*Source!I201</f>
        <v>6.8040000000000003E-2</v>
      </c>
      <c r="J157">
        <f>SmtRes!AO215</f>
        <v>1</v>
      </c>
      <c r="K157">
        <f>SmtRes!AE215</f>
        <v>473.82</v>
      </c>
      <c r="L157">
        <f>SmtRes!DB215</f>
        <v>1705.75</v>
      </c>
      <c r="M157">
        <f>ROUND(ROUND(L157*Source!I201, 6)*1, 2)</f>
        <v>32.24</v>
      </c>
      <c r="N157">
        <f>SmtRes!AA215</f>
        <v>473.82</v>
      </c>
      <c r="O157">
        <f>ROUND(ROUND(L157*Source!I201, 6)*SmtRes!DA215, 2)</f>
        <v>32.24</v>
      </c>
      <c r="P157">
        <f>SmtRes!AG215</f>
        <v>0</v>
      </c>
      <c r="Q157">
        <f>SmtRes!DC215</f>
        <v>0</v>
      </c>
      <c r="R157">
        <f>ROUND(ROUND(Q157*Source!I201, 6)*1, 2)</f>
        <v>0</v>
      </c>
      <c r="S157">
        <f>SmtRes!AC215</f>
        <v>0</v>
      </c>
      <c r="T157">
        <f>ROUND(ROUND(Q157*Source!I201, 6)*SmtRes!AK215, 2)</f>
        <v>0</v>
      </c>
      <c r="U157">
        <f>SmtRes!X215</f>
        <v>1680411856</v>
      </c>
      <c r="V157">
        <v>-334664347</v>
      </c>
      <c r="W157">
        <v>-334664347</v>
      </c>
    </row>
    <row r="158" spans="1:23" x14ac:dyDescent="0.2">
      <c r="A158">
        <f>Source!A201</f>
        <v>17</v>
      </c>
      <c r="C158">
        <v>3</v>
      </c>
      <c r="D158">
        <v>0</v>
      </c>
      <c r="E158">
        <f>SmtRes!AV214</f>
        <v>0</v>
      </c>
      <c r="F158" t="str">
        <f>SmtRes!I214</f>
        <v>21.3-4-18</v>
      </c>
      <c r="G158" t="str">
        <f>SmtRes!K214</f>
        <v>Арматурные заготовки (стержни, хомуты и т.п.), не собранные в каркасы или сетки, арматурная сталь периодического профиля, класс А-III, диаметр 16-18 мм</v>
      </c>
      <c r="H158" t="str">
        <f>SmtRes!O214</f>
        <v>т</v>
      </c>
      <c r="I158">
        <f>SmtRes!Y214*Source!I201</f>
        <v>0.15309</v>
      </c>
      <c r="J158">
        <f>SmtRes!AO214</f>
        <v>1</v>
      </c>
      <c r="K158">
        <f>SmtRes!AE214</f>
        <v>34634.379999999997</v>
      </c>
      <c r="L158">
        <f>SmtRes!DB214</f>
        <v>280538.48</v>
      </c>
      <c r="M158">
        <f>ROUND(ROUND(L158*Source!I201, 6)*1, 2)</f>
        <v>5302.18</v>
      </c>
      <c r="N158">
        <f>SmtRes!AA214</f>
        <v>34634.379999999997</v>
      </c>
      <c r="O158">
        <f>ROUND(ROUND(L158*Source!I201, 6)*SmtRes!DA214, 2)</f>
        <v>5302.18</v>
      </c>
      <c r="P158">
        <f>SmtRes!AG214</f>
        <v>0</v>
      </c>
      <c r="Q158">
        <f>SmtRes!DC214</f>
        <v>0</v>
      </c>
      <c r="R158">
        <f>ROUND(ROUND(Q158*Source!I201, 6)*1, 2)</f>
        <v>0</v>
      </c>
      <c r="S158">
        <f>SmtRes!AC214</f>
        <v>0</v>
      </c>
      <c r="T158">
        <f>ROUND(ROUND(Q158*Source!I201, 6)*SmtRes!AK214, 2)</f>
        <v>0</v>
      </c>
      <c r="U158">
        <f>SmtRes!X214</f>
        <v>653530504</v>
      </c>
      <c r="V158">
        <v>2014880110</v>
      </c>
      <c r="W158">
        <v>2014880110</v>
      </c>
    </row>
    <row r="159" spans="1:23" x14ac:dyDescent="0.2">
      <c r="A159">
        <f>Source!A201</f>
        <v>17</v>
      </c>
      <c r="C159">
        <v>3</v>
      </c>
      <c r="D159">
        <v>0</v>
      </c>
      <c r="E159">
        <f>SmtRes!AV211</f>
        <v>0</v>
      </c>
      <c r="F159" t="str">
        <f>SmtRes!I211</f>
        <v>21.1-9-57</v>
      </c>
      <c r="G159" t="str">
        <f>SmtRes!K211</f>
        <v>Доски хвойных пород, обрезные, длина 2-6,5 м, сорт III, толщина 40-60 мм</v>
      </c>
      <c r="H159" t="str">
        <f>SmtRes!O211</f>
        <v>м3</v>
      </c>
      <c r="I159">
        <f>SmtRes!Y211*Source!I201</f>
        <v>7.5600000000000005E-4</v>
      </c>
      <c r="J159">
        <f>SmtRes!AO211</f>
        <v>1</v>
      </c>
      <c r="K159">
        <f>SmtRes!AE211</f>
        <v>7098.7</v>
      </c>
      <c r="L159">
        <f>SmtRes!DB211</f>
        <v>283.95</v>
      </c>
      <c r="M159">
        <f>ROUND(ROUND(L159*Source!I201, 6)*1, 2)</f>
        <v>5.37</v>
      </c>
      <c r="N159">
        <f>SmtRes!AA211</f>
        <v>7098.7</v>
      </c>
      <c r="O159">
        <f>ROUND(ROUND(L159*Source!I201, 6)*SmtRes!DA211, 2)</f>
        <v>5.37</v>
      </c>
      <c r="P159">
        <f>SmtRes!AG211</f>
        <v>0</v>
      </c>
      <c r="Q159">
        <f>SmtRes!DC211</f>
        <v>0</v>
      </c>
      <c r="R159">
        <f>ROUND(ROUND(Q159*Source!I201, 6)*1, 2)</f>
        <v>0</v>
      </c>
      <c r="S159">
        <f>SmtRes!AC211</f>
        <v>0</v>
      </c>
      <c r="T159">
        <f>ROUND(ROUND(Q159*Source!I201, 6)*SmtRes!AK211, 2)</f>
        <v>0</v>
      </c>
      <c r="U159">
        <f>SmtRes!X211</f>
        <v>538447250</v>
      </c>
      <c r="V159">
        <v>1167723416</v>
      </c>
      <c r="W159">
        <v>1167723416</v>
      </c>
    </row>
    <row r="160" spans="1:23" x14ac:dyDescent="0.2">
      <c r="A160">
        <f>Source!A201</f>
        <v>17</v>
      </c>
      <c r="C160">
        <v>3</v>
      </c>
      <c r="D160">
        <v>0</v>
      </c>
      <c r="E160">
        <f>SmtRes!AV210</f>
        <v>0</v>
      </c>
      <c r="F160" t="str">
        <f>SmtRes!I210</f>
        <v>21.1-25-13</v>
      </c>
      <c r="G160" t="str">
        <f>SmtRes!K210</f>
        <v>Вода</v>
      </c>
      <c r="H160" t="str">
        <f>SmtRes!O210</f>
        <v>м3</v>
      </c>
      <c r="I160">
        <f>SmtRes!Y210*Source!I201</f>
        <v>1.3797E-2</v>
      </c>
      <c r="J160">
        <f>SmtRes!AO210</f>
        <v>1</v>
      </c>
      <c r="K160">
        <f>SmtRes!AE210</f>
        <v>35.25</v>
      </c>
      <c r="L160">
        <f>SmtRes!DB210</f>
        <v>25.73</v>
      </c>
      <c r="M160">
        <f>ROUND(ROUND(L160*Source!I201, 6)*1, 2)</f>
        <v>0.49</v>
      </c>
      <c r="N160">
        <f>SmtRes!AA210</f>
        <v>35.25</v>
      </c>
      <c r="O160">
        <f>ROUND(ROUND(L160*Source!I201, 6)*SmtRes!DA210, 2)</f>
        <v>0.49</v>
      </c>
      <c r="P160">
        <f>SmtRes!AG210</f>
        <v>0</v>
      </c>
      <c r="Q160">
        <f>SmtRes!DC210</f>
        <v>0</v>
      </c>
      <c r="R160">
        <f>ROUND(ROUND(Q160*Source!I201, 6)*1, 2)</f>
        <v>0</v>
      </c>
      <c r="S160">
        <f>SmtRes!AC210</f>
        <v>0</v>
      </c>
      <c r="T160">
        <f>ROUND(ROUND(Q160*Source!I201, 6)*SmtRes!AK210, 2)</f>
        <v>0</v>
      </c>
      <c r="U160">
        <f>SmtRes!X210</f>
        <v>1927597627</v>
      </c>
      <c r="V160">
        <v>-1829664509</v>
      </c>
      <c r="W160">
        <v>-1829664509</v>
      </c>
    </row>
    <row r="161" spans="1:23" x14ac:dyDescent="0.2">
      <c r="A161">
        <f>Source!A201</f>
        <v>17</v>
      </c>
      <c r="C161">
        <v>3</v>
      </c>
      <c r="D161">
        <v>0</v>
      </c>
      <c r="E161">
        <f>SmtRes!AV209</f>
        <v>0</v>
      </c>
      <c r="F161" t="str">
        <f>SmtRes!I209</f>
        <v>21.1-2-4</v>
      </c>
      <c r="G161" t="str">
        <f>SmtRes!K209</f>
        <v>Известь негашеная комовая</v>
      </c>
      <c r="H161" t="str">
        <f>SmtRes!O209</f>
        <v>т</v>
      </c>
      <c r="I161">
        <f>SmtRes!Y209*Source!I201</f>
        <v>1.8900000000000001E-4</v>
      </c>
      <c r="J161">
        <f>SmtRes!AO209</f>
        <v>1</v>
      </c>
      <c r="K161">
        <f>SmtRes!AE209</f>
        <v>4752.34</v>
      </c>
      <c r="L161">
        <f>SmtRes!DB209</f>
        <v>47.52</v>
      </c>
      <c r="M161">
        <f>ROUND(ROUND(L161*Source!I201, 6)*1, 2)</f>
        <v>0.9</v>
      </c>
      <c r="N161">
        <f>SmtRes!AA209</f>
        <v>4752.34</v>
      </c>
      <c r="O161">
        <f>ROUND(ROUND(L161*Source!I201, 6)*SmtRes!DA209, 2)</f>
        <v>0.9</v>
      </c>
      <c r="P161">
        <f>SmtRes!AG209</f>
        <v>0</v>
      </c>
      <c r="Q161">
        <f>SmtRes!DC209</f>
        <v>0</v>
      </c>
      <c r="R161">
        <f>ROUND(ROUND(Q161*Source!I201, 6)*1, 2)</f>
        <v>0</v>
      </c>
      <c r="S161">
        <f>SmtRes!AC209</f>
        <v>0</v>
      </c>
      <c r="T161">
        <f>ROUND(ROUND(Q161*Source!I201, 6)*SmtRes!AK209, 2)</f>
        <v>0</v>
      </c>
      <c r="U161">
        <f>SmtRes!X209</f>
        <v>-459844717</v>
      </c>
      <c r="V161">
        <v>-928026910</v>
      </c>
      <c r="W161">
        <v>-928026910</v>
      </c>
    </row>
    <row r="162" spans="1:23" x14ac:dyDescent="0.2">
      <c r="A162">
        <f>Source!A201</f>
        <v>17</v>
      </c>
      <c r="C162">
        <v>3</v>
      </c>
      <c r="D162">
        <v>0</v>
      </c>
      <c r="E162">
        <f>SmtRes!AV208</f>
        <v>0</v>
      </c>
      <c r="F162" t="str">
        <f>SmtRes!I208</f>
        <v>21.1-23-9</v>
      </c>
      <c r="G162" t="str">
        <f>SmtRes!K208</f>
        <v>Электроды, тип Э-42, 46, 50, диаметр 4 - 6 мм</v>
      </c>
      <c r="H162" t="str">
        <f>SmtRes!O208</f>
        <v>т</v>
      </c>
      <c r="I162">
        <f>SmtRes!Y208*Source!I201</f>
        <v>3.0240000000000002E-3</v>
      </c>
      <c r="J162">
        <f>SmtRes!AO208</f>
        <v>1</v>
      </c>
      <c r="K162">
        <f>SmtRes!AE208</f>
        <v>110781.14</v>
      </c>
      <c r="L162">
        <f>SmtRes!DB208</f>
        <v>17724.98</v>
      </c>
      <c r="M162">
        <f>ROUND(ROUND(L162*Source!I201, 6)*1, 2)</f>
        <v>335</v>
      </c>
      <c r="N162">
        <f>SmtRes!AA208</f>
        <v>110781.14</v>
      </c>
      <c r="O162">
        <f>ROUND(ROUND(L162*Source!I201, 6)*SmtRes!DA208, 2)</f>
        <v>335</v>
      </c>
      <c r="P162">
        <f>SmtRes!AG208</f>
        <v>0</v>
      </c>
      <c r="Q162">
        <f>SmtRes!DC208</f>
        <v>0</v>
      </c>
      <c r="R162">
        <f>ROUND(ROUND(Q162*Source!I201, 6)*1, 2)</f>
        <v>0</v>
      </c>
      <c r="S162">
        <f>SmtRes!AC208</f>
        <v>0</v>
      </c>
      <c r="T162">
        <f>ROUND(ROUND(Q162*Source!I201, 6)*SmtRes!AK208, 2)</f>
        <v>0</v>
      </c>
      <c r="U162">
        <f>SmtRes!X208</f>
        <v>-672771621</v>
      </c>
      <c r="V162">
        <v>-1526606762</v>
      </c>
      <c r="W162">
        <v>-1526606762</v>
      </c>
    </row>
    <row r="163" spans="1:23" x14ac:dyDescent="0.2">
      <c r="A163">
        <f>Source!A201</f>
        <v>17</v>
      </c>
      <c r="C163">
        <v>3</v>
      </c>
      <c r="D163">
        <v>0</v>
      </c>
      <c r="E163">
        <f>SmtRes!AV207</f>
        <v>0</v>
      </c>
      <c r="F163" t="str">
        <f>SmtRes!I207</f>
        <v>21.1-20-17</v>
      </c>
      <c r="G163" t="str">
        <f>SmtRes!K207</f>
        <v>Мешковина</v>
      </c>
      <c r="H163" t="str">
        <f>SmtRes!O207</f>
        <v>м2</v>
      </c>
      <c r="I163">
        <f>SmtRes!Y207*Source!I201</f>
        <v>0.56699999999999995</v>
      </c>
      <c r="J163">
        <f>SmtRes!AO207</f>
        <v>1</v>
      </c>
      <c r="K163">
        <f>SmtRes!AE207</f>
        <v>91.89</v>
      </c>
      <c r="L163">
        <f>SmtRes!DB207</f>
        <v>2756.7</v>
      </c>
      <c r="M163">
        <f>ROUND(ROUND(L163*Source!I201, 6)*1, 2)</f>
        <v>52.1</v>
      </c>
      <c r="N163">
        <f>SmtRes!AA207</f>
        <v>91.89</v>
      </c>
      <c r="O163">
        <f>ROUND(ROUND(L163*Source!I201, 6)*SmtRes!DA207, 2)</f>
        <v>52.1</v>
      </c>
      <c r="P163">
        <f>SmtRes!AG207</f>
        <v>0</v>
      </c>
      <c r="Q163">
        <f>SmtRes!DC207</f>
        <v>0</v>
      </c>
      <c r="R163">
        <f>ROUND(ROUND(Q163*Source!I201, 6)*1, 2)</f>
        <v>0</v>
      </c>
      <c r="S163">
        <f>SmtRes!AC207</f>
        <v>0</v>
      </c>
      <c r="T163">
        <f>ROUND(ROUND(Q163*Source!I201, 6)*SmtRes!AK207, 2)</f>
        <v>0</v>
      </c>
      <c r="U163">
        <f>SmtRes!X207</f>
        <v>-2047649341</v>
      </c>
      <c r="V163">
        <v>-1336012766</v>
      </c>
      <c r="W163">
        <v>-1336012766</v>
      </c>
    </row>
    <row r="164" spans="1:23" x14ac:dyDescent="0.2">
      <c r="A164">
        <f>Source!A201</f>
        <v>17</v>
      </c>
      <c r="C164">
        <v>3</v>
      </c>
      <c r="D164">
        <v>0</v>
      </c>
      <c r="E164">
        <f>SmtRes!AV206</f>
        <v>0</v>
      </c>
      <c r="F164" t="str">
        <f>SmtRes!I206</f>
        <v>21.1-11-46</v>
      </c>
      <c r="G164" t="str">
        <f>SmtRes!K206</f>
        <v>Гвозди строительные</v>
      </c>
      <c r="H164" t="str">
        <f>SmtRes!O206</f>
        <v>т</v>
      </c>
      <c r="I164">
        <f>SmtRes!Y206*Source!I201</f>
        <v>3.7800000000000004E-5</v>
      </c>
      <c r="J164">
        <f>SmtRes!AO206</f>
        <v>1</v>
      </c>
      <c r="K164">
        <f>SmtRes!AE206</f>
        <v>49736.04</v>
      </c>
      <c r="L164">
        <f>SmtRes!DB206</f>
        <v>99.47</v>
      </c>
      <c r="M164">
        <f>ROUND(ROUND(L164*Source!I201, 6)*1, 2)</f>
        <v>1.88</v>
      </c>
      <c r="N164">
        <f>SmtRes!AA206</f>
        <v>49736.04</v>
      </c>
      <c r="O164">
        <f>ROUND(ROUND(L164*Source!I201, 6)*SmtRes!DA206, 2)</f>
        <v>1.88</v>
      </c>
      <c r="P164">
        <f>SmtRes!AG206</f>
        <v>0</v>
      </c>
      <c r="Q164">
        <f>SmtRes!DC206</f>
        <v>0</v>
      </c>
      <c r="R164">
        <f>ROUND(ROUND(Q164*Source!I201, 6)*1, 2)</f>
        <v>0</v>
      </c>
      <c r="S164">
        <f>SmtRes!AC206</f>
        <v>0</v>
      </c>
      <c r="T164">
        <f>ROUND(ROUND(Q164*Source!I201, 6)*SmtRes!AK206, 2)</f>
        <v>0</v>
      </c>
      <c r="U164">
        <f>SmtRes!X206</f>
        <v>1959613851</v>
      </c>
      <c r="V164">
        <v>-547263076</v>
      </c>
      <c r="W164">
        <v>-547263076</v>
      </c>
    </row>
    <row r="165" spans="1:23" x14ac:dyDescent="0.2">
      <c r="A165">
        <f>Source!A201</f>
        <v>17</v>
      </c>
      <c r="C165">
        <v>2</v>
      </c>
      <c r="D165">
        <v>0</v>
      </c>
      <c r="E165">
        <f>SmtRes!AV205</f>
        <v>0</v>
      </c>
      <c r="F165" t="str">
        <f>SmtRes!I205</f>
        <v>22.1-6-52</v>
      </c>
      <c r="G165" t="str">
        <f>SmtRes!K205</f>
        <v>Вибраторы глубинные</v>
      </c>
      <c r="H165" t="str">
        <f>SmtRes!O205</f>
        <v>маш.-ч</v>
      </c>
      <c r="I165">
        <f>SmtRes!Y205*Source!I201</f>
        <v>0.21262500000000001</v>
      </c>
      <c r="J165">
        <f>SmtRes!AO205</f>
        <v>1</v>
      </c>
      <c r="K165">
        <f>SmtRes!AF205</f>
        <v>10.82</v>
      </c>
      <c r="L165">
        <f>SmtRes!DB205</f>
        <v>121.73</v>
      </c>
      <c r="M165">
        <f>ROUND(ROUND(L165*Source!I201, 6)*1, 2)</f>
        <v>2.2999999999999998</v>
      </c>
      <c r="N165">
        <f>SmtRes!AB205</f>
        <v>10.82</v>
      </c>
      <c r="O165">
        <f>ROUND(ROUND(L165*Source!I201, 6)*SmtRes!DA205, 2)</f>
        <v>2.2999999999999998</v>
      </c>
      <c r="P165">
        <f>SmtRes!AG205</f>
        <v>2.97</v>
      </c>
      <c r="Q165">
        <f>SmtRes!DC205</f>
        <v>33.409999999999997</v>
      </c>
      <c r="R165">
        <f>ROUND(ROUND(Q165*Source!I201, 6)*1, 2)</f>
        <v>0.63</v>
      </c>
      <c r="S165">
        <f>SmtRes!AC205</f>
        <v>2.97</v>
      </c>
      <c r="T165">
        <f>ROUND(ROUND(Q165*Source!I201, 6)*SmtRes!AK205, 2)</f>
        <v>0.63</v>
      </c>
      <c r="U165">
        <f>SmtRes!X205</f>
        <v>1349119844</v>
      </c>
      <c r="V165">
        <v>-1115091794</v>
      </c>
      <c r="W165">
        <v>-1115091794</v>
      </c>
    </row>
    <row r="166" spans="1:23" x14ac:dyDescent="0.2">
      <c r="A166">
        <f>Source!A201</f>
        <v>17</v>
      </c>
      <c r="C166">
        <v>2</v>
      </c>
      <c r="D166">
        <v>0</v>
      </c>
      <c r="E166">
        <f>SmtRes!AV204</f>
        <v>0</v>
      </c>
      <c r="F166" t="str">
        <f>SmtRes!I204</f>
        <v>22.1-4-12</v>
      </c>
      <c r="G166" t="str">
        <f>SmtRes!K204</f>
        <v>Погрузчики на автомобильном ходу, грузоподъемность до 5 т</v>
      </c>
      <c r="H166" t="str">
        <f>SmtRes!O204</f>
        <v>маш.-ч</v>
      </c>
      <c r="I166">
        <f>SmtRes!Y204*Source!I201</f>
        <v>5.8589999999999996E-3</v>
      </c>
      <c r="J166">
        <f>SmtRes!AO204</f>
        <v>1</v>
      </c>
      <c r="K166">
        <f>SmtRes!AF204</f>
        <v>683.9</v>
      </c>
      <c r="L166">
        <f>SmtRes!DB204</f>
        <v>212.01</v>
      </c>
      <c r="M166">
        <f>ROUND(ROUND(L166*Source!I201, 6)*1, 2)</f>
        <v>4.01</v>
      </c>
      <c r="N166">
        <f>SmtRes!AB204</f>
        <v>683.9</v>
      </c>
      <c r="O166">
        <f>ROUND(ROUND(L166*Source!I201, 6)*SmtRes!DA204, 2)</f>
        <v>4.01</v>
      </c>
      <c r="P166">
        <f>SmtRes!AG204</f>
        <v>371.27</v>
      </c>
      <c r="Q166">
        <f>SmtRes!DC204</f>
        <v>115.09</v>
      </c>
      <c r="R166">
        <f>ROUND(ROUND(Q166*Source!I201, 6)*1, 2)</f>
        <v>2.1800000000000002</v>
      </c>
      <c r="S166">
        <f>SmtRes!AC204</f>
        <v>371.27</v>
      </c>
      <c r="T166">
        <f>ROUND(ROUND(Q166*Source!I201, 6)*SmtRes!AK204, 2)</f>
        <v>2.1800000000000002</v>
      </c>
      <c r="U166">
        <f>SmtRes!X204</f>
        <v>-1323805330</v>
      </c>
      <c r="V166">
        <v>1986574417</v>
      </c>
      <c r="W166">
        <v>1986574417</v>
      </c>
    </row>
    <row r="167" spans="1:23" x14ac:dyDescent="0.2">
      <c r="A167">
        <f>Source!A201</f>
        <v>17</v>
      </c>
      <c r="C167">
        <v>2</v>
      </c>
      <c r="D167">
        <v>0</v>
      </c>
      <c r="E167">
        <f>SmtRes!AV203</f>
        <v>0</v>
      </c>
      <c r="F167" t="str">
        <f>SmtRes!I203</f>
        <v>22.1-30-26</v>
      </c>
      <c r="G167" t="str">
        <f>SmtRes!K203</f>
        <v>Пилы ручные электрические</v>
      </c>
      <c r="H167" t="str">
        <f>SmtRes!O203</f>
        <v>маш.-ч</v>
      </c>
      <c r="I167">
        <f>SmtRes!Y203*Source!I201</f>
        <v>2.2680000000000001E-3</v>
      </c>
      <c r="J167">
        <f>SmtRes!AO203</f>
        <v>1</v>
      </c>
      <c r="K167">
        <f>SmtRes!AF203</f>
        <v>3.67</v>
      </c>
      <c r="L167">
        <f>SmtRes!DB203</f>
        <v>0.44</v>
      </c>
      <c r="M167">
        <f>ROUND(ROUND(L167*Source!I201, 6)*1, 2)</f>
        <v>0.01</v>
      </c>
      <c r="N167">
        <f>SmtRes!AB203</f>
        <v>3.67</v>
      </c>
      <c r="O167">
        <f>ROUND(ROUND(L167*Source!I201, 6)*SmtRes!DA203, 2)</f>
        <v>0.01</v>
      </c>
      <c r="P167">
        <f>SmtRes!AG203</f>
        <v>0.01</v>
      </c>
      <c r="Q167">
        <f>SmtRes!DC203</f>
        <v>0</v>
      </c>
      <c r="R167">
        <f>ROUND(ROUND(Q167*Source!I201, 6)*1, 2)</f>
        <v>0</v>
      </c>
      <c r="S167">
        <f>SmtRes!AC203</f>
        <v>0.01</v>
      </c>
      <c r="T167">
        <f>ROUND(ROUND(Q167*Source!I201, 6)*SmtRes!AK203, 2)</f>
        <v>0</v>
      </c>
      <c r="U167">
        <f>SmtRes!X203</f>
        <v>1598319406</v>
      </c>
      <c r="V167">
        <v>1181039040</v>
      </c>
      <c r="W167">
        <v>1181039040</v>
      </c>
    </row>
    <row r="168" spans="1:23" x14ac:dyDescent="0.2">
      <c r="A168">
        <f>Source!A201</f>
        <v>17</v>
      </c>
      <c r="C168">
        <v>2</v>
      </c>
      <c r="D168">
        <v>0</v>
      </c>
      <c r="E168">
        <f>SmtRes!AV202</f>
        <v>0</v>
      </c>
      <c r="F168" t="str">
        <f>SmtRes!I202</f>
        <v>22.1-13-14</v>
      </c>
      <c r="G168" t="str">
        <f>SmtRes!K202</f>
        <v>Установки для сварки ручной дуговой (постоянного тока)</v>
      </c>
      <c r="H168" t="str">
        <f>SmtRes!O202</f>
        <v>маш.-ч</v>
      </c>
      <c r="I168">
        <f>SmtRes!Y202*Source!I201</f>
        <v>2.835</v>
      </c>
      <c r="J168">
        <f>SmtRes!AO202</f>
        <v>1</v>
      </c>
      <c r="K168">
        <f>SmtRes!AF202</f>
        <v>27.21</v>
      </c>
      <c r="L168">
        <f>SmtRes!DB202</f>
        <v>4081.5</v>
      </c>
      <c r="M168">
        <f>ROUND(ROUND(L168*Source!I201, 6)*1, 2)</f>
        <v>77.14</v>
      </c>
      <c r="N168">
        <f>SmtRes!AB202</f>
        <v>27.21</v>
      </c>
      <c r="O168">
        <f>ROUND(ROUND(L168*Source!I201, 6)*SmtRes!DA202, 2)</f>
        <v>77.14</v>
      </c>
      <c r="P168">
        <f>SmtRes!AG202</f>
        <v>0.13</v>
      </c>
      <c r="Q168">
        <f>SmtRes!DC202</f>
        <v>19.5</v>
      </c>
      <c r="R168">
        <f>ROUND(ROUND(Q168*Source!I201, 6)*1, 2)</f>
        <v>0.37</v>
      </c>
      <c r="S168">
        <f>SmtRes!AC202</f>
        <v>0.13</v>
      </c>
      <c r="T168">
        <f>ROUND(ROUND(Q168*Source!I201, 6)*SmtRes!AK202, 2)</f>
        <v>0.37</v>
      </c>
      <c r="U168">
        <f>SmtRes!X202</f>
        <v>-1757825014</v>
      </c>
      <c r="V168">
        <v>-1042877116</v>
      </c>
      <c r="W168">
        <v>-1042877116</v>
      </c>
    </row>
    <row r="169" spans="1:23" x14ac:dyDescent="0.2">
      <c r="A169">
        <f>Source!A202</f>
        <v>18</v>
      </c>
      <c r="C169">
        <v>3</v>
      </c>
      <c r="D169">
        <f>Source!BI202</f>
        <v>4</v>
      </c>
      <c r="E169">
        <f>Source!FS202</f>
        <v>0</v>
      </c>
      <c r="F169" t="str">
        <f>Source!F202</f>
        <v>21.3-1-83</v>
      </c>
      <c r="G169" t="str">
        <f>Source!G202</f>
        <v>Смеси бетонные, БСГ, тяжелого бетона на гранитном щебне, фракция 5-20, класс прочности: В22,5 (М300); П3, F200, W6</v>
      </c>
      <c r="H169" t="str">
        <f>Source!H202</f>
        <v>м3</v>
      </c>
      <c r="I169">
        <f>Source!I202</f>
        <v>1.91835</v>
      </c>
      <c r="J169">
        <v>1</v>
      </c>
      <c r="K169">
        <f>Source!AC202</f>
        <v>3884.73</v>
      </c>
      <c r="M169">
        <f>ROUND(K169*I169, 2)</f>
        <v>7452.27</v>
      </c>
      <c r="N169">
        <f>Source!AC202*IF(Source!BC202&lt;&gt; 0, Source!BC202, 1)</f>
        <v>3884.73</v>
      </c>
      <c r="O169">
        <f>ROUND(N169*I169, 2)</f>
        <v>7452.27</v>
      </c>
      <c r="P169">
        <f>Source!AE202</f>
        <v>0</v>
      </c>
      <c r="R169">
        <f>ROUND(P169*I169, 2)</f>
        <v>0</v>
      </c>
      <c r="S169">
        <f>Source!AE202*IF(Source!BS202&lt;&gt; 0, Source!BS202, 1)</f>
        <v>0</v>
      </c>
      <c r="T169">
        <f>ROUND(S169*I169, 2)</f>
        <v>0</v>
      </c>
      <c r="U169">
        <f>Source!GF202</f>
        <v>-793492541</v>
      </c>
      <c r="V169">
        <v>-1648563401</v>
      </c>
      <c r="W169">
        <v>-1648563401</v>
      </c>
    </row>
    <row r="170" spans="1:23" x14ac:dyDescent="0.2">
      <c r="A170">
        <f>Source!A204</f>
        <v>17</v>
      </c>
      <c r="C170">
        <v>3</v>
      </c>
      <c r="D170">
        <v>0</v>
      </c>
      <c r="E170">
        <f>SmtRes!AV226</f>
        <v>0</v>
      </c>
      <c r="F170" t="str">
        <f>SmtRes!I226</f>
        <v>21.7-3-6</v>
      </c>
      <c r="G170" t="str">
        <f>SmtRes!K226</f>
        <v>Диск отрезной абразивный для резки по металлу, диаметр 125 мм</v>
      </c>
      <c r="H170" t="str">
        <f>SmtRes!O226</f>
        <v>шт.</v>
      </c>
      <c r="I170">
        <f>SmtRes!Y226*Source!I204</f>
        <v>1.5764</v>
      </c>
      <c r="J170">
        <f>SmtRes!AO226</f>
        <v>1</v>
      </c>
      <c r="K170">
        <f>SmtRes!AE226</f>
        <v>16.54</v>
      </c>
      <c r="L170">
        <f>SmtRes!DB226</f>
        <v>0.23</v>
      </c>
      <c r="M170">
        <f>ROUND(ROUND(L170*Source!I204, 6)*1, 2)</f>
        <v>25.9</v>
      </c>
      <c r="N170">
        <f>SmtRes!AA226</f>
        <v>16.54</v>
      </c>
      <c r="O170">
        <f>ROUND(ROUND(L170*Source!I204, 6)*SmtRes!DA226, 2)</f>
        <v>25.9</v>
      </c>
      <c r="P170">
        <f>SmtRes!AG226</f>
        <v>0</v>
      </c>
      <c r="Q170">
        <f>SmtRes!DC226</f>
        <v>0</v>
      </c>
      <c r="R170">
        <f>ROUND(ROUND(Q170*Source!I204, 6)*1, 2)</f>
        <v>0</v>
      </c>
      <c r="S170">
        <f>SmtRes!AC226</f>
        <v>0</v>
      </c>
      <c r="T170">
        <f>ROUND(ROUND(Q170*Source!I204, 6)*SmtRes!AK226, 2)</f>
        <v>0</v>
      </c>
      <c r="U170">
        <f>SmtRes!X226</f>
        <v>969740417</v>
      </c>
      <c r="V170">
        <v>1505566275</v>
      </c>
      <c r="W170">
        <v>1505566275</v>
      </c>
    </row>
    <row r="171" spans="1:23" x14ac:dyDescent="0.2">
      <c r="A171">
        <f>Source!A204</f>
        <v>17</v>
      </c>
      <c r="C171">
        <v>3</v>
      </c>
      <c r="D171">
        <v>0</v>
      </c>
      <c r="E171">
        <f>SmtRes!AV225</f>
        <v>0</v>
      </c>
      <c r="F171" t="str">
        <f>SmtRes!I225</f>
        <v>21.1-23-9</v>
      </c>
      <c r="G171" t="str">
        <f>SmtRes!K225</f>
        <v>Электроды, тип Э-42, 46, 50, диаметр 4 - 6 мм</v>
      </c>
      <c r="H171" t="str">
        <f>SmtRes!O225</f>
        <v>т</v>
      </c>
      <c r="I171">
        <f>SmtRes!Y225*Source!I204</f>
        <v>5.6299999999999996E-2</v>
      </c>
      <c r="J171">
        <f>SmtRes!AO225</f>
        <v>1</v>
      </c>
      <c r="K171">
        <f>SmtRes!AE225</f>
        <v>110781.14</v>
      </c>
      <c r="L171">
        <f>SmtRes!DB225</f>
        <v>55.39</v>
      </c>
      <c r="M171">
        <f>ROUND(ROUND(L171*Source!I204, 6)*1, 2)</f>
        <v>6236.91</v>
      </c>
      <c r="N171">
        <f>SmtRes!AA225</f>
        <v>110781.14</v>
      </c>
      <c r="O171">
        <f>ROUND(ROUND(L171*Source!I204, 6)*SmtRes!DA225, 2)</f>
        <v>6236.91</v>
      </c>
      <c r="P171">
        <f>SmtRes!AG225</f>
        <v>0</v>
      </c>
      <c r="Q171">
        <f>SmtRes!DC225</f>
        <v>0</v>
      </c>
      <c r="R171">
        <f>ROUND(ROUND(Q171*Source!I204, 6)*1, 2)</f>
        <v>0</v>
      </c>
      <c r="S171">
        <f>SmtRes!AC225</f>
        <v>0</v>
      </c>
      <c r="T171">
        <f>ROUND(ROUND(Q171*Source!I204, 6)*SmtRes!AK225, 2)</f>
        <v>0</v>
      </c>
      <c r="U171">
        <f>SmtRes!X225</f>
        <v>-672771621</v>
      </c>
      <c r="V171">
        <v>-1526606762</v>
      </c>
      <c r="W171">
        <v>-1526606762</v>
      </c>
    </row>
    <row r="172" spans="1:23" x14ac:dyDescent="0.2">
      <c r="A172">
        <f>Source!A204</f>
        <v>17</v>
      </c>
      <c r="C172">
        <v>3</v>
      </c>
      <c r="D172">
        <v>0</v>
      </c>
      <c r="E172">
        <f>SmtRes!AV221</f>
        <v>0</v>
      </c>
      <c r="F172" t="str">
        <f>SmtRes!I221</f>
        <v>21.1-10-171</v>
      </c>
      <c r="G172" t="str">
        <f>SmtRes!K221</f>
        <v>Сталь полосовая, марка Ст1кп-Ст4кп, Ст1пс-Ст6пс, Ст1Гпс-Ст5Гпс, кипящая и полуспокойная,</v>
      </c>
      <c r="H172" t="str">
        <f>SmtRes!O221</f>
        <v>т</v>
      </c>
      <c r="I172">
        <f>SmtRes!Y221*Source!I204</f>
        <v>0.11372599999999999</v>
      </c>
      <c r="J172">
        <f>SmtRes!AO221</f>
        <v>1</v>
      </c>
      <c r="K172">
        <f>SmtRes!AE221</f>
        <v>38268.54</v>
      </c>
      <c r="L172">
        <f>SmtRes!DB221</f>
        <v>38.65</v>
      </c>
      <c r="M172">
        <f>ROUND(ROUND(L172*Source!I204, 6)*1, 2)</f>
        <v>4351.99</v>
      </c>
      <c r="N172">
        <f>SmtRes!AA221</f>
        <v>38268.54</v>
      </c>
      <c r="O172">
        <f>ROUND(ROUND(L172*Source!I204, 6)*SmtRes!DA221, 2)</f>
        <v>4351.99</v>
      </c>
      <c r="P172">
        <f>SmtRes!AG221</f>
        <v>0</v>
      </c>
      <c r="Q172">
        <f>SmtRes!DC221</f>
        <v>0</v>
      </c>
      <c r="R172">
        <f>ROUND(ROUND(Q172*Source!I204, 6)*1, 2)</f>
        <v>0</v>
      </c>
      <c r="S172">
        <f>SmtRes!AC221</f>
        <v>0</v>
      </c>
      <c r="T172">
        <f>ROUND(ROUND(Q172*Source!I204, 6)*SmtRes!AK221, 2)</f>
        <v>0</v>
      </c>
      <c r="U172">
        <f>SmtRes!X221</f>
        <v>-1210277159</v>
      </c>
      <c r="V172">
        <v>-1029693808</v>
      </c>
      <c r="W172">
        <v>-1029693808</v>
      </c>
    </row>
    <row r="173" spans="1:23" x14ac:dyDescent="0.2">
      <c r="A173">
        <f>Source!A204</f>
        <v>17</v>
      </c>
      <c r="C173">
        <v>2</v>
      </c>
      <c r="D173">
        <v>0</v>
      </c>
      <c r="E173">
        <f>SmtRes!AV219</f>
        <v>0</v>
      </c>
      <c r="F173" t="str">
        <f>SmtRes!I219</f>
        <v>22.1-30-43</v>
      </c>
      <c r="G173" t="str">
        <f>SmtRes!K219</f>
        <v>Станки трубоотрезные</v>
      </c>
      <c r="H173" t="str">
        <f>SmtRes!O219</f>
        <v>маш.-ч</v>
      </c>
      <c r="I173">
        <f>SmtRes!Y219*Source!I204</f>
        <v>56.750399999999999</v>
      </c>
      <c r="J173">
        <f>SmtRes!AO219</f>
        <v>1</v>
      </c>
      <c r="K173">
        <f>SmtRes!AF219</f>
        <v>652.16</v>
      </c>
      <c r="L173">
        <f>SmtRes!DB219</f>
        <v>328.69</v>
      </c>
      <c r="M173">
        <f>ROUND(ROUND(L173*Source!I204, 6)*1, 2)</f>
        <v>37010.49</v>
      </c>
      <c r="N173">
        <f>SmtRes!AB219</f>
        <v>652.16</v>
      </c>
      <c r="O173">
        <f>ROUND(ROUND(L173*Source!I204, 6)*SmtRes!DA219, 2)</f>
        <v>37010.49</v>
      </c>
      <c r="P173">
        <f>SmtRes!AG219</f>
        <v>581.9</v>
      </c>
      <c r="Q173">
        <f>SmtRes!DC219</f>
        <v>293.27999999999997</v>
      </c>
      <c r="R173">
        <f>ROUND(ROUND(Q173*Source!I204, 6)*1, 2)</f>
        <v>33023.33</v>
      </c>
      <c r="S173">
        <f>SmtRes!AC219</f>
        <v>581.9</v>
      </c>
      <c r="T173">
        <f>ROUND(ROUND(Q173*Source!I204, 6)*SmtRes!AK219, 2)</f>
        <v>33023.33</v>
      </c>
      <c r="U173">
        <f>SmtRes!X219</f>
        <v>676633484</v>
      </c>
      <c r="V173">
        <v>-1881072116</v>
      </c>
      <c r="W173">
        <v>-1881072116</v>
      </c>
    </row>
    <row r="174" spans="1:23" x14ac:dyDescent="0.2">
      <c r="A174">
        <f>Source!A204</f>
        <v>17</v>
      </c>
      <c r="C174">
        <v>2</v>
      </c>
      <c r="D174">
        <v>0</v>
      </c>
      <c r="E174">
        <f>SmtRes!AV218</f>
        <v>0</v>
      </c>
      <c r="F174" t="str">
        <f>SmtRes!I218</f>
        <v>22.1-30-19</v>
      </c>
      <c r="G174" t="str">
        <f>SmtRes!K218</f>
        <v>Машины шлифовальные электрические</v>
      </c>
      <c r="H174" t="str">
        <f>SmtRes!O218</f>
        <v>маш.-ч</v>
      </c>
      <c r="I174">
        <f>SmtRes!Y218*Source!I204</f>
        <v>12.949</v>
      </c>
      <c r="J174">
        <f>SmtRes!AO218</f>
        <v>1</v>
      </c>
      <c r="K174">
        <f>SmtRes!AF218</f>
        <v>5.94</v>
      </c>
      <c r="L174">
        <f>SmtRes!DB218</f>
        <v>0.68</v>
      </c>
      <c r="M174">
        <f>ROUND(ROUND(L174*Source!I204, 6)*1, 2)</f>
        <v>76.569999999999993</v>
      </c>
      <c r="N174">
        <f>SmtRes!AB218</f>
        <v>5.94</v>
      </c>
      <c r="O174">
        <f>ROUND(ROUND(L174*Source!I204, 6)*SmtRes!DA218, 2)</f>
        <v>76.569999999999993</v>
      </c>
      <c r="P174">
        <f>SmtRes!AG218</f>
        <v>0.02</v>
      </c>
      <c r="Q174">
        <f>SmtRes!DC218</f>
        <v>0</v>
      </c>
      <c r="R174">
        <f>ROUND(ROUND(Q174*Source!I204, 6)*1, 2)</f>
        <v>0</v>
      </c>
      <c r="S174">
        <f>SmtRes!AC218</f>
        <v>0.02</v>
      </c>
      <c r="T174">
        <f>ROUND(ROUND(Q174*Source!I204, 6)*SmtRes!AK218, 2)</f>
        <v>0</v>
      </c>
      <c r="U174">
        <f>SmtRes!X218</f>
        <v>-764600179</v>
      </c>
      <c r="V174">
        <v>892192163</v>
      </c>
      <c r="W174">
        <v>892192163</v>
      </c>
    </row>
    <row r="175" spans="1:23" x14ac:dyDescent="0.2">
      <c r="A175">
        <f>Source!A204</f>
        <v>17</v>
      </c>
      <c r="C175">
        <v>2</v>
      </c>
      <c r="D175">
        <v>0</v>
      </c>
      <c r="E175">
        <f>SmtRes!AV217</f>
        <v>0</v>
      </c>
      <c r="F175" t="str">
        <f>SmtRes!I217</f>
        <v>22.1-13-15</v>
      </c>
      <c r="G175" t="str">
        <f>SmtRes!K217</f>
        <v>Аппараты сварочные</v>
      </c>
      <c r="H175" t="str">
        <f>SmtRes!O217</f>
        <v>маш.-ч</v>
      </c>
      <c r="I175">
        <f>SmtRes!Y217*Source!I204</f>
        <v>43.238399999999999</v>
      </c>
      <c r="J175">
        <f>SmtRes!AO217</f>
        <v>1</v>
      </c>
      <c r="K175">
        <f>SmtRes!AF217</f>
        <v>351.29</v>
      </c>
      <c r="L175">
        <f>SmtRes!DB217</f>
        <v>134.9</v>
      </c>
      <c r="M175">
        <f>ROUND(ROUND(L175*Source!I204, 6)*1, 2)</f>
        <v>15189.74</v>
      </c>
      <c r="N175">
        <f>SmtRes!AB217</f>
        <v>351.29</v>
      </c>
      <c r="O175">
        <f>ROUND(ROUND(L175*Source!I204, 6)*SmtRes!DA217, 2)</f>
        <v>15189.74</v>
      </c>
      <c r="P175">
        <f>SmtRes!AG217</f>
        <v>7.02</v>
      </c>
      <c r="Q175">
        <f>SmtRes!DC217</f>
        <v>2.7</v>
      </c>
      <c r="R175">
        <f>ROUND(ROUND(Q175*Source!I204, 6)*1, 2)</f>
        <v>304.02</v>
      </c>
      <c r="S175">
        <f>SmtRes!AC217</f>
        <v>7.02</v>
      </c>
      <c r="T175">
        <f>ROUND(ROUND(Q175*Source!I204, 6)*SmtRes!AK217, 2)</f>
        <v>304.02</v>
      </c>
      <c r="U175">
        <f>SmtRes!X217</f>
        <v>-711828296</v>
      </c>
      <c r="V175">
        <v>-2029004941</v>
      </c>
      <c r="W175">
        <v>-2029004941</v>
      </c>
    </row>
    <row r="176" spans="1:23" x14ac:dyDescent="0.2">
      <c r="A176">
        <f>Source!A205</f>
        <v>18</v>
      </c>
      <c r="C176">
        <v>3</v>
      </c>
      <c r="D176">
        <f>Source!BI205</f>
        <v>4</v>
      </c>
      <c r="E176">
        <f>Source!FS205</f>
        <v>0</v>
      </c>
      <c r="F176" t="str">
        <f>Source!F205</f>
        <v>21.1-10-47</v>
      </c>
      <c r="G176" t="str">
        <f>Source!G205</f>
        <v>Профили стальные электросварные квадратного сечения трубчатые, размер стороны 80 мм, толщина стенки 3-6 мм (толщ.4 мм, расход 9,33 кг/м.п., L=75,0 м.п.)</v>
      </c>
      <c r="H176" t="str">
        <f>Source!H205</f>
        <v>т</v>
      </c>
      <c r="I176">
        <f>Source!I205</f>
        <v>0.69974999999999998</v>
      </c>
      <c r="J176">
        <v>1</v>
      </c>
      <c r="K176">
        <f>Source!AC205</f>
        <v>37329.29</v>
      </c>
      <c r="M176">
        <f t="shared" ref="M176:M183" si="4">ROUND(K176*I176, 2)</f>
        <v>26121.17</v>
      </c>
      <c r="N176">
        <f>Source!AC205*IF(Source!BC205&lt;&gt; 0, Source!BC205, 1)</f>
        <v>37329.29</v>
      </c>
      <c r="O176">
        <f t="shared" ref="O176:O183" si="5">ROUND(N176*I176, 2)</f>
        <v>26121.17</v>
      </c>
      <c r="P176">
        <f>Source!AE205</f>
        <v>0</v>
      </c>
      <c r="R176">
        <f t="shared" ref="R176:R183" si="6">ROUND(P176*I176, 2)</f>
        <v>0</v>
      </c>
      <c r="S176">
        <f>Source!AE205*IF(Source!BS205&lt;&gt; 0, Source!BS205, 1)</f>
        <v>0</v>
      </c>
      <c r="T176">
        <f t="shared" ref="T176:T183" si="7">ROUND(S176*I176, 2)</f>
        <v>0</v>
      </c>
      <c r="U176">
        <f>Source!GF205</f>
        <v>1662963478</v>
      </c>
      <c r="V176">
        <v>1513119136</v>
      </c>
      <c r="W176">
        <v>1513119136</v>
      </c>
    </row>
    <row r="177" spans="1:23" x14ac:dyDescent="0.2">
      <c r="A177">
        <f>Source!A206</f>
        <v>18</v>
      </c>
      <c r="C177">
        <v>3</v>
      </c>
      <c r="D177">
        <f>Source!BI206</f>
        <v>4</v>
      </c>
      <c r="E177">
        <f>Source!FS206</f>
        <v>0</v>
      </c>
      <c r="F177" t="str">
        <f>Source!F206</f>
        <v>21.1-10-111</v>
      </c>
      <c r="G177" t="str">
        <f>Source!G206</f>
        <v>Профили стальные электросварные прямоугольного сечения трубчатые, размер 40х60 мм, толщина стенки 3,0 мм (расход 4,30 кг/м.п., L=196,2 м.п.)</v>
      </c>
      <c r="H177" t="str">
        <f>Source!H206</f>
        <v>т</v>
      </c>
      <c r="I177">
        <f>Source!I206</f>
        <v>0.84365999999999997</v>
      </c>
      <c r="J177">
        <v>1</v>
      </c>
      <c r="K177">
        <f>Source!AC206</f>
        <v>32819.879999999997</v>
      </c>
      <c r="M177">
        <f t="shared" si="4"/>
        <v>27688.82</v>
      </c>
      <c r="N177">
        <f>Source!AC206*IF(Source!BC206&lt;&gt; 0, Source!BC206, 1)</f>
        <v>32819.879999999997</v>
      </c>
      <c r="O177">
        <f t="shared" si="5"/>
        <v>27688.82</v>
      </c>
      <c r="P177">
        <f>Source!AE206</f>
        <v>0</v>
      </c>
      <c r="R177">
        <f t="shared" si="6"/>
        <v>0</v>
      </c>
      <c r="S177">
        <f>Source!AE206*IF(Source!BS206&lt;&gt; 0, Source!BS206, 1)</f>
        <v>0</v>
      </c>
      <c r="T177">
        <f t="shared" si="7"/>
        <v>0</v>
      </c>
      <c r="U177">
        <f>Source!GF206</f>
        <v>690088621</v>
      </c>
      <c r="V177">
        <v>-936435174</v>
      </c>
      <c r="W177">
        <v>-936435174</v>
      </c>
    </row>
    <row r="178" spans="1:23" x14ac:dyDescent="0.2">
      <c r="A178">
        <f>Source!A207</f>
        <v>18</v>
      </c>
      <c r="C178">
        <v>3</v>
      </c>
      <c r="D178">
        <f>Source!BI207</f>
        <v>4</v>
      </c>
      <c r="E178">
        <f>Source!FS207</f>
        <v>0</v>
      </c>
      <c r="F178" t="str">
        <f>Source!F207</f>
        <v>21.1-10-34</v>
      </c>
      <c r="G178" t="str">
        <f>Source!G207</f>
        <v>Профили стальные электросварные квадратного сечения трубчатые, размер стороны 20 мм, толщина стенки 2 мм (расход 1,075 кг/м.п., L=1724,4 м.п.)</v>
      </c>
      <c r="H178" t="str">
        <f>Source!H207</f>
        <v>т</v>
      </c>
      <c r="I178">
        <f>Source!I207</f>
        <v>1.8537300000000001</v>
      </c>
      <c r="J178">
        <v>1</v>
      </c>
      <c r="K178">
        <f>Source!AC207</f>
        <v>40597.550000000003</v>
      </c>
      <c r="M178">
        <f t="shared" si="4"/>
        <v>75256.899999999994</v>
      </c>
      <c r="N178">
        <f>Source!AC207*IF(Source!BC207&lt;&gt; 0, Source!BC207, 1)</f>
        <v>40597.550000000003</v>
      </c>
      <c r="O178">
        <f t="shared" si="5"/>
        <v>75256.899999999994</v>
      </c>
      <c r="P178">
        <f>Source!AE207</f>
        <v>0</v>
      </c>
      <c r="R178">
        <f t="shared" si="6"/>
        <v>0</v>
      </c>
      <c r="S178">
        <f>Source!AE207*IF(Source!BS207&lt;&gt; 0, Source!BS207, 1)</f>
        <v>0</v>
      </c>
      <c r="T178">
        <f t="shared" si="7"/>
        <v>0</v>
      </c>
      <c r="U178">
        <f>Source!GF207</f>
        <v>-259010178</v>
      </c>
      <c r="V178">
        <v>175560375</v>
      </c>
      <c r="W178">
        <v>175560375</v>
      </c>
    </row>
    <row r="179" spans="1:23" x14ac:dyDescent="0.2">
      <c r="A179">
        <f>Source!A208</f>
        <v>18</v>
      </c>
      <c r="C179">
        <v>3</v>
      </c>
      <c r="D179">
        <f>Source!BI208</f>
        <v>4</v>
      </c>
      <c r="E179">
        <f>Source!FS208</f>
        <v>0</v>
      </c>
      <c r="F179" t="str">
        <f>Source!F208</f>
        <v>Цена поставщика</v>
      </c>
      <c r="G179" t="str">
        <f>Source!G208</f>
        <v>Пластиковая заглушка для труб 80х80 мм</v>
      </c>
      <c r="H179" t="str">
        <f>Source!H208</f>
        <v>ШТ</v>
      </c>
      <c r="I179">
        <f>Source!I208</f>
        <v>21</v>
      </c>
      <c r="J179">
        <v>1</v>
      </c>
      <c r="K179">
        <f>Source!AC208</f>
        <v>37.5</v>
      </c>
      <c r="M179">
        <f t="shared" si="4"/>
        <v>787.5</v>
      </c>
      <c r="N179">
        <f>Source!AC208*IF(Source!BC208&lt;&gt; 0, Source!BC208, 1)</f>
        <v>37.5</v>
      </c>
      <c r="O179">
        <f t="shared" si="5"/>
        <v>787.5</v>
      </c>
      <c r="P179">
        <f>Source!AE208</f>
        <v>0</v>
      </c>
      <c r="R179">
        <f t="shared" si="6"/>
        <v>0</v>
      </c>
      <c r="S179">
        <f>Source!AE208*IF(Source!BS208&lt;&gt; 0, Source!BS208, 1)</f>
        <v>0</v>
      </c>
      <c r="T179">
        <f t="shared" si="7"/>
        <v>0</v>
      </c>
      <c r="U179">
        <f>Source!GF208</f>
        <v>-1591933177</v>
      </c>
      <c r="V179">
        <v>1813338865</v>
      </c>
      <c r="W179">
        <v>1813338865</v>
      </c>
    </row>
    <row r="180" spans="1:23" x14ac:dyDescent="0.2">
      <c r="A180">
        <f>Source!A209</f>
        <v>18</v>
      </c>
      <c r="C180">
        <v>3</v>
      </c>
      <c r="D180">
        <f>Source!BI209</f>
        <v>4</v>
      </c>
      <c r="E180">
        <f>Source!FS209</f>
        <v>0</v>
      </c>
      <c r="F180" t="str">
        <f>Source!F209</f>
        <v>Цена поставщика</v>
      </c>
      <c r="G180" t="str">
        <f>Source!G209</f>
        <v>Пластиковая заглушка для труб 60х40 мм</v>
      </c>
      <c r="H180" t="str">
        <f>Source!H209</f>
        <v>ШТ</v>
      </c>
      <c r="I180">
        <f>Source!I209</f>
        <v>84</v>
      </c>
      <c r="J180">
        <v>1</v>
      </c>
      <c r="K180">
        <f>Source!AC209</f>
        <v>16.53</v>
      </c>
      <c r="M180">
        <f t="shared" si="4"/>
        <v>1388.52</v>
      </c>
      <c r="N180">
        <f>Source!AC209*IF(Source!BC209&lt;&gt; 0, Source!BC209, 1)</f>
        <v>16.53</v>
      </c>
      <c r="O180">
        <f t="shared" si="5"/>
        <v>1388.52</v>
      </c>
      <c r="P180">
        <f>Source!AE209</f>
        <v>0</v>
      </c>
      <c r="R180">
        <f t="shared" si="6"/>
        <v>0</v>
      </c>
      <c r="S180">
        <f>Source!AE209*IF(Source!BS209&lt;&gt; 0, Source!BS209, 1)</f>
        <v>0</v>
      </c>
      <c r="T180">
        <f t="shared" si="7"/>
        <v>0</v>
      </c>
      <c r="U180">
        <f>Source!GF209</f>
        <v>-1949902326</v>
      </c>
      <c r="V180">
        <v>-269009906</v>
      </c>
      <c r="W180">
        <v>-269009906</v>
      </c>
    </row>
    <row r="181" spans="1:23" x14ac:dyDescent="0.2">
      <c r="A181">
        <f>Source!A210</f>
        <v>18</v>
      </c>
      <c r="C181">
        <v>3</v>
      </c>
      <c r="D181">
        <f>Source!BI210</f>
        <v>4</v>
      </c>
      <c r="E181">
        <f>Source!FS210</f>
        <v>0</v>
      </c>
      <c r="F181" t="str">
        <f>Source!F210</f>
        <v>Цена поставщика</v>
      </c>
      <c r="G181" t="str">
        <f>Source!G210</f>
        <v>Петля приварная</v>
      </c>
      <c r="H181" t="str">
        <f>Source!H210</f>
        <v>ШТ</v>
      </c>
      <c r="I181">
        <f>Source!I210</f>
        <v>6</v>
      </c>
      <c r="J181">
        <v>1</v>
      </c>
      <c r="K181">
        <f>Source!AC210</f>
        <v>220.78</v>
      </c>
      <c r="M181">
        <f t="shared" si="4"/>
        <v>1324.68</v>
      </c>
      <c r="N181">
        <f>Source!AC210*IF(Source!BC210&lt;&gt; 0, Source!BC210, 1)</f>
        <v>220.78</v>
      </c>
      <c r="O181">
        <f t="shared" si="5"/>
        <v>1324.68</v>
      </c>
      <c r="P181">
        <f>Source!AE210</f>
        <v>0</v>
      </c>
      <c r="R181">
        <f t="shared" si="6"/>
        <v>0</v>
      </c>
      <c r="S181">
        <f>Source!AE210*IF(Source!BS210&lt;&gt; 0, Source!BS210, 1)</f>
        <v>0</v>
      </c>
      <c r="T181">
        <f t="shared" si="7"/>
        <v>0</v>
      </c>
      <c r="U181">
        <f>Source!GF210</f>
        <v>-632778472</v>
      </c>
      <c r="V181">
        <v>1134996209</v>
      </c>
      <c r="W181">
        <v>1134996209</v>
      </c>
    </row>
    <row r="182" spans="1:23" x14ac:dyDescent="0.2">
      <c r="A182">
        <f>Source!A211</f>
        <v>18</v>
      </c>
      <c r="C182">
        <v>3</v>
      </c>
      <c r="D182">
        <f>Source!BI211</f>
        <v>4</v>
      </c>
      <c r="E182">
        <f>Source!FS211</f>
        <v>0</v>
      </c>
      <c r="F182" t="str">
        <f>Source!F211</f>
        <v>Цена поставщика</v>
      </c>
      <c r="G182" t="str">
        <f>Source!G211</f>
        <v>Засов воротный оцинкованный 430 мм</v>
      </c>
      <c r="H182" t="str">
        <f>Source!H211</f>
        <v>ШТ</v>
      </c>
      <c r="I182">
        <f>Source!I211</f>
        <v>1</v>
      </c>
      <c r="J182">
        <v>1</v>
      </c>
      <c r="K182">
        <f>Source!AC211</f>
        <v>674.17</v>
      </c>
      <c r="M182">
        <f t="shared" si="4"/>
        <v>674.17</v>
      </c>
      <c r="N182">
        <f>Source!AC211*IF(Source!BC211&lt;&gt; 0, Source!BC211, 1)</f>
        <v>674.17</v>
      </c>
      <c r="O182">
        <f t="shared" si="5"/>
        <v>674.17</v>
      </c>
      <c r="P182">
        <f>Source!AE211</f>
        <v>0</v>
      </c>
      <c r="R182">
        <f t="shared" si="6"/>
        <v>0</v>
      </c>
      <c r="S182">
        <f>Source!AE211*IF(Source!BS211&lt;&gt; 0, Source!BS211, 1)</f>
        <v>0</v>
      </c>
      <c r="T182">
        <f t="shared" si="7"/>
        <v>0</v>
      </c>
      <c r="U182">
        <f>Source!GF211</f>
        <v>1479756592</v>
      </c>
      <c r="V182">
        <v>165661765</v>
      </c>
      <c r="W182">
        <v>165661765</v>
      </c>
    </row>
    <row r="183" spans="1:23" x14ac:dyDescent="0.2">
      <c r="A183">
        <f>Source!A212</f>
        <v>18</v>
      </c>
      <c r="C183">
        <v>3</v>
      </c>
      <c r="D183">
        <f>Source!BI212</f>
        <v>4</v>
      </c>
      <c r="E183">
        <f>Source!FS212</f>
        <v>0</v>
      </c>
      <c r="F183" t="str">
        <f>Source!F212</f>
        <v>Цена поставщика</v>
      </c>
      <c r="G183" t="str">
        <f>Source!G212</f>
        <v>Задвижка черн.лист 100мм GAH 116064</v>
      </c>
      <c r="H183" t="str">
        <f>Source!H212</f>
        <v>ШТ</v>
      </c>
      <c r="I183">
        <f>Source!I212</f>
        <v>1</v>
      </c>
      <c r="J183">
        <v>1</v>
      </c>
      <c r="K183">
        <f>Source!AC212</f>
        <v>197.23</v>
      </c>
      <c r="M183">
        <f t="shared" si="4"/>
        <v>197.23</v>
      </c>
      <c r="N183">
        <f>Source!AC212*IF(Source!BC212&lt;&gt; 0, Source!BC212, 1)</f>
        <v>197.23</v>
      </c>
      <c r="O183">
        <f t="shared" si="5"/>
        <v>197.23</v>
      </c>
      <c r="P183">
        <f>Source!AE212</f>
        <v>0</v>
      </c>
      <c r="R183">
        <f t="shared" si="6"/>
        <v>0</v>
      </c>
      <c r="S183">
        <f>Source!AE212*IF(Source!BS212&lt;&gt; 0, Source!BS212, 1)</f>
        <v>0</v>
      </c>
      <c r="T183">
        <f t="shared" si="7"/>
        <v>0</v>
      </c>
      <c r="U183">
        <f>Source!GF212</f>
        <v>1664693455</v>
      </c>
      <c r="V183">
        <v>1167293652</v>
      </c>
      <c r="W183">
        <v>1167293652</v>
      </c>
    </row>
    <row r="184" spans="1:23" x14ac:dyDescent="0.2">
      <c r="A184">
        <f>Source!A214</f>
        <v>17</v>
      </c>
      <c r="C184">
        <v>3</v>
      </c>
      <c r="D184">
        <v>0</v>
      </c>
      <c r="E184">
        <f>SmtRes!AV237</f>
        <v>0</v>
      </c>
      <c r="F184" t="str">
        <f>SmtRes!I237</f>
        <v>21.1-6-12</v>
      </c>
      <c r="G184" t="str">
        <f>SmtRes!K237</f>
        <v>Грунтовка глифталевая, ГФ-021</v>
      </c>
      <c r="H184" t="str">
        <f>SmtRes!O237</f>
        <v>т</v>
      </c>
      <c r="I184">
        <f>SmtRes!Y237*Source!I214</f>
        <v>1.0133999999999999E-2</v>
      </c>
      <c r="J184">
        <f>SmtRes!AO237</f>
        <v>1</v>
      </c>
      <c r="K184">
        <f>SmtRes!AE237</f>
        <v>97017.58</v>
      </c>
      <c r="L184">
        <f>SmtRes!DB237</f>
        <v>873.16</v>
      </c>
      <c r="M184">
        <f>ROUND(ROUND(L184*Source!I214, 6)*1, 2)</f>
        <v>983.18</v>
      </c>
      <c r="N184">
        <f>SmtRes!AA237</f>
        <v>97017.58</v>
      </c>
      <c r="O184">
        <f>ROUND(ROUND(L184*Source!I214, 6)*SmtRes!DA237, 2)</f>
        <v>983.18</v>
      </c>
      <c r="P184">
        <f>SmtRes!AG237</f>
        <v>0</v>
      </c>
      <c r="Q184">
        <f>SmtRes!DC237</f>
        <v>0</v>
      </c>
      <c r="R184">
        <f>ROUND(ROUND(Q184*Source!I214, 6)*1, 2)</f>
        <v>0</v>
      </c>
      <c r="S184">
        <f>SmtRes!AC237</f>
        <v>0</v>
      </c>
      <c r="T184">
        <f>ROUND(ROUND(Q184*Source!I214, 6)*SmtRes!AK237, 2)</f>
        <v>0</v>
      </c>
      <c r="U184">
        <f>SmtRes!X237</f>
        <v>-383061258</v>
      </c>
      <c r="V184">
        <v>-804279578</v>
      </c>
      <c r="W184">
        <v>-804279578</v>
      </c>
    </row>
    <row r="185" spans="1:23" x14ac:dyDescent="0.2">
      <c r="A185">
        <f>Source!A214</f>
        <v>17</v>
      </c>
      <c r="C185">
        <v>3</v>
      </c>
      <c r="D185">
        <v>0</v>
      </c>
      <c r="E185">
        <f>SmtRes!AV236</f>
        <v>0</v>
      </c>
      <c r="F185" t="str">
        <f>SmtRes!I236</f>
        <v>21.1-16-57</v>
      </c>
      <c r="G185" t="str">
        <f>SmtRes!K236</f>
        <v>Ксилол нефтяной, марка А</v>
      </c>
      <c r="H185" t="str">
        <f>SmtRes!O236</f>
        <v>кг</v>
      </c>
      <c r="I185">
        <f>SmtRes!Y236*Source!I214</f>
        <v>1.6889999999999998</v>
      </c>
      <c r="J185">
        <f>SmtRes!AO236</f>
        <v>1</v>
      </c>
      <c r="K185">
        <f>SmtRes!AE236</f>
        <v>99.303030000000007</v>
      </c>
      <c r="L185">
        <f>SmtRes!DB236</f>
        <v>148.94999999999999</v>
      </c>
      <c r="M185">
        <f>ROUND(ROUND(L185*Source!I214, 6)*1, 2)</f>
        <v>167.72</v>
      </c>
      <c r="N185">
        <f>SmtRes!AA236</f>
        <v>99.3</v>
      </c>
      <c r="O185">
        <f>ROUND(ROUND(L185*Source!I214, 6)*SmtRes!DA236, 2)</f>
        <v>167.72</v>
      </c>
      <c r="P185">
        <f>SmtRes!AG236</f>
        <v>0</v>
      </c>
      <c r="Q185">
        <f>SmtRes!DC236</f>
        <v>0</v>
      </c>
      <c r="R185">
        <f>ROUND(ROUND(Q185*Source!I214, 6)*1, 2)</f>
        <v>0</v>
      </c>
      <c r="S185">
        <f>SmtRes!AC236</f>
        <v>0</v>
      </c>
      <c r="T185">
        <f>ROUND(ROUND(Q185*Source!I214, 6)*SmtRes!AK236, 2)</f>
        <v>0</v>
      </c>
      <c r="U185">
        <f>SmtRes!X236</f>
        <v>-126270252</v>
      </c>
      <c r="V185">
        <v>-1857108032</v>
      </c>
      <c r="W185">
        <v>2042275005</v>
      </c>
    </row>
    <row r="186" spans="1:23" x14ac:dyDescent="0.2">
      <c r="A186">
        <f>Source!A214</f>
        <v>17</v>
      </c>
      <c r="C186">
        <v>2</v>
      </c>
      <c r="D186">
        <v>0</v>
      </c>
      <c r="E186">
        <f>SmtRes!AV235</f>
        <v>0</v>
      </c>
      <c r="F186" t="str">
        <f>SmtRes!I235</f>
        <v>22.1-4-30</v>
      </c>
      <c r="G186" t="str">
        <f>SmtRes!K235</f>
        <v>Лебедки электрические, грузоподъемность до 0,5 т</v>
      </c>
      <c r="H186" t="str">
        <f>SmtRes!O235</f>
        <v>маш.-ч</v>
      </c>
      <c r="I186">
        <f>SmtRes!Y235*Source!I214</f>
        <v>1.1259999999999999E-2</v>
      </c>
      <c r="J186">
        <f>SmtRes!AO235</f>
        <v>1</v>
      </c>
      <c r="K186">
        <f>SmtRes!AF235</f>
        <v>16.920000000000002</v>
      </c>
      <c r="L186">
        <f>SmtRes!DB235</f>
        <v>0.17</v>
      </c>
      <c r="M186">
        <f>ROUND(ROUND(L186*Source!I214, 6)*1, 2)</f>
        <v>0.19</v>
      </c>
      <c r="N186">
        <f>SmtRes!AB235</f>
        <v>16.920000000000002</v>
      </c>
      <c r="O186">
        <f>ROUND(ROUND(L186*Source!I214, 6)*SmtRes!DA235, 2)</f>
        <v>0.19</v>
      </c>
      <c r="P186">
        <f>SmtRes!AG235</f>
        <v>0.09</v>
      </c>
      <c r="Q186">
        <f>SmtRes!DC235</f>
        <v>0</v>
      </c>
      <c r="R186">
        <f>ROUND(ROUND(Q186*Source!I214, 6)*1, 2)</f>
        <v>0</v>
      </c>
      <c r="S186">
        <f>SmtRes!AC235</f>
        <v>0.09</v>
      </c>
      <c r="T186">
        <f>ROUND(ROUND(Q186*Source!I214, 6)*SmtRes!AK235, 2)</f>
        <v>0</v>
      </c>
      <c r="U186">
        <f>SmtRes!X235</f>
        <v>-54802859</v>
      </c>
      <c r="V186">
        <v>949162316</v>
      </c>
      <c r="W186">
        <v>949162316</v>
      </c>
    </row>
    <row r="187" spans="1:23" x14ac:dyDescent="0.2">
      <c r="A187">
        <f>Source!A214</f>
        <v>17</v>
      </c>
      <c r="C187">
        <v>2</v>
      </c>
      <c r="D187">
        <v>0</v>
      </c>
      <c r="E187">
        <f>SmtRes!AV234</f>
        <v>0</v>
      </c>
      <c r="F187" t="str">
        <f>SmtRes!I234</f>
        <v>22.1-4-12</v>
      </c>
      <c r="G187" t="str">
        <f>SmtRes!K234</f>
        <v>Погрузчики на автомобильном ходу, грузоподъемность до 5 т</v>
      </c>
      <c r="H187" t="str">
        <f>SmtRes!O234</f>
        <v>маш.-ч</v>
      </c>
      <c r="I187">
        <f>SmtRes!Y234*Source!I214</f>
        <v>1.1259999999999999E-2</v>
      </c>
      <c r="J187">
        <f>SmtRes!AO234</f>
        <v>1</v>
      </c>
      <c r="K187">
        <f>SmtRes!AF234</f>
        <v>683.9</v>
      </c>
      <c r="L187">
        <f>SmtRes!DB234</f>
        <v>6.84</v>
      </c>
      <c r="M187">
        <f>ROUND(ROUND(L187*Source!I214, 6)*1, 2)</f>
        <v>7.7</v>
      </c>
      <c r="N187">
        <f>SmtRes!AB234</f>
        <v>683.9</v>
      </c>
      <c r="O187">
        <f>ROUND(ROUND(L187*Source!I214, 6)*SmtRes!DA234, 2)</f>
        <v>7.7</v>
      </c>
      <c r="P187">
        <f>SmtRes!AG234</f>
        <v>371.27</v>
      </c>
      <c r="Q187">
        <f>SmtRes!DC234</f>
        <v>3.71</v>
      </c>
      <c r="R187">
        <f>ROUND(ROUND(Q187*Source!I214, 6)*1, 2)</f>
        <v>4.18</v>
      </c>
      <c r="S187">
        <f>SmtRes!AC234</f>
        <v>371.27</v>
      </c>
      <c r="T187">
        <f>ROUND(ROUND(Q187*Source!I214, 6)*SmtRes!AK234, 2)</f>
        <v>4.18</v>
      </c>
      <c r="U187">
        <f>SmtRes!X234</f>
        <v>-1323805330</v>
      </c>
      <c r="V187">
        <v>1986574417</v>
      </c>
      <c r="W187">
        <v>1986574417</v>
      </c>
    </row>
    <row r="188" spans="1:23" x14ac:dyDescent="0.2">
      <c r="A188">
        <f>Source!A214</f>
        <v>17</v>
      </c>
      <c r="C188">
        <v>2</v>
      </c>
      <c r="D188">
        <v>0</v>
      </c>
      <c r="E188">
        <f>SmtRes!AV233</f>
        <v>0</v>
      </c>
      <c r="F188" t="str">
        <f>SmtRes!I233</f>
        <v>22.1-10-12</v>
      </c>
      <c r="G188" t="str">
        <f>SmtRes!K233</f>
        <v>Электрокомпрессоры прицепные, производительность до 3,5 м3/мин</v>
      </c>
      <c r="H188" t="str">
        <f>SmtRes!O233</f>
        <v>маш.-ч</v>
      </c>
      <c r="I188">
        <f>SmtRes!Y233*Source!I214</f>
        <v>1.5763999999999998</v>
      </c>
      <c r="J188">
        <f>SmtRes!AO233</f>
        <v>1</v>
      </c>
      <c r="K188">
        <f>SmtRes!AF233</f>
        <v>98.05</v>
      </c>
      <c r="L188">
        <f>SmtRes!DB233</f>
        <v>137.27000000000001</v>
      </c>
      <c r="M188">
        <f>ROUND(ROUND(L188*Source!I214, 6)*1, 2)</f>
        <v>154.57</v>
      </c>
      <c r="N188">
        <f>SmtRes!AB233</f>
        <v>98.05</v>
      </c>
      <c r="O188">
        <f>ROUND(ROUND(L188*Source!I214, 6)*SmtRes!DA233, 2)</f>
        <v>154.57</v>
      </c>
      <c r="P188">
        <f>SmtRes!AG233</f>
        <v>33.06</v>
      </c>
      <c r="Q188">
        <f>SmtRes!DC233</f>
        <v>46.28</v>
      </c>
      <c r="R188">
        <f>ROUND(ROUND(Q188*Source!I214, 6)*1, 2)</f>
        <v>52.11</v>
      </c>
      <c r="S188">
        <f>SmtRes!AC233</f>
        <v>33.06</v>
      </c>
      <c r="T188">
        <f>ROUND(ROUND(Q188*Source!I214, 6)*SmtRes!AK233, 2)</f>
        <v>52.11</v>
      </c>
      <c r="U188">
        <f>SmtRes!X233</f>
        <v>-2137968664</v>
      </c>
      <c r="V188">
        <v>-262383052</v>
      </c>
      <c r="W188">
        <v>-262383052</v>
      </c>
    </row>
    <row r="189" spans="1:23" x14ac:dyDescent="0.2">
      <c r="A189">
        <f>Source!A215</f>
        <v>17</v>
      </c>
      <c r="C189">
        <v>3</v>
      </c>
      <c r="D189">
        <v>0</v>
      </c>
      <c r="E189">
        <f>SmtRes!AV241</f>
        <v>0</v>
      </c>
      <c r="F189" t="str">
        <f>SmtRes!I241</f>
        <v>21.1-6-139</v>
      </c>
      <c r="G189" t="str">
        <f>SmtRes!K241</f>
        <v>Эмаль, марка ПФ-115 (цветная), пентафталевая</v>
      </c>
      <c r="H189" t="str">
        <f>SmtRes!O241</f>
        <v>кг</v>
      </c>
      <c r="I189">
        <f>SmtRes!Y241*Source!I215</f>
        <v>10.133999999999999</v>
      </c>
      <c r="J189">
        <f>SmtRes!AO241</f>
        <v>1</v>
      </c>
      <c r="K189">
        <f>SmtRes!AE241</f>
        <v>105.32</v>
      </c>
      <c r="L189">
        <f>SmtRes!DB241</f>
        <v>947.88</v>
      </c>
      <c r="M189">
        <f>ROUND(ROUND(L189*Source!I215, 6)*1, 2)</f>
        <v>1067.31</v>
      </c>
      <c r="N189">
        <f>SmtRes!AA241</f>
        <v>105.32</v>
      </c>
      <c r="O189">
        <f>ROUND(ROUND(L189*Source!I215, 6)*SmtRes!DA241, 2)</f>
        <v>1067.31</v>
      </c>
      <c r="P189">
        <f>SmtRes!AG241</f>
        <v>0</v>
      </c>
      <c r="Q189">
        <f>SmtRes!DC241</f>
        <v>0</v>
      </c>
      <c r="R189">
        <f>ROUND(ROUND(Q189*Source!I215, 6)*1, 2)</f>
        <v>0</v>
      </c>
      <c r="S189">
        <f>SmtRes!AC241</f>
        <v>0</v>
      </c>
      <c r="T189">
        <f>ROUND(ROUND(Q189*Source!I215, 6)*SmtRes!AK241, 2)</f>
        <v>0</v>
      </c>
      <c r="U189">
        <f>SmtRes!X241</f>
        <v>-1364504988</v>
      </c>
      <c r="V189">
        <v>566368814</v>
      </c>
      <c r="W189">
        <v>566368814</v>
      </c>
    </row>
    <row r="190" spans="1:23" x14ac:dyDescent="0.2">
      <c r="A190">
        <f>Source!A215</f>
        <v>17</v>
      </c>
      <c r="C190">
        <v>3</v>
      </c>
      <c r="D190">
        <v>0</v>
      </c>
      <c r="E190">
        <f>SmtRes!AV240</f>
        <v>0</v>
      </c>
      <c r="F190" t="str">
        <f>SmtRes!I240</f>
        <v>21.1-6-114</v>
      </c>
      <c r="G190" t="str">
        <f>SmtRes!K240</f>
        <v>Растворитель "Уайт-спирит"</v>
      </c>
      <c r="H190" t="str">
        <f>SmtRes!O240</f>
        <v>т</v>
      </c>
      <c r="I190">
        <f>SmtRes!Y240*Source!I215</f>
        <v>1.6664799999999999E-3</v>
      </c>
      <c r="J190">
        <f>SmtRes!AO240</f>
        <v>1</v>
      </c>
      <c r="K190">
        <f>SmtRes!AE240</f>
        <v>63195.54</v>
      </c>
      <c r="L190">
        <f>SmtRes!DB240</f>
        <v>93.53</v>
      </c>
      <c r="M190">
        <f>ROUND(ROUND(L190*Source!I215, 6)*1, 2)</f>
        <v>105.31</v>
      </c>
      <c r="N190">
        <f>SmtRes!AA240</f>
        <v>63195.54</v>
      </c>
      <c r="O190">
        <f>ROUND(ROUND(L190*Source!I215, 6)*SmtRes!DA240, 2)</f>
        <v>105.31</v>
      </c>
      <c r="P190">
        <f>SmtRes!AG240</f>
        <v>0</v>
      </c>
      <c r="Q190">
        <f>SmtRes!DC240</f>
        <v>0</v>
      </c>
      <c r="R190">
        <f>ROUND(ROUND(Q190*Source!I215, 6)*1, 2)</f>
        <v>0</v>
      </c>
      <c r="S190">
        <f>SmtRes!AC240</f>
        <v>0</v>
      </c>
      <c r="T190">
        <f>ROUND(ROUND(Q190*Source!I215, 6)*SmtRes!AK240, 2)</f>
        <v>0</v>
      </c>
      <c r="U190">
        <f>SmtRes!X240</f>
        <v>1958569313</v>
      </c>
      <c r="V190">
        <v>1861839422</v>
      </c>
      <c r="W190">
        <v>1861839422</v>
      </c>
    </row>
    <row r="191" spans="1:23" x14ac:dyDescent="0.2">
      <c r="A191">
        <f>Source!A215</f>
        <v>17</v>
      </c>
      <c r="C191">
        <v>2</v>
      </c>
      <c r="D191">
        <v>0</v>
      </c>
      <c r="E191">
        <f>SmtRes!AV239</f>
        <v>0</v>
      </c>
      <c r="F191" t="str">
        <f>SmtRes!I239</f>
        <v>22.1-4-12</v>
      </c>
      <c r="G191" t="str">
        <f>SmtRes!K239</f>
        <v>Погрузчики на автомобильном ходу, грузоподъемность до 5 т</v>
      </c>
      <c r="H191" t="str">
        <f>SmtRes!O239</f>
        <v>маш.-ч</v>
      </c>
      <c r="I191">
        <f>SmtRes!Y239*Source!I215</f>
        <v>1.1259999999999999E-2</v>
      </c>
      <c r="J191">
        <f>SmtRes!AO239</f>
        <v>1</v>
      </c>
      <c r="K191">
        <f>SmtRes!AF239</f>
        <v>683.9</v>
      </c>
      <c r="L191">
        <f>SmtRes!DB239</f>
        <v>6.84</v>
      </c>
      <c r="M191">
        <f>ROUND(ROUND(L191*Source!I215, 6)*1, 2)</f>
        <v>7.7</v>
      </c>
      <c r="N191">
        <f>SmtRes!AB239</f>
        <v>683.9</v>
      </c>
      <c r="O191">
        <f>ROUND(ROUND(L191*Source!I215, 6)*SmtRes!DA239, 2)</f>
        <v>7.7</v>
      </c>
      <c r="P191">
        <f>SmtRes!AG239</f>
        <v>371.27</v>
      </c>
      <c r="Q191">
        <f>SmtRes!DC239</f>
        <v>3.71</v>
      </c>
      <c r="R191">
        <f>ROUND(ROUND(Q191*Source!I215, 6)*1, 2)</f>
        <v>4.18</v>
      </c>
      <c r="S191">
        <f>SmtRes!AC239</f>
        <v>371.27</v>
      </c>
      <c r="T191">
        <f>ROUND(ROUND(Q191*Source!I215, 6)*SmtRes!AK239, 2)</f>
        <v>4.18</v>
      </c>
      <c r="U191">
        <f>SmtRes!X239</f>
        <v>-1323805330</v>
      </c>
      <c r="V191">
        <v>1986574417</v>
      </c>
      <c r="W191">
        <v>1986574417</v>
      </c>
    </row>
    <row r="192" spans="1:23" x14ac:dyDescent="0.2">
      <c r="A192">
        <f>Source!A246</f>
        <v>4</v>
      </c>
      <c r="B192">
        <v>246</v>
      </c>
      <c r="G192" t="str">
        <f>Source!G246</f>
        <v>Прочие затраты</v>
      </c>
    </row>
    <row r="193" spans="1:23" x14ac:dyDescent="0.2">
      <c r="A193">
        <f>Source!A250</f>
        <v>17</v>
      </c>
      <c r="C193">
        <v>2</v>
      </c>
      <c r="D193">
        <v>0</v>
      </c>
      <c r="E193">
        <f>SmtRes!AV242</f>
        <v>0</v>
      </c>
      <c r="F193" t="str">
        <f>SmtRes!I242</f>
        <v>22.1-1-5</v>
      </c>
      <c r="G193" t="str">
        <f>SmtRes!K242</f>
        <v>Экскаваторы на гусеничном ходу гидравлические, объем ковша до 0,65 м3</v>
      </c>
      <c r="H193" t="str">
        <f>SmtRes!O242</f>
        <v>маш.-ч</v>
      </c>
      <c r="I193">
        <f>SmtRes!Y242*Source!I250</f>
        <v>0.41241599999999995</v>
      </c>
      <c r="J193">
        <f>SmtRes!AO242</f>
        <v>1</v>
      </c>
      <c r="K193">
        <f>SmtRes!AF242</f>
        <v>1494.43</v>
      </c>
      <c r="L193">
        <f>SmtRes!DB242</f>
        <v>80.25</v>
      </c>
      <c r="M193">
        <f>ROUND(ROUND(L193*Source!I250, 6)*1, 2)</f>
        <v>616.32000000000005</v>
      </c>
      <c r="N193">
        <f>SmtRes!AB242</f>
        <v>1494.43</v>
      </c>
      <c r="O193">
        <f>ROUND(ROUND(L193*Source!I250, 6)*SmtRes!DA242, 2)</f>
        <v>616.32000000000005</v>
      </c>
      <c r="P193">
        <f>SmtRes!AG242</f>
        <v>481.21</v>
      </c>
      <c r="Q193">
        <f>SmtRes!DC242</f>
        <v>25.84</v>
      </c>
      <c r="R193">
        <f>ROUND(ROUND(Q193*Source!I250, 6)*1, 2)</f>
        <v>198.45</v>
      </c>
      <c r="S193">
        <f>SmtRes!AC242</f>
        <v>481.21</v>
      </c>
      <c r="T193">
        <f>ROUND(ROUND(Q193*Source!I250, 6)*SmtRes!AK242, 2)</f>
        <v>198.45</v>
      </c>
      <c r="U193">
        <f>SmtRes!X242</f>
        <v>-180135071</v>
      </c>
      <c r="V193">
        <v>641873084</v>
      </c>
      <c r="W193">
        <v>641873084</v>
      </c>
    </row>
    <row r="194" spans="1:23" x14ac:dyDescent="0.2">
      <c r="A194">
        <f>Source!A251</f>
        <v>17</v>
      </c>
      <c r="C194">
        <v>2</v>
      </c>
      <c r="D194">
        <v>0</v>
      </c>
      <c r="E194">
        <f>SmtRes!AV244</f>
        <v>0</v>
      </c>
      <c r="F194" t="str">
        <f>SmtRes!I244</f>
        <v>22.1-18-13</v>
      </c>
      <c r="G194" t="str">
        <f>SmtRes!K244</f>
        <v>Автомобили-самосвалы, грузоподъемность до 10 т</v>
      </c>
      <c r="H194" t="str">
        <f>SmtRes!O244</f>
        <v>маш.-ч</v>
      </c>
      <c r="I194">
        <f>SmtRes!Y244*Source!I251</f>
        <v>0.13823999999999997</v>
      </c>
      <c r="J194">
        <f>SmtRes!AO244</f>
        <v>1</v>
      </c>
      <c r="K194">
        <f>SmtRes!AF244</f>
        <v>1014.12</v>
      </c>
      <c r="L194">
        <f>SmtRes!DB244</f>
        <v>18.25</v>
      </c>
      <c r="M194">
        <f>ROUND(ROUND(L194*Source!I251, 6)*1, 2)</f>
        <v>140.16</v>
      </c>
      <c r="N194">
        <f>SmtRes!AB244</f>
        <v>1014.12</v>
      </c>
      <c r="O194">
        <f>ROUND(ROUND(L194*Source!I251, 6)*SmtRes!DA244, 2)</f>
        <v>140.16</v>
      </c>
      <c r="P194">
        <f>SmtRes!AG244</f>
        <v>317.13</v>
      </c>
      <c r="Q194">
        <f>SmtRes!DC244</f>
        <v>5.71</v>
      </c>
      <c r="R194">
        <f>ROUND(ROUND(Q194*Source!I251, 6)*1, 2)</f>
        <v>43.85</v>
      </c>
      <c r="S194">
        <f>SmtRes!AC244</f>
        <v>317.13</v>
      </c>
      <c r="T194">
        <f>ROUND(ROUND(Q194*Source!I251, 6)*SmtRes!AK244, 2)</f>
        <v>43.85</v>
      </c>
      <c r="U194">
        <f>SmtRes!X244</f>
        <v>486337296</v>
      </c>
      <c r="V194">
        <v>-1297827098</v>
      </c>
      <c r="W194">
        <v>-1297827098</v>
      </c>
    </row>
    <row r="195" spans="1:23" x14ac:dyDescent="0.2">
      <c r="A195">
        <f>Source!A251</f>
        <v>17</v>
      </c>
      <c r="C195">
        <v>2</v>
      </c>
      <c r="D195">
        <v>0</v>
      </c>
      <c r="E195">
        <f>SmtRes!AV243</f>
        <v>0</v>
      </c>
      <c r="F195" t="str">
        <f>SmtRes!I243</f>
        <v>22.1-18-12</v>
      </c>
      <c r="G195" t="str">
        <f>SmtRes!K243</f>
        <v>Автомобили-самосвалы, грузоподъемность до 7 т</v>
      </c>
      <c r="H195" t="str">
        <f>SmtRes!O243</f>
        <v>маш.-ч</v>
      </c>
      <c r="I195">
        <f>SmtRes!Y243*Source!I251</f>
        <v>0.15359999999999999</v>
      </c>
      <c r="J195">
        <f>SmtRes!AO243</f>
        <v>1</v>
      </c>
      <c r="K195">
        <f>SmtRes!AF243</f>
        <v>1009.4</v>
      </c>
      <c r="L195">
        <f>SmtRes!DB243</f>
        <v>20.190000000000001</v>
      </c>
      <c r="M195">
        <f>ROUND(ROUND(L195*Source!I251, 6)*1, 2)</f>
        <v>155.06</v>
      </c>
      <c r="N195">
        <f>SmtRes!AB243</f>
        <v>1009.4</v>
      </c>
      <c r="O195">
        <f>ROUND(ROUND(L195*Source!I251, 6)*SmtRes!DA243, 2)</f>
        <v>155.06</v>
      </c>
      <c r="P195">
        <f>SmtRes!AG243</f>
        <v>316.82</v>
      </c>
      <c r="Q195">
        <f>SmtRes!DC243</f>
        <v>6.34</v>
      </c>
      <c r="R195">
        <f>ROUND(ROUND(Q195*Source!I251, 6)*1, 2)</f>
        <v>48.69</v>
      </c>
      <c r="S195">
        <f>SmtRes!AC243</f>
        <v>316.82</v>
      </c>
      <c r="T195">
        <f>ROUND(ROUND(Q195*Source!I251, 6)*SmtRes!AK243, 2)</f>
        <v>48.69</v>
      </c>
      <c r="U195">
        <f>SmtRes!X243</f>
        <v>-1530614344</v>
      </c>
      <c r="V195">
        <v>699525434</v>
      </c>
      <c r="W195">
        <v>699525434</v>
      </c>
    </row>
    <row r="196" spans="1:23" x14ac:dyDescent="0.2">
      <c r="A196">
        <f>Source!A252</f>
        <v>17</v>
      </c>
      <c r="C196">
        <v>2</v>
      </c>
      <c r="D196">
        <v>0</v>
      </c>
      <c r="E196">
        <f>SmtRes!AV246</f>
        <v>0</v>
      </c>
      <c r="F196" t="str">
        <f>SmtRes!I246</f>
        <v>22.1-18-13</v>
      </c>
      <c r="G196" t="str">
        <f>SmtRes!K246</f>
        <v>Автомобили-самосвалы, грузоподъемность до 10 т</v>
      </c>
      <c r="H196" t="str">
        <f>SmtRes!O246</f>
        <v>маш.-ч</v>
      </c>
      <c r="I196">
        <f>SmtRes!Y246*Source!I252</f>
        <v>1.96608</v>
      </c>
      <c r="J196">
        <f>SmtRes!AO246</f>
        <v>1</v>
      </c>
      <c r="K196">
        <f>SmtRes!AF246</f>
        <v>1014.12</v>
      </c>
      <c r="L196">
        <f>SmtRes!DB246</f>
        <v>259.52</v>
      </c>
      <c r="M196">
        <f>ROUND(ROUND(L196*Source!I252, 6)*1, 2)</f>
        <v>1993.11</v>
      </c>
      <c r="N196">
        <f>SmtRes!AB246</f>
        <v>1014.12</v>
      </c>
      <c r="O196">
        <f>ROUND(ROUND(L196*Source!I252, 6)*SmtRes!DA246, 2)</f>
        <v>1993.11</v>
      </c>
      <c r="P196">
        <f>SmtRes!AG246</f>
        <v>317.13</v>
      </c>
      <c r="Q196">
        <f>SmtRes!DC246</f>
        <v>81.28</v>
      </c>
      <c r="R196">
        <f>ROUND(ROUND(Q196*Source!I252, 6)*1, 2)</f>
        <v>624.23</v>
      </c>
      <c r="S196">
        <f>SmtRes!AC246</f>
        <v>317.13</v>
      </c>
      <c r="T196">
        <f>ROUND(ROUND(Q196*Source!I252, 6)*SmtRes!AK246, 2)</f>
        <v>624.23</v>
      </c>
      <c r="U196">
        <f>SmtRes!X246</f>
        <v>486337296</v>
      </c>
      <c r="V196">
        <v>-1297827098</v>
      </c>
      <c r="W196">
        <v>-1297827098</v>
      </c>
    </row>
    <row r="197" spans="1:23" x14ac:dyDescent="0.2">
      <c r="A197">
        <f>Source!A252</f>
        <v>17</v>
      </c>
      <c r="C197">
        <v>2</v>
      </c>
      <c r="D197">
        <v>0</v>
      </c>
      <c r="E197">
        <f>SmtRes!AV245</f>
        <v>0</v>
      </c>
      <c r="F197" t="str">
        <f>SmtRes!I245</f>
        <v>22.1-18-12</v>
      </c>
      <c r="G197" t="str">
        <f>SmtRes!K245</f>
        <v>Автомобили-самосвалы, грузоподъемность до 7 т</v>
      </c>
      <c r="H197" t="str">
        <f>SmtRes!O245</f>
        <v>маш.-ч</v>
      </c>
      <c r="I197">
        <f>SmtRes!Y245*Source!I252</f>
        <v>2.4575999999999998</v>
      </c>
      <c r="J197">
        <f>SmtRes!AO245</f>
        <v>1</v>
      </c>
      <c r="K197">
        <f>SmtRes!AF245</f>
        <v>1009.4</v>
      </c>
      <c r="L197">
        <f>SmtRes!DB245</f>
        <v>322.88</v>
      </c>
      <c r="M197">
        <f>ROUND(ROUND(L197*Source!I252, 6)*1, 2)</f>
        <v>2479.7199999999998</v>
      </c>
      <c r="N197">
        <f>SmtRes!AB245</f>
        <v>1009.4</v>
      </c>
      <c r="O197">
        <f>ROUND(ROUND(L197*Source!I252, 6)*SmtRes!DA245, 2)</f>
        <v>2479.7199999999998</v>
      </c>
      <c r="P197">
        <f>SmtRes!AG245</f>
        <v>316.82</v>
      </c>
      <c r="Q197">
        <f>SmtRes!DC245</f>
        <v>101.44</v>
      </c>
      <c r="R197">
        <f>ROUND(ROUND(Q197*Source!I252, 6)*1, 2)</f>
        <v>779.06</v>
      </c>
      <c r="S197">
        <f>SmtRes!AC245</f>
        <v>316.82</v>
      </c>
      <c r="T197">
        <f>ROUND(ROUND(Q197*Source!I252, 6)*SmtRes!AK245, 2)</f>
        <v>779.06</v>
      </c>
      <c r="U197">
        <f>SmtRes!X245</f>
        <v>-1530614344</v>
      </c>
      <c r="V197">
        <v>699525434</v>
      </c>
      <c r="W197">
        <v>699525434</v>
      </c>
    </row>
    <row r="198" spans="1:23" x14ac:dyDescent="0.2">
      <c r="A198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83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15" max="18" width="0" hidden="1" customWidth="1"/>
  </cols>
  <sheetData>
    <row r="2" spans="1:17" ht="16.5" x14ac:dyDescent="0.2">
      <c r="A2" s="77" t="s">
        <v>486</v>
      </c>
      <c r="B2" s="78"/>
      <c r="C2" s="78"/>
      <c r="D2" s="78"/>
      <c r="E2" s="78"/>
      <c r="F2" s="78"/>
    </row>
    <row r="3" spans="1:17" ht="16.5" x14ac:dyDescent="0.2">
      <c r="A3" s="77" t="str">
        <f>CONCATENATE("Объект: ",IF(Source!G312&lt;&gt;"Новый объект", Source!G312, ""))</f>
        <v>Объект: 3 - Замена ограждения ГБПОУ МКАГ - ул. 12-я Парковая, д.13</v>
      </c>
      <c r="B3" s="78"/>
      <c r="C3" s="78"/>
      <c r="D3" s="78"/>
      <c r="E3" s="78"/>
      <c r="F3" s="78"/>
    </row>
    <row r="4" spans="1:17" x14ac:dyDescent="0.2">
      <c r="A4" s="62" t="s">
        <v>487</v>
      </c>
      <c r="B4" s="62" t="s">
        <v>488</v>
      </c>
      <c r="C4" s="62" t="s">
        <v>412</v>
      </c>
      <c r="D4" s="62" t="s">
        <v>489</v>
      </c>
      <c r="E4" s="80" t="s">
        <v>490</v>
      </c>
      <c r="F4" s="81"/>
    </row>
    <row r="5" spans="1:17" x14ac:dyDescent="0.2">
      <c r="A5" s="63"/>
      <c r="B5" s="63"/>
      <c r="C5" s="63"/>
      <c r="D5" s="63"/>
      <c r="E5" s="82"/>
      <c r="F5" s="83"/>
    </row>
    <row r="6" spans="1:17" ht="14.25" x14ac:dyDescent="0.2">
      <c r="A6" s="79"/>
      <c r="B6" s="79"/>
      <c r="C6" s="79"/>
      <c r="D6" s="79"/>
      <c r="E6" s="19" t="s">
        <v>491</v>
      </c>
      <c r="F6" s="19" t="s">
        <v>492</v>
      </c>
    </row>
    <row r="7" spans="1:17" ht="14.25" x14ac:dyDescent="0.2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</row>
    <row r="8" spans="1:17" ht="16.5" x14ac:dyDescent="0.2">
      <c r="A8" s="77" t="str">
        <f>CONCATENATE("Локальная смета: ",IF(Source!G22&lt;&gt;"Новая локальная смета", Source!G22, ""))</f>
        <v xml:space="preserve">Локальная смета: </v>
      </c>
      <c r="B8" s="78"/>
      <c r="C8" s="78"/>
      <c r="D8" s="78"/>
      <c r="E8" s="78"/>
      <c r="F8" s="78"/>
    </row>
    <row r="9" spans="1:17" ht="16.5" x14ac:dyDescent="0.2">
      <c r="A9" s="77" t="str">
        <f>CONCATENATE("Раздел: ",IF(Source!G26&lt;&gt;"Новый раздел", Source!G26, ""))</f>
        <v>Раздел: Установка ограждения - Участок 1</v>
      </c>
      <c r="B9" s="78"/>
      <c r="C9" s="78"/>
      <c r="D9" s="78"/>
      <c r="E9" s="78"/>
      <c r="F9" s="78"/>
    </row>
    <row r="10" spans="1:17" ht="14.25" x14ac:dyDescent="0.2">
      <c r="A10" s="75" t="s">
        <v>493</v>
      </c>
      <c r="B10" s="76"/>
      <c r="C10" s="76"/>
      <c r="D10" s="76"/>
      <c r="E10" s="76"/>
      <c r="F10" s="76"/>
    </row>
    <row r="11" spans="1:17" ht="28.5" x14ac:dyDescent="0.2">
      <c r="A11" s="48" t="s">
        <v>351</v>
      </c>
      <c r="B11" s="41" t="s">
        <v>353</v>
      </c>
      <c r="C11" s="41" t="s">
        <v>286</v>
      </c>
      <c r="D11" s="42">
        <f>ROUND(SUMIF(RV_DATA!V8:'RV_DATA'!V47, -262383052, RV_DATA!I8:'RV_DATA'!I47), 6)</f>
        <v>1.7527999999999999</v>
      </c>
      <c r="E11" s="49">
        <f>ROUND(RV_DATA!K44, 6)</f>
        <v>98.05</v>
      </c>
      <c r="F11" s="49">
        <f>ROUND(SUMIF(RV_DATA!V8:'RV_DATA'!V47, -262383052, RV_DATA!M8:'RV_DATA'!M47), 6)</f>
        <v>171.86</v>
      </c>
      <c r="Q11">
        <v>2</v>
      </c>
    </row>
    <row r="12" spans="1:17" ht="28.5" x14ac:dyDescent="0.2">
      <c r="A12" s="48" t="s">
        <v>302</v>
      </c>
      <c r="B12" s="41" t="s">
        <v>304</v>
      </c>
      <c r="C12" s="41" t="s">
        <v>286</v>
      </c>
      <c r="D12" s="42">
        <f>ROUND(SUMIF(RV_DATA!V8:'RV_DATA'!V47, -1042877116, RV_DATA!I8:'RV_DATA'!I47), 6)</f>
        <v>3.375</v>
      </c>
      <c r="E12" s="49">
        <f>ROUND(RV_DATA!K27, 6)</f>
        <v>27.21</v>
      </c>
      <c r="F12" s="49">
        <f>ROUND(SUMIF(RV_DATA!V8:'RV_DATA'!V47, -1042877116, RV_DATA!M8:'RV_DATA'!M47), 6)</f>
        <v>91.83</v>
      </c>
      <c r="Q12">
        <v>2</v>
      </c>
    </row>
    <row r="13" spans="1:17" ht="14.25" x14ac:dyDescent="0.2">
      <c r="A13" s="48" t="s">
        <v>335</v>
      </c>
      <c r="B13" s="41" t="s">
        <v>337</v>
      </c>
      <c r="C13" s="41" t="s">
        <v>286</v>
      </c>
      <c r="D13" s="42">
        <f>ROUND(SUMIF(RV_DATA!V8:'RV_DATA'!V47, -2029004941, RV_DATA!I8:'RV_DATA'!I47), 6)</f>
        <v>48.076799999999999</v>
      </c>
      <c r="E13" s="49">
        <f>ROUND(RV_DATA!K34, 6)</f>
        <v>351.29</v>
      </c>
      <c r="F13" s="49">
        <f>ROUND(SUMIF(RV_DATA!V8:'RV_DATA'!V47, -2029004941, RV_DATA!M8:'RV_DATA'!M47), 6)</f>
        <v>16889.48</v>
      </c>
      <c r="Q13">
        <v>2</v>
      </c>
    </row>
    <row r="14" spans="1:17" ht="28.5" x14ac:dyDescent="0.2">
      <c r="A14" s="48" t="s">
        <v>283</v>
      </c>
      <c r="B14" s="41" t="s">
        <v>285</v>
      </c>
      <c r="C14" s="41" t="s">
        <v>286</v>
      </c>
      <c r="D14" s="42">
        <f>ROUND(SUMIF(RV_DATA!V8:'RV_DATA'!V47, -1297827098, RV_DATA!I8:'RV_DATA'!I47), 6)</f>
        <v>0.94769999999999999</v>
      </c>
      <c r="E14" s="49">
        <f>ROUND(RV_DATA!K8, 6)</f>
        <v>1014.12</v>
      </c>
      <c r="F14" s="49">
        <f>ROUND(SUMIF(RV_DATA!V8:'RV_DATA'!V47, -1297827098, RV_DATA!M8:'RV_DATA'!M47), 6)</f>
        <v>960.99</v>
      </c>
      <c r="Q14">
        <v>2</v>
      </c>
    </row>
    <row r="15" spans="1:17" ht="14.25" x14ac:dyDescent="0.2">
      <c r="A15" s="48" t="s">
        <v>338</v>
      </c>
      <c r="B15" s="41" t="s">
        <v>340</v>
      </c>
      <c r="C15" s="41" t="s">
        <v>286</v>
      </c>
      <c r="D15" s="42">
        <f>ROUND(SUMIF(RV_DATA!V8:'RV_DATA'!V47, 892192163, RV_DATA!I8:'RV_DATA'!I47), 6)</f>
        <v>14.398</v>
      </c>
      <c r="E15" s="49">
        <f>ROUND(RV_DATA!K33, 6)</f>
        <v>5.94</v>
      </c>
      <c r="F15" s="49">
        <f>ROUND(SUMIF(RV_DATA!V8:'RV_DATA'!V47, 892192163, RV_DATA!M8:'RV_DATA'!M47), 6)</f>
        <v>85.14</v>
      </c>
      <c r="Q15">
        <v>2</v>
      </c>
    </row>
    <row r="16" spans="1:17" ht="14.25" x14ac:dyDescent="0.2">
      <c r="A16" s="48" t="s">
        <v>305</v>
      </c>
      <c r="B16" s="41" t="s">
        <v>307</v>
      </c>
      <c r="C16" s="41" t="s">
        <v>286</v>
      </c>
      <c r="D16" s="42">
        <f>ROUND(SUMIF(RV_DATA!V8:'RV_DATA'!V47, 1181039040, RV_DATA!I8:'RV_DATA'!I47), 6)</f>
        <v>2.7000000000000001E-3</v>
      </c>
      <c r="E16" s="49">
        <f>ROUND(RV_DATA!K26, 6)</f>
        <v>3.67</v>
      </c>
      <c r="F16" s="49">
        <f>ROUND(SUMIF(RV_DATA!V8:'RV_DATA'!V47, 1181039040, RV_DATA!M8:'RV_DATA'!M47), 6)</f>
        <v>0.01</v>
      </c>
      <c r="Q16">
        <v>2</v>
      </c>
    </row>
    <row r="17" spans="1:17" ht="14.25" x14ac:dyDescent="0.2">
      <c r="A17" s="48" t="s">
        <v>341</v>
      </c>
      <c r="B17" s="41" t="s">
        <v>343</v>
      </c>
      <c r="C17" s="41" t="s">
        <v>286</v>
      </c>
      <c r="D17" s="42">
        <f>ROUND(SUMIF(RV_DATA!V8:'RV_DATA'!V47, -1881072116, RV_DATA!I8:'RV_DATA'!I47), 6)</f>
        <v>63.1008</v>
      </c>
      <c r="E17" s="49">
        <f>ROUND(RV_DATA!K32, 6)</f>
        <v>652.16</v>
      </c>
      <c r="F17" s="49">
        <f>ROUND(SUMIF(RV_DATA!V8:'RV_DATA'!V47, -1881072116, RV_DATA!M8:'RV_DATA'!M47), 6)</f>
        <v>41151.99</v>
      </c>
      <c r="Q17">
        <v>2</v>
      </c>
    </row>
    <row r="18" spans="1:17" ht="28.5" x14ac:dyDescent="0.2">
      <c r="A18" s="48" t="s">
        <v>308</v>
      </c>
      <c r="B18" s="41" t="s">
        <v>310</v>
      </c>
      <c r="C18" s="41" t="s">
        <v>286</v>
      </c>
      <c r="D18" s="42">
        <f>ROUND(SUMIF(RV_DATA!V8:'RV_DATA'!V47, 1986574417, RV_DATA!I8:'RV_DATA'!I47), 6)</f>
        <v>3.2015000000000002E-2</v>
      </c>
      <c r="E18" s="49">
        <f>ROUND(RV_DATA!K25, 6)</f>
        <v>683.9</v>
      </c>
      <c r="F18" s="49">
        <f>ROUND(SUMIF(RV_DATA!V8:'RV_DATA'!V47, 1986574417, RV_DATA!M8:'RV_DATA'!M47), 6)</f>
        <v>21.89</v>
      </c>
      <c r="Q18">
        <v>2</v>
      </c>
    </row>
    <row r="19" spans="1:17" ht="28.5" x14ac:dyDescent="0.2">
      <c r="A19" s="48" t="s">
        <v>354</v>
      </c>
      <c r="B19" s="41" t="s">
        <v>356</v>
      </c>
      <c r="C19" s="41" t="s">
        <v>286</v>
      </c>
      <c r="D19" s="42">
        <f>ROUND(SUMIF(RV_DATA!V8:'RV_DATA'!V47, 949162316, RV_DATA!I8:'RV_DATA'!I47), 6)</f>
        <v>1.252E-2</v>
      </c>
      <c r="E19" s="49">
        <f>ROUND(RV_DATA!K42, 6)</f>
        <v>16.920000000000002</v>
      </c>
      <c r="F19" s="49">
        <f>ROUND(SUMIF(RV_DATA!V8:'RV_DATA'!V47, 949162316, RV_DATA!M8:'RV_DATA'!M47), 6)</f>
        <v>0.21</v>
      </c>
      <c r="Q19">
        <v>2</v>
      </c>
    </row>
    <row r="20" spans="1:17" ht="28.5" x14ac:dyDescent="0.2">
      <c r="A20" s="48" t="s">
        <v>296</v>
      </c>
      <c r="B20" s="41" t="s">
        <v>298</v>
      </c>
      <c r="C20" s="41" t="s">
        <v>286</v>
      </c>
      <c r="D20" s="42">
        <f>ROUND(SUMIF(RV_DATA!V8:'RV_DATA'!V47, -278163943, RV_DATA!I8:'RV_DATA'!I47), 6)</f>
        <v>6.8999999999999999E-3</v>
      </c>
      <c r="E20" s="49">
        <f>ROUND(RV_DATA!K15, 6)</f>
        <v>1270.56</v>
      </c>
      <c r="F20" s="49">
        <f>ROUND(SUMIF(RV_DATA!V8:'RV_DATA'!V47, -278163943, RV_DATA!M8:'RV_DATA'!M47), 6)</f>
        <v>8.76</v>
      </c>
      <c r="Q20">
        <v>2</v>
      </c>
    </row>
    <row r="21" spans="1:17" ht="14.25" x14ac:dyDescent="0.2">
      <c r="A21" s="48" t="s">
        <v>311</v>
      </c>
      <c r="B21" s="41" t="s">
        <v>313</v>
      </c>
      <c r="C21" s="41" t="s">
        <v>286</v>
      </c>
      <c r="D21" s="42">
        <f>ROUND(SUMIF(RV_DATA!V8:'RV_DATA'!V47, -1115091794, RV_DATA!I8:'RV_DATA'!I47), 6)</f>
        <v>0.25312499999999999</v>
      </c>
      <c r="E21" s="49">
        <f>ROUND(RV_DATA!K24, 6)</f>
        <v>10.82</v>
      </c>
      <c r="F21" s="49">
        <f>ROUND(SUMIF(RV_DATA!V8:'RV_DATA'!V47, -1115091794, RV_DATA!M8:'RV_DATA'!M47), 6)</f>
        <v>2.74</v>
      </c>
      <c r="Q21">
        <v>2</v>
      </c>
    </row>
    <row r="22" spans="1:17" ht="15" x14ac:dyDescent="0.25">
      <c r="A22" s="84" t="s">
        <v>494</v>
      </c>
      <c r="B22" s="84"/>
      <c r="C22" s="84"/>
      <c r="D22" s="84"/>
      <c r="E22" s="85">
        <f>SUMIF(Q11:Q21, 2, F11:F21)</f>
        <v>59384.899999999994</v>
      </c>
      <c r="F22" s="85"/>
    </row>
    <row r="23" spans="1:17" ht="14.25" x14ac:dyDescent="0.2">
      <c r="A23" s="75" t="s">
        <v>495</v>
      </c>
      <c r="B23" s="76"/>
      <c r="C23" s="76"/>
      <c r="D23" s="76"/>
      <c r="E23" s="76"/>
      <c r="F23" s="76"/>
    </row>
    <row r="24" spans="1:17" ht="57" x14ac:dyDescent="0.2">
      <c r="A24" s="48" t="s">
        <v>68</v>
      </c>
      <c r="B24" s="41" t="s">
        <v>69</v>
      </c>
      <c r="C24" s="41" t="s">
        <v>65</v>
      </c>
      <c r="D24" s="42">
        <f>ROUND(SUMIF(RV_DATA!V8:'RV_DATA'!V47, -552169090, RV_DATA!I8:'RV_DATA'!I47), 6)</f>
        <v>0.90988000000000002</v>
      </c>
      <c r="E24" s="49">
        <f>ROUND(RV_DATA!K36, 6)</f>
        <v>32819.879999999997</v>
      </c>
      <c r="F24" s="49">
        <f>ROUND(SUMIF(RV_DATA!V8:'RV_DATA'!V47, -552169090, RV_DATA!M8:'RV_DATA'!M47), 6)</f>
        <v>29862.15</v>
      </c>
      <c r="Q24">
        <v>3</v>
      </c>
    </row>
    <row r="25" spans="1:17" ht="42.75" x14ac:dyDescent="0.2">
      <c r="A25" s="48" t="s">
        <v>344</v>
      </c>
      <c r="B25" s="41" t="s">
        <v>346</v>
      </c>
      <c r="C25" s="41" t="s">
        <v>65</v>
      </c>
      <c r="D25" s="42">
        <f>ROUND(SUMIF(RV_DATA!V8:'RV_DATA'!V47, -1029693808, RV_DATA!I8:'RV_DATA'!I47), 6)</f>
        <v>0.12645200000000001</v>
      </c>
      <c r="E25" s="49">
        <f>ROUND(RV_DATA!K31, 6)</f>
        <v>38268.54</v>
      </c>
      <c r="F25" s="49">
        <f>ROUND(SUMIF(RV_DATA!V8:'RV_DATA'!V47, -1029693808, RV_DATA!M8:'RV_DATA'!M47), 6)</f>
        <v>4838.9799999999996</v>
      </c>
      <c r="Q25">
        <v>3</v>
      </c>
    </row>
    <row r="26" spans="1:17" ht="71.25" x14ac:dyDescent="0.2">
      <c r="A26" s="48" t="s">
        <v>72</v>
      </c>
      <c r="B26" s="41" t="s">
        <v>73</v>
      </c>
      <c r="C26" s="41" t="s">
        <v>65</v>
      </c>
      <c r="D26" s="42">
        <f>ROUND(SUMIF(RV_DATA!V8:'RV_DATA'!V47, -916469736, RV_DATA!I8:'RV_DATA'!I47), 6)</f>
        <v>2.0510999999999999</v>
      </c>
      <c r="E26" s="49">
        <f>ROUND(RV_DATA!K37, 6)</f>
        <v>40597.550000000003</v>
      </c>
      <c r="F26" s="49">
        <f>ROUND(SUMIF(RV_DATA!V8:'RV_DATA'!V47, -916469736, RV_DATA!M8:'RV_DATA'!M47), 6)</f>
        <v>83269.63</v>
      </c>
      <c r="Q26">
        <v>3</v>
      </c>
    </row>
    <row r="27" spans="1:17" ht="71.25" x14ac:dyDescent="0.2">
      <c r="A27" s="48" t="s">
        <v>63</v>
      </c>
      <c r="B27" s="41" t="s">
        <v>64</v>
      </c>
      <c r="C27" s="41" t="s">
        <v>65</v>
      </c>
      <c r="D27" s="42">
        <f>ROUND(SUMIF(RV_DATA!V8:'RV_DATA'!V47, 1513119136, RV_DATA!I8:'RV_DATA'!I47), 6)</f>
        <v>0.69974999999999998</v>
      </c>
      <c r="E27" s="49">
        <f>ROUND(RV_DATA!K35, 6)</f>
        <v>37329.29</v>
      </c>
      <c r="F27" s="49">
        <f>ROUND(SUMIF(RV_DATA!V8:'RV_DATA'!V47, 1513119136, RV_DATA!M8:'RV_DATA'!M47), 6)</f>
        <v>26121.17</v>
      </c>
      <c r="Q27">
        <v>3</v>
      </c>
    </row>
    <row r="28" spans="1:17" ht="14.25" x14ac:dyDescent="0.2">
      <c r="A28" s="48" t="s">
        <v>314</v>
      </c>
      <c r="B28" s="41" t="s">
        <v>316</v>
      </c>
      <c r="C28" s="41" t="s">
        <v>65</v>
      </c>
      <c r="D28" s="42">
        <f>ROUND(SUMIF(RV_DATA!V8:'RV_DATA'!V47, -547263076, RV_DATA!I8:'RV_DATA'!I47), 6)</f>
        <v>4.5000000000000003E-5</v>
      </c>
      <c r="E28" s="49">
        <f>ROUND(RV_DATA!K23, 6)</f>
        <v>49736.04</v>
      </c>
      <c r="F28" s="49">
        <f>ROUND(SUMIF(RV_DATA!V8:'RV_DATA'!V47, -547263076, RV_DATA!M8:'RV_DATA'!M47), 6)</f>
        <v>2.2400000000000002</v>
      </c>
      <c r="Q28">
        <v>3</v>
      </c>
    </row>
    <row r="29" spans="1:17" ht="28.5" x14ac:dyDescent="0.2">
      <c r="A29" s="48" t="s">
        <v>299</v>
      </c>
      <c r="B29" s="41" t="s">
        <v>301</v>
      </c>
      <c r="C29" s="41" t="s">
        <v>29</v>
      </c>
      <c r="D29" s="42">
        <f>ROUND(SUMIF(RV_DATA!V8:'RV_DATA'!V47, 339149647, RV_DATA!I8:'RV_DATA'!I47), 6)</f>
        <v>0.24149999999999999</v>
      </c>
      <c r="E29" s="49">
        <f>ROUND(RV_DATA!K14, 6)</f>
        <v>590.78</v>
      </c>
      <c r="F29" s="49">
        <f>ROUND(SUMIF(RV_DATA!V8:'RV_DATA'!V47, 339149647, RV_DATA!M8:'RV_DATA'!M47), 6)</f>
        <v>142.66999999999999</v>
      </c>
      <c r="Q29">
        <v>3</v>
      </c>
    </row>
    <row r="30" spans="1:17" ht="42.75" x14ac:dyDescent="0.2">
      <c r="A30" s="48" t="s">
        <v>287</v>
      </c>
      <c r="B30" s="41" t="s">
        <v>289</v>
      </c>
      <c r="C30" s="41" t="s">
        <v>29</v>
      </c>
      <c r="D30" s="42">
        <f>ROUND(SUMIF(RV_DATA!V8:'RV_DATA'!V47, 125426679, RV_DATA!I8:'RV_DATA'!I47), 6)</f>
        <v>0.13800000000000001</v>
      </c>
      <c r="E30" s="49">
        <f>ROUND(RV_DATA!K12, 6)</f>
        <v>1865.77</v>
      </c>
      <c r="F30" s="49">
        <f>ROUND(SUMIF(RV_DATA!V8:'RV_DATA'!V47, 125426679, RV_DATA!M8:'RV_DATA'!M47), 6)</f>
        <v>257.49</v>
      </c>
      <c r="Q30">
        <v>3</v>
      </c>
    </row>
    <row r="31" spans="1:17" ht="42.75" x14ac:dyDescent="0.2">
      <c r="A31" s="48" t="s">
        <v>290</v>
      </c>
      <c r="B31" s="41" t="s">
        <v>292</v>
      </c>
      <c r="C31" s="41" t="s">
        <v>29</v>
      </c>
      <c r="D31" s="42">
        <f>ROUND(SUMIF(RV_DATA!V8:'RV_DATA'!V47, -671760782, RV_DATA!I8:'RV_DATA'!I47), 6)</f>
        <v>0.55200000000000005</v>
      </c>
      <c r="E31" s="49">
        <f>ROUND(RV_DATA!K11, 6)</f>
        <v>1763.75</v>
      </c>
      <c r="F31" s="49">
        <f>ROUND(SUMIF(RV_DATA!V8:'RV_DATA'!V47, -671760782, RV_DATA!M8:'RV_DATA'!M47), 6)</f>
        <v>973.59</v>
      </c>
      <c r="Q31">
        <v>3</v>
      </c>
    </row>
    <row r="32" spans="1:17" ht="14.25" x14ac:dyDescent="0.2">
      <c r="A32" s="48" t="s">
        <v>357</v>
      </c>
      <c r="B32" s="41" t="s">
        <v>358</v>
      </c>
      <c r="C32" s="41" t="s">
        <v>359</v>
      </c>
      <c r="D32" s="42">
        <f>ROUND(SUMIF(RV_DATA!V8:'RV_DATA'!V47, -1857108032, RV_DATA!I8:'RV_DATA'!I47), 6)</f>
        <v>1.8779999999999999</v>
      </c>
      <c r="E32" s="49">
        <f>ROUND(RV_DATA!K41, 6)</f>
        <v>99.303030000000007</v>
      </c>
      <c r="F32" s="49">
        <f>ROUND(SUMIF(RV_DATA!V8:'RV_DATA'!V47, -1857108032, RV_DATA!M8:'RV_DATA'!M47), 6)</f>
        <v>186.49</v>
      </c>
      <c r="Q32">
        <v>3</v>
      </c>
    </row>
    <row r="33" spans="1:17" ht="14.25" x14ac:dyDescent="0.2">
      <c r="A33" s="48" t="s">
        <v>317</v>
      </c>
      <c r="B33" s="41" t="s">
        <v>319</v>
      </c>
      <c r="C33" s="41" t="s">
        <v>40</v>
      </c>
      <c r="D33" s="42">
        <f>ROUND(SUMIF(RV_DATA!V8:'RV_DATA'!V47, -1336012766, RV_DATA!I8:'RV_DATA'!I47), 6)</f>
        <v>0.67500000000000004</v>
      </c>
      <c r="E33" s="49">
        <f>ROUND(RV_DATA!K22, 6)</f>
        <v>91.89</v>
      </c>
      <c r="F33" s="49">
        <f>ROUND(SUMIF(RV_DATA!V8:'RV_DATA'!V47, -1336012766, RV_DATA!M8:'RV_DATA'!M47), 6)</f>
        <v>62.03</v>
      </c>
      <c r="Q33">
        <v>3</v>
      </c>
    </row>
    <row r="34" spans="1:17" ht="28.5" x14ac:dyDescent="0.2">
      <c r="A34" s="48" t="s">
        <v>320</v>
      </c>
      <c r="B34" s="41" t="s">
        <v>322</v>
      </c>
      <c r="C34" s="41" t="s">
        <v>65</v>
      </c>
      <c r="D34" s="42">
        <f>ROUND(SUMIF(RV_DATA!V8:'RV_DATA'!V47, -1526606762, RV_DATA!I8:'RV_DATA'!I47), 6)</f>
        <v>6.6199999999999995E-2</v>
      </c>
      <c r="E34" s="49">
        <f>ROUND(RV_DATA!K21, 6)</f>
        <v>110781.14</v>
      </c>
      <c r="F34" s="49">
        <f>ROUND(SUMIF(RV_DATA!V8:'RV_DATA'!V47, -1526606762, RV_DATA!M8:'RV_DATA'!M47), 6)</f>
        <v>7333.64</v>
      </c>
      <c r="Q34">
        <v>3</v>
      </c>
    </row>
    <row r="35" spans="1:17" ht="14.25" x14ac:dyDescent="0.2">
      <c r="A35" s="48" t="s">
        <v>323</v>
      </c>
      <c r="B35" s="41" t="s">
        <v>325</v>
      </c>
      <c r="C35" s="41" t="s">
        <v>65</v>
      </c>
      <c r="D35" s="42">
        <f>ROUND(SUMIF(RV_DATA!V8:'RV_DATA'!V47, -928026910, RV_DATA!I8:'RV_DATA'!I47), 6)</f>
        <v>2.2499999999999999E-4</v>
      </c>
      <c r="E35" s="49">
        <f>ROUND(RV_DATA!K20, 6)</f>
        <v>4752.34</v>
      </c>
      <c r="F35" s="49">
        <f>ROUND(SUMIF(RV_DATA!V8:'RV_DATA'!V47, -928026910, RV_DATA!M8:'RV_DATA'!M47), 6)</f>
        <v>1.07</v>
      </c>
      <c r="Q35">
        <v>3</v>
      </c>
    </row>
    <row r="36" spans="1:17" ht="14.25" x14ac:dyDescent="0.2">
      <c r="A36" s="48" t="s">
        <v>293</v>
      </c>
      <c r="B36" s="41" t="s">
        <v>295</v>
      </c>
      <c r="C36" s="41" t="s">
        <v>29</v>
      </c>
      <c r="D36" s="42">
        <f>ROUND(SUMIF(RV_DATA!V8:'RV_DATA'!V47, -1829664509, RV_DATA!I8:'RV_DATA'!I47), 6)</f>
        <v>0.10842499999999999</v>
      </c>
      <c r="E36" s="49">
        <f>ROUND(RV_DATA!K10, 6)</f>
        <v>35.25</v>
      </c>
      <c r="F36" s="49">
        <f>ROUND(SUMIF(RV_DATA!V8:'RV_DATA'!V47, -1829664509, RV_DATA!M8:'RV_DATA'!M47), 6)</f>
        <v>3.83</v>
      </c>
      <c r="Q36">
        <v>3</v>
      </c>
    </row>
    <row r="37" spans="1:17" ht="14.25" x14ac:dyDescent="0.2">
      <c r="A37" s="48" t="s">
        <v>363</v>
      </c>
      <c r="B37" s="41" t="s">
        <v>365</v>
      </c>
      <c r="C37" s="41" t="s">
        <v>65</v>
      </c>
      <c r="D37" s="42">
        <f>ROUND(SUMIF(RV_DATA!V8:'RV_DATA'!V47, 1861839422, RV_DATA!I8:'RV_DATA'!I47), 6)</f>
        <v>1.853E-3</v>
      </c>
      <c r="E37" s="49">
        <f>ROUND(RV_DATA!K46, 6)</f>
        <v>63195.54</v>
      </c>
      <c r="F37" s="49">
        <f>ROUND(SUMIF(RV_DATA!V8:'RV_DATA'!V47, 1861839422, RV_DATA!M8:'RV_DATA'!M47), 6)</f>
        <v>117.1</v>
      </c>
      <c r="Q37">
        <v>3</v>
      </c>
    </row>
    <row r="38" spans="1:17" ht="14.25" x14ac:dyDescent="0.2">
      <c r="A38" s="48" t="s">
        <v>360</v>
      </c>
      <c r="B38" s="41" t="s">
        <v>362</v>
      </c>
      <c r="C38" s="41" t="s">
        <v>65</v>
      </c>
      <c r="D38" s="42">
        <f>ROUND(SUMIF(RV_DATA!V8:'RV_DATA'!V47, -804279578, RV_DATA!I8:'RV_DATA'!I47), 6)</f>
        <v>1.1268E-2</v>
      </c>
      <c r="E38" s="49">
        <f>ROUND(RV_DATA!K40, 6)</f>
        <v>97017.58</v>
      </c>
      <c r="F38" s="49">
        <f>ROUND(SUMIF(RV_DATA!V8:'RV_DATA'!V47, -804279578, RV_DATA!M8:'RV_DATA'!M47), 6)</f>
        <v>1093.2</v>
      </c>
      <c r="Q38">
        <v>3</v>
      </c>
    </row>
    <row r="39" spans="1:17" ht="28.5" x14ac:dyDescent="0.2">
      <c r="A39" s="48" t="s">
        <v>366</v>
      </c>
      <c r="B39" s="41" t="s">
        <v>368</v>
      </c>
      <c r="C39" s="41" t="s">
        <v>359</v>
      </c>
      <c r="D39" s="42">
        <f>ROUND(SUMIF(RV_DATA!V8:'RV_DATA'!V47, 566368814, RV_DATA!I8:'RV_DATA'!I47), 6)</f>
        <v>11.268000000000001</v>
      </c>
      <c r="E39" s="49">
        <f>ROUND(RV_DATA!K45, 6)</f>
        <v>105.32</v>
      </c>
      <c r="F39" s="49">
        <f>ROUND(SUMIF(RV_DATA!V8:'RV_DATA'!V47, 566368814, RV_DATA!M8:'RV_DATA'!M47), 6)</f>
        <v>1186.75</v>
      </c>
      <c r="Q39">
        <v>3</v>
      </c>
    </row>
    <row r="40" spans="1:17" ht="28.5" x14ac:dyDescent="0.2">
      <c r="A40" s="48" t="s">
        <v>326</v>
      </c>
      <c r="B40" s="41" t="s">
        <v>328</v>
      </c>
      <c r="C40" s="41" t="s">
        <v>29</v>
      </c>
      <c r="D40" s="42">
        <f>ROUND(SUMIF(RV_DATA!V8:'RV_DATA'!V47, 1167723416, RV_DATA!I8:'RV_DATA'!I47), 6)</f>
        <v>8.9999999999999998E-4</v>
      </c>
      <c r="E40" s="49">
        <f>ROUND(RV_DATA!K18, 6)</f>
        <v>7098.7</v>
      </c>
      <c r="F40" s="49">
        <f>ROUND(SUMIF(RV_DATA!V8:'RV_DATA'!V47, 1167723416, RV_DATA!M8:'RV_DATA'!M47), 6)</f>
        <v>6.39</v>
      </c>
      <c r="Q40">
        <v>3</v>
      </c>
    </row>
    <row r="41" spans="1:17" ht="57" x14ac:dyDescent="0.2">
      <c r="A41" s="48" t="s">
        <v>51</v>
      </c>
      <c r="B41" s="41" t="s">
        <v>52</v>
      </c>
      <c r="C41" s="41" t="s">
        <v>29</v>
      </c>
      <c r="D41" s="42">
        <f>ROUND(SUMIF(RV_DATA!V8:'RV_DATA'!V47, -1648563401, RV_DATA!I8:'RV_DATA'!I47), 6)</f>
        <v>2.2837499999999999</v>
      </c>
      <c r="E41" s="49">
        <f>ROUND(RV_DATA!K28, 6)</f>
        <v>3884.73</v>
      </c>
      <c r="F41" s="49">
        <f>ROUND(SUMIF(RV_DATA!V8:'RV_DATA'!V47, -1648563401, RV_DATA!M8:'RV_DATA'!M47), 6)</f>
        <v>8871.75</v>
      </c>
      <c r="Q41">
        <v>3</v>
      </c>
    </row>
    <row r="42" spans="1:17" ht="71.25" x14ac:dyDescent="0.2">
      <c r="A42" s="48" t="s">
        <v>329</v>
      </c>
      <c r="B42" s="41" t="s">
        <v>331</v>
      </c>
      <c r="C42" s="41" t="s">
        <v>65</v>
      </c>
      <c r="D42" s="42">
        <f>ROUND(SUMIF(RV_DATA!V8:'RV_DATA'!V47, 2014880110, RV_DATA!I8:'RV_DATA'!I47), 6)</f>
        <v>0.18225</v>
      </c>
      <c r="E42" s="49">
        <f>ROUND(RV_DATA!K17, 6)</f>
        <v>34634.379999999997</v>
      </c>
      <c r="F42" s="49">
        <f>ROUND(SUMIF(RV_DATA!V8:'RV_DATA'!V47, 2014880110, RV_DATA!M8:'RV_DATA'!M47), 6)</f>
        <v>6312.12</v>
      </c>
      <c r="Q42">
        <v>3</v>
      </c>
    </row>
    <row r="43" spans="1:17" ht="28.5" x14ac:dyDescent="0.2">
      <c r="A43" s="48" t="s">
        <v>347</v>
      </c>
      <c r="B43" s="41" t="s">
        <v>349</v>
      </c>
      <c r="C43" s="41" t="s">
        <v>350</v>
      </c>
      <c r="D43" s="42">
        <f>ROUND(SUMIF(RV_DATA!V8:'RV_DATA'!V47, 1505566275, RV_DATA!I8:'RV_DATA'!I47), 6)</f>
        <v>1.7527999999999999</v>
      </c>
      <c r="E43" s="49">
        <f>ROUND(RV_DATA!K29, 6)</f>
        <v>16.54</v>
      </c>
      <c r="F43" s="49">
        <f>ROUND(SUMIF(RV_DATA!V8:'RV_DATA'!V47, 1505566275, RV_DATA!M8:'RV_DATA'!M47), 6)</f>
        <v>28.8</v>
      </c>
      <c r="Q43">
        <v>3</v>
      </c>
    </row>
    <row r="44" spans="1:17" ht="57" x14ac:dyDescent="0.2">
      <c r="A44" s="48" t="s">
        <v>332</v>
      </c>
      <c r="B44" s="41" t="s">
        <v>334</v>
      </c>
      <c r="C44" s="41" t="s">
        <v>40</v>
      </c>
      <c r="D44" s="42">
        <f>ROUND(SUMIF(RV_DATA!V8:'RV_DATA'!V47, -334664347, RV_DATA!I8:'RV_DATA'!I47), 6)</f>
        <v>8.1000000000000003E-2</v>
      </c>
      <c r="E44" s="49">
        <f>ROUND(RV_DATA!K16, 6)</f>
        <v>473.82</v>
      </c>
      <c r="F44" s="49">
        <f>ROUND(SUMIF(RV_DATA!V8:'RV_DATA'!V47, -334664347, RV_DATA!M8:'RV_DATA'!M47), 6)</f>
        <v>38.380000000000003</v>
      </c>
      <c r="Q44">
        <v>3</v>
      </c>
    </row>
    <row r="45" spans="1:17" ht="28.5" x14ac:dyDescent="0.2">
      <c r="A45" s="48" t="s">
        <v>76</v>
      </c>
      <c r="B45" s="41" t="s">
        <v>77</v>
      </c>
      <c r="C45" s="41" t="s">
        <v>78</v>
      </c>
      <c r="D45" s="42">
        <f>ROUND(SUMIF(RV_DATA!V8:'RV_DATA'!V47, 1813338865, RV_DATA!I8:'RV_DATA'!I47), 6)</f>
        <v>25</v>
      </c>
      <c r="E45" s="49">
        <f>ROUND(RV_DATA!K38, 6)</f>
        <v>37.5</v>
      </c>
      <c r="F45" s="49">
        <f>ROUND(SUMIF(RV_DATA!V8:'RV_DATA'!V47, 1813338865, RV_DATA!M8:'RV_DATA'!M47), 6)</f>
        <v>937.5</v>
      </c>
      <c r="Q45">
        <v>3</v>
      </c>
    </row>
    <row r="46" spans="1:17" ht="28.5" x14ac:dyDescent="0.2">
      <c r="A46" s="48" t="s">
        <v>76</v>
      </c>
      <c r="B46" s="41" t="s">
        <v>81</v>
      </c>
      <c r="C46" s="41" t="s">
        <v>78</v>
      </c>
      <c r="D46" s="42">
        <f>ROUND(SUMIF(RV_DATA!V8:'RV_DATA'!V47, -269009906, RV_DATA!I8:'RV_DATA'!I47), 6)</f>
        <v>96</v>
      </c>
      <c r="E46" s="49">
        <f>ROUND(RV_DATA!K39, 6)</f>
        <v>16.53</v>
      </c>
      <c r="F46" s="49">
        <f>ROUND(SUMIF(RV_DATA!V8:'RV_DATA'!V47, -269009906, RV_DATA!M8:'RV_DATA'!M47), 6)</f>
        <v>1586.88</v>
      </c>
      <c r="Q46">
        <v>3</v>
      </c>
    </row>
    <row r="47" spans="1:17" ht="15" x14ac:dyDescent="0.25">
      <c r="A47" s="84" t="s">
        <v>496</v>
      </c>
      <c r="B47" s="84"/>
      <c r="C47" s="84"/>
      <c r="D47" s="84"/>
      <c r="E47" s="85">
        <f>SUMIF(Q24:Q46, 3, F24:F46)</f>
        <v>173233.85</v>
      </c>
      <c r="F47" s="85"/>
    </row>
    <row r="48" spans="1:17" ht="16.5" x14ac:dyDescent="0.2">
      <c r="A48" s="77" t="str">
        <f>CONCATENATE("Раздел: ",IF(Source!G78&lt;&gt;"Новый раздел", Source!G78, ""))</f>
        <v>Раздел: Установка ограждения - Участок 2</v>
      </c>
      <c r="B48" s="78"/>
      <c r="C48" s="78"/>
      <c r="D48" s="78"/>
      <c r="E48" s="78"/>
      <c r="F48" s="78"/>
    </row>
    <row r="49" spans="1:17" ht="14.25" x14ac:dyDescent="0.2">
      <c r="A49" s="75" t="s">
        <v>493</v>
      </c>
      <c r="B49" s="76"/>
      <c r="C49" s="76"/>
      <c r="D49" s="76"/>
      <c r="E49" s="76"/>
      <c r="F49" s="76"/>
    </row>
    <row r="50" spans="1:17" ht="28.5" x14ac:dyDescent="0.2">
      <c r="A50" s="48" t="s">
        <v>351</v>
      </c>
      <c r="B50" s="41" t="s">
        <v>353</v>
      </c>
      <c r="C50" s="41" t="s">
        <v>286</v>
      </c>
      <c r="D50" s="42">
        <f>ROUND(SUMIF(RV_DATA!V49:'RV_DATA'!V88, -262383052, RV_DATA!I49:'RV_DATA'!I88), 6)</f>
        <v>1.6212</v>
      </c>
      <c r="E50" s="49">
        <f>ROUND(RV_DATA!K85, 6)</f>
        <v>98.05</v>
      </c>
      <c r="F50" s="49">
        <f>ROUND(SUMIF(RV_DATA!V49:'RV_DATA'!V88, -262383052, RV_DATA!M49:'RV_DATA'!M88), 6)</f>
        <v>158.96</v>
      </c>
      <c r="Q50">
        <v>2</v>
      </c>
    </row>
    <row r="51" spans="1:17" ht="28.5" x14ac:dyDescent="0.2">
      <c r="A51" s="48" t="s">
        <v>302</v>
      </c>
      <c r="B51" s="41" t="s">
        <v>304</v>
      </c>
      <c r="C51" s="41" t="s">
        <v>286</v>
      </c>
      <c r="D51" s="42">
        <f>ROUND(SUMIF(RV_DATA!V49:'RV_DATA'!V88, -1042877116, RV_DATA!I49:'RV_DATA'!I88), 6)</f>
        <v>3.24</v>
      </c>
      <c r="E51" s="49">
        <f>ROUND(RV_DATA!K68, 6)</f>
        <v>27.21</v>
      </c>
      <c r="F51" s="49">
        <f>ROUND(SUMIF(RV_DATA!V49:'RV_DATA'!V88, -1042877116, RV_DATA!M49:'RV_DATA'!M88), 6)</f>
        <v>88.16</v>
      </c>
      <c r="Q51">
        <v>2</v>
      </c>
    </row>
    <row r="52" spans="1:17" ht="14.25" x14ac:dyDescent="0.2">
      <c r="A52" s="48" t="s">
        <v>335</v>
      </c>
      <c r="B52" s="41" t="s">
        <v>337</v>
      </c>
      <c r="C52" s="41" t="s">
        <v>286</v>
      </c>
      <c r="D52" s="42">
        <f>ROUND(SUMIF(RV_DATA!V49:'RV_DATA'!V88, -2029004941, RV_DATA!I49:'RV_DATA'!I88), 6)</f>
        <v>44.467199999999998</v>
      </c>
      <c r="E52" s="49">
        <f>ROUND(RV_DATA!K75, 6)</f>
        <v>351.29</v>
      </c>
      <c r="F52" s="49">
        <f>ROUND(SUMIF(RV_DATA!V49:'RV_DATA'!V88, -2029004941, RV_DATA!M49:'RV_DATA'!M88), 6)</f>
        <v>15621.42</v>
      </c>
      <c r="Q52">
        <v>2</v>
      </c>
    </row>
    <row r="53" spans="1:17" ht="28.5" x14ac:dyDescent="0.2">
      <c r="A53" s="48" t="s">
        <v>283</v>
      </c>
      <c r="B53" s="41" t="s">
        <v>285</v>
      </c>
      <c r="C53" s="41" t="s">
        <v>286</v>
      </c>
      <c r="D53" s="42">
        <f>ROUND(SUMIF(RV_DATA!V49:'RV_DATA'!V88, -1297827098, RV_DATA!I49:'RV_DATA'!I88), 6)</f>
        <v>0.91259999999999997</v>
      </c>
      <c r="E53" s="49">
        <f>ROUND(RV_DATA!K49, 6)</f>
        <v>1014.12</v>
      </c>
      <c r="F53" s="49">
        <f>ROUND(SUMIF(RV_DATA!V49:'RV_DATA'!V88, -1297827098, RV_DATA!M49:'RV_DATA'!M88), 6)</f>
        <v>925.39</v>
      </c>
      <c r="Q53">
        <v>2</v>
      </c>
    </row>
    <row r="54" spans="1:17" ht="14.25" x14ac:dyDescent="0.2">
      <c r="A54" s="48" t="s">
        <v>338</v>
      </c>
      <c r="B54" s="41" t="s">
        <v>340</v>
      </c>
      <c r="C54" s="41" t="s">
        <v>286</v>
      </c>
      <c r="D54" s="42">
        <f>ROUND(SUMIF(RV_DATA!V49:'RV_DATA'!V88, 892192163, RV_DATA!I49:'RV_DATA'!I88), 6)</f>
        <v>13.317</v>
      </c>
      <c r="E54" s="49">
        <f>ROUND(RV_DATA!K74, 6)</f>
        <v>5.94</v>
      </c>
      <c r="F54" s="49">
        <f>ROUND(SUMIF(RV_DATA!V49:'RV_DATA'!V88, 892192163, RV_DATA!M49:'RV_DATA'!M88), 6)</f>
        <v>78.739999999999995</v>
      </c>
      <c r="Q54">
        <v>2</v>
      </c>
    </row>
    <row r="55" spans="1:17" ht="14.25" x14ac:dyDescent="0.2">
      <c r="A55" s="48" t="s">
        <v>305</v>
      </c>
      <c r="B55" s="41" t="s">
        <v>307</v>
      </c>
      <c r="C55" s="41" t="s">
        <v>286</v>
      </c>
      <c r="D55" s="42">
        <f>ROUND(SUMIF(RV_DATA!V49:'RV_DATA'!V88, 1181039040, RV_DATA!I49:'RV_DATA'!I88), 6)</f>
        <v>2.5920000000000001E-3</v>
      </c>
      <c r="E55" s="49">
        <f>ROUND(RV_DATA!K67, 6)</f>
        <v>3.67</v>
      </c>
      <c r="F55" s="49">
        <f>ROUND(SUMIF(RV_DATA!V49:'RV_DATA'!V88, 1181039040, RV_DATA!M49:'RV_DATA'!M88), 6)</f>
        <v>0.01</v>
      </c>
      <c r="Q55">
        <v>2</v>
      </c>
    </row>
    <row r="56" spans="1:17" ht="14.25" x14ac:dyDescent="0.2">
      <c r="A56" s="48" t="s">
        <v>341</v>
      </c>
      <c r="B56" s="41" t="s">
        <v>343</v>
      </c>
      <c r="C56" s="41" t="s">
        <v>286</v>
      </c>
      <c r="D56" s="42">
        <f>ROUND(SUMIF(RV_DATA!V49:'RV_DATA'!V88, -1881072116, RV_DATA!I49:'RV_DATA'!I88), 6)</f>
        <v>58.363199999999999</v>
      </c>
      <c r="E56" s="49">
        <f>ROUND(RV_DATA!K73, 6)</f>
        <v>652.16</v>
      </c>
      <c r="F56" s="49">
        <f>ROUND(SUMIF(RV_DATA!V49:'RV_DATA'!V88, -1881072116, RV_DATA!M49:'RV_DATA'!M88), 6)</f>
        <v>38062.300000000003</v>
      </c>
      <c r="Q56">
        <v>2</v>
      </c>
    </row>
    <row r="57" spans="1:17" ht="28.5" x14ac:dyDescent="0.2">
      <c r="A57" s="48" t="s">
        <v>308</v>
      </c>
      <c r="B57" s="41" t="s">
        <v>310</v>
      </c>
      <c r="C57" s="41" t="s">
        <v>286</v>
      </c>
      <c r="D57" s="42">
        <f>ROUND(SUMIF(RV_DATA!V49:'RV_DATA'!V88, 1986574417, RV_DATA!I49:'RV_DATA'!I88), 6)</f>
        <v>2.9856000000000001E-2</v>
      </c>
      <c r="E57" s="49">
        <f>ROUND(RV_DATA!K66, 6)</f>
        <v>683.9</v>
      </c>
      <c r="F57" s="49">
        <f>ROUND(SUMIF(RV_DATA!V49:'RV_DATA'!V88, 1986574417, RV_DATA!M49:'RV_DATA'!M88), 6)</f>
        <v>20.420000000000002</v>
      </c>
      <c r="Q57">
        <v>2</v>
      </c>
    </row>
    <row r="58" spans="1:17" ht="28.5" x14ac:dyDescent="0.2">
      <c r="A58" s="48" t="s">
        <v>354</v>
      </c>
      <c r="B58" s="41" t="s">
        <v>356</v>
      </c>
      <c r="C58" s="41" t="s">
        <v>286</v>
      </c>
      <c r="D58" s="42">
        <f>ROUND(SUMIF(RV_DATA!V49:'RV_DATA'!V88, 949162316, RV_DATA!I49:'RV_DATA'!I88), 6)</f>
        <v>1.158E-2</v>
      </c>
      <c r="E58" s="49">
        <f>ROUND(RV_DATA!K83, 6)</f>
        <v>16.920000000000002</v>
      </c>
      <c r="F58" s="49">
        <f>ROUND(SUMIF(RV_DATA!V49:'RV_DATA'!V88, 949162316, RV_DATA!M49:'RV_DATA'!M88), 6)</f>
        <v>0.2</v>
      </c>
      <c r="Q58">
        <v>2</v>
      </c>
    </row>
    <row r="59" spans="1:17" ht="28.5" x14ac:dyDescent="0.2">
      <c r="A59" s="48" t="s">
        <v>296</v>
      </c>
      <c r="B59" s="41" t="s">
        <v>298</v>
      </c>
      <c r="C59" s="41" t="s">
        <v>286</v>
      </c>
      <c r="D59" s="42">
        <f>ROUND(SUMIF(RV_DATA!V49:'RV_DATA'!V88, -278163943, RV_DATA!I49:'RV_DATA'!I88), 6)</f>
        <v>6.6E-3</v>
      </c>
      <c r="E59" s="49">
        <f>ROUND(RV_DATA!K56, 6)</f>
        <v>1270.56</v>
      </c>
      <c r="F59" s="49">
        <f>ROUND(SUMIF(RV_DATA!V49:'RV_DATA'!V88, -278163943, RV_DATA!M49:'RV_DATA'!M88), 6)</f>
        <v>8.3800000000000008</v>
      </c>
      <c r="Q59">
        <v>2</v>
      </c>
    </row>
    <row r="60" spans="1:17" ht="14.25" x14ac:dyDescent="0.2">
      <c r="A60" s="48" t="s">
        <v>311</v>
      </c>
      <c r="B60" s="41" t="s">
        <v>313</v>
      </c>
      <c r="C60" s="41" t="s">
        <v>286</v>
      </c>
      <c r="D60" s="42">
        <f>ROUND(SUMIF(RV_DATA!V49:'RV_DATA'!V88, -1115091794, RV_DATA!I49:'RV_DATA'!I88), 6)</f>
        <v>0.24299999999999999</v>
      </c>
      <c r="E60" s="49">
        <f>ROUND(RV_DATA!K65, 6)</f>
        <v>10.82</v>
      </c>
      <c r="F60" s="49">
        <f>ROUND(SUMIF(RV_DATA!V49:'RV_DATA'!V88, -1115091794, RV_DATA!M49:'RV_DATA'!M88), 6)</f>
        <v>2.63</v>
      </c>
      <c r="Q60">
        <v>2</v>
      </c>
    </row>
    <row r="61" spans="1:17" ht="15" x14ac:dyDescent="0.25">
      <c r="A61" s="84" t="s">
        <v>494</v>
      </c>
      <c r="B61" s="84"/>
      <c r="C61" s="84"/>
      <c r="D61" s="84"/>
      <c r="E61" s="85">
        <f>SUMIF(Q50:Q60, 2, F50:F60)</f>
        <v>54966.609999999993</v>
      </c>
      <c r="F61" s="85"/>
    </row>
    <row r="62" spans="1:17" ht="14.25" x14ac:dyDescent="0.2">
      <c r="A62" s="75" t="s">
        <v>495</v>
      </c>
      <c r="B62" s="76"/>
      <c r="C62" s="76"/>
      <c r="D62" s="76"/>
      <c r="E62" s="76"/>
      <c r="F62" s="76"/>
    </row>
    <row r="63" spans="1:17" ht="57" x14ac:dyDescent="0.2">
      <c r="A63" s="48" t="s">
        <v>68</v>
      </c>
      <c r="B63" s="41" t="s">
        <v>162</v>
      </c>
      <c r="C63" s="41" t="s">
        <v>65</v>
      </c>
      <c r="D63" s="42">
        <f>ROUND(SUMIF(RV_DATA!V49:'RV_DATA'!V88, 137549655, RV_DATA!I49:'RV_DATA'!I88), 6)</f>
        <v>0.85397999999999996</v>
      </c>
      <c r="E63" s="49">
        <f>ROUND(RV_DATA!K77, 6)</f>
        <v>32819.879999999997</v>
      </c>
      <c r="F63" s="49">
        <f>ROUND(SUMIF(RV_DATA!V49:'RV_DATA'!V88, 137549655, RV_DATA!M49:'RV_DATA'!M88), 6)</f>
        <v>28027.52</v>
      </c>
      <c r="Q63">
        <v>3</v>
      </c>
    </row>
    <row r="64" spans="1:17" ht="42.75" x14ac:dyDescent="0.2">
      <c r="A64" s="48" t="s">
        <v>344</v>
      </c>
      <c r="B64" s="41" t="s">
        <v>346</v>
      </c>
      <c r="C64" s="41" t="s">
        <v>65</v>
      </c>
      <c r="D64" s="42">
        <f>ROUND(SUMIF(RV_DATA!V49:'RV_DATA'!V88, -1029693808, RV_DATA!I49:'RV_DATA'!I88), 6)</f>
        <v>0.11695800000000001</v>
      </c>
      <c r="E64" s="49">
        <f>ROUND(RV_DATA!K72, 6)</f>
        <v>38268.54</v>
      </c>
      <c r="F64" s="49">
        <f>ROUND(SUMIF(RV_DATA!V49:'RV_DATA'!V88, -1029693808, RV_DATA!M49:'RV_DATA'!M88), 6)</f>
        <v>4475.67</v>
      </c>
      <c r="Q64">
        <v>3</v>
      </c>
    </row>
    <row r="65" spans="1:17" ht="71.25" x14ac:dyDescent="0.2">
      <c r="A65" s="48" t="s">
        <v>72</v>
      </c>
      <c r="B65" s="41" t="s">
        <v>164</v>
      </c>
      <c r="C65" s="41" t="s">
        <v>65</v>
      </c>
      <c r="D65" s="42">
        <f>ROUND(SUMIF(RV_DATA!V49:'RV_DATA'!V88, 1888372272, RV_DATA!I49:'RV_DATA'!I88), 6)</f>
        <v>1.88469</v>
      </c>
      <c r="E65" s="49">
        <f>ROUND(RV_DATA!K78, 6)</f>
        <v>40597.550000000003</v>
      </c>
      <c r="F65" s="49">
        <f>ROUND(SUMIF(RV_DATA!V49:'RV_DATA'!V88, 1888372272, RV_DATA!M49:'RV_DATA'!M88), 6)</f>
        <v>76513.8</v>
      </c>
      <c r="Q65">
        <v>3</v>
      </c>
    </row>
    <row r="66" spans="1:17" ht="71.25" x14ac:dyDescent="0.2">
      <c r="A66" s="48" t="s">
        <v>63</v>
      </c>
      <c r="B66" s="41" t="s">
        <v>160</v>
      </c>
      <c r="C66" s="41" t="s">
        <v>65</v>
      </c>
      <c r="D66" s="42">
        <f>ROUND(SUMIF(RV_DATA!V49:'RV_DATA'!V88, -780796714, RV_DATA!I49:'RV_DATA'!I88), 6)</f>
        <v>0.67176000000000002</v>
      </c>
      <c r="E66" s="49">
        <f>ROUND(RV_DATA!K76, 6)</f>
        <v>37329.29</v>
      </c>
      <c r="F66" s="49">
        <f>ROUND(SUMIF(RV_DATA!V49:'RV_DATA'!V88, -780796714, RV_DATA!M49:'RV_DATA'!M88), 6)</f>
        <v>25076.32</v>
      </c>
      <c r="Q66">
        <v>3</v>
      </c>
    </row>
    <row r="67" spans="1:17" ht="14.25" x14ac:dyDescent="0.2">
      <c r="A67" s="48" t="s">
        <v>314</v>
      </c>
      <c r="B67" s="41" t="s">
        <v>316</v>
      </c>
      <c r="C67" s="41" t="s">
        <v>65</v>
      </c>
      <c r="D67" s="42">
        <f>ROUND(SUMIF(RV_DATA!V49:'RV_DATA'!V88, -547263076, RV_DATA!I49:'RV_DATA'!I88), 6)</f>
        <v>4.3000000000000002E-5</v>
      </c>
      <c r="E67" s="49">
        <f>ROUND(RV_DATA!K64, 6)</f>
        <v>49736.04</v>
      </c>
      <c r="F67" s="49">
        <f>ROUND(SUMIF(RV_DATA!V49:'RV_DATA'!V88, -547263076, RV_DATA!M49:'RV_DATA'!M88), 6)</f>
        <v>2.15</v>
      </c>
      <c r="Q67">
        <v>3</v>
      </c>
    </row>
    <row r="68" spans="1:17" ht="28.5" x14ac:dyDescent="0.2">
      <c r="A68" s="48" t="s">
        <v>299</v>
      </c>
      <c r="B68" s="41" t="s">
        <v>301</v>
      </c>
      <c r="C68" s="41" t="s">
        <v>29</v>
      </c>
      <c r="D68" s="42">
        <f>ROUND(SUMIF(RV_DATA!V49:'RV_DATA'!V88, 339149647, RV_DATA!I49:'RV_DATA'!I88), 6)</f>
        <v>0.23100000000000001</v>
      </c>
      <c r="E68" s="49">
        <f>ROUND(RV_DATA!K55, 6)</f>
        <v>590.78</v>
      </c>
      <c r="F68" s="49">
        <f>ROUND(SUMIF(RV_DATA!V49:'RV_DATA'!V88, 339149647, RV_DATA!M49:'RV_DATA'!M88), 6)</f>
        <v>136.47</v>
      </c>
      <c r="Q68">
        <v>3</v>
      </c>
    </row>
    <row r="69" spans="1:17" ht="42.75" x14ac:dyDescent="0.2">
      <c r="A69" s="48" t="s">
        <v>287</v>
      </c>
      <c r="B69" s="41" t="s">
        <v>289</v>
      </c>
      <c r="C69" s="41" t="s">
        <v>29</v>
      </c>
      <c r="D69" s="42">
        <f>ROUND(SUMIF(RV_DATA!V49:'RV_DATA'!V88, 125426679, RV_DATA!I49:'RV_DATA'!I88), 6)</f>
        <v>0.13200000000000001</v>
      </c>
      <c r="E69" s="49">
        <f>ROUND(RV_DATA!K53, 6)</f>
        <v>1865.77</v>
      </c>
      <c r="F69" s="49">
        <f>ROUND(SUMIF(RV_DATA!V49:'RV_DATA'!V88, 125426679, RV_DATA!M49:'RV_DATA'!M88), 6)</f>
        <v>246.29</v>
      </c>
      <c r="Q69">
        <v>3</v>
      </c>
    </row>
    <row r="70" spans="1:17" ht="42.75" x14ac:dyDescent="0.2">
      <c r="A70" s="48" t="s">
        <v>290</v>
      </c>
      <c r="B70" s="41" t="s">
        <v>292</v>
      </c>
      <c r="C70" s="41" t="s">
        <v>29</v>
      </c>
      <c r="D70" s="42">
        <f>ROUND(SUMIF(RV_DATA!V49:'RV_DATA'!V88, -671760782, RV_DATA!I49:'RV_DATA'!I88), 6)</f>
        <v>0.52800000000000002</v>
      </c>
      <c r="E70" s="49">
        <f>ROUND(RV_DATA!K52, 6)</f>
        <v>1763.75</v>
      </c>
      <c r="F70" s="49">
        <f>ROUND(SUMIF(RV_DATA!V49:'RV_DATA'!V88, -671760782, RV_DATA!M49:'RV_DATA'!M88), 6)</f>
        <v>931.26</v>
      </c>
      <c r="Q70">
        <v>3</v>
      </c>
    </row>
    <row r="71" spans="1:17" ht="14.25" x14ac:dyDescent="0.2">
      <c r="A71" s="48" t="s">
        <v>357</v>
      </c>
      <c r="B71" s="41" t="s">
        <v>358</v>
      </c>
      <c r="C71" s="41" t="s">
        <v>359</v>
      </c>
      <c r="D71" s="42">
        <f>ROUND(SUMIF(RV_DATA!V49:'RV_DATA'!V88, -1857108032, RV_DATA!I49:'RV_DATA'!I88), 6)</f>
        <v>1.7370000000000001</v>
      </c>
      <c r="E71" s="49">
        <f>ROUND(RV_DATA!K82, 6)</f>
        <v>99.303030000000007</v>
      </c>
      <c r="F71" s="49">
        <f>ROUND(SUMIF(RV_DATA!V49:'RV_DATA'!V88, -1857108032, RV_DATA!M49:'RV_DATA'!M88), 6)</f>
        <v>172.48</v>
      </c>
      <c r="Q71">
        <v>3</v>
      </c>
    </row>
    <row r="72" spans="1:17" ht="14.25" x14ac:dyDescent="0.2">
      <c r="A72" s="48" t="s">
        <v>317</v>
      </c>
      <c r="B72" s="41" t="s">
        <v>319</v>
      </c>
      <c r="C72" s="41" t="s">
        <v>40</v>
      </c>
      <c r="D72" s="42">
        <f>ROUND(SUMIF(RV_DATA!V49:'RV_DATA'!V88, -1336012766, RV_DATA!I49:'RV_DATA'!I88), 6)</f>
        <v>0.64800000000000002</v>
      </c>
      <c r="E72" s="49">
        <f>ROUND(RV_DATA!K63, 6)</f>
        <v>91.89</v>
      </c>
      <c r="F72" s="49">
        <f>ROUND(SUMIF(RV_DATA!V49:'RV_DATA'!V88, -1336012766, RV_DATA!M49:'RV_DATA'!M88), 6)</f>
        <v>59.54</v>
      </c>
      <c r="Q72">
        <v>3</v>
      </c>
    </row>
    <row r="73" spans="1:17" ht="28.5" x14ac:dyDescent="0.2">
      <c r="A73" s="48" t="s">
        <v>320</v>
      </c>
      <c r="B73" s="41" t="s">
        <v>322</v>
      </c>
      <c r="C73" s="41" t="s">
        <v>65</v>
      </c>
      <c r="D73" s="42">
        <f>ROUND(SUMIF(RV_DATA!V49:'RV_DATA'!V88, -1526606762, RV_DATA!I49:'RV_DATA'!I88), 6)</f>
        <v>6.1356000000000001E-2</v>
      </c>
      <c r="E73" s="49">
        <f>ROUND(RV_DATA!K62, 6)</f>
        <v>110781.14</v>
      </c>
      <c r="F73" s="49">
        <f>ROUND(SUMIF(RV_DATA!V49:'RV_DATA'!V88, -1526606762, RV_DATA!M49:'RV_DATA'!M88), 6)</f>
        <v>6797.02</v>
      </c>
      <c r="Q73">
        <v>3</v>
      </c>
    </row>
    <row r="74" spans="1:17" ht="14.25" x14ac:dyDescent="0.2">
      <c r="A74" s="48" t="s">
        <v>323</v>
      </c>
      <c r="B74" s="41" t="s">
        <v>325</v>
      </c>
      <c r="C74" s="41" t="s">
        <v>65</v>
      </c>
      <c r="D74" s="42">
        <f>ROUND(SUMIF(RV_DATA!V49:'RV_DATA'!V88, -928026910, RV_DATA!I49:'RV_DATA'!I88), 6)</f>
        <v>2.1599999999999999E-4</v>
      </c>
      <c r="E74" s="49">
        <f>ROUND(RV_DATA!K61, 6)</f>
        <v>4752.34</v>
      </c>
      <c r="F74" s="49">
        <f>ROUND(SUMIF(RV_DATA!V49:'RV_DATA'!V88, -928026910, RV_DATA!M49:'RV_DATA'!M88), 6)</f>
        <v>1.03</v>
      </c>
      <c r="Q74">
        <v>3</v>
      </c>
    </row>
    <row r="75" spans="1:17" ht="14.25" x14ac:dyDescent="0.2">
      <c r="A75" s="48" t="s">
        <v>293</v>
      </c>
      <c r="B75" s="41" t="s">
        <v>295</v>
      </c>
      <c r="C75" s="41" t="s">
        <v>29</v>
      </c>
      <c r="D75" s="42">
        <f>ROUND(SUMIF(RV_DATA!V49:'RV_DATA'!V88, -1829664509, RV_DATA!I49:'RV_DATA'!I88), 6)</f>
        <v>0.103768</v>
      </c>
      <c r="E75" s="49">
        <f>ROUND(RV_DATA!K51, 6)</f>
        <v>35.25</v>
      </c>
      <c r="F75" s="49">
        <f>ROUND(SUMIF(RV_DATA!V49:'RV_DATA'!V88, -1829664509, RV_DATA!M49:'RV_DATA'!M88), 6)</f>
        <v>3.66</v>
      </c>
      <c r="Q75">
        <v>3</v>
      </c>
    </row>
    <row r="76" spans="1:17" ht="14.25" x14ac:dyDescent="0.2">
      <c r="A76" s="48" t="s">
        <v>363</v>
      </c>
      <c r="B76" s="41" t="s">
        <v>365</v>
      </c>
      <c r="C76" s="41" t="s">
        <v>65</v>
      </c>
      <c r="D76" s="42">
        <f>ROUND(SUMIF(RV_DATA!V49:'RV_DATA'!V88, 1861839422, RV_DATA!I49:'RV_DATA'!I88), 6)</f>
        <v>1.714E-3</v>
      </c>
      <c r="E76" s="49">
        <f>ROUND(RV_DATA!K87, 6)</f>
        <v>63195.54</v>
      </c>
      <c r="F76" s="49">
        <f>ROUND(SUMIF(RV_DATA!V49:'RV_DATA'!V88, 1861839422, RV_DATA!M49:'RV_DATA'!M88), 6)</f>
        <v>108.31</v>
      </c>
      <c r="Q76">
        <v>3</v>
      </c>
    </row>
    <row r="77" spans="1:17" ht="14.25" x14ac:dyDescent="0.2">
      <c r="A77" s="48" t="s">
        <v>360</v>
      </c>
      <c r="B77" s="41" t="s">
        <v>362</v>
      </c>
      <c r="C77" s="41" t="s">
        <v>65</v>
      </c>
      <c r="D77" s="42">
        <f>ROUND(SUMIF(RV_DATA!V49:'RV_DATA'!V88, -804279578, RV_DATA!I49:'RV_DATA'!I88), 6)</f>
        <v>1.0422000000000001E-2</v>
      </c>
      <c r="E77" s="49">
        <f>ROUND(RV_DATA!K81, 6)</f>
        <v>97017.58</v>
      </c>
      <c r="F77" s="49">
        <f>ROUND(SUMIF(RV_DATA!V49:'RV_DATA'!V88, -804279578, RV_DATA!M49:'RV_DATA'!M88), 6)</f>
        <v>1011.12</v>
      </c>
      <c r="Q77">
        <v>3</v>
      </c>
    </row>
    <row r="78" spans="1:17" ht="28.5" x14ac:dyDescent="0.2">
      <c r="A78" s="48" t="s">
        <v>366</v>
      </c>
      <c r="B78" s="41" t="s">
        <v>368</v>
      </c>
      <c r="C78" s="41" t="s">
        <v>359</v>
      </c>
      <c r="D78" s="42">
        <f>ROUND(SUMIF(RV_DATA!V49:'RV_DATA'!V88, 566368814, RV_DATA!I49:'RV_DATA'!I88), 6)</f>
        <v>10.422000000000001</v>
      </c>
      <c r="E78" s="49">
        <f>ROUND(RV_DATA!K86, 6)</f>
        <v>105.32</v>
      </c>
      <c r="F78" s="49">
        <f>ROUND(SUMIF(RV_DATA!V49:'RV_DATA'!V88, 566368814, RV_DATA!M49:'RV_DATA'!M88), 6)</f>
        <v>1097.6500000000001</v>
      </c>
      <c r="Q78">
        <v>3</v>
      </c>
    </row>
    <row r="79" spans="1:17" ht="28.5" x14ac:dyDescent="0.2">
      <c r="A79" s="48" t="s">
        <v>326</v>
      </c>
      <c r="B79" s="41" t="s">
        <v>328</v>
      </c>
      <c r="C79" s="41" t="s">
        <v>29</v>
      </c>
      <c r="D79" s="42">
        <f>ROUND(SUMIF(RV_DATA!V49:'RV_DATA'!V88, 1167723416, RV_DATA!I49:'RV_DATA'!I88), 6)</f>
        <v>8.6399999999999997E-4</v>
      </c>
      <c r="E79" s="49">
        <f>ROUND(RV_DATA!K59, 6)</f>
        <v>7098.7</v>
      </c>
      <c r="F79" s="49">
        <f>ROUND(SUMIF(RV_DATA!V49:'RV_DATA'!V88, 1167723416, RV_DATA!M49:'RV_DATA'!M88), 6)</f>
        <v>6.13</v>
      </c>
      <c r="Q79">
        <v>3</v>
      </c>
    </row>
    <row r="80" spans="1:17" ht="57" x14ac:dyDescent="0.2">
      <c r="A80" s="48" t="s">
        <v>51</v>
      </c>
      <c r="B80" s="41" t="s">
        <v>52</v>
      </c>
      <c r="C80" s="41" t="s">
        <v>29</v>
      </c>
      <c r="D80" s="42">
        <f>ROUND(SUMIF(RV_DATA!V49:'RV_DATA'!V88, -1648563401, RV_DATA!I49:'RV_DATA'!I88), 6)</f>
        <v>2.1924000000000001</v>
      </c>
      <c r="E80" s="49">
        <f>ROUND(RV_DATA!K69, 6)</f>
        <v>3884.73</v>
      </c>
      <c r="F80" s="49">
        <f>ROUND(SUMIF(RV_DATA!V49:'RV_DATA'!V88, -1648563401, RV_DATA!M49:'RV_DATA'!M88), 6)</f>
        <v>8516.8799999999992</v>
      </c>
      <c r="Q80">
        <v>3</v>
      </c>
    </row>
    <row r="81" spans="1:17" ht="71.25" x14ac:dyDescent="0.2">
      <c r="A81" s="48" t="s">
        <v>329</v>
      </c>
      <c r="B81" s="41" t="s">
        <v>331</v>
      </c>
      <c r="C81" s="41" t="s">
        <v>65</v>
      </c>
      <c r="D81" s="42">
        <f>ROUND(SUMIF(RV_DATA!V49:'RV_DATA'!V88, 2014880110, RV_DATA!I49:'RV_DATA'!I88), 6)</f>
        <v>0.17496</v>
      </c>
      <c r="E81" s="49">
        <f>ROUND(RV_DATA!K58, 6)</f>
        <v>34634.379999999997</v>
      </c>
      <c r="F81" s="49">
        <f>ROUND(SUMIF(RV_DATA!V49:'RV_DATA'!V88, 2014880110, RV_DATA!M49:'RV_DATA'!M88), 6)</f>
        <v>6059.63</v>
      </c>
      <c r="Q81">
        <v>3</v>
      </c>
    </row>
    <row r="82" spans="1:17" ht="28.5" x14ac:dyDescent="0.2">
      <c r="A82" s="48" t="s">
        <v>347</v>
      </c>
      <c r="B82" s="41" t="s">
        <v>349</v>
      </c>
      <c r="C82" s="41" t="s">
        <v>350</v>
      </c>
      <c r="D82" s="42">
        <f>ROUND(SUMIF(RV_DATA!V49:'RV_DATA'!V88, 1505566275, RV_DATA!I49:'RV_DATA'!I88), 6)</f>
        <v>1.6212</v>
      </c>
      <c r="E82" s="49">
        <f>ROUND(RV_DATA!K70, 6)</f>
        <v>16.54</v>
      </c>
      <c r="F82" s="49">
        <f>ROUND(SUMIF(RV_DATA!V49:'RV_DATA'!V88, 1505566275, RV_DATA!M49:'RV_DATA'!M88), 6)</f>
        <v>26.63</v>
      </c>
      <c r="Q82">
        <v>3</v>
      </c>
    </row>
    <row r="83" spans="1:17" ht="57" x14ac:dyDescent="0.2">
      <c r="A83" s="48" t="s">
        <v>332</v>
      </c>
      <c r="B83" s="41" t="s">
        <v>334</v>
      </c>
      <c r="C83" s="41" t="s">
        <v>40</v>
      </c>
      <c r="D83" s="42">
        <f>ROUND(SUMIF(RV_DATA!V49:'RV_DATA'!V88, -334664347, RV_DATA!I49:'RV_DATA'!I88), 6)</f>
        <v>7.7759999999999996E-2</v>
      </c>
      <c r="E83" s="49">
        <f>ROUND(RV_DATA!K57, 6)</f>
        <v>473.82</v>
      </c>
      <c r="F83" s="49">
        <f>ROUND(SUMIF(RV_DATA!V49:'RV_DATA'!V88, -334664347, RV_DATA!M49:'RV_DATA'!M88), 6)</f>
        <v>36.840000000000003</v>
      </c>
      <c r="Q83">
        <v>3</v>
      </c>
    </row>
    <row r="84" spans="1:17" ht="28.5" x14ac:dyDescent="0.2">
      <c r="A84" s="48" t="s">
        <v>76</v>
      </c>
      <c r="B84" s="41" t="s">
        <v>77</v>
      </c>
      <c r="C84" s="41" t="s">
        <v>78</v>
      </c>
      <c r="D84" s="42">
        <f>ROUND(SUMIF(RV_DATA!V49:'RV_DATA'!V88, 1813338865, RV_DATA!I49:'RV_DATA'!I88), 6)</f>
        <v>24</v>
      </c>
      <c r="E84" s="49">
        <f>ROUND(RV_DATA!K79, 6)</f>
        <v>37.5</v>
      </c>
      <c r="F84" s="49">
        <f>ROUND(SUMIF(RV_DATA!V49:'RV_DATA'!V88, 1813338865, RV_DATA!M49:'RV_DATA'!M88), 6)</f>
        <v>900</v>
      </c>
      <c r="Q84">
        <v>3</v>
      </c>
    </row>
    <row r="85" spans="1:17" ht="28.5" x14ac:dyDescent="0.2">
      <c r="A85" s="48" t="s">
        <v>76</v>
      </c>
      <c r="B85" s="41" t="s">
        <v>81</v>
      </c>
      <c r="C85" s="41" t="s">
        <v>78</v>
      </c>
      <c r="D85" s="42">
        <f>ROUND(SUMIF(RV_DATA!V49:'RV_DATA'!V88, -269009906, RV_DATA!I49:'RV_DATA'!I88), 6)</f>
        <v>92</v>
      </c>
      <c r="E85" s="49">
        <f>ROUND(RV_DATA!K80, 6)</f>
        <v>16.53</v>
      </c>
      <c r="F85" s="49">
        <f>ROUND(SUMIF(RV_DATA!V49:'RV_DATA'!V88, -269009906, RV_DATA!M49:'RV_DATA'!M88), 6)</f>
        <v>1520.76</v>
      </c>
      <c r="Q85">
        <v>3</v>
      </c>
    </row>
    <row r="86" spans="1:17" ht="15" x14ac:dyDescent="0.25">
      <c r="A86" s="84" t="s">
        <v>496</v>
      </c>
      <c r="B86" s="84"/>
      <c r="C86" s="84"/>
      <c r="D86" s="84"/>
      <c r="E86" s="85">
        <f>SUMIF(Q63:Q85, 3, F63:F85)</f>
        <v>161727.16000000003</v>
      </c>
      <c r="F86" s="85"/>
    </row>
    <row r="87" spans="1:17" ht="16.5" x14ac:dyDescent="0.2">
      <c r="A87" s="77" t="str">
        <f>CONCATENATE("Раздел: ",IF(Source!G130&lt;&gt;"Новый раздел", Source!G130, ""))</f>
        <v>Раздел: Установка ограждения - Участок 3</v>
      </c>
      <c r="B87" s="78"/>
      <c r="C87" s="78"/>
      <c r="D87" s="78"/>
      <c r="E87" s="78"/>
      <c r="F87" s="78"/>
    </row>
    <row r="88" spans="1:17" ht="14.25" x14ac:dyDescent="0.2">
      <c r="A88" s="75" t="s">
        <v>493</v>
      </c>
      <c r="B88" s="76"/>
      <c r="C88" s="76"/>
      <c r="D88" s="76"/>
      <c r="E88" s="76"/>
      <c r="F88" s="76"/>
    </row>
    <row r="89" spans="1:17" ht="28.5" x14ac:dyDescent="0.2">
      <c r="A89" s="48" t="s">
        <v>351</v>
      </c>
      <c r="B89" s="41" t="s">
        <v>353</v>
      </c>
      <c r="C89" s="41" t="s">
        <v>286</v>
      </c>
      <c r="D89" s="42">
        <f>ROUND(SUMIF(RV_DATA!V90:'RV_DATA'!V144, -262383052, RV_DATA!I90:'RV_DATA'!I144), 6)</f>
        <v>2.8148</v>
      </c>
      <c r="E89" s="49">
        <f>ROUND(RV_DATA!K121, 6)</f>
        <v>98.05</v>
      </c>
      <c r="F89" s="49">
        <f>ROUND(SUMIF(RV_DATA!V90:'RV_DATA'!V144, -262383052, RV_DATA!M90:'RV_DATA'!M144), 6)</f>
        <v>276</v>
      </c>
      <c r="Q89">
        <v>2</v>
      </c>
    </row>
    <row r="90" spans="1:17" ht="28.5" x14ac:dyDescent="0.2">
      <c r="A90" s="48" t="s">
        <v>369</v>
      </c>
      <c r="B90" s="41" t="s">
        <v>371</v>
      </c>
      <c r="C90" s="41" t="s">
        <v>286</v>
      </c>
      <c r="D90" s="42">
        <f>ROUND(SUMIF(RV_DATA!V90:'RV_DATA'!V144, 948852901, RV_DATA!I90:'RV_DATA'!I144), 6)</f>
        <v>1.7549999999999999</v>
      </c>
      <c r="E90" s="49">
        <f>ROUND(RV_DATA!K94, 6)</f>
        <v>470.71</v>
      </c>
      <c r="F90" s="49">
        <f>ROUND(SUMIF(RV_DATA!V90:'RV_DATA'!V144, 948852901, RV_DATA!M90:'RV_DATA'!M144), 6)</f>
        <v>826.09</v>
      </c>
      <c r="Q90">
        <v>2</v>
      </c>
    </row>
    <row r="91" spans="1:17" ht="28.5" x14ac:dyDescent="0.2">
      <c r="A91" s="48" t="s">
        <v>302</v>
      </c>
      <c r="B91" s="41" t="s">
        <v>304</v>
      </c>
      <c r="C91" s="41" t="s">
        <v>286</v>
      </c>
      <c r="D91" s="42">
        <f>ROUND(SUMIF(RV_DATA!V90:'RV_DATA'!V144, -1042877116, RV_DATA!I90:'RV_DATA'!I144), 6)</f>
        <v>2.835</v>
      </c>
      <c r="E91" s="49">
        <f>ROUND(RV_DATA!K114, 6)</f>
        <v>27.21</v>
      </c>
      <c r="F91" s="49">
        <f>ROUND(SUMIF(RV_DATA!V90:'RV_DATA'!V144, -1042877116, RV_DATA!M90:'RV_DATA'!M144), 6)</f>
        <v>77.14</v>
      </c>
      <c r="Q91">
        <v>2</v>
      </c>
    </row>
    <row r="92" spans="1:17" ht="14.25" x14ac:dyDescent="0.2">
      <c r="A92" s="48" t="s">
        <v>335</v>
      </c>
      <c r="B92" s="41" t="s">
        <v>337</v>
      </c>
      <c r="C92" s="41" t="s">
        <v>286</v>
      </c>
      <c r="D92" s="42">
        <f>ROUND(SUMIF(RV_DATA!V90:'RV_DATA'!V144, -2029004941, RV_DATA!I90:'RV_DATA'!I144), 6)</f>
        <v>47.162880000000001</v>
      </c>
      <c r="E92" s="49">
        <f>ROUND(RV_DATA!K92, 6)</f>
        <v>351.29</v>
      </c>
      <c r="F92" s="49">
        <f>ROUND(SUMIF(RV_DATA!V90:'RV_DATA'!V144, -2029004941, RV_DATA!M90:'RV_DATA'!M144), 6)</f>
        <v>16568.419999999998</v>
      </c>
      <c r="Q92">
        <v>2</v>
      </c>
    </row>
    <row r="93" spans="1:17" ht="14.25" x14ac:dyDescent="0.2">
      <c r="A93" s="48" t="s">
        <v>380</v>
      </c>
      <c r="B93" s="41" t="s">
        <v>382</v>
      </c>
      <c r="C93" s="41" t="s">
        <v>286</v>
      </c>
      <c r="D93" s="42">
        <f>ROUND(SUMIF(RV_DATA!V90:'RV_DATA'!V144, 986654638, RV_DATA!I90:'RV_DATA'!I144), 6)</f>
        <v>2.6</v>
      </c>
      <c r="E93" s="49">
        <f>ROUND(RV_DATA!K120, 6)</f>
        <v>45.47</v>
      </c>
      <c r="F93" s="49">
        <f>ROUND(SUMIF(RV_DATA!V90:'RV_DATA'!V144, 986654638, RV_DATA!M90:'RV_DATA'!M144), 6)</f>
        <v>118.22</v>
      </c>
      <c r="Q93">
        <v>2</v>
      </c>
    </row>
    <row r="94" spans="1:17" ht="28.5" x14ac:dyDescent="0.2">
      <c r="A94" s="48" t="s">
        <v>283</v>
      </c>
      <c r="B94" s="41" t="s">
        <v>285</v>
      </c>
      <c r="C94" s="41" t="s">
        <v>286</v>
      </c>
      <c r="D94" s="42">
        <f>ROUND(SUMIF(RV_DATA!V90:'RV_DATA'!V144, -1297827098, RV_DATA!I90:'RV_DATA'!I144), 6)</f>
        <v>0.4914</v>
      </c>
      <c r="E94" s="49">
        <f>ROUND(RV_DATA!K95, 6)</f>
        <v>1014.12</v>
      </c>
      <c r="F94" s="49">
        <f>ROUND(SUMIF(RV_DATA!V90:'RV_DATA'!V144, -1297827098, RV_DATA!M90:'RV_DATA'!M144), 6)</f>
        <v>498.29</v>
      </c>
      <c r="Q94">
        <v>2</v>
      </c>
    </row>
    <row r="95" spans="1:17" ht="14.25" x14ac:dyDescent="0.2">
      <c r="A95" s="48" t="s">
        <v>338</v>
      </c>
      <c r="B95" s="41" t="s">
        <v>340</v>
      </c>
      <c r="C95" s="41" t="s">
        <v>286</v>
      </c>
      <c r="D95" s="42">
        <f>ROUND(SUMIF(RV_DATA!V90:'RV_DATA'!V144, 892192163, RV_DATA!I90:'RV_DATA'!I144), 6)</f>
        <v>14.1243</v>
      </c>
      <c r="E95" s="49">
        <f>ROUND(RV_DATA!K91, 6)</f>
        <v>5.94</v>
      </c>
      <c r="F95" s="49">
        <f>ROUND(SUMIF(RV_DATA!V90:'RV_DATA'!V144, 892192163, RV_DATA!M90:'RV_DATA'!M144), 6)</f>
        <v>83.52</v>
      </c>
      <c r="Q95">
        <v>2</v>
      </c>
    </row>
    <row r="96" spans="1:17" ht="14.25" x14ac:dyDescent="0.2">
      <c r="A96" s="48" t="s">
        <v>305</v>
      </c>
      <c r="B96" s="41" t="s">
        <v>307</v>
      </c>
      <c r="C96" s="41" t="s">
        <v>286</v>
      </c>
      <c r="D96" s="42">
        <f>ROUND(SUMIF(RV_DATA!V90:'RV_DATA'!V144, 1181039040, RV_DATA!I90:'RV_DATA'!I144), 6)</f>
        <v>2.2680000000000001E-3</v>
      </c>
      <c r="E96" s="49">
        <f>ROUND(RV_DATA!K113, 6)</f>
        <v>3.67</v>
      </c>
      <c r="F96" s="49">
        <f>ROUND(SUMIF(RV_DATA!V90:'RV_DATA'!V144, 1181039040, RV_DATA!M90:'RV_DATA'!M144), 6)</f>
        <v>0.01</v>
      </c>
      <c r="Q96">
        <v>2</v>
      </c>
    </row>
    <row r="97" spans="1:17" ht="14.25" x14ac:dyDescent="0.2">
      <c r="A97" s="48" t="s">
        <v>341</v>
      </c>
      <c r="B97" s="41" t="s">
        <v>343</v>
      </c>
      <c r="C97" s="41" t="s">
        <v>286</v>
      </c>
      <c r="D97" s="42">
        <f>ROUND(SUMIF(RV_DATA!V90:'RV_DATA'!V144, -1881072116, RV_DATA!I90:'RV_DATA'!I144), 6)</f>
        <v>61.90128</v>
      </c>
      <c r="E97" s="49">
        <f>ROUND(RV_DATA!K90, 6)</f>
        <v>652.16</v>
      </c>
      <c r="F97" s="49">
        <f>ROUND(SUMIF(RV_DATA!V90:'RV_DATA'!V144, -1881072116, RV_DATA!M90:'RV_DATA'!M144), 6)</f>
        <v>40369.71</v>
      </c>
      <c r="Q97">
        <v>2</v>
      </c>
    </row>
    <row r="98" spans="1:17" ht="14.25" x14ac:dyDescent="0.2">
      <c r="A98" s="48" t="s">
        <v>372</v>
      </c>
      <c r="B98" s="41" t="s">
        <v>374</v>
      </c>
      <c r="C98" s="41" t="s">
        <v>286</v>
      </c>
      <c r="D98" s="42">
        <f>ROUND(SUMIF(RV_DATA!V90:'RV_DATA'!V144, 422992909, RV_DATA!I90:'RV_DATA'!I144), 6)</f>
        <v>1.7549999999999999</v>
      </c>
      <c r="E98" s="49">
        <f>ROUND(RV_DATA!K93, 6)</f>
        <v>6.02</v>
      </c>
      <c r="F98" s="49">
        <f>ROUND(SUMIF(RV_DATA!V90:'RV_DATA'!V144, 422992909, RV_DATA!M90:'RV_DATA'!M144), 6)</f>
        <v>10.57</v>
      </c>
      <c r="Q98">
        <v>2</v>
      </c>
    </row>
    <row r="99" spans="1:17" ht="28.5" x14ac:dyDescent="0.2">
      <c r="A99" s="48" t="s">
        <v>308</v>
      </c>
      <c r="B99" s="41" t="s">
        <v>310</v>
      </c>
      <c r="C99" s="41" t="s">
        <v>286</v>
      </c>
      <c r="D99" s="42">
        <f>ROUND(SUMIF(RV_DATA!V90:'RV_DATA'!V144, 1986574417, RV_DATA!I90:'RV_DATA'!I144), 6)</f>
        <v>2.7498999999999999E-2</v>
      </c>
      <c r="E99" s="49">
        <f>ROUND(RV_DATA!K112, 6)</f>
        <v>683.9</v>
      </c>
      <c r="F99" s="49">
        <f>ROUND(SUMIF(RV_DATA!V90:'RV_DATA'!V144, 1986574417, RV_DATA!M90:'RV_DATA'!M144), 6)</f>
        <v>18.809999999999999</v>
      </c>
      <c r="Q99">
        <v>2</v>
      </c>
    </row>
    <row r="100" spans="1:17" ht="28.5" x14ac:dyDescent="0.2">
      <c r="A100" s="48" t="s">
        <v>354</v>
      </c>
      <c r="B100" s="41" t="s">
        <v>356</v>
      </c>
      <c r="C100" s="41" t="s">
        <v>286</v>
      </c>
      <c r="D100" s="42">
        <f>ROUND(SUMIF(RV_DATA!V90:'RV_DATA'!V144, 949162316, RV_DATA!I90:'RV_DATA'!I144), 6)</f>
        <v>3.3320000000000002E-2</v>
      </c>
      <c r="E100" s="49">
        <f>ROUND(RV_DATA!K119, 6)</f>
        <v>16.920000000000002</v>
      </c>
      <c r="F100" s="49">
        <f>ROUND(SUMIF(RV_DATA!V90:'RV_DATA'!V144, 949162316, RV_DATA!M90:'RV_DATA'!M144), 6)</f>
        <v>0.56000000000000005</v>
      </c>
      <c r="Q100">
        <v>2</v>
      </c>
    </row>
    <row r="101" spans="1:17" ht="28.5" x14ac:dyDescent="0.2">
      <c r="A101" s="48" t="s">
        <v>296</v>
      </c>
      <c r="B101" s="41" t="s">
        <v>298</v>
      </c>
      <c r="C101" s="41" t="s">
        <v>286</v>
      </c>
      <c r="D101" s="42">
        <f>ROUND(SUMIF(RV_DATA!V90:'RV_DATA'!V144, -278163943, RV_DATA!I90:'RV_DATA'!I144), 6)</f>
        <v>5.7000000000000002E-3</v>
      </c>
      <c r="E101" s="49">
        <f>ROUND(RV_DATA!K102, 6)</f>
        <v>1270.56</v>
      </c>
      <c r="F101" s="49">
        <f>ROUND(SUMIF(RV_DATA!V90:'RV_DATA'!V144, -278163943, RV_DATA!M90:'RV_DATA'!M144), 6)</f>
        <v>7.24</v>
      </c>
      <c r="Q101">
        <v>2</v>
      </c>
    </row>
    <row r="102" spans="1:17" ht="14.25" x14ac:dyDescent="0.2">
      <c r="A102" s="48" t="s">
        <v>311</v>
      </c>
      <c r="B102" s="41" t="s">
        <v>313</v>
      </c>
      <c r="C102" s="41" t="s">
        <v>286</v>
      </c>
      <c r="D102" s="42">
        <f>ROUND(SUMIF(RV_DATA!V90:'RV_DATA'!V144, -1115091794, RV_DATA!I90:'RV_DATA'!I144), 6)</f>
        <v>0.21262500000000001</v>
      </c>
      <c r="E102" s="49">
        <f>ROUND(RV_DATA!K111, 6)</f>
        <v>10.82</v>
      </c>
      <c r="F102" s="49">
        <f>ROUND(SUMIF(RV_DATA!V90:'RV_DATA'!V144, -1115091794, RV_DATA!M90:'RV_DATA'!M144), 6)</f>
        <v>2.2999999999999998</v>
      </c>
      <c r="Q102">
        <v>2</v>
      </c>
    </row>
    <row r="103" spans="1:17" ht="15" x14ac:dyDescent="0.25">
      <c r="A103" s="84" t="s">
        <v>494</v>
      </c>
      <c r="B103" s="84"/>
      <c r="C103" s="84"/>
      <c r="D103" s="84"/>
      <c r="E103" s="85">
        <f>SUMIF(Q89:Q102, 2, F89:F102)</f>
        <v>58856.87999999999</v>
      </c>
      <c r="F103" s="85"/>
    </row>
    <row r="104" spans="1:17" ht="14.25" x14ac:dyDescent="0.2">
      <c r="A104" s="75" t="s">
        <v>495</v>
      </c>
      <c r="B104" s="76"/>
      <c r="C104" s="76"/>
      <c r="D104" s="76"/>
      <c r="E104" s="76"/>
      <c r="F104" s="76"/>
    </row>
    <row r="105" spans="1:17" ht="57" x14ac:dyDescent="0.2">
      <c r="A105" s="48" t="s">
        <v>68</v>
      </c>
      <c r="B105" s="41" t="s">
        <v>221</v>
      </c>
      <c r="C105" s="41" t="s">
        <v>65</v>
      </c>
      <c r="D105" s="42">
        <f>ROUND(SUMIF(RV_DATA!V90:'RV_DATA'!V144, 578279897, RV_DATA!I90:'RV_DATA'!I144), 6)</f>
        <v>0.82818000000000003</v>
      </c>
      <c r="E105" s="49">
        <f>ROUND(RV_DATA!K131, 6)</f>
        <v>32819.879999999997</v>
      </c>
      <c r="F105" s="49">
        <f>ROUND(SUMIF(RV_DATA!V90:'RV_DATA'!V144, 578279897, RV_DATA!M90:'RV_DATA'!M144), 6)</f>
        <v>27180.77</v>
      </c>
      <c r="Q105">
        <v>3</v>
      </c>
    </row>
    <row r="106" spans="1:17" ht="28.5" x14ac:dyDescent="0.2">
      <c r="A106" s="48" t="s">
        <v>386</v>
      </c>
      <c r="B106" s="41" t="s">
        <v>388</v>
      </c>
      <c r="C106" s="41" t="s">
        <v>65</v>
      </c>
      <c r="D106" s="42">
        <f>ROUND(SUMIF(RV_DATA!V90:'RV_DATA'!V144, 1686761674, RV_DATA!I90:'RV_DATA'!I144), 6)</f>
        <v>1.5959999999999998E-2</v>
      </c>
      <c r="E106" s="49">
        <f>ROUND(RV_DATA!K123, 6)</f>
        <v>52115.040000000001</v>
      </c>
      <c r="F106" s="49">
        <f>ROUND(SUMIF(RV_DATA!V90:'RV_DATA'!V144, 1686761674, RV_DATA!M90:'RV_DATA'!M144), 6)</f>
        <v>831.76</v>
      </c>
      <c r="Q106">
        <v>3</v>
      </c>
    </row>
    <row r="107" spans="1:17" ht="42.75" x14ac:dyDescent="0.2">
      <c r="A107" s="48" t="s">
        <v>344</v>
      </c>
      <c r="B107" s="41" t="s">
        <v>346</v>
      </c>
      <c r="C107" s="41" t="s">
        <v>65</v>
      </c>
      <c r="D107" s="42">
        <f>ROUND(SUMIF(RV_DATA!V90:'RV_DATA'!V144, -1029693808, RV_DATA!I90:'RV_DATA'!I144), 6)</f>
        <v>0.109282</v>
      </c>
      <c r="E107" s="49">
        <f>ROUND(RV_DATA!K126, 6)</f>
        <v>38268.54</v>
      </c>
      <c r="F107" s="49">
        <f>ROUND(SUMIF(RV_DATA!V90:'RV_DATA'!V144, -1029693808, RV_DATA!M90:'RV_DATA'!M144), 6)</f>
        <v>4181.93</v>
      </c>
      <c r="Q107">
        <v>3</v>
      </c>
    </row>
    <row r="108" spans="1:17" ht="71.25" x14ac:dyDescent="0.2">
      <c r="A108" s="48" t="s">
        <v>72</v>
      </c>
      <c r="B108" s="41" t="s">
        <v>223</v>
      </c>
      <c r="C108" s="41" t="s">
        <v>65</v>
      </c>
      <c r="D108" s="42">
        <f>ROUND(SUMIF(RV_DATA!V90:'RV_DATA'!V144, -1582969391, RV_DATA!I90:'RV_DATA'!I144), 6)</f>
        <v>1.7918099999999999</v>
      </c>
      <c r="E108" s="49">
        <f>ROUND(RV_DATA!K132, 6)</f>
        <v>40597.550000000003</v>
      </c>
      <c r="F108" s="49">
        <f>ROUND(SUMIF(RV_DATA!V90:'RV_DATA'!V144, -1582969391, RV_DATA!M90:'RV_DATA'!M144), 6)</f>
        <v>72743.100000000006</v>
      </c>
      <c r="Q108">
        <v>3</v>
      </c>
    </row>
    <row r="109" spans="1:17" ht="71.25" x14ac:dyDescent="0.2">
      <c r="A109" s="48" t="s">
        <v>63</v>
      </c>
      <c r="B109" s="41" t="s">
        <v>219</v>
      </c>
      <c r="C109" s="41" t="s">
        <v>65</v>
      </c>
      <c r="D109" s="42">
        <f>ROUND(SUMIF(RV_DATA!V90:'RV_DATA'!V144, -52615507, RV_DATA!I90:'RV_DATA'!I144), 6)</f>
        <v>0.64376999999999995</v>
      </c>
      <c r="E109" s="49">
        <f>ROUND(RV_DATA!K130, 6)</f>
        <v>37329.29</v>
      </c>
      <c r="F109" s="49">
        <f>ROUND(SUMIF(RV_DATA!V90:'RV_DATA'!V144, -52615507, RV_DATA!M90:'RV_DATA'!M144), 6)</f>
        <v>24031.48</v>
      </c>
      <c r="Q109">
        <v>3</v>
      </c>
    </row>
    <row r="110" spans="1:17" ht="14.25" x14ac:dyDescent="0.2">
      <c r="A110" s="48" t="s">
        <v>314</v>
      </c>
      <c r="B110" s="41" t="s">
        <v>316</v>
      </c>
      <c r="C110" s="41" t="s">
        <v>65</v>
      </c>
      <c r="D110" s="42">
        <f>ROUND(SUMIF(RV_DATA!V90:'RV_DATA'!V144, -547263076, RV_DATA!I90:'RV_DATA'!I144), 6)</f>
        <v>3.8000000000000002E-5</v>
      </c>
      <c r="E110" s="49">
        <f>ROUND(RV_DATA!K110, 6)</f>
        <v>49736.04</v>
      </c>
      <c r="F110" s="49">
        <f>ROUND(SUMIF(RV_DATA!V90:'RV_DATA'!V144, -547263076, RV_DATA!M90:'RV_DATA'!M144), 6)</f>
        <v>1.88</v>
      </c>
      <c r="Q110">
        <v>3</v>
      </c>
    </row>
    <row r="111" spans="1:17" ht="28.5" x14ac:dyDescent="0.2">
      <c r="A111" s="48" t="s">
        <v>299</v>
      </c>
      <c r="B111" s="41" t="s">
        <v>301</v>
      </c>
      <c r="C111" s="41" t="s">
        <v>29</v>
      </c>
      <c r="D111" s="42">
        <f>ROUND(SUMIF(RV_DATA!V90:'RV_DATA'!V144, 339149647, RV_DATA!I90:'RV_DATA'!I144), 6)</f>
        <v>0.19950000000000001</v>
      </c>
      <c r="E111" s="49">
        <f>ROUND(RV_DATA!K101, 6)</f>
        <v>590.78</v>
      </c>
      <c r="F111" s="49">
        <f>ROUND(SUMIF(RV_DATA!V90:'RV_DATA'!V144, 339149647, RV_DATA!M90:'RV_DATA'!M144), 6)</f>
        <v>117.86</v>
      </c>
      <c r="Q111">
        <v>3</v>
      </c>
    </row>
    <row r="112" spans="1:17" ht="42.75" x14ac:dyDescent="0.2">
      <c r="A112" s="48" t="s">
        <v>287</v>
      </c>
      <c r="B112" s="41" t="s">
        <v>289</v>
      </c>
      <c r="C112" s="41" t="s">
        <v>29</v>
      </c>
      <c r="D112" s="42">
        <f>ROUND(SUMIF(RV_DATA!V90:'RV_DATA'!V144, 125426679, RV_DATA!I90:'RV_DATA'!I144), 6)</f>
        <v>0.114</v>
      </c>
      <c r="E112" s="49">
        <f>ROUND(RV_DATA!K99, 6)</f>
        <v>1865.77</v>
      </c>
      <c r="F112" s="49">
        <f>ROUND(SUMIF(RV_DATA!V90:'RV_DATA'!V144, 125426679, RV_DATA!M90:'RV_DATA'!M144), 6)</f>
        <v>212.71</v>
      </c>
      <c r="Q112">
        <v>3</v>
      </c>
    </row>
    <row r="113" spans="1:17" ht="42.75" x14ac:dyDescent="0.2">
      <c r="A113" s="48" t="s">
        <v>290</v>
      </c>
      <c r="B113" s="41" t="s">
        <v>292</v>
      </c>
      <c r="C113" s="41" t="s">
        <v>29</v>
      </c>
      <c r="D113" s="42">
        <f>ROUND(SUMIF(RV_DATA!V90:'RV_DATA'!V144, -671760782, RV_DATA!I90:'RV_DATA'!I144), 6)</f>
        <v>0.45600000000000002</v>
      </c>
      <c r="E113" s="49">
        <f>ROUND(RV_DATA!K98, 6)</f>
        <v>1763.75</v>
      </c>
      <c r="F113" s="49">
        <f>ROUND(SUMIF(RV_DATA!V90:'RV_DATA'!V144, -671760782, RV_DATA!M90:'RV_DATA'!M144), 6)</f>
        <v>804.27</v>
      </c>
      <c r="Q113">
        <v>3</v>
      </c>
    </row>
    <row r="114" spans="1:17" ht="14.25" x14ac:dyDescent="0.2">
      <c r="A114" s="48" t="s">
        <v>357</v>
      </c>
      <c r="B114" s="41" t="s">
        <v>358</v>
      </c>
      <c r="C114" s="41" t="s">
        <v>359</v>
      </c>
      <c r="D114" s="42">
        <f>ROUND(SUMIF(RV_DATA!V90:'RV_DATA'!V144, -1857108032, RV_DATA!I90:'RV_DATA'!I144), 6)</f>
        <v>1.623</v>
      </c>
      <c r="E114" s="49">
        <f>ROUND(RV_DATA!K138, 6)</f>
        <v>99.303030000000007</v>
      </c>
      <c r="F114" s="49">
        <f>ROUND(SUMIF(RV_DATA!V90:'RV_DATA'!V144, -1857108032, RV_DATA!M90:'RV_DATA'!M144), 6)</f>
        <v>161.16</v>
      </c>
      <c r="Q114">
        <v>3</v>
      </c>
    </row>
    <row r="115" spans="1:17" ht="14.25" x14ac:dyDescent="0.2">
      <c r="A115" s="48" t="s">
        <v>317</v>
      </c>
      <c r="B115" s="41" t="s">
        <v>319</v>
      </c>
      <c r="C115" s="41" t="s">
        <v>40</v>
      </c>
      <c r="D115" s="42">
        <f>ROUND(SUMIF(RV_DATA!V90:'RV_DATA'!V144, -1336012766, RV_DATA!I90:'RV_DATA'!I144), 6)</f>
        <v>0.56699999999999995</v>
      </c>
      <c r="E115" s="49">
        <f>ROUND(RV_DATA!K109, 6)</f>
        <v>91.89</v>
      </c>
      <c r="F115" s="49">
        <f>ROUND(SUMIF(RV_DATA!V90:'RV_DATA'!V144, -1336012766, RV_DATA!M90:'RV_DATA'!M144), 6)</f>
        <v>52.1</v>
      </c>
      <c r="Q115">
        <v>3</v>
      </c>
    </row>
    <row r="116" spans="1:17" ht="14.25" x14ac:dyDescent="0.2">
      <c r="A116" s="48" t="s">
        <v>383</v>
      </c>
      <c r="B116" s="41" t="s">
        <v>385</v>
      </c>
      <c r="C116" s="41" t="s">
        <v>359</v>
      </c>
      <c r="D116" s="42">
        <f>ROUND(SUMIF(RV_DATA!V90:'RV_DATA'!V144, 1909301085, RV_DATA!I90:'RV_DATA'!I144), 6)</f>
        <v>0.10249999999999999</v>
      </c>
      <c r="E116" s="49">
        <f>ROUND(RV_DATA!K118, 6)</f>
        <v>28.41</v>
      </c>
      <c r="F116" s="49">
        <f>ROUND(SUMIF(RV_DATA!V90:'RV_DATA'!V144, 1909301085, RV_DATA!M90:'RV_DATA'!M144), 6)</f>
        <v>2.91</v>
      </c>
      <c r="Q116">
        <v>3</v>
      </c>
    </row>
    <row r="117" spans="1:17" ht="28.5" x14ac:dyDescent="0.2">
      <c r="A117" s="48" t="s">
        <v>320</v>
      </c>
      <c r="B117" s="41" t="s">
        <v>322</v>
      </c>
      <c r="C117" s="41" t="s">
        <v>65</v>
      </c>
      <c r="D117" s="42">
        <f>ROUND(SUMIF(RV_DATA!V90:'RV_DATA'!V144, -1526606762, RV_DATA!I90:'RV_DATA'!I144), 6)</f>
        <v>5.7124000000000001E-2</v>
      </c>
      <c r="E117" s="49">
        <f>ROUND(RV_DATA!K108, 6)</f>
        <v>110781.14</v>
      </c>
      <c r="F117" s="49">
        <f>ROUND(SUMIF(RV_DATA!V90:'RV_DATA'!V144, -1526606762, RV_DATA!M90:'RV_DATA'!M144), 6)</f>
        <v>6328.2</v>
      </c>
      <c r="Q117">
        <v>3</v>
      </c>
    </row>
    <row r="118" spans="1:17" ht="14.25" x14ac:dyDescent="0.2">
      <c r="A118" s="48" t="s">
        <v>323</v>
      </c>
      <c r="B118" s="41" t="s">
        <v>325</v>
      </c>
      <c r="C118" s="41" t="s">
        <v>65</v>
      </c>
      <c r="D118" s="42">
        <f>ROUND(SUMIF(RV_DATA!V90:'RV_DATA'!V144, -928026910, RV_DATA!I90:'RV_DATA'!I144), 6)</f>
        <v>1.8900000000000001E-4</v>
      </c>
      <c r="E118" s="49">
        <f>ROUND(RV_DATA!K107, 6)</f>
        <v>4752.34</v>
      </c>
      <c r="F118" s="49">
        <f>ROUND(SUMIF(RV_DATA!V90:'RV_DATA'!V144, -928026910, RV_DATA!M90:'RV_DATA'!M144), 6)</f>
        <v>0.9</v>
      </c>
      <c r="Q118">
        <v>3</v>
      </c>
    </row>
    <row r="119" spans="1:17" ht="14.25" x14ac:dyDescent="0.2">
      <c r="A119" s="48" t="s">
        <v>293</v>
      </c>
      <c r="B119" s="41" t="s">
        <v>295</v>
      </c>
      <c r="C119" s="41" t="s">
        <v>29</v>
      </c>
      <c r="D119" s="42">
        <f>ROUND(SUMIF(RV_DATA!V90:'RV_DATA'!V144, -1829664509, RV_DATA!I90:'RV_DATA'!I144), 6)</f>
        <v>8.9797000000000002E-2</v>
      </c>
      <c r="E119" s="49">
        <f>ROUND(RV_DATA!K97, 6)</f>
        <v>35.25</v>
      </c>
      <c r="F119" s="49">
        <f>ROUND(SUMIF(RV_DATA!V90:'RV_DATA'!V144, -1829664509, RV_DATA!M90:'RV_DATA'!M144), 6)</f>
        <v>3.17</v>
      </c>
      <c r="Q119">
        <v>3</v>
      </c>
    </row>
    <row r="120" spans="1:17" ht="14.25" x14ac:dyDescent="0.2">
      <c r="A120" s="48" t="s">
        <v>363</v>
      </c>
      <c r="B120" s="41" t="s">
        <v>365</v>
      </c>
      <c r="C120" s="41" t="s">
        <v>65</v>
      </c>
      <c r="D120" s="42">
        <f>ROUND(SUMIF(RV_DATA!V90:'RV_DATA'!V144, 1861839422, RV_DATA!I90:'RV_DATA'!I144), 6)</f>
        <v>2.0010000000000002E-3</v>
      </c>
      <c r="E120" s="49">
        <f>ROUND(RV_DATA!K117, 6)</f>
        <v>63195.54</v>
      </c>
      <c r="F120" s="49">
        <f>ROUND(SUMIF(RV_DATA!V90:'RV_DATA'!V144, 1861839422, RV_DATA!M90:'RV_DATA'!M144), 6)</f>
        <v>126.48</v>
      </c>
      <c r="Q120">
        <v>3</v>
      </c>
    </row>
    <row r="121" spans="1:17" ht="14.25" x14ac:dyDescent="0.2">
      <c r="A121" s="48" t="s">
        <v>360</v>
      </c>
      <c r="B121" s="41" t="s">
        <v>362</v>
      </c>
      <c r="C121" s="41" t="s">
        <v>65</v>
      </c>
      <c r="D121" s="42">
        <f>ROUND(SUMIF(RV_DATA!V90:'RV_DATA'!V144, -804279578, RV_DATA!I90:'RV_DATA'!I144), 6)</f>
        <v>9.7380000000000001E-3</v>
      </c>
      <c r="E121" s="49">
        <f>ROUND(RV_DATA!K137, 6)</f>
        <v>97017.58</v>
      </c>
      <c r="F121" s="49">
        <f>ROUND(SUMIF(RV_DATA!V90:'RV_DATA'!V144, -804279578, RV_DATA!M90:'RV_DATA'!M144), 6)</f>
        <v>944.76</v>
      </c>
      <c r="Q121">
        <v>3</v>
      </c>
    </row>
    <row r="122" spans="1:17" ht="28.5" x14ac:dyDescent="0.2">
      <c r="A122" s="48" t="s">
        <v>366</v>
      </c>
      <c r="B122" s="41" t="s">
        <v>368</v>
      </c>
      <c r="C122" s="41" t="s">
        <v>359</v>
      </c>
      <c r="D122" s="42">
        <f>ROUND(SUMIF(RV_DATA!V90:'RV_DATA'!V144, 566368814, RV_DATA!I90:'RV_DATA'!I144), 6)</f>
        <v>9.7379999999999995</v>
      </c>
      <c r="E122" s="49">
        <f>ROUND(RV_DATA!K142, 6)</f>
        <v>105.32</v>
      </c>
      <c r="F122" s="49">
        <f>ROUND(SUMIF(RV_DATA!V90:'RV_DATA'!V144, 566368814, RV_DATA!M90:'RV_DATA'!M144), 6)</f>
        <v>1025.6099999999999</v>
      </c>
      <c r="Q122">
        <v>3</v>
      </c>
    </row>
    <row r="123" spans="1:17" ht="28.5" x14ac:dyDescent="0.2">
      <c r="A123" s="48" t="s">
        <v>206</v>
      </c>
      <c r="B123" s="41" t="s">
        <v>207</v>
      </c>
      <c r="C123" s="41" t="s">
        <v>65</v>
      </c>
      <c r="D123" s="42">
        <f>ROUND(SUMIF(RV_DATA!V90:'RV_DATA'!V144, -464918311, RV_DATA!I90:'RV_DATA'!I144), 6)</f>
        <v>1.345E-2</v>
      </c>
      <c r="E123" s="49">
        <f>ROUND(RV_DATA!K122, 6)</f>
        <v>110447.55</v>
      </c>
      <c r="F123" s="49">
        <f>ROUND(SUMIF(RV_DATA!V90:'RV_DATA'!V144, -464918311, RV_DATA!M90:'RV_DATA'!M144), 6)</f>
        <v>1485.52</v>
      </c>
      <c r="Q123">
        <v>3</v>
      </c>
    </row>
    <row r="124" spans="1:17" ht="28.5" x14ac:dyDescent="0.2">
      <c r="A124" s="48" t="s">
        <v>326</v>
      </c>
      <c r="B124" s="41" t="s">
        <v>328</v>
      </c>
      <c r="C124" s="41" t="s">
        <v>29</v>
      </c>
      <c r="D124" s="42">
        <f>ROUND(SUMIF(RV_DATA!V90:'RV_DATA'!V144, 1167723416, RV_DATA!I90:'RV_DATA'!I144), 6)</f>
        <v>7.5600000000000005E-4</v>
      </c>
      <c r="E124" s="49">
        <f>ROUND(RV_DATA!K105, 6)</f>
        <v>7098.7</v>
      </c>
      <c r="F124" s="49">
        <f>ROUND(SUMIF(RV_DATA!V90:'RV_DATA'!V144, 1167723416, RV_DATA!M90:'RV_DATA'!M144), 6)</f>
        <v>5.37</v>
      </c>
      <c r="Q124">
        <v>3</v>
      </c>
    </row>
    <row r="125" spans="1:17" ht="57" x14ac:dyDescent="0.2">
      <c r="A125" s="48" t="s">
        <v>51</v>
      </c>
      <c r="B125" s="41" t="s">
        <v>52</v>
      </c>
      <c r="C125" s="41" t="s">
        <v>29</v>
      </c>
      <c r="D125" s="42">
        <f>ROUND(SUMIF(RV_DATA!V90:'RV_DATA'!V144, -1648563401, RV_DATA!I90:'RV_DATA'!I144), 6)</f>
        <v>1.91835</v>
      </c>
      <c r="E125" s="49">
        <f>ROUND(RV_DATA!K115, 6)</f>
        <v>3884.73</v>
      </c>
      <c r="F125" s="49">
        <f>ROUND(SUMIF(RV_DATA!V90:'RV_DATA'!V144, -1648563401, RV_DATA!M90:'RV_DATA'!M144), 6)</f>
        <v>7452.27</v>
      </c>
      <c r="Q125">
        <v>3</v>
      </c>
    </row>
    <row r="126" spans="1:17" ht="28.5" x14ac:dyDescent="0.2">
      <c r="A126" s="48" t="s">
        <v>377</v>
      </c>
      <c r="B126" s="41" t="s">
        <v>379</v>
      </c>
      <c r="C126" s="41" t="s">
        <v>29</v>
      </c>
      <c r="D126" s="42">
        <f>ROUND(SUMIF(RV_DATA!V90:'RV_DATA'!V144, -1754165830, RV_DATA!I90:'RV_DATA'!I144), 6)</f>
        <v>0.16500000000000001</v>
      </c>
      <c r="E126" s="49">
        <f>ROUND(RV_DATA!K116, 6)</f>
        <v>3386.9</v>
      </c>
      <c r="F126" s="49">
        <f>ROUND(SUMIF(RV_DATA!V90:'RV_DATA'!V144, -1754165830, RV_DATA!M90:'RV_DATA'!M144), 6)</f>
        <v>558.84</v>
      </c>
      <c r="Q126">
        <v>3</v>
      </c>
    </row>
    <row r="127" spans="1:17" ht="71.25" x14ac:dyDescent="0.2">
      <c r="A127" s="48" t="s">
        <v>329</v>
      </c>
      <c r="B127" s="41" t="s">
        <v>331</v>
      </c>
      <c r="C127" s="41" t="s">
        <v>65</v>
      </c>
      <c r="D127" s="42">
        <f>ROUND(SUMIF(RV_DATA!V90:'RV_DATA'!V144, 2014880110, RV_DATA!I90:'RV_DATA'!I144), 6)</f>
        <v>0.15309</v>
      </c>
      <c r="E127" s="49">
        <f>ROUND(RV_DATA!K104, 6)</f>
        <v>34634.379999999997</v>
      </c>
      <c r="F127" s="49">
        <f>ROUND(SUMIF(RV_DATA!V90:'RV_DATA'!V144, 2014880110, RV_DATA!M90:'RV_DATA'!M144), 6)</f>
        <v>5302.18</v>
      </c>
      <c r="Q127">
        <v>3</v>
      </c>
    </row>
    <row r="128" spans="1:17" ht="28.5" x14ac:dyDescent="0.2">
      <c r="A128" s="48" t="s">
        <v>347</v>
      </c>
      <c r="B128" s="41" t="s">
        <v>349</v>
      </c>
      <c r="C128" s="41" t="s">
        <v>350</v>
      </c>
      <c r="D128" s="42">
        <f>ROUND(SUMIF(RV_DATA!V90:'RV_DATA'!V144, 1505566275, RV_DATA!I90:'RV_DATA'!I144), 6)</f>
        <v>1.5147999999999999</v>
      </c>
      <c r="E128" s="49">
        <f>ROUND(RV_DATA!K124, 6)</f>
        <v>16.54</v>
      </c>
      <c r="F128" s="49">
        <f>ROUND(SUMIF(RV_DATA!V90:'RV_DATA'!V144, 1505566275, RV_DATA!M90:'RV_DATA'!M144), 6)</f>
        <v>24.89</v>
      </c>
      <c r="Q128">
        <v>3</v>
      </c>
    </row>
    <row r="129" spans="1:17" ht="57" x14ac:dyDescent="0.2">
      <c r="A129" s="48" t="s">
        <v>332</v>
      </c>
      <c r="B129" s="41" t="s">
        <v>334</v>
      </c>
      <c r="C129" s="41" t="s">
        <v>40</v>
      </c>
      <c r="D129" s="42">
        <f>ROUND(SUMIF(RV_DATA!V90:'RV_DATA'!V144, -334664347, RV_DATA!I90:'RV_DATA'!I144), 6)</f>
        <v>6.8040000000000003E-2</v>
      </c>
      <c r="E129" s="49">
        <f>ROUND(RV_DATA!K103, 6)</f>
        <v>473.82</v>
      </c>
      <c r="F129" s="49">
        <f>ROUND(SUMIF(RV_DATA!V90:'RV_DATA'!V144, -334664347, RV_DATA!M90:'RV_DATA'!M144), 6)</f>
        <v>32.24</v>
      </c>
      <c r="Q129">
        <v>3</v>
      </c>
    </row>
    <row r="130" spans="1:17" ht="28.5" x14ac:dyDescent="0.2">
      <c r="A130" s="48" t="s">
        <v>76</v>
      </c>
      <c r="B130" s="41" t="s">
        <v>77</v>
      </c>
      <c r="C130" s="41" t="s">
        <v>78</v>
      </c>
      <c r="D130" s="42">
        <f>ROUND(SUMIF(RV_DATA!V90:'RV_DATA'!V144, 1813338865, RV_DATA!I90:'RV_DATA'!I144), 6)</f>
        <v>23</v>
      </c>
      <c r="E130" s="49">
        <f>ROUND(RV_DATA!K133, 6)</f>
        <v>37.5</v>
      </c>
      <c r="F130" s="49">
        <f>ROUND(SUMIF(RV_DATA!V90:'RV_DATA'!V144, 1813338865, RV_DATA!M90:'RV_DATA'!M144), 6)</f>
        <v>862.5</v>
      </c>
      <c r="Q130">
        <v>3</v>
      </c>
    </row>
    <row r="131" spans="1:17" ht="28.5" x14ac:dyDescent="0.2">
      <c r="A131" s="48" t="s">
        <v>76</v>
      </c>
      <c r="B131" s="41" t="s">
        <v>81</v>
      </c>
      <c r="C131" s="41" t="s">
        <v>78</v>
      </c>
      <c r="D131" s="42">
        <f>ROUND(SUMIF(RV_DATA!V90:'RV_DATA'!V144, -269009906, RV_DATA!I90:'RV_DATA'!I144), 6)</f>
        <v>84</v>
      </c>
      <c r="E131" s="49">
        <f>ROUND(RV_DATA!K134, 6)</f>
        <v>16.53</v>
      </c>
      <c r="F131" s="49">
        <f>ROUND(SUMIF(RV_DATA!V90:'RV_DATA'!V144, -269009906, RV_DATA!M90:'RV_DATA'!M144), 6)</f>
        <v>1388.52</v>
      </c>
      <c r="Q131">
        <v>3</v>
      </c>
    </row>
    <row r="132" spans="1:17" ht="28.5" x14ac:dyDescent="0.2">
      <c r="A132" s="48" t="s">
        <v>76</v>
      </c>
      <c r="B132" s="41" t="s">
        <v>227</v>
      </c>
      <c r="C132" s="41" t="s">
        <v>78</v>
      </c>
      <c r="D132" s="42">
        <f>ROUND(SUMIF(RV_DATA!V90:'RV_DATA'!V144, 1134996209, RV_DATA!I90:'RV_DATA'!I144), 6)</f>
        <v>4</v>
      </c>
      <c r="E132" s="49">
        <f>ROUND(RV_DATA!K135, 6)</f>
        <v>220.78</v>
      </c>
      <c r="F132" s="49">
        <f>ROUND(SUMIF(RV_DATA!V90:'RV_DATA'!V144, 1134996209, RV_DATA!M90:'RV_DATA'!M144), 6)</f>
        <v>883.12</v>
      </c>
      <c r="Q132">
        <v>3</v>
      </c>
    </row>
    <row r="133" spans="1:17" ht="28.5" x14ac:dyDescent="0.2">
      <c r="A133" s="48" t="s">
        <v>76</v>
      </c>
      <c r="B133" s="41" t="s">
        <v>230</v>
      </c>
      <c r="C133" s="41" t="s">
        <v>78</v>
      </c>
      <c r="D133" s="42">
        <f>ROUND(SUMIF(RV_DATA!V90:'RV_DATA'!V144, 165661765, RV_DATA!I90:'RV_DATA'!I144), 6)</f>
        <v>1</v>
      </c>
      <c r="E133" s="49">
        <f>ROUND(RV_DATA!K136, 6)</f>
        <v>674.17</v>
      </c>
      <c r="F133" s="49">
        <f>ROUND(SUMIF(RV_DATA!V90:'RV_DATA'!V144, 165661765, RV_DATA!M90:'RV_DATA'!M144), 6)</f>
        <v>674.17</v>
      </c>
      <c r="Q133">
        <v>3</v>
      </c>
    </row>
    <row r="134" spans="1:17" ht="15" x14ac:dyDescent="0.25">
      <c r="A134" s="84" t="s">
        <v>496</v>
      </c>
      <c r="B134" s="84"/>
      <c r="C134" s="84"/>
      <c r="D134" s="84"/>
      <c r="E134" s="85">
        <f>SUMIF(Q105:Q133, 3, F105:F133)</f>
        <v>157420.67000000001</v>
      </c>
      <c r="F134" s="85"/>
    </row>
    <row r="135" spans="1:17" ht="16.5" x14ac:dyDescent="0.2">
      <c r="A135" s="77" t="str">
        <f>CONCATENATE("Раздел: ",IF(Source!G193&lt;&gt;"Новый раздел", Source!G193, ""))</f>
        <v>Раздел: Установка ограждения - Участок 4</v>
      </c>
      <c r="B135" s="78"/>
      <c r="C135" s="78"/>
      <c r="D135" s="78"/>
      <c r="E135" s="78"/>
      <c r="F135" s="78"/>
    </row>
    <row r="136" spans="1:17" ht="14.25" x14ac:dyDescent="0.2">
      <c r="A136" s="75" t="s">
        <v>493</v>
      </c>
      <c r="B136" s="76"/>
      <c r="C136" s="76"/>
      <c r="D136" s="76"/>
      <c r="E136" s="76"/>
      <c r="F136" s="76"/>
    </row>
    <row r="137" spans="1:17" ht="28.5" x14ac:dyDescent="0.2">
      <c r="A137" s="48" t="s">
        <v>351</v>
      </c>
      <c r="B137" s="41" t="s">
        <v>353</v>
      </c>
      <c r="C137" s="41" t="s">
        <v>286</v>
      </c>
      <c r="D137" s="42">
        <f>ROUND(SUMIF(RV_DATA!V146:'RV_DATA'!V191, -262383052, RV_DATA!I146:'RV_DATA'!I191), 6)</f>
        <v>1.5764</v>
      </c>
      <c r="E137" s="49">
        <f>ROUND(RV_DATA!K188, 6)</f>
        <v>98.05</v>
      </c>
      <c r="F137" s="49">
        <f>ROUND(SUMIF(RV_DATA!V146:'RV_DATA'!V191, -262383052, RV_DATA!M146:'RV_DATA'!M191), 6)</f>
        <v>154.57</v>
      </c>
      <c r="Q137">
        <v>2</v>
      </c>
    </row>
    <row r="138" spans="1:17" ht="28.5" x14ac:dyDescent="0.2">
      <c r="A138" s="48" t="s">
        <v>369</v>
      </c>
      <c r="B138" s="41" t="s">
        <v>371</v>
      </c>
      <c r="C138" s="41" t="s">
        <v>286</v>
      </c>
      <c r="D138" s="42">
        <f>ROUND(SUMIF(RV_DATA!V146:'RV_DATA'!V191, 948852901, RV_DATA!I146:'RV_DATA'!I191), 6)</f>
        <v>4.4850000000000003</v>
      </c>
      <c r="E138" s="49">
        <f>ROUND(RV_DATA!K150, 6)</f>
        <v>470.71</v>
      </c>
      <c r="F138" s="49">
        <f>ROUND(SUMIF(RV_DATA!V146:'RV_DATA'!V191, 948852901, RV_DATA!M146:'RV_DATA'!M191), 6)</f>
        <v>2111.12</v>
      </c>
      <c r="Q138">
        <v>2</v>
      </c>
    </row>
    <row r="139" spans="1:17" ht="28.5" x14ac:dyDescent="0.2">
      <c r="A139" s="48" t="s">
        <v>302</v>
      </c>
      <c r="B139" s="41" t="s">
        <v>304</v>
      </c>
      <c r="C139" s="41" t="s">
        <v>286</v>
      </c>
      <c r="D139" s="42">
        <f>ROUND(SUMIF(RV_DATA!V146:'RV_DATA'!V191, -1042877116, RV_DATA!I146:'RV_DATA'!I191), 6)</f>
        <v>2.835</v>
      </c>
      <c r="E139" s="49">
        <f>ROUND(RV_DATA!K168, 6)</f>
        <v>27.21</v>
      </c>
      <c r="F139" s="49">
        <f>ROUND(SUMIF(RV_DATA!V146:'RV_DATA'!V191, -1042877116, RV_DATA!M146:'RV_DATA'!M191), 6)</f>
        <v>77.14</v>
      </c>
      <c r="Q139">
        <v>2</v>
      </c>
    </row>
    <row r="140" spans="1:17" ht="14.25" x14ac:dyDescent="0.2">
      <c r="A140" s="48" t="s">
        <v>335</v>
      </c>
      <c r="B140" s="41" t="s">
        <v>337</v>
      </c>
      <c r="C140" s="41" t="s">
        <v>286</v>
      </c>
      <c r="D140" s="42">
        <f>ROUND(SUMIF(RV_DATA!V146:'RV_DATA'!V191, -2029004941, RV_DATA!I146:'RV_DATA'!I191), 6)</f>
        <v>52.776960000000003</v>
      </c>
      <c r="E140" s="49">
        <f>ROUND(RV_DATA!K148, 6)</f>
        <v>351.29</v>
      </c>
      <c r="F140" s="49">
        <f>ROUND(SUMIF(RV_DATA!V146:'RV_DATA'!V191, -2029004941, RV_DATA!M146:'RV_DATA'!M191), 6)</f>
        <v>18540.66</v>
      </c>
      <c r="Q140">
        <v>2</v>
      </c>
    </row>
    <row r="141" spans="1:17" ht="14.25" x14ac:dyDescent="0.2">
      <c r="A141" s="48" t="s">
        <v>338</v>
      </c>
      <c r="B141" s="41" t="s">
        <v>340</v>
      </c>
      <c r="C141" s="41" t="s">
        <v>286</v>
      </c>
      <c r="D141" s="42">
        <f>ROUND(SUMIF(RV_DATA!V146:'RV_DATA'!V191, 892192163, RV_DATA!I146:'RV_DATA'!I191), 6)</f>
        <v>15.8056</v>
      </c>
      <c r="E141" s="49">
        <f>ROUND(RV_DATA!K147, 6)</f>
        <v>5.94</v>
      </c>
      <c r="F141" s="49">
        <f>ROUND(SUMIF(RV_DATA!V146:'RV_DATA'!V191, 892192163, RV_DATA!M146:'RV_DATA'!M191), 6)</f>
        <v>93.46</v>
      </c>
      <c r="Q141">
        <v>2</v>
      </c>
    </row>
    <row r="142" spans="1:17" ht="14.25" x14ac:dyDescent="0.2">
      <c r="A142" s="48" t="s">
        <v>305</v>
      </c>
      <c r="B142" s="41" t="s">
        <v>307</v>
      </c>
      <c r="C142" s="41" t="s">
        <v>286</v>
      </c>
      <c r="D142" s="42">
        <f>ROUND(SUMIF(RV_DATA!V146:'RV_DATA'!V191, 1181039040, RV_DATA!I146:'RV_DATA'!I191), 6)</f>
        <v>2.2680000000000001E-3</v>
      </c>
      <c r="E142" s="49">
        <f>ROUND(RV_DATA!K167, 6)</f>
        <v>3.67</v>
      </c>
      <c r="F142" s="49">
        <f>ROUND(SUMIF(RV_DATA!V146:'RV_DATA'!V191, 1181039040, RV_DATA!M146:'RV_DATA'!M191), 6)</f>
        <v>0.01</v>
      </c>
      <c r="Q142">
        <v>2</v>
      </c>
    </row>
    <row r="143" spans="1:17" ht="14.25" x14ac:dyDescent="0.2">
      <c r="A143" s="48" t="s">
        <v>341</v>
      </c>
      <c r="B143" s="41" t="s">
        <v>343</v>
      </c>
      <c r="C143" s="41" t="s">
        <v>286</v>
      </c>
      <c r="D143" s="42">
        <f>ROUND(SUMIF(RV_DATA!V146:'RV_DATA'!V191, -1881072116, RV_DATA!I146:'RV_DATA'!I191), 6)</f>
        <v>69.269760000000005</v>
      </c>
      <c r="E143" s="49">
        <f>ROUND(RV_DATA!K146, 6)</f>
        <v>652.16</v>
      </c>
      <c r="F143" s="49">
        <f>ROUND(SUMIF(RV_DATA!V146:'RV_DATA'!V191, -1881072116, RV_DATA!M146:'RV_DATA'!M191), 6)</f>
        <v>45175.15</v>
      </c>
      <c r="Q143">
        <v>2</v>
      </c>
    </row>
    <row r="144" spans="1:17" ht="14.25" x14ac:dyDescent="0.2">
      <c r="A144" s="48" t="s">
        <v>372</v>
      </c>
      <c r="B144" s="41" t="s">
        <v>374</v>
      </c>
      <c r="C144" s="41" t="s">
        <v>286</v>
      </c>
      <c r="D144" s="42">
        <f>ROUND(SUMIF(RV_DATA!V146:'RV_DATA'!V191, 422992909, RV_DATA!I146:'RV_DATA'!I191), 6)</f>
        <v>4.4850000000000003</v>
      </c>
      <c r="E144" s="49">
        <f>ROUND(RV_DATA!K149, 6)</f>
        <v>6.02</v>
      </c>
      <c r="F144" s="49">
        <f>ROUND(SUMIF(RV_DATA!V146:'RV_DATA'!V191, 422992909, RV_DATA!M146:'RV_DATA'!M191), 6)</f>
        <v>27</v>
      </c>
      <c r="Q144">
        <v>2</v>
      </c>
    </row>
    <row r="145" spans="1:17" ht="28.5" x14ac:dyDescent="0.2">
      <c r="A145" s="48" t="s">
        <v>308</v>
      </c>
      <c r="B145" s="41" t="s">
        <v>310</v>
      </c>
      <c r="C145" s="41" t="s">
        <v>286</v>
      </c>
      <c r="D145" s="42">
        <f>ROUND(SUMIF(RV_DATA!V146:'RV_DATA'!V191, 1986574417, RV_DATA!I146:'RV_DATA'!I191), 6)</f>
        <v>2.8379000000000001E-2</v>
      </c>
      <c r="E145" s="49">
        <f>ROUND(RV_DATA!K166, 6)</f>
        <v>683.9</v>
      </c>
      <c r="F145" s="49">
        <f>ROUND(SUMIF(RV_DATA!V146:'RV_DATA'!V191, 1986574417, RV_DATA!M146:'RV_DATA'!M191), 6)</f>
        <v>19.41</v>
      </c>
      <c r="Q145">
        <v>2</v>
      </c>
    </row>
    <row r="146" spans="1:17" ht="28.5" x14ac:dyDescent="0.2">
      <c r="A146" s="48" t="s">
        <v>354</v>
      </c>
      <c r="B146" s="41" t="s">
        <v>356</v>
      </c>
      <c r="C146" s="41" t="s">
        <v>286</v>
      </c>
      <c r="D146" s="42">
        <f>ROUND(SUMIF(RV_DATA!V146:'RV_DATA'!V191, 949162316, RV_DATA!I146:'RV_DATA'!I191), 6)</f>
        <v>1.1259999999999999E-2</v>
      </c>
      <c r="E146" s="49">
        <f>ROUND(RV_DATA!K186, 6)</f>
        <v>16.920000000000002</v>
      </c>
      <c r="F146" s="49">
        <f>ROUND(SUMIF(RV_DATA!V146:'RV_DATA'!V191, 949162316, RV_DATA!M146:'RV_DATA'!M191), 6)</f>
        <v>0.19</v>
      </c>
      <c r="Q146">
        <v>2</v>
      </c>
    </row>
    <row r="147" spans="1:17" ht="28.5" x14ac:dyDescent="0.2">
      <c r="A147" s="48" t="s">
        <v>296</v>
      </c>
      <c r="B147" s="41" t="s">
        <v>298</v>
      </c>
      <c r="C147" s="41" t="s">
        <v>286</v>
      </c>
      <c r="D147" s="42">
        <f>ROUND(SUMIF(RV_DATA!V146:'RV_DATA'!V191, -278163943, RV_DATA!I146:'RV_DATA'!I191), 6)</f>
        <v>5.7000000000000002E-3</v>
      </c>
      <c r="E147" s="49">
        <f>ROUND(RV_DATA!K156, 6)</f>
        <v>1270.56</v>
      </c>
      <c r="F147" s="49">
        <f>ROUND(SUMIF(RV_DATA!V146:'RV_DATA'!V191, -278163943, RV_DATA!M146:'RV_DATA'!M191), 6)</f>
        <v>7.24</v>
      </c>
      <c r="Q147">
        <v>2</v>
      </c>
    </row>
    <row r="148" spans="1:17" ht="14.25" x14ac:dyDescent="0.2">
      <c r="A148" s="48" t="s">
        <v>311</v>
      </c>
      <c r="B148" s="41" t="s">
        <v>313</v>
      </c>
      <c r="C148" s="41" t="s">
        <v>286</v>
      </c>
      <c r="D148" s="42">
        <f>ROUND(SUMIF(RV_DATA!V146:'RV_DATA'!V191, -1115091794, RV_DATA!I146:'RV_DATA'!I191), 6)</f>
        <v>0.21262500000000001</v>
      </c>
      <c r="E148" s="49">
        <f>ROUND(RV_DATA!K165, 6)</f>
        <v>10.82</v>
      </c>
      <c r="F148" s="49">
        <f>ROUND(SUMIF(RV_DATA!V146:'RV_DATA'!V191, -1115091794, RV_DATA!M146:'RV_DATA'!M191), 6)</f>
        <v>2.2999999999999998</v>
      </c>
      <c r="Q148">
        <v>2</v>
      </c>
    </row>
    <row r="149" spans="1:17" ht="15" x14ac:dyDescent="0.25">
      <c r="A149" s="84" t="s">
        <v>494</v>
      </c>
      <c r="B149" s="84"/>
      <c r="C149" s="84"/>
      <c r="D149" s="84"/>
      <c r="E149" s="85">
        <f>SUMIF(Q137:Q148, 2, F137:F148)</f>
        <v>66208.250000000015</v>
      </c>
      <c r="F149" s="85"/>
    </row>
    <row r="150" spans="1:17" ht="14.25" x14ac:dyDescent="0.2">
      <c r="A150" s="75" t="s">
        <v>495</v>
      </c>
      <c r="B150" s="76"/>
      <c r="C150" s="76"/>
      <c r="D150" s="76"/>
      <c r="E150" s="76"/>
      <c r="F150" s="76"/>
    </row>
    <row r="151" spans="1:17" ht="57" x14ac:dyDescent="0.2">
      <c r="A151" s="48" t="s">
        <v>68</v>
      </c>
      <c r="B151" s="41" t="s">
        <v>248</v>
      </c>
      <c r="C151" s="41" t="s">
        <v>65</v>
      </c>
      <c r="D151" s="42">
        <f>ROUND(SUMIF(RV_DATA!V146:'RV_DATA'!V191, -936435174, RV_DATA!I146:'RV_DATA'!I191), 6)</f>
        <v>0.84365999999999997</v>
      </c>
      <c r="E151" s="49">
        <f>ROUND(RV_DATA!K177, 6)</f>
        <v>32819.879999999997</v>
      </c>
      <c r="F151" s="49">
        <f>ROUND(SUMIF(RV_DATA!V146:'RV_DATA'!V191, -936435174, RV_DATA!M146:'RV_DATA'!M191), 6)</f>
        <v>27688.82</v>
      </c>
      <c r="Q151">
        <v>3</v>
      </c>
    </row>
    <row r="152" spans="1:17" ht="42.75" x14ac:dyDescent="0.2">
      <c r="A152" s="48" t="s">
        <v>344</v>
      </c>
      <c r="B152" s="41" t="s">
        <v>346</v>
      </c>
      <c r="C152" s="41" t="s">
        <v>65</v>
      </c>
      <c r="D152" s="42">
        <f>ROUND(SUMIF(RV_DATA!V146:'RV_DATA'!V191, -1029693808, RV_DATA!I146:'RV_DATA'!I191), 6)</f>
        <v>0.11372599999999999</v>
      </c>
      <c r="E152" s="49">
        <f>ROUND(RV_DATA!K172, 6)</f>
        <v>38268.54</v>
      </c>
      <c r="F152" s="49">
        <f>ROUND(SUMIF(RV_DATA!V146:'RV_DATA'!V191, -1029693808, RV_DATA!M146:'RV_DATA'!M191), 6)</f>
        <v>4351.99</v>
      </c>
      <c r="Q152">
        <v>3</v>
      </c>
    </row>
    <row r="153" spans="1:17" ht="71.25" x14ac:dyDescent="0.2">
      <c r="A153" s="48" t="s">
        <v>72</v>
      </c>
      <c r="B153" s="41" t="s">
        <v>250</v>
      </c>
      <c r="C153" s="41" t="s">
        <v>65</v>
      </c>
      <c r="D153" s="42">
        <f>ROUND(SUMIF(RV_DATA!V146:'RV_DATA'!V191, 175560375, RV_DATA!I146:'RV_DATA'!I191), 6)</f>
        <v>1.8537300000000001</v>
      </c>
      <c r="E153" s="49">
        <f>ROUND(RV_DATA!K178, 6)</f>
        <v>40597.550000000003</v>
      </c>
      <c r="F153" s="49">
        <f>ROUND(SUMIF(RV_DATA!V146:'RV_DATA'!V191, 175560375, RV_DATA!M146:'RV_DATA'!M191), 6)</f>
        <v>75256.899999999994</v>
      </c>
      <c r="Q153">
        <v>3</v>
      </c>
    </row>
    <row r="154" spans="1:17" ht="71.25" x14ac:dyDescent="0.2">
      <c r="A154" s="48" t="s">
        <v>63</v>
      </c>
      <c r="B154" s="41" t="s">
        <v>64</v>
      </c>
      <c r="C154" s="41" t="s">
        <v>65</v>
      </c>
      <c r="D154" s="42">
        <f>ROUND(SUMIF(RV_DATA!V146:'RV_DATA'!V191, 1513119136, RV_DATA!I146:'RV_DATA'!I191), 6)</f>
        <v>0.69974999999999998</v>
      </c>
      <c r="E154" s="49">
        <f>ROUND(RV_DATA!K176, 6)</f>
        <v>37329.29</v>
      </c>
      <c r="F154" s="49">
        <f>ROUND(SUMIF(RV_DATA!V146:'RV_DATA'!V191, 1513119136, RV_DATA!M146:'RV_DATA'!M191), 6)</f>
        <v>26121.17</v>
      </c>
      <c r="Q154">
        <v>3</v>
      </c>
    </row>
    <row r="155" spans="1:17" ht="14.25" x14ac:dyDescent="0.2">
      <c r="A155" s="48" t="s">
        <v>314</v>
      </c>
      <c r="B155" s="41" t="s">
        <v>316</v>
      </c>
      <c r="C155" s="41" t="s">
        <v>65</v>
      </c>
      <c r="D155" s="42">
        <f>ROUND(SUMIF(RV_DATA!V146:'RV_DATA'!V191, -547263076, RV_DATA!I146:'RV_DATA'!I191), 6)</f>
        <v>3.8000000000000002E-5</v>
      </c>
      <c r="E155" s="49">
        <f>ROUND(RV_DATA!K164, 6)</f>
        <v>49736.04</v>
      </c>
      <c r="F155" s="49">
        <f>ROUND(SUMIF(RV_DATA!V146:'RV_DATA'!V191, -547263076, RV_DATA!M146:'RV_DATA'!M191), 6)</f>
        <v>1.88</v>
      </c>
      <c r="Q155">
        <v>3</v>
      </c>
    </row>
    <row r="156" spans="1:17" ht="28.5" x14ac:dyDescent="0.2">
      <c r="A156" s="48" t="s">
        <v>299</v>
      </c>
      <c r="B156" s="41" t="s">
        <v>301</v>
      </c>
      <c r="C156" s="41" t="s">
        <v>29</v>
      </c>
      <c r="D156" s="42">
        <f>ROUND(SUMIF(RV_DATA!V146:'RV_DATA'!V191, 339149647, RV_DATA!I146:'RV_DATA'!I191), 6)</f>
        <v>0.19950000000000001</v>
      </c>
      <c r="E156" s="49">
        <f>ROUND(RV_DATA!K155, 6)</f>
        <v>590.78</v>
      </c>
      <c r="F156" s="49">
        <f>ROUND(SUMIF(RV_DATA!V146:'RV_DATA'!V191, 339149647, RV_DATA!M146:'RV_DATA'!M191), 6)</f>
        <v>117.86</v>
      </c>
      <c r="Q156">
        <v>3</v>
      </c>
    </row>
    <row r="157" spans="1:17" ht="42.75" x14ac:dyDescent="0.2">
      <c r="A157" s="48" t="s">
        <v>287</v>
      </c>
      <c r="B157" s="41" t="s">
        <v>289</v>
      </c>
      <c r="C157" s="41" t="s">
        <v>29</v>
      </c>
      <c r="D157" s="42">
        <f>ROUND(SUMIF(RV_DATA!V146:'RV_DATA'!V191, 125426679, RV_DATA!I146:'RV_DATA'!I191), 6)</f>
        <v>0.114</v>
      </c>
      <c r="E157" s="49">
        <f>ROUND(RV_DATA!K153, 6)</f>
        <v>1865.77</v>
      </c>
      <c r="F157" s="49">
        <f>ROUND(SUMIF(RV_DATA!V146:'RV_DATA'!V191, 125426679, RV_DATA!M146:'RV_DATA'!M191), 6)</f>
        <v>212.71</v>
      </c>
      <c r="Q157">
        <v>3</v>
      </c>
    </row>
    <row r="158" spans="1:17" ht="42.75" x14ac:dyDescent="0.2">
      <c r="A158" s="48" t="s">
        <v>290</v>
      </c>
      <c r="B158" s="41" t="s">
        <v>292</v>
      </c>
      <c r="C158" s="41" t="s">
        <v>29</v>
      </c>
      <c r="D158" s="42">
        <f>ROUND(SUMIF(RV_DATA!V146:'RV_DATA'!V191, -671760782, RV_DATA!I146:'RV_DATA'!I191), 6)</f>
        <v>0.45600000000000002</v>
      </c>
      <c r="E158" s="49">
        <f>ROUND(RV_DATA!K152, 6)</f>
        <v>1763.75</v>
      </c>
      <c r="F158" s="49">
        <f>ROUND(SUMIF(RV_DATA!V146:'RV_DATA'!V191, -671760782, RV_DATA!M146:'RV_DATA'!M191), 6)</f>
        <v>804.27</v>
      </c>
      <c r="Q158">
        <v>3</v>
      </c>
    </row>
    <row r="159" spans="1:17" ht="14.25" x14ac:dyDescent="0.2">
      <c r="A159" s="48" t="s">
        <v>357</v>
      </c>
      <c r="B159" s="41" t="s">
        <v>358</v>
      </c>
      <c r="C159" s="41" t="s">
        <v>359</v>
      </c>
      <c r="D159" s="42">
        <f>ROUND(SUMIF(RV_DATA!V146:'RV_DATA'!V191, -1857108032, RV_DATA!I146:'RV_DATA'!I191), 6)</f>
        <v>1.6890000000000001</v>
      </c>
      <c r="E159" s="49">
        <f>ROUND(RV_DATA!K185, 6)</f>
        <v>99.303030000000007</v>
      </c>
      <c r="F159" s="49">
        <f>ROUND(SUMIF(RV_DATA!V146:'RV_DATA'!V191, -1857108032, RV_DATA!M146:'RV_DATA'!M191), 6)</f>
        <v>167.72</v>
      </c>
      <c r="Q159">
        <v>3</v>
      </c>
    </row>
    <row r="160" spans="1:17" ht="14.25" x14ac:dyDescent="0.2">
      <c r="A160" s="48" t="s">
        <v>317</v>
      </c>
      <c r="B160" s="41" t="s">
        <v>319</v>
      </c>
      <c r="C160" s="41" t="s">
        <v>40</v>
      </c>
      <c r="D160" s="42">
        <f>ROUND(SUMIF(RV_DATA!V146:'RV_DATA'!V191, -1336012766, RV_DATA!I146:'RV_DATA'!I191), 6)</f>
        <v>0.56699999999999995</v>
      </c>
      <c r="E160" s="49">
        <f>ROUND(RV_DATA!K163, 6)</f>
        <v>91.89</v>
      </c>
      <c r="F160" s="49">
        <f>ROUND(SUMIF(RV_DATA!V146:'RV_DATA'!V191, -1336012766, RV_DATA!M146:'RV_DATA'!M191), 6)</f>
        <v>52.1</v>
      </c>
      <c r="Q160">
        <v>3</v>
      </c>
    </row>
    <row r="161" spans="1:17" ht="28.5" x14ac:dyDescent="0.2">
      <c r="A161" s="48" t="s">
        <v>320</v>
      </c>
      <c r="B161" s="41" t="s">
        <v>322</v>
      </c>
      <c r="C161" s="41" t="s">
        <v>65</v>
      </c>
      <c r="D161" s="42">
        <f>ROUND(SUMIF(RV_DATA!V146:'RV_DATA'!V191, -1526606762, RV_DATA!I146:'RV_DATA'!I191), 6)</f>
        <v>5.9324000000000002E-2</v>
      </c>
      <c r="E161" s="49">
        <f>ROUND(RV_DATA!K162, 6)</f>
        <v>110781.14</v>
      </c>
      <c r="F161" s="49">
        <f>ROUND(SUMIF(RV_DATA!V146:'RV_DATA'!V191, -1526606762, RV_DATA!M146:'RV_DATA'!M191), 6)</f>
        <v>6571.91</v>
      </c>
      <c r="Q161">
        <v>3</v>
      </c>
    </row>
    <row r="162" spans="1:17" ht="14.25" x14ac:dyDescent="0.2">
      <c r="A162" s="48" t="s">
        <v>323</v>
      </c>
      <c r="B162" s="41" t="s">
        <v>325</v>
      </c>
      <c r="C162" s="41" t="s">
        <v>65</v>
      </c>
      <c r="D162" s="42">
        <f>ROUND(SUMIF(RV_DATA!V146:'RV_DATA'!V191, -928026910, RV_DATA!I146:'RV_DATA'!I191), 6)</f>
        <v>1.8900000000000001E-4</v>
      </c>
      <c r="E162" s="49">
        <f>ROUND(RV_DATA!K161, 6)</f>
        <v>4752.34</v>
      </c>
      <c r="F162" s="49">
        <f>ROUND(SUMIF(RV_DATA!V146:'RV_DATA'!V191, -928026910, RV_DATA!M146:'RV_DATA'!M191), 6)</f>
        <v>0.9</v>
      </c>
      <c r="Q162">
        <v>3</v>
      </c>
    </row>
    <row r="163" spans="1:17" ht="14.25" x14ac:dyDescent="0.2">
      <c r="A163" s="48" t="s">
        <v>293</v>
      </c>
      <c r="B163" s="41" t="s">
        <v>295</v>
      </c>
      <c r="C163" s="41" t="s">
        <v>29</v>
      </c>
      <c r="D163" s="42">
        <f>ROUND(SUMIF(RV_DATA!V146:'RV_DATA'!V191, -1829664509, RV_DATA!I146:'RV_DATA'!I191), 6)</f>
        <v>8.9797000000000002E-2</v>
      </c>
      <c r="E163" s="49">
        <f>ROUND(RV_DATA!K151, 6)</f>
        <v>35.25</v>
      </c>
      <c r="F163" s="49">
        <f>ROUND(SUMIF(RV_DATA!V146:'RV_DATA'!V191, -1829664509, RV_DATA!M146:'RV_DATA'!M191), 6)</f>
        <v>3.17</v>
      </c>
      <c r="Q163">
        <v>3</v>
      </c>
    </row>
    <row r="164" spans="1:17" ht="14.25" x14ac:dyDescent="0.2">
      <c r="A164" s="48" t="s">
        <v>363</v>
      </c>
      <c r="B164" s="41" t="s">
        <v>365</v>
      </c>
      <c r="C164" s="41" t="s">
        <v>65</v>
      </c>
      <c r="D164" s="42">
        <f>ROUND(SUMIF(RV_DATA!V146:'RV_DATA'!V191, 1861839422, RV_DATA!I146:'RV_DATA'!I191), 6)</f>
        <v>1.6659999999999999E-3</v>
      </c>
      <c r="E164" s="49">
        <f>ROUND(RV_DATA!K190, 6)</f>
        <v>63195.54</v>
      </c>
      <c r="F164" s="49">
        <f>ROUND(SUMIF(RV_DATA!V146:'RV_DATA'!V191, 1861839422, RV_DATA!M146:'RV_DATA'!M191), 6)</f>
        <v>105.31</v>
      </c>
      <c r="Q164">
        <v>3</v>
      </c>
    </row>
    <row r="165" spans="1:17" ht="14.25" x14ac:dyDescent="0.2">
      <c r="A165" s="48" t="s">
        <v>360</v>
      </c>
      <c r="B165" s="41" t="s">
        <v>362</v>
      </c>
      <c r="C165" s="41" t="s">
        <v>65</v>
      </c>
      <c r="D165" s="42">
        <f>ROUND(SUMIF(RV_DATA!V146:'RV_DATA'!V191, -804279578, RV_DATA!I146:'RV_DATA'!I191), 6)</f>
        <v>1.0134000000000001E-2</v>
      </c>
      <c r="E165" s="49">
        <f>ROUND(RV_DATA!K184, 6)</f>
        <v>97017.58</v>
      </c>
      <c r="F165" s="49">
        <f>ROUND(SUMIF(RV_DATA!V146:'RV_DATA'!V191, -804279578, RV_DATA!M146:'RV_DATA'!M191), 6)</f>
        <v>983.18</v>
      </c>
      <c r="Q165">
        <v>3</v>
      </c>
    </row>
    <row r="166" spans="1:17" ht="28.5" x14ac:dyDescent="0.2">
      <c r="A166" s="48" t="s">
        <v>366</v>
      </c>
      <c r="B166" s="41" t="s">
        <v>368</v>
      </c>
      <c r="C166" s="41" t="s">
        <v>359</v>
      </c>
      <c r="D166" s="42">
        <f>ROUND(SUMIF(RV_DATA!V146:'RV_DATA'!V191, 566368814, RV_DATA!I146:'RV_DATA'!I191), 6)</f>
        <v>10.134</v>
      </c>
      <c r="E166" s="49">
        <f>ROUND(RV_DATA!K189, 6)</f>
        <v>105.32</v>
      </c>
      <c r="F166" s="49">
        <f>ROUND(SUMIF(RV_DATA!V146:'RV_DATA'!V191, 566368814, RV_DATA!M146:'RV_DATA'!M191), 6)</f>
        <v>1067.31</v>
      </c>
      <c r="Q166">
        <v>3</v>
      </c>
    </row>
    <row r="167" spans="1:17" ht="28.5" x14ac:dyDescent="0.2">
      <c r="A167" s="48" t="s">
        <v>326</v>
      </c>
      <c r="B167" s="41" t="s">
        <v>328</v>
      </c>
      <c r="C167" s="41" t="s">
        <v>29</v>
      </c>
      <c r="D167" s="42">
        <f>ROUND(SUMIF(RV_DATA!V146:'RV_DATA'!V191, 1167723416, RV_DATA!I146:'RV_DATA'!I191), 6)</f>
        <v>7.5600000000000005E-4</v>
      </c>
      <c r="E167" s="49">
        <f>ROUND(RV_DATA!K159, 6)</f>
        <v>7098.7</v>
      </c>
      <c r="F167" s="49">
        <f>ROUND(SUMIF(RV_DATA!V146:'RV_DATA'!V191, 1167723416, RV_DATA!M146:'RV_DATA'!M191), 6)</f>
        <v>5.37</v>
      </c>
      <c r="Q167">
        <v>3</v>
      </c>
    </row>
    <row r="168" spans="1:17" ht="57" x14ac:dyDescent="0.2">
      <c r="A168" s="48" t="s">
        <v>51</v>
      </c>
      <c r="B168" s="41" t="s">
        <v>52</v>
      </c>
      <c r="C168" s="41" t="s">
        <v>29</v>
      </c>
      <c r="D168" s="42">
        <f>ROUND(SUMIF(RV_DATA!V146:'RV_DATA'!V191, -1648563401, RV_DATA!I146:'RV_DATA'!I191), 6)</f>
        <v>1.91835</v>
      </c>
      <c r="E168" s="49">
        <f>ROUND(RV_DATA!K169, 6)</f>
        <v>3884.73</v>
      </c>
      <c r="F168" s="49">
        <f>ROUND(SUMIF(RV_DATA!V146:'RV_DATA'!V191, -1648563401, RV_DATA!M146:'RV_DATA'!M191), 6)</f>
        <v>7452.27</v>
      </c>
      <c r="Q168">
        <v>3</v>
      </c>
    </row>
    <row r="169" spans="1:17" ht="71.25" x14ac:dyDescent="0.2">
      <c r="A169" s="48" t="s">
        <v>329</v>
      </c>
      <c r="B169" s="41" t="s">
        <v>331</v>
      </c>
      <c r="C169" s="41" t="s">
        <v>65</v>
      </c>
      <c r="D169" s="42">
        <f>ROUND(SUMIF(RV_DATA!V146:'RV_DATA'!V191, 2014880110, RV_DATA!I146:'RV_DATA'!I191), 6)</f>
        <v>0.15309</v>
      </c>
      <c r="E169" s="49">
        <f>ROUND(RV_DATA!K158, 6)</f>
        <v>34634.379999999997</v>
      </c>
      <c r="F169" s="49">
        <f>ROUND(SUMIF(RV_DATA!V146:'RV_DATA'!V191, 2014880110, RV_DATA!M146:'RV_DATA'!M191), 6)</f>
        <v>5302.18</v>
      </c>
      <c r="Q169">
        <v>3</v>
      </c>
    </row>
    <row r="170" spans="1:17" ht="28.5" x14ac:dyDescent="0.2">
      <c r="A170" s="48" t="s">
        <v>347</v>
      </c>
      <c r="B170" s="41" t="s">
        <v>349</v>
      </c>
      <c r="C170" s="41" t="s">
        <v>350</v>
      </c>
      <c r="D170" s="42">
        <f>ROUND(SUMIF(RV_DATA!V146:'RV_DATA'!V191, 1505566275, RV_DATA!I146:'RV_DATA'!I191), 6)</f>
        <v>1.5764</v>
      </c>
      <c r="E170" s="49">
        <f>ROUND(RV_DATA!K170, 6)</f>
        <v>16.54</v>
      </c>
      <c r="F170" s="49">
        <f>ROUND(SUMIF(RV_DATA!V146:'RV_DATA'!V191, 1505566275, RV_DATA!M146:'RV_DATA'!M191), 6)</f>
        <v>25.9</v>
      </c>
      <c r="Q170">
        <v>3</v>
      </c>
    </row>
    <row r="171" spans="1:17" ht="57" x14ac:dyDescent="0.2">
      <c r="A171" s="48" t="s">
        <v>332</v>
      </c>
      <c r="B171" s="41" t="s">
        <v>334</v>
      </c>
      <c r="C171" s="41" t="s">
        <v>40</v>
      </c>
      <c r="D171" s="42">
        <f>ROUND(SUMIF(RV_DATA!V146:'RV_DATA'!V191, -334664347, RV_DATA!I146:'RV_DATA'!I191), 6)</f>
        <v>6.8040000000000003E-2</v>
      </c>
      <c r="E171" s="49">
        <f>ROUND(RV_DATA!K157, 6)</f>
        <v>473.82</v>
      </c>
      <c r="F171" s="49">
        <f>ROUND(SUMIF(RV_DATA!V146:'RV_DATA'!V191, -334664347, RV_DATA!M146:'RV_DATA'!M191), 6)</f>
        <v>32.24</v>
      </c>
      <c r="Q171">
        <v>3</v>
      </c>
    </row>
    <row r="172" spans="1:17" ht="28.5" x14ac:dyDescent="0.2">
      <c r="A172" s="48" t="s">
        <v>76</v>
      </c>
      <c r="B172" s="41" t="s">
        <v>77</v>
      </c>
      <c r="C172" s="41" t="s">
        <v>78</v>
      </c>
      <c r="D172" s="42">
        <f>ROUND(SUMIF(RV_DATA!V146:'RV_DATA'!V191, 1813338865, RV_DATA!I146:'RV_DATA'!I191), 6)</f>
        <v>21</v>
      </c>
      <c r="E172" s="49">
        <f>ROUND(RV_DATA!K179, 6)</f>
        <v>37.5</v>
      </c>
      <c r="F172" s="49">
        <f>ROUND(SUMIF(RV_DATA!V146:'RV_DATA'!V191, 1813338865, RV_DATA!M146:'RV_DATA'!M191), 6)</f>
        <v>787.5</v>
      </c>
      <c r="Q172">
        <v>3</v>
      </c>
    </row>
    <row r="173" spans="1:17" ht="28.5" x14ac:dyDescent="0.2">
      <c r="A173" s="48" t="s">
        <v>76</v>
      </c>
      <c r="B173" s="41" t="s">
        <v>81</v>
      </c>
      <c r="C173" s="41" t="s">
        <v>78</v>
      </c>
      <c r="D173" s="42">
        <f>ROUND(SUMIF(RV_DATA!V146:'RV_DATA'!V191, -269009906, RV_DATA!I146:'RV_DATA'!I191), 6)</f>
        <v>84</v>
      </c>
      <c r="E173" s="49">
        <f>ROUND(RV_DATA!K180, 6)</f>
        <v>16.53</v>
      </c>
      <c r="F173" s="49">
        <f>ROUND(SUMIF(RV_DATA!V146:'RV_DATA'!V191, -269009906, RV_DATA!M146:'RV_DATA'!M191), 6)</f>
        <v>1388.52</v>
      </c>
      <c r="Q173">
        <v>3</v>
      </c>
    </row>
    <row r="174" spans="1:17" ht="28.5" x14ac:dyDescent="0.2">
      <c r="A174" s="48" t="s">
        <v>76</v>
      </c>
      <c r="B174" s="41" t="s">
        <v>227</v>
      </c>
      <c r="C174" s="41" t="s">
        <v>78</v>
      </c>
      <c r="D174" s="42">
        <f>ROUND(SUMIF(RV_DATA!V146:'RV_DATA'!V191, 1134996209, RV_DATA!I146:'RV_DATA'!I191), 6)</f>
        <v>6</v>
      </c>
      <c r="E174" s="49">
        <f>ROUND(RV_DATA!K181, 6)</f>
        <v>220.78</v>
      </c>
      <c r="F174" s="49">
        <f>ROUND(SUMIF(RV_DATA!V146:'RV_DATA'!V191, 1134996209, RV_DATA!M146:'RV_DATA'!M191), 6)</f>
        <v>1324.68</v>
      </c>
      <c r="Q174">
        <v>3</v>
      </c>
    </row>
    <row r="175" spans="1:17" ht="28.5" x14ac:dyDescent="0.2">
      <c r="A175" s="48" t="s">
        <v>76</v>
      </c>
      <c r="B175" s="41" t="s">
        <v>230</v>
      </c>
      <c r="C175" s="41" t="s">
        <v>78</v>
      </c>
      <c r="D175" s="42">
        <f>ROUND(SUMIF(RV_DATA!V146:'RV_DATA'!V191, 165661765, RV_DATA!I146:'RV_DATA'!I191), 6)</f>
        <v>1</v>
      </c>
      <c r="E175" s="49">
        <f>ROUND(RV_DATA!K182, 6)</f>
        <v>674.17</v>
      </c>
      <c r="F175" s="49">
        <f>ROUND(SUMIF(RV_DATA!V146:'RV_DATA'!V191, 165661765, RV_DATA!M146:'RV_DATA'!M191), 6)</f>
        <v>674.17</v>
      </c>
      <c r="Q175">
        <v>3</v>
      </c>
    </row>
    <row r="176" spans="1:17" ht="28.5" x14ac:dyDescent="0.2">
      <c r="A176" s="48" t="s">
        <v>76</v>
      </c>
      <c r="B176" s="41" t="s">
        <v>256</v>
      </c>
      <c r="C176" s="41" t="s">
        <v>78</v>
      </c>
      <c r="D176" s="42">
        <f>ROUND(SUMIF(RV_DATA!V146:'RV_DATA'!V191, 1167293652, RV_DATA!I146:'RV_DATA'!I191), 6)</f>
        <v>1</v>
      </c>
      <c r="E176" s="49">
        <f>ROUND(RV_DATA!K183, 6)</f>
        <v>197.23</v>
      </c>
      <c r="F176" s="49">
        <f>ROUND(SUMIF(RV_DATA!V146:'RV_DATA'!V191, 1167293652, RV_DATA!M146:'RV_DATA'!M191), 6)</f>
        <v>197.23</v>
      </c>
      <c r="Q176">
        <v>3</v>
      </c>
    </row>
    <row r="177" spans="1:17" ht="15" x14ac:dyDescent="0.25">
      <c r="A177" s="84" t="s">
        <v>496</v>
      </c>
      <c r="B177" s="84"/>
      <c r="C177" s="84"/>
      <c r="D177" s="84"/>
      <c r="E177" s="85">
        <f>SUMIF(Q151:Q176, 3, F151:F176)</f>
        <v>160697.25999999995</v>
      </c>
      <c r="F177" s="85"/>
    </row>
    <row r="178" spans="1:17" ht="16.5" x14ac:dyDescent="0.2">
      <c r="A178" s="77" t="str">
        <f>CONCATENATE("Раздел: ",IF(Source!G248&lt;&gt;"Новый раздел", Source!G248, ""))</f>
        <v>Раздел: Прочие затраты</v>
      </c>
      <c r="B178" s="78"/>
      <c r="C178" s="78"/>
      <c r="D178" s="78"/>
      <c r="E178" s="78"/>
      <c r="F178" s="78"/>
    </row>
    <row r="179" spans="1:17" ht="14.25" x14ac:dyDescent="0.2">
      <c r="A179" s="75" t="s">
        <v>493</v>
      </c>
      <c r="B179" s="76"/>
      <c r="C179" s="76"/>
      <c r="D179" s="76"/>
      <c r="E179" s="76"/>
      <c r="F179" s="76"/>
    </row>
    <row r="180" spans="1:17" ht="42.75" x14ac:dyDescent="0.2">
      <c r="A180" s="48" t="s">
        <v>389</v>
      </c>
      <c r="B180" s="41" t="s">
        <v>391</v>
      </c>
      <c r="C180" s="41" t="s">
        <v>286</v>
      </c>
      <c r="D180" s="42">
        <f>ROUND(SUMIF(RV_DATA!V193:'RV_DATA'!V197, 641873084, RV_DATA!I193:'RV_DATA'!I197), 6)</f>
        <v>0.412416</v>
      </c>
      <c r="E180" s="49">
        <f>ROUND(RV_DATA!K193, 6)</f>
        <v>1494.43</v>
      </c>
      <c r="F180" s="49">
        <f>ROUND(SUMIF(RV_DATA!V193:'RV_DATA'!V197, 641873084, RV_DATA!M193:'RV_DATA'!M197), 6)</f>
        <v>616.32000000000005</v>
      </c>
      <c r="Q180">
        <v>2</v>
      </c>
    </row>
    <row r="181" spans="1:17" ht="28.5" x14ac:dyDescent="0.2">
      <c r="A181" s="48" t="s">
        <v>392</v>
      </c>
      <c r="B181" s="41" t="s">
        <v>394</v>
      </c>
      <c r="C181" s="41" t="s">
        <v>286</v>
      </c>
      <c r="D181" s="42">
        <f>ROUND(SUMIF(RV_DATA!V193:'RV_DATA'!V197, 699525434, RV_DATA!I193:'RV_DATA'!I197), 6)</f>
        <v>2.6112000000000002</v>
      </c>
      <c r="E181" s="49">
        <f>ROUND(RV_DATA!K195, 6)</f>
        <v>1009.4</v>
      </c>
      <c r="F181" s="49">
        <f>ROUND(SUMIF(RV_DATA!V193:'RV_DATA'!V197, 699525434, RV_DATA!M193:'RV_DATA'!M197), 6)</f>
        <v>2634.78</v>
      </c>
      <c r="Q181">
        <v>2</v>
      </c>
    </row>
    <row r="182" spans="1:17" ht="28.5" x14ac:dyDescent="0.2">
      <c r="A182" s="48" t="s">
        <v>283</v>
      </c>
      <c r="B182" s="41" t="s">
        <v>285</v>
      </c>
      <c r="C182" s="41" t="s">
        <v>286</v>
      </c>
      <c r="D182" s="42">
        <f>ROUND(SUMIF(RV_DATA!V193:'RV_DATA'!V197, -1297827098, RV_DATA!I193:'RV_DATA'!I197), 6)</f>
        <v>2.10432</v>
      </c>
      <c r="E182" s="49">
        <f>ROUND(RV_DATA!K194, 6)</f>
        <v>1014.12</v>
      </c>
      <c r="F182" s="49">
        <f>ROUND(SUMIF(RV_DATA!V193:'RV_DATA'!V197, -1297827098, RV_DATA!M193:'RV_DATA'!M197), 6)</f>
        <v>2133.27</v>
      </c>
      <c r="Q182">
        <v>2</v>
      </c>
    </row>
    <row r="183" spans="1:17" ht="15" x14ac:dyDescent="0.25">
      <c r="A183" s="84" t="s">
        <v>494</v>
      </c>
      <c r="B183" s="84"/>
      <c r="C183" s="84"/>
      <c r="D183" s="84"/>
      <c r="E183" s="85">
        <f>SUMIF(Q180:Q182, 2, F180:F182)</f>
        <v>5384.3700000000008</v>
      </c>
      <c r="F183" s="85"/>
    </row>
  </sheetData>
  <sortState ref="A180:R182">
    <sortCondition ref="A180"/>
  </sortState>
  <mergeCells count="40">
    <mergeCell ref="A183:D183"/>
    <mergeCell ref="E183:F183"/>
    <mergeCell ref="A104:F104"/>
    <mergeCell ref="A134:D134"/>
    <mergeCell ref="E134:F134"/>
    <mergeCell ref="A135:F135"/>
    <mergeCell ref="A136:F136"/>
    <mergeCell ref="A149:D149"/>
    <mergeCell ref="E149:F149"/>
    <mergeCell ref="A150:F150"/>
    <mergeCell ref="A177:D177"/>
    <mergeCell ref="E177:F177"/>
    <mergeCell ref="A178:F178"/>
    <mergeCell ref="A179:F179"/>
    <mergeCell ref="A103:D103"/>
    <mergeCell ref="E103:F103"/>
    <mergeCell ref="A47:D47"/>
    <mergeCell ref="E47:F47"/>
    <mergeCell ref="A48:F48"/>
    <mergeCell ref="A49:F49"/>
    <mergeCell ref="A61:D61"/>
    <mergeCell ref="E61:F61"/>
    <mergeCell ref="A62:F62"/>
    <mergeCell ref="A86:D86"/>
    <mergeCell ref="E86:F86"/>
    <mergeCell ref="A87:F87"/>
    <mergeCell ref="A88:F88"/>
    <mergeCell ref="A23:F23"/>
    <mergeCell ref="A2:F2"/>
    <mergeCell ref="A3:F3"/>
    <mergeCell ref="A4:A6"/>
    <mergeCell ref="B4:B6"/>
    <mergeCell ref="C4:C6"/>
    <mergeCell ref="D4:D6"/>
    <mergeCell ref="E4:F5"/>
    <mergeCell ref="A8:F8"/>
    <mergeCell ref="A9:F9"/>
    <mergeCell ref="A10:F10"/>
    <mergeCell ref="A22:D22"/>
    <mergeCell ref="E22:F22"/>
  </mergeCells>
  <pageMargins left="0.6" right="0.4" top="0.65" bottom="0.4" header="0.4" footer="0.4"/>
  <pageSetup paperSize="9" scale="90" fitToHeight="0" orientation="portrait" r:id="rId1"/>
  <headerFooter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51"/>
  <sheetViews>
    <sheetView workbookViewId="0">
      <selection activeCell="J9" sqref="J9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32834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347</v>
      </c>
      <c r="C12" s="1">
        <v>0</v>
      </c>
      <c r="D12" s="1">
        <f>ROW(A312)</f>
        <v>312</v>
      </c>
      <c r="E12" s="1">
        <v>0</v>
      </c>
      <c r="F12" s="1" t="s">
        <v>3</v>
      </c>
      <c r="G12" s="1" t="s">
        <v>497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B312</f>
        <v>347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3 - Замена ограждения ГБПОУ МКАГ - ул. 12-я Парковая, д.13</v>
      </c>
      <c r="H18" s="2"/>
      <c r="I18" s="2"/>
      <c r="J18" s="2"/>
      <c r="K18" s="2"/>
      <c r="L18" s="2"/>
      <c r="M18" s="2"/>
      <c r="N18" s="2"/>
      <c r="O18" s="2">
        <f t="shared" ref="O18:AT18" si="1">O312</f>
        <v>1334483.6499999999</v>
      </c>
      <c r="P18" s="2">
        <f t="shared" si="1"/>
        <v>653081.81000000006</v>
      </c>
      <c r="Q18" s="2">
        <f t="shared" si="1"/>
        <v>248410.11</v>
      </c>
      <c r="R18" s="2">
        <f t="shared" si="1"/>
        <v>157038.01999999999</v>
      </c>
      <c r="S18" s="2">
        <f t="shared" si="1"/>
        <v>432991.73</v>
      </c>
      <c r="T18" s="2">
        <f t="shared" si="1"/>
        <v>0</v>
      </c>
      <c r="U18" s="2">
        <f t="shared" si="1"/>
        <v>1646.059835</v>
      </c>
      <c r="V18" s="2">
        <f t="shared" si="1"/>
        <v>0</v>
      </c>
      <c r="W18" s="2">
        <f t="shared" si="1"/>
        <v>0</v>
      </c>
      <c r="X18" s="2">
        <f t="shared" si="1"/>
        <v>303094.21000000002</v>
      </c>
      <c r="Y18" s="2">
        <f t="shared" si="1"/>
        <v>43299.199999999997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1844162.27</v>
      </c>
      <c r="AS18" s="2">
        <f t="shared" si="1"/>
        <v>0</v>
      </c>
      <c r="AT18" s="2">
        <f t="shared" si="1"/>
        <v>0</v>
      </c>
      <c r="AU18" s="2">
        <f t="shared" ref="AU18:BZ18" si="2">AU312</f>
        <v>1844162.27</v>
      </c>
      <c r="AV18" s="2">
        <f t="shared" si="2"/>
        <v>653081.81000000006</v>
      </c>
      <c r="AW18" s="2">
        <f t="shared" si="2"/>
        <v>653081.81000000006</v>
      </c>
      <c r="AX18" s="2">
        <f t="shared" si="2"/>
        <v>0</v>
      </c>
      <c r="AY18" s="2">
        <f t="shared" si="2"/>
        <v>653081.81000000006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CA312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DG312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EM312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FS312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ROW(A283)</f>
        <v>283</v>
      </c>
      <c r="E20" s="1"/>
      <c r="F20" s="1" t="s">
        <v>11</v>
      </c>
      <c r="G20" s="1" t="s">
        <v>11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 x14ac:dyDescent="0.2">
      <c r="A22" s="2">
        <v>52</v>
      </c>
      <c r="B22" s="2">
        <f t="shared" ref="B22:G22" si="7">B283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O283</f>
        <v>1334483.6499999999</v>
      </c>
      <c r="P22" s="2">
        <f t="shared" si="8"/>
        <v>653081.81000000006</v>
      </c>
      <c r="Q22" s="2">
        <f t="shared" si="8"/>
        <v>248410.11</v>
      </c>
      <c r="R22" s="2">
        <f t="shared" si="8"/>
        <v>157038.01999999999</v>
      </c>
      <c r="S22" s="2">
        <f t="shared" si="8"/>
        <v>432991.73</v>
      </c>
      <c r="T22" s="2">
        <f t="shared" si="8"/>
        <v>0</v>
      </c>
      <c r="U22" s="2">
        <f t="shared" si="8"/>
        <v>1646.059835</v>
      </c>
      <c r="V22" s="2">
        <f t="shared" si="8"/>
        <v>0</v>
      </c>
      <c r="W22" s="2">
        <f t="shared" si="8"/>
        <v>0</v>
      </c>
      <c r="X22" s="2">
        <f t="shared" si="8"/>
        <v>303094.21000000002</v>
      </c>
      <c r="Y22" s="2">
        <f t="shared" si="8"/>
        <v>43299.199999999997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1844162.27</v>
      </c>
      <c r="AS22" s="2">
        <f t="shared" si="8"/>
        <v>0</v>
      </c>
      <c r="AT22" s="2">
        <f t="shared" si="8"/>
        <v>0</v>
      </c>
      <c r="AU22" s="2">
        <f t="shared" ref="AU22:BZ22" si="9">AU283</f>
        <v>1844162.27</v>
      </c>
      <c r="AV22" s="2">
        <f t="shared" si="9"/>
        <v>653081.81000000006</v>
      </c>
      <c r="AW22" s="2">
        <f t="shared" si="9"/>
        <v>653081.81000000006</v>
      </c>
      <c r="AX22" s="2">
        <f t="shared" si="9"/>
        <v>0</v>
      </c>
      <c r="AY22" s="2">
        <f t="shared" si="9"/>
        <v>653081.81000000006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CA283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DG283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EM283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FS283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ROW(A47)</f>
        <v>47</v>
      </c>
      <c r="E24" s="1"/>
      <c r="F24" s="1" t="s">
        <v>12</v>
      </c>
      <c r="G24" s="1" t="s">
        <v>13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B47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Установка ограждения - Участок 1</v>
      </c>
      <c r="H26" s="2"/>
      <c r="I26" s="2"/>
      <c r="J26" s="2"/>
      <c r="K26" s="2"/>
      <c r="L26" s="2"/>
      <c r="M26" s="2"/>
      <c r="N26" s="2"/>
      <c r="O26" s="2">
        <f t="shared" ref="O26:AT26" si="15">O47</f>
        <v>338600.09</v>
      </c>
      <c r="P26" s="2">
        <f t="shared" si="15"/>
        <v>173234.6</v>
      </c>
      <c r="Q26" s="2">
        <f t="shared" si="15"/>
        <v>59869.14</v>
      </c>
      <c r="R26" s="2">
        <f t="shared" si="15"/>
        <v>37915.79</v>
      </c>
      <c r="S26" s="2">
        <f t="shared" si="15"/>
        <v>105496.35</v>
      </c>
      <c r="T26" s="2">
        <f t="shared" si="15"/>
        <v>0</v>
      </c>
      <c r="U26" s="2">
        <f t="shared" si="15"/>
        <v>399.14294500000005</v>
      </c>
      <c r="V26" s="2">
        <f t="shared" si="15"/>
        <v>0</v>
      </c>
      <c r="W26" s="2">
        <f t="shared" si="15"/>
        <v>0</v>
      </c>
      <c r="X26" s="2">
        <f t="shared" si="15"/>
        <v>73847.44</v>
      </c>
      <c r="Y26" s="2">
        <f t="shared" si="15"/>
        <v>10549.64</v>
      </c>
      <c r="Z26" s="2">
        <f t="shared" si="15"/>
        <v>0</v>
      </c>
      <c r="AA26" s="2">
        <f t="shared" si="15"/>
        <v>0</v>
      </c>
      <c r="AB26" s="2">
        <f t="shared" si="15"/>
        <v>338600.09</v>
      </c>
      <c r="AC26" s="2">
        <f t="shared" si="15"/>
        <v>173234.6</v>
      </c>
      <c r="AD26" s="2">
        <f t="shared" si="15"/>
        <v>59869.14</v>
      </c>
      <c r="AE26" s="2">
        <f t="shared" si="15"/>
        <v>37915.79</v>
      </c>
      <c r="AF26" s="2">
        <f t="shared" si="15"/>
        <v>105496.35</v>
      </c>
      <c r="AG26" s="2">
        <f t="shared" si="15"/>
        <v>0</v>
      </c>
      <c r="AH26" s="2">
        <f t="shared" si="15"/>
        <v>399.14294500000005</v>
      </c>
      <c r="AI26" s="2">
        <f t="shared" si="15"/>
        <v>0</v>
      </c>
      <c r="AJ26" s="2">
        <f t="shared" si="15"/>
        <v>0</v>
      </c>
      <c r="AK26" s="2">
        <f t="shared" si="15"/>
        <v>73847.44</v>
      </c>
      <c r="AL26" s="2">
        <f t="shared" si="15"/>
        <v>10549.64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463098.78</v>
      </c>
      <c r="AS26" s="2">
        <f t="shared" si="15"/>
        <v>0</v>
      </c>
      <c r="AT26" s="2">
        <f t="shared" si="15"/>
        <v>0</v>
      </c>
      <c r="AU26" s="2">
        <f t="shared" ref="AU26:BZ26" si="16">AU47</f>
        <v>463098.78</v>
      </c>
      <c r="AV26" s="2">
        <f t="shared" si="16"/>
        <v>173234.6</v>
      </c>
      <c r="AW26" s="2">
        <f t="shared" si="16"/>
        <v>173234.6</v>
      </c>
      <c r="AX26" s="2">
        <f t="shared" si="16"/>
        <v>0</v>
      </c>
      <c r="AY26" s="2">
        <f t="shared" si="16"/>
        <v>173234.6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CA47</f>
        <v>463098.78</v>
      </c>
      <c r="CB26" s="2">
        <f t="shared" si="17"/>
        <v>0</v>
      </c>
      <c r="CC26" s="2">
        <f t="shared" si="17"/>
        <v>0</v>
      </c>
      <c r="CD26" s="2">
        <f t="shared" si="17"/>
        <v>463098.78</v>
      </c>
      <c r="CE26" s="2">
        <f t="shared" si="17"/>
        <v>173234.6</v>
      </c>
      <c r="CF26" s="2">
        <f t="shared" si="17"/>
        <v>173234.6</v>
      </c>
      <c r="CG26" s="2">
        <f t="shared" si="17"/>
        <v>0</v>
      </c>
      <c r="CH26" s="2">
        <f t="shared" si="17"/>
        <v>173234.6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DG47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EM47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FS47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ROW(SmtRes!A1)</f>
        <v>1</v>
      </c>
      <c r="D28">
        <f>ROW(EtalonRes!A1)</f>
        <v>1</v>
      </c>
      <c r="E28" t="s">
        <v>14</v>
      </c>
      <c r="F28" t="s">
        <v>15</v>
      </c>
      <c r="G28" t="s">
        <v>16</v>
      </c>
      <c r="H28" t="s">
        <v>17</v>
      </c>
      <c r="I28">
        <v>2.7E-2</v>
      </c>
      <c r="J28">
        <v>0</v>
      </c>
      <c r="O28">
        <f t="shared" ref="O28:O45" si="21">ROUND(CP28,2)</f>
        <v>1132.68</v>
      </c>
      <c r="P28">
        <f t="shared" ref="P28:P45" si="22">ROUND(CQ28*I28,2)</f>
        <v>0</v>
      </c>
      <c r="Q28">
        <f t="shared" ref="Q28:Q45" si="23">ROUND(CR28*I28,2)</f>
        <v>0</v>
      </c>
      <c r="R28">
        <f t="shared" ref="R28:R45" si="24">ROUND(CS28*I28,2)</f>
        <v>0</v>
      </c>
      <c r="S28">
        <f t="shared" ref="S28:S45" si="25">ROUND(CT28*I28,2)</f>
        <v>1132.68</v>
      </c>
      <c r="T28">
        <f t="shared" ref="T28:T45" si="26">ROUND(CU28*I28,2)</f>
        <v>0</v>
      </c>
      <c r="U28">
        <f t="shared" ref="U28:U45" si="27">CV28*I28</f>
        <v>5.9832000000000001</v>
      </c>
      <c r="V28">
        <f t="shared" ref="V28:V45" si="28">CW28*I28</f>
        <v>0</v>
      </c>
      <c r="W28">
        <f t="shared" ref="W28:W45" si="29">ROUND(CX28*I28,2)</f>
        <v>0</v>
      </c>
      <c r="X28">
        <f t="shared" ref="X28:X45" si="30">ROUND(CY28,2)</f>
        <v>792.88</v>
      </c>
      <c r="Y28">
        <f t="shared" ref="Y28:Y45" si="31">ROUND(CZ28,2)</f>
        <v>113.27</v>
      </c>
      <c r="AA28">
        <v>46561299</v>
      </c>
      <c r="AB28">
        <f t="shared" ref="AB28:AB45" si="32">ROUND((AC28+AD28+AF28),6)</f>
        <v>41951.1</v>
      </c>
      <c r="AC28">
        <f>ROUND((ES28),6)</f>
        <v>0</v>
      </c>
      <c r="AD28">
        <f>ROUND((((ET28)-(EU28))+AE28),6)</f>
        <v>0</v>
      </c>
      <c r="AE28">
        <f t="shared" ref="AE28:AF30" si="33">ROUND((EU28),6)</f>
        <v>0</v>
      </c>
      <c r="AF28">
        <f t="shared" si="33"/>
        <v>41951.1</v>
      </c>
      <c r="AG28">
        <f t="shared" ref="AG28:AG45" si="34">ROUND((AP28),6)</f>
        <v>0</v>
      </c>
      <c r="AH28">
        <f t="shared" ref="AH28:AI30" si="35">(EW28)</f>
        <v>221.6</v>
      </c>
      <c r="AI28">
        <f t="shared" si="35"/>
        <v>0</v>
      </c>
      <c r="AJ28">
        <f t="shared" ref="AJ28:AJ45" si="36">(AS28)</f>
        <v>0</v>
      </c>
      <c r="AK28">
        <v>41951.1</v>
      </c>
      <c r="AL28">
        <v>0</v>
      </c>
      <c r="AM28">
        <v>0</v>
      </c>
      <c r="AN28">
        <v>0</v>
      </c>
      <c r="AO28">
        <v>41951.1</v>
      </c>
      <c r="AP28">
        <v>0</v>
      </c>
      <c r="AQ28">
        <v>221.6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18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45" si="37">(P28+Q28+S28)</f>
        <v>1132.68</v>
      </c>
      <c r="CQ28">
        <f t="shared" ref="CQ28:CQ45" si="38">(AC28*BC28*AW28)</f>
        <v>0</v>
      </c>
      <c r="CR28">
        <f>((((ET28)*BB28-(EU28)*BS28)+AE28*BS28)*AV28)</f>
        <v>0</v>
      </c>
      <c r="CS28">
        <f t="shared" ref="CS28:CS45" si="39">(AE28*BS28*AV28)</f>
        <v>0</v>
      </c>
      <c r="CT28">
        <f t="shared" ref="CT28:CT45" si="40">(AF28*BA28*AV28)</f>
        <v>41951.1</v>
      </c>
      <c r="CU28">
        <f t="shared" ref="CU28:CU45" si="41">AG28</f>
        <v>0</v>
      </c>
      <c r="CV28">
        <f t="shared" ref="CV28:CV45" si="42">(AH28*AV28)</f>
        <v>221.6</v>
      </c>
      <c r="CW28">
        <f t="shared" ref="CW28:CW45" si="43">AI28</f>
        <v>0</v>
      </c>
      <c r="CX28">
        <f t="shared" ref="CX28:CX45" si="44">AJ28</f>
        <v>0</v>
      </c>
      <c r="CY28">
        <f t="shared" ref="CY28:CY45" si="45">((S28*BZ28)/100)</f>
        <v>792.87600000000009</v>
      </c>
      <c r="CZ28">
        <f t="shared" ref="CZ28:CZ45" si="46">((S28*CA28)/100)</f>
        <v>113.26800000000001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1007</v>
      </c>
      <c r="DV28" t="s">
        <v>17</v>
      </c>
      <c r="DW28" t="s">
        <v>17</v>
      </c>
      <c r="DX28">
        <v>100</v>
      </c>
      <c r="EE28">
        <v>46035301</v>
      </c>
      <c r="EF28">
        <v>1</v>
      </c>
      <c r="EG28" t="s">
        <v>19</v>
      </c>
      <c r="EH28">
        <v>0</v>
      </c>
      <c r="EI28" t="s">
        <v>3</v>
      </c>
      <c r="EJ28">
        <v>4</v>
      </c>
      <c r="EK28">
        <v>0</v>
      </c>
      <c r="EL28" t="s">
        <v>20</v>
      </c>
      <c r="EM28" t="s">
        <v>21</v>
      </c>
      <c r="EO28" t="s">
        <v>3</v>
      </c>
      <c r="EQ28">
        <v>131072</v>
      </c>
      <c r="ER28">
        <v>41951.1</v>
      </c>
      <c r="ES28">
        <v>0</v>
      </c>
      <c r="ET28">
        <v>0</v>
      </c>
      <c r="EU28">
        <v>0</v>
      </c>
      <c r="EV28">
        <v>41951.1</v>
      </c>
      <c r="EW28">
        <v>221.6</v>
      </c>
      <c r="EX28">
        <v>0</v>
      </c>
      <c r="EY28">
        <v>0</v>
      </c>
      <c r="FQ28">
        <v>0</v>
      </c>
      <c r="FR28">
        <f t="shared" ref="FR28:FR45" si="47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1383297733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ref="GL28:GL45" si="48">ROUND(IF(AND(BH28=3,BI28=3,FS28&lt;&gt;0),P28,0),2)</f>
        <v>0</v>
      </c>
      <c r="GM28">
        <f>ROUND(O28+X28+Y28+GK28,2)+GX28</f>
        <v>2038.83</v>
      </c>
      <c r="GN28">
        <f>IF(OR(BI28=0,BI28=1),ROUND(O28+X28+Y28+GK28,2),0)</f>
        <v>0</v>
      </c>
      <c r="GO28">
        <f>IF(BI28=2,ROUND(O28+X28+Y28+GK28,2),0)</f>
        <v>0</v>
      </c>
      <c r="GP28">
        <f>IF(BI28=4,ROUND(O28+X28+Y28+GK28,2)+GX28,0)</f>
        <v>2038.83</v>
      </c>
      <c r="GR28">
        <v>0</v>
      </c>
      <c r="GS28">
        <v>3</v>
      </c>
      <c r="GT28">
        <v>0</v>
      </c>
      <c r="GU28" t="s">
        <v>3</v>
      </c>
      <c r="GV28">
        <f t="shared" ref="GV28:GV45" si="49">ROUND((GT28),6)</f>
        <v>0</v>
      </c>
      <c r="GW28">
        <v>1</v>
      </c>
      <c r="GX28">
        <f t="shared" ref="GX28:GX45" si="50">ROUND(HC28*I28,2)</f>
        <v>0</v>
      </c>
      <c r="HA28">
        <v>0</v>
      </c>
      <c r="HB28">
        <v>0</v>
      </c>
      <c r="HC28">
        <f t="shared" ref="HC28:HC45" si="51">GV28*GW28</f>
        <v>0</v>
      </c>
      <c r="IK28">
        <v>0</v>
      </c>
    </row>
    <row r="29" spans="1:245" x14ac:dyDescent="0.2">
      <c r="A29">
        <v>17</v>
      </c>
      <c r="B29">
        <v>1</v>
      </c>
      <c r="C29">
        <f>ROW(SmtRes!A2)</f>
        <v>2</v>
      </c>
      <c r="D29">
        <f>ROW(EtalonRes!A2)</f>
        <v>2</v>
      </c>
      <c r="E29" t="s">
        <v>22</v>
      </c>
      <c r="F29" t="s">
        <v>23</v>
      </c>
      <c r="G29" t="s">
        <v>24</v>
      </c>
      <c r="H29" t="s">
        <v>17</v>
      </c>
      <c r="I29">
        <v>2.7E-2</v>
      </c>
      <c r="J29">
        <v>0</v>
      </c>
      <c r="O29">
        <f t="shared" si="21"/>
        <v>300.52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300.52</v>
      </c>
      <c r="T29">
        <f t="shared" si="26"/>
        <v>0</v>
      </c>
      <c r="U29">
        <f t="shared" si="27"/>
        <v>2.2410000000000001</v>
      </c>
      <c r="V29">
        <f t="shared" si="28"/>
        <v>0</v>
      </c>
      <c r="W29">
        <f t="shared" si="29"/>
        <v>0</v>
      </c>
      <c r="X29">
        <f t="shared" si="30"/>
        <v>210.36</v>
      </c>
      <c r="Y29">
        <f t="shared" si="31"/>
        <v>30.05</v>
      </c>
      <c r="AA29">
        <v>46561299</v>
      </c>
      <c r="AB29">
        <f t="shared" si="32"/>
        <v>11130.3</v>
      </c>
      <c r="AC29">
        <f>ROUND((ES29),6)</f>
        <v>0</v>
      </c>
      <c r="AD29">
        <f>ROUND((((ET29)-(EU29))+AE29),6)</f>
        <v>0</v>
      </c>
      <c r="AE29">
        <f t="shared" si="33"/>
        <v>0</v>
      </c>
      <c r="AF29">
        <f t="shared" si="33"/>
        <v>11130.3</v>
      </c>
      <c r="AG29">
        <f t="shared" si="34"/>
        <v>0</v>
      </c>
      <c r="AH29">
        <f t="shared" si="35"/>
        <v>83</v>
      </c>
      <c r="AI29">
        <f t="shared" si="35"/>
        <v>0</v>
      </c>
      <c r="AJ29">
        <f t="shared" si="36"/>
        <v>0</v>
      </c>
      <c r="AK29">
        <v>11130.3</v>
      </c>
      <c r="AL29">
        <v>0</v>
      </c>
      <c r="AM29">
        <v>0</v>
      </c>
      <c r="AN29">
        <v>0</v>
      </c>
      <c r="AO29">
        <v>11130.3</v>
      </c>
      <c r="AP29">
        <v>0</v>
      </c>
      <c r="AQ29">
        <v>83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25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7"/>
        <v>300.52</v>
      </c>
      <c r="CQ29">
        <f t="shared" si="38"/>
        <v>0</v>
      </c>
      <c r="CR29">
        <f>((((ET29)*BB29-(EU29)*BS29)+AE29*BS29)*AV29)</f>
        <v>0</v>
      </c>
      <c r="CS29">
        <f t="shared" si="39"/>
        <v>0</v>
      </c>
      <c r="CT29">
        <f t="shared" si="40"/>
        <v>11130.3</v>
      </c>
      <c r="CU29">
        <f t="shared" si="41"/>
        <v>0</v>
      </c>
      <c r="CV29">
        <f t="shared" si="42"/>
        <v>83</v>
      </c>
      <c r="CW29">
        <f t="shared" si="43"/>
        <v>0</v>
      </c>
      <c r="CX29">
        <f t="shared" si="44"/>
        <v>0</v>
      </c>
      <c r="CY29">
        <f t="shared" si="45"/>
        <v>210.36399999999998</v>
      </c>
      <c r="CZ29">
        <f t="shared" si="46"/>
        <v>30.052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1007</v>
      </c>
      <c r="DV29" t="s">
        <v>17</v>
      </c>
      <c r="DW29" t="s">
        <v>17</v>
      </c>
      <c r="DX29">
        <v>100</v>
      </c>
      <c r="EE29">
        <v>46035301</v>
      </c>
      <c r="EF29">
        <v>1</v>
      </c>
      <c r="EG29" t="s">
        <v>19</v>
      </c>
      <c r="EH29">
        <v>0</v>
      </c>
      <c r="EI29" t="s">
        <v>3</v>
      </c>
      <c r="EJ29">
        <v>4</v>
      </c>
      <c r="EK29">
        <v>0</v>
      </c>
      <c r="EL29" t="s">
        <v>20</v>
      </c>
      <c r="EM29" t="s">
        <v>21</v>
      </c>
      <c r="EO29" t="s">
        <v>3</v>
      </c>
      <c r="EQ29">
        <v>131072</v>
      </c>
      <c r="ER29">
        <v>11130.3</v>
      </c>
      <c r="ES29">
        <v>0</v>
      </c>
      <c r="ET29">
        <v>0</v>
      </c>
      <c r="EU29">
        <v>0</v>
      </c>
      <c r="EV29">
        <v>11130.3</v>
      </c>
      <c r="EW29">
        <v>83</v>
      </c>
      <c r="EX29">
        <v>0</v>
      </c>
      <c r="EY29">
        <v>0</v>
      </c>
      <c r="FQ29">
        <v>0</v>
      </c>
      <c r="FR29">
        <f t="shared" si="47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-1624416853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48"/>
        <v>0</v>
      </c>
      <c r="GM29">
        <f>ROUND(O29+X29+Y29+GK29,2)+GX29</f>
        <v>540.92999999999995</v>
      </c>
      <c r="GN29">
        <f>IF(OR(BI29=0,BI29=1),ROUND(O29+X29+Y29+GK29,2),0)</f>
        <v>0</v>
      </c>
      <c r="GO29">
        <f>IF(BI29=2,ROUND(O29+X29+Y29+GK29,2),0)</f>
        <v>0</v>
      </c>
      <c r="GP29">
        <f>IF(BI29=4,ROUND(O29+X29+Y29+GK29,2)+GX29,0)</f>
        <v>540.92999999999995</v>
      </c>
      <c r="GR29">
        <v>0</v>
      </c>
      <c r="GS29">
        <v>3</v>
      </c>
      <c r="GT29">
        <v>0</v>
      </c>
      <c r="GU29" t="s">
        <v>3</v>
      </c>
      <c r="GV29">
        <f t="shared" si="49"/>
        <v>0</v>
      </c>
      <c r="GW29">
        <v>1</v>
      </c>
      <c r="GX29">
        <f t="shared" si="50"/>
        <v>0</v>
      </c>
      <c r="HA29">
        <v>0</v>
      </c>
      <c r="HB29">
        <v>0</v>
      </c>
      <c r="HC29">
        <f t="shared" si="51"/>
        <v>0</v>
      </c>
      <c r="IK29">
        <v>0</v>
      </c>
    </row>
    <row r="30" spans="1:245" x14ac:dyDescent="0.2">
      <c r="A30">
        <v>17</v>
      </c>
      <c r="B30">
        <v>1</v>
      </c>
      <c r="C30">
        <f>ROW(SmtRes!A3)</f>
        <v>3</v>
      </c>
      <c r="D30">
        <f>ROW(EtalonRes!A3)</f>
        <v>3</v>
      </c>
      <c r="E30" t="s">
        <v>26</v>
      </c>
      <c r="F30" t="s">
        <v>27</v>
      </c>
      <c r="G30" t="s">
        <v>28</v>
      </c>
      <c r="H30" t="s">
        <v>29</v>
      </c>
      <c r="I30">
        <v>2.7</v>
      </c>
      <c r="J30">
        <v>0</v>
      </c>
      <c r="O30">
        <f t="shared" si="21"/>
        <v>127.63</v>
      </c>
      <c r="P30">
        <f t="shared" si="22"/>
        <v>0</v>
      </c>
      <c r="Q30">
        <f t="shared" si="23"/>
        <v>127.63</v>
      </c>
      <c r="R30">
        <f t="shared" si="24"/>
        <v>69.28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46561299</v>
      </c>
      <c r="AB30">
        <f t="shared" si="32"/>
        <v>47.27</v>
      </c>
      <c r="AC30">
        <f>ROUND((ES30),6)</f>
        <v>0</v>
      </c>
      <c r="AD30">
        <f>ROUND((((ET30)-(EU30))+AE30),6)</f>
        <v>47.27</v>
      </c>
      <c r="AE30">
        <f t="shared" si="33"/>
        <v>25.66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5"/>
        <v>0</v>
      </c>
      <c r="AJ30">
        <f t="shared" si="36"/>
        <v>0</v>
      </c>
      <c r="AK30">
        <v>47.27</v>
      </c>
      <c r="AL30">
        <v>0</v>
      </c>
      <c r="AM30">
        <v>47.27</v>
      </c>
      <c r="AN30">
        <v>25.66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30</v>
      </c>
      <c r="BM30">
        <v>1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0</v>
      </c>
      <c r="CA30">
        <v>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7"/>
        <v>127.63</v>
      </c>
      <c r="CQ30">
        <f t="shared" si="38"/>
        <v>0</v>
      </c>
      <c r="CR30">
        <f>((((ET30)*BB30-(EU30)*BS30)+AE30*BS30)*AV30)</f>
        <v>47.27</v>
      </c>
      <c r="CS30">
        <f t="shared" si="39"/>
        <v>25.66</v>
      </c>
      <c r="CT30">
        <f t="shared" si="40"/>
        <v>0</v>
      </c>
      <c r="CU30">
        <f t="shared" si="41"/>
        <v>0</v>
      </c>
      <c r="CV30">
        <f t="shared" si="42"/>
        <v>0</v>
      </c>
      <c r="CW30">
        <f t="shared" si="43"/>
        <v>0</v>
      </c>
      <c r="CX30">
        <f t="shared" si="44"/>
        <v>0</v>
      </c>
      <c r="CY30">
        <f t="shared" si="45"/>
        <v>0</v>
      </c>
      <c r="CZ30">
        <f t="shared" si="46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29</v>
      </c>
      <c r="DW30" t="s">
        <v>29</v>
      </c>
      <c r="DX30">
        <v>1</v>
      </c>
      <c r="EE30">
        <v>46035303</v>
      </c>
      <c r="EF30">
        <v>1</v>
      </c>
      <c r="EG30" t="s">
        <v>19</v>
      </c>
      <c r="EH30">
        <v>0</v>
      </c>
      <c r="EI30" t="s">
        <v>3</v>
      </c>
      <c r="EJ30">
        <v>4</v>
      </c>
      <c r="EK30">
        <v>1</v>
      </c>
      <c r="EL30" t="s">
        <v>31</v>
      </c>
      <c r="EM30" t="s">
        <v>21</v>
      </c>
      <c r="EO30" t="s">
        <v>3</v>
      </c>
      <c r="EQ30">
        <v>131072</v>
      </c>
      <c r="ER30">
        <v>47.27</v>
      </c>
      <c r="ES30">
        <v>0</v>
      </c>
      <c r="ET30">
        <v>47.27</v>
      </c>
      <c r="EU30">
        <v>25.66</v>
      </c>
      <c r="EV30">
        <v>0</v>
      </c>
      <c r="EW30">
        <v>0</v>
      </c>
      <c r="EX30">
        <v>0</v>
      </c>
      <c r="EY30">
        <v>0</v>
      </c>
      <c r="FQ30">
        <v>0</v>
      </c>
      <c r="FR30">
        <f t="shared" si="47"/>
        <v>0</v>
      </c>
      <c r="FS30">
        <v>0</v>
      </c>
      <c r="FX30">
        <v>0</v>
      </c>
      <c r="FY30">
        <v>0</v>
      </c>
      <c r="GA30" t="s">
        <v>3</v>
      </c>
      <c r="GD30">
        <v>1</v>
      </c>
      <c r="GF30">
        <v>-1023303705</v>
      </c>
      <c r="GG30">
        <v>2</v>
      </c>
      <c r="GH30">
        <v>1</v>
      </c>
      <c r="GI30">
        <v>-2</v>
      </c>
      <c r="GJ30">
        <v>0</v>
      </c>
      <c r="GK30">
        <v>0</v>
      </c>
      <c r="GL30">
        <f t="shared" si="48"/>
        <v>0</v>
      </c>
      <c r="GM30">
        <f>ROUND(O30+X30+Y30,2)+GX30</f>
        <v>127.63</v>
      </c>
      <c r="GN30">
        <f>IF(OR(BI30=0,BI30=1),ROUND(O30+X30+Y30,2),0)</f>
        <v>0</v>
      </c>
      <c r="GO30">
        <f>IF(BI30=2,ROUND(O30+X30+Y30,2),0)</f>
        <v>0</v>
      </c>
      <c r="GP30">
        <f>IF(BI30=4,ROUND(O30+X30+Y30,2)+GX30,0)</f>
        <v>127.63</v>
      </c>
      <c r="GR30">
        <v>0</v>
      </c>
      <c r="GS30">
        <v>3</v>
      </c>
      <c r="GT30">
        <v>0</v>
      </c>
      <c r="GU30" t="s">
        <v>3</v>
      </c>
      <c r="GV30">
        <f t="shared" si="49"/>
        <v>0</v>
      </c>
      <c r="GW30">
        <v>1</v>
      </c>
      <c r="GX30">
        <f t="shared" si="50"/>
        <v>0</v>
      </c>
      <c r="HA30">
        <v>0</v>
      </c>
      <c r="HB30">
        <v>0</v>
      </c>
      <c r="HC30">
        <f t="shared" si="51"/>
        <v>0</v>
      </c>
      <c r="IK30">
        <v>0</v>
      </c>
    </row>
    <row r="31" spans="1:245" x14ac:dyDescent="0.2">
      <c r="A31">
        <v>17</v>
      </c>
      <c r="B31">
        <v>1</v>
      </c>
      <c r="C31">
        <f>ROW(SmtRes!A4)</f>
        <v>4</v>
      </c>
      <c r="D31">
        <f>ROW(EtalonRes!A4)</f>
        <v>4</v>
      </c>
      <c r="E31" t="s">
        <v>32</v>
      </c>
      <c r="F31" t="s">
        <v>33</v>
      </c>
      <c r="G31" t="s">
        <v>34</v>
      </c>
      <c r="H31" t="s">
        <v>29</v>
      </c>
      <c r="I31">
        <v>2.7</v>
      </c>
      <c r="J31">
        <v>0</v>
      </c>
      <c r="O31">
        <f t="shared" si="21"/>
        <v>1317.6</v>
      </c>
      <c r="P31">
        <f t="shared" si="22"/>
        <v>0</v>
      </c>
      <c r="Q31">
        <f t="shared" si="23"/>
        <v>1317.6</v>
      </c>
      <c r="R31">
        <f t="shared" si="24"/>
        <v>715.39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1"/>
        <v>0</v>
      </c>
      <c r="AA31">
        <v>46561299</v>
      </c>
      <c r="AB31">
        <f t="shared" si="32"/>
        <v>488</v>
      </c>
      <c r="AC31">
        <f>ROUND(((ES31*32)),6)</f>
        <v>0</v>
      </c>
      <c r="AD31">
        <f>ROUND(((((ET31*32))-((EU31*32)))+AE31),6)</f>
        <v>488</v>
      </c>
      <c r="AE31">
        <f>ROUND(((EU31*32)),6)</f>
        <v>264.95999999999998</v>
      </c>
      <c r="AF31">
        <f>ROUND(((EV31*32)),6)</f>
        <v>0</v>
      </c>
      <c r="AG31">
        <f t="shared" si="34"/>
        <v>0</v>
      </c>
      <c r="AH31">
        <f>((EW31*32))</f>
        <v>0</v>
      </c>
      <c r="AI31">
        <f>((EX31*32))</f>
        <v>0</v>
      </c>
      <c r="AJ31">
        <f t="shared" si="36"/>
        <v>0</v>
      </c>
      <c r="AK31">
        <v>15.25</v>
      </c>
      <c r="AL31">
        <v>0</v>
      </c>
      <c r="AM31">
        <v>15.25</v>
      </c>
      <c r="AN31">
        <v>8.2799999999999994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35</v>
      </c>
      <c r="BM31">
        <v>1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0</v>
      </c>
      <c r="CA31">
        <v>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7"/>
        <v>1317.6</v>
      </c>
      <c r="CQ31">
        <f t="shared" si="38"/>
        <v>0</v>
      </c>
      <c r="CR31">
        <f>(((((ET31*32))*BB31-((EU31*32))*BS31)+AE31*BS31)*AV31)</f>
        <v>488</v>
      </c>
      <c r="CS31">
        <f t="shared" si="39"/>
        <v>264.95999999999998</v>
      </c>
      <c r="CT31">
        <f t="shared" si="40"/>
        <v>0</v>
      </c>
      <c r="CU31">
        <f t="shared" si="41"/>
        <v>0</v>
      </c>
      <c r="CV31">
        <f t="shared" si="42"/>
        <v>0</v>
      </c>
      <c r="CW31">
        <f t="shared" si="43"/>
        <v>0</v>
      </c>
      <c r="CX31">
        <f t="shared" si="44"/>
        <v>0</v>
      </c>
      <c r="CY31">
        <f t="shared" si="45"/>
        <v>0</v>
      </c>
      <c r="CZ31">
        <f t="shared" si="46"/>
        <v>0</v>
      </c>
      <c r="DC31" t="s">
        <v>3</v>
      </c>
      <c r="DD31" t="s">
        <v>36</v>
      </c>
      <c r="DE31" t="s">
        <v>36</v>
      </c>
      <c r="DF31" t="s">
        <v>36</v>
      </c>
      <c r="DG31" t="s">
        <v>36</v>
      </c>
      <c r="DH31" t="s">
        <v>3</v>
      </c>
      <c r="DI31" t="s">
        <v>36</v>
      </c>
      <c r="DJ31" t="s">
        <v>36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1007</v>
      </c>
      <c r="DV31" t="s">
        <v>29</v>
      </c>
      <c r="DW31" t="s">
        <v>29</v>
      </c>
      <c r="DX31">
        <v>1</v>
      </c>
      <c r="EE31">
        <v>46035303</v>
      </c>
      <c r="EF31">
        <v>1</v>
      </c>
      <c r="EG31" t="s">
        <v>19</v>
      </c>
      <c r="EH31">
        <v>0</v>
      </c>
      <c r="EI31" t="s">
        <v>3</v>
      </c>
      <c r="EJ31">
        <v>4</v>
      </c>
      <c r="EK31">
        <v>1</v>
      </c>
      <c r="EL31" t="s">
        <v>31</v>
      </c>
      <c r="EM31" t="s">
        <v>21</v>
      </c>
      <c r="EO31" t="s">
        <v>3</v>
      </c>
      <c r="EQ31">
        <v>131072</v>
      </c>
      <c r="ER31">
        <v>15.25</v>
      </c>
      <c r="ES31">
        <v>0</v>
      </c>
      <c r="ET31">
        <v>15.25</v>
      </c>
      <c r="EU31">
        <v>8.2799999999999994</v>
      </c>
      <c r="EV31">
        <v>0</v>
      </c>
      <c r="EW31">
        <v>0</v>
      </c>
      <c r="EX31">
        <v>0</v>
      </c>
      <c r="EY31">
        <v>0</v>
      </c>
      <c r="FQ31">
        <v>0</v>
      </c>
      <c r="FR31">
        <f t="shared" si="47"/>
        <v>0</v>
      </c>
      <c r="FS31">
        <v>0</v>
      </c>
      <c r="FX31">
        <v>0</v>
      </c>
      <c r="FY31">
        <v>0</v>
      </c>
      <c r="GA31" t="s">
        <v>3</v>
      </c>
      <c r="GD31">
        <v>1</v>
      </c>
      <c r="GF31">
        <v>-103757531</v>
      </c>
      <c r="GG31">
        <v>2</v>
      </c>
      <c r="GH31">
        <v>1</v>
      </c>
      <c r="GI31">
        <v>-2</v>
      </c>
      <c r="GJ31">
        <v>0</v>
      </c>
      <c r="GK31">
        <v>0</v>
      </c>
      <c r="GL31">
        <f t="shared" si="48"/>
        <v>0</v>
      </c>
      <c r="GM31">
        <f>ROUND(O31+X31+Y31,2)+GX31</f>
        <v>1317.6</v>
      </c>
      <c r="GN31">
        <f>IF(OR(BI31=0,BI31=1),ROUND(O31+X31+Y31,2),0)</f>
        <v>0</v>
      </c>
      <c r="GO31">
        <f>IF(BI31=2,ROUND(O31+X31+Y31,2),0)</f>
        <v>0</v>
      </c>
      <c r="GP31">
        <f>IF(BI31=4,ROUND(O31+X31+Y31,2)+GX31,0)</f>
        <v>1317.6</v>
      </c>
      <c r="GR31">
        <v>0</v>
      </c>
      <c r="GS31">
        <v>3</v>
      </c>
      <c r="GT31">
        <v>0</v>
      </c>
      <c r="GU31" t="s">
        <v>3</v>
      </c>
      <c r="GV31">
        <f t="shared" si="49"/>
        <v>0</v>
      </c>
      <c r="GW31">
        <v>1</v>
      </c>
      <c r="GX31">
        <f t="shared" si="50"/>
        <v>0</v>
      </c>
      <c r="HA31">
        <v>0</v>
      </c>
      <c r="HB31">
        <v>0</v>
      </c>
      <c r="HC31">
        <f t="shared" si="51"/>
        <v>0</v>
      </c>
      <c r="IK31">
        <v>0</v>
      </c>
    </row>
    <row r="32" spans="1:245" x14ac:dyDescent="0.2">
      <c r="A32">
        <v>17</v>
      </c>
      <c r="B32">
        <v>1</v>
      </c>
      <c r="C32">
        <f>ROW(SmtRes!A8)</f>
        <v>8</v>
      </c>
      <c r="D32">
        <f>ROW(EtalonRes!A8)</f>
        <v>8</v>
      </c>
      <c r="E32" t="s">
        <v>37</v>
      </c>
      <c r="F32" t="s">
        <v>38</v>
      </c>
      <c r="G32" t="s">
        <v>39</v>
      </c>
      <c r="H32" t="s">
        <v>40</v>
      </c>
      <c r="I32">
        <v>2.2999999999999998</v>
      </c>
      <c r="J32">
        <v>0</v>
      </c>
      <c r="O32">
        <f t="shared" si="21"/>
        <v>1865.48</v>
      </c>
      <c r="P32">
        <f t="shared" si="22"/>
        <v>1233.49</v>
      </c>
      <c r="Q32">
        <f t="shared" si="23"/>
        <v>0</v>
      </c>
      <c r="R32">
        <f t="shared" si="24"/>
        <v>0</v>
      </c>
      <c r="S32">
        <f t="shared" si="25"/>
        <v>631.99</v>
      </c>
      <c r="T32">
        <f t="shared" si="26"/>
        <v>0</v>
      </c>
      <c r="U32">
        <f t="shared" si="27"/>
        <v>2.875</v>
      </c>
      <c r="V32">
        <f t="shared" si="28"/>
        <v>0</v>
      </c>
      <c r="W32">
        <f t="shared" si="29"/>
        <v>0</v>
      </c>
      <c r="X32">
        <f t="shared" si="30"/>
        <v>442.39</v>
      </c>
      <c r="Y32">
        <f t="shared" si="31"/>
        <v>63.2</v>
      </c>
      <c r="AA32">
        <v>46561299</v>
      </c>
      <c r="AB32">
        <f t="shared" si="32"/>
        <v>811.08</v>
      </c>
      <c r="AC32">
        <f t="shared" ref="AC32:AC45" si="52">ROUND((ES32),6)</f>
        <v>536.29999999999995</v>
      </c>
      <c r="AD32">
        <f t="shared" ref="AD32:AD45" si="53">ROUND((((ET32)-(EU32))+AE32),6)</f>
        <v>0</v>
      </c>
      <c r="AE32">
        <f t="shared" ref="AE32:AE45" si="54">ROUND((EU32),6)</f>
        <v>0</v>
      </c>
      <c r="AF32">
        <f t="shared" ref="AF32:AF45" si="55">ROUND((EV32),6)</f>
        <v>274.77999999999997</v>
      </c>
      <c r="AG32">
        <f t="shared" si="34"/>
        <v>0</v>
      </c>
      <c r="AH32">
        <f t="shared" ref="AH32:AH45" si="56">(EW32)</f>
        <v>1.25</v>
      </c>
      <c r="AI32">
        <f t="shared" ref="AI32:AI45" si="57">(EX32)</f>
        <v>0</v>
      </c>
      <c r="AJ32">
        <f t="shared" si="36"/>
        <v>0</v>
      </c>
      <c r="AK32">
        <v>811.08</v>
      </c>
      <c r="AL32">
        <v>536.29999999999995</v>
      </c>
      <c r="AM32">
        <v>0</v>
      </c>
      <c r="AN32">
        <v>0</v>
      </c>
      <c r="AO32">
        <v>274.77999999999997</v>
      </c>
      <c r="AP32">
        <v>0</v>
      </c>
      <c r="AQ32">
        <v>1.25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41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7"/>
        <v>1865.48</v>
      </c>
      <c r="CQ32">
        <f t="shared" si="38"/>
        <v>536.29999999999995</v>
      </c>
      <c r="CR32">
        <f t="shared" ref="CR32:CR45" si="58">((((ET32)*BB32-(EU32)*BS32)+AE32*BS32)*AV32)</f>
        <v>0</v>
      </c>
      <c r="CS32">
        <f t="shared" si="39"/>
        <v>0</v>
      </c>
      <c r="CT32">
        <f t="shared" si="40"/>
        <v>274.77999999999997</v>
      </c>
      <c r="CU32">
        <f t="shared" si="41"/>
        <v>0</v>
      </c>
      <c r="CV32">
        <f t="shared" si="42"/>
        <v>1.25</v>
      </c>
      <c r="CW32">
        <f t="shared" si="43"/>
        <v>0</v>
      </c>
      <c r="CX32">
        <f t="shared" si="44"/>
        <v>0</v>
      </c>
      <c r="CY32">
        <f t="shared" si="45"/>
        <v>442.39300000000003</v>
      </c>
      <c r="CZ32">
        <f t="shared" si="46"/>
        <v>63.198999999999998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40</v>
      </c>
      <c r="DW32" t="s">
        <v>40</v>
      </c>
      <c r="DX32">
        <v>1</v>
      </c>
      <c r="EE32">
        <v>46035301</v>
      </c>
      <c r="EF32">
        <v>1</v>
      </c>
      <c r="EG32" t="s">
        <v>19</v>
      </c>
      <c r="EH32">
        <v>0</v>
      </c>
      <c r="EI32" t="s">
        <v>3</v>
      </c>
      <c r="EJ32">
        <v>4</v>
      </c>
      <c r="EK32">
        <v>0</v>
      </c>
      <c r="EL32" t="s">
        <v>20</v>
      </c>
      <c r="EM32" t="s">
        <v>21</v>
      </c>
      <c r="EO32" t="s">
        <v>3</v>
      </c>
      <c r="EQ32">
        <v>131072</v>
      </c>
      <c r="ER32">
        <v>811.08</v>
      </c>
      <c r="ES32">
        <v>536.29999999999995</v>
      </c>
      <c r="ET32">
        <v>0</v>
      </c>
      <c r="EU32">
        <v>0</v>
      </c>
      <c r="EV32">
        <v>274.77999999999997</v>
      </c>
      <c r="EW32">
        <v>1.25</v>
      </c>
      <c r="EX32">
        <v>0</v>
      </c>
      <c r="EY32">
        <v>0</v>
      </c>
      <c r="FQ32">
        <v>0</v>
      </c>
      <c r="FR32">
        <f t="shared" si="47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1029220427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48"/>
        <v>0</v>
      </c>
      <c r="GM32">
        <f t="shared" ref="GM32:GM45" si="59">ROUND(O32+X32+Y32+GK32,2)+GX32</f>
        <v>2371.0700000000002</v>
      </c>
      <c r="GN32">
        <f t="shared" ref="GN32:GN45" si="60">IF(OR(BI32=0,BI32=1),ROUND(O32+X32+Y32+GK32,2),0)</f>
        <v>0</v>
      </c>
      <c r="GO32">
        <f t="shared" ref="GO32:GO45" si="61">IF(BI32=2,ROUND(O32+X32+Y32+GK32,2),0)</f>
        <v>0</v>
      </c>
      <c r="GP32">
        <f t="shared" ref="GP32:GP45" si="62">IF(BI32=4,ROUND(O32+X32+Y32+GK32,2)+GX32,0)</f>
        <v>2371.0700000000002</v>
      </c>
      <c r="GR32">
        <v>0</v>
      </c>
      <c r="GS32">
        <v>3</v>
      </c>
      <c r="GT32">
        <v>0</v>
      </c>
      <c r="GU32" t="s">
        <v>3</v>
      </c>
      <c r="GV32">
        <f t="shared" si="49"/>
        <v>0</v>
      </c>
      <c r="GW32">
        <v>1</v>
      </c>
      <c r="GX32">
        <f t="shared" si="50"/>
        <v>0</v>
      </c>
      <c r="HA32">
        <v>0</v>
      </c>
      <c r="HB32">
        <v>0</v>
      </c>
      <c r="HC32">
        <f t="shared" si="51"/>
        <v>0</v>
      </c>
      <c r="IK32">
        <v>0</v>
      </c>
    </row>
    <row r="33" spans="1:245" x14ac:dyDescent="0.2">
      <c r="A33">
        <v>17</v>
      </c>
      <c r="B33">
        <v>1</v>
      </c>
      <c r="C33">
        <f>ROW(SmtRes!A12)</f>
        <v>12</v>
      </c>
      <c r="D33">
        <f>ROW(EtalonRes!A12)</f>
        <v>12</v>
      </c>
      <c r="E33" t="s">
        <v>42</v>
      </c>
      <c r="F33" t="s">
        <v>43</v>
      </c>
      <c r="G33" t="s">
        <v>44</v>
      </c>
      <c r="H33" t="s">
        <v>40</v>
      </c>
      <c r="I33">
        <v>2.2999999999999998</v>
      </c>
      <c r="J33">
        <v>0</v>
      </c>
      <c r="O33">
        <f t="shared" si="21"/>
        <v>331.79</v>
      </c>
      <c r="P33">
        <f t="shared" si="22"/>
        <v>143.47</v>
      </c>
      <c r="Q33">
        <f t="shared" si="23"/>
        <v>8.76</v>
      </c>
      <c r="R33">
        <f t="shared" si="24"/>
        <v>3.4</v>
      </c>
      <c r="S33">
        <f t="shared" si="25"/>
        <v>179.56</v>
      </c>
      <c r="T33">
        <f t="shared" si="26"/>
        <v>0</v>
      </c>
      <c r="U33">
        <f t="shared" si="27"/>
        <v>0.85099999999999998</v>
      </c>
      <c r="V33">
        <f t="shared" si="28"/>
        <v>0</v>
      </c>
      <c r="W33">
        <f t="shared" si="29"/>
        <v>0</v>
      </c>
      <c r="X33">
        <f t="shared" si="30"/>
        <v>125.69</v>
      </c>
      <c r="Y33">
        <f t="shared" si="31"/>
        <v>17.96</v>
      </c>
      <c r="AA33">
        <v>46561299</v>
      </c>
      <c r="AB33">
        <f t="shared" si="32"/>
        <v>144.26</v>
      </c>
      <c r="AC33">
        <f t="shared" si="52"/>
        <v>62.38</v>
      </c>
      <c r="AD33">
        <f t="shared" si="53"/>
        <v>3.81</v>
      </c>
      <c r="AE33">
        <f t="shared" si="54"/>
        <v>1.48</v>
      </c>
      <c r="AF33">
        <f t="shared" si="55"/>
        <v>78.069999999999993</v>
      </c>
      <c r="AG33">
        <f t="shared" si="34"/>
        <v>0</v>
      </c>
      <c r="AH33">
        <f t="shared" si="56"/>
        <v>0.37</v>
      </c>
      <c r="AI33">
        <f t="shared" si="57"/>
        <v>0</v>
      </c>
      <c r="AJ33">
        <f t="shared" si="36"/>
        <v>0</v>
      </c>
      <c r="AK33">
        <v>144.26</v>
      </c>
      <c r="AL33">
        <v>62.38</v>
      </c>
      <c r="AM33">
        <v>3.81</v>
      </c>
      <c r="AN33">
        <v>1.48</v>
      </c>
      <c r="AO33">
        <v>78.069999999999993</v>
      </c>
      <c r="AP33">
        <v>0</v>
      </c>
      <c r="AQ33">
        <v>0.37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45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7"/>
        <v>331.78999999999996</v>
      </c>
      <c r="CQ33">
        <f t="shared" si="38"/>
        <v>62.38</v>
      </c>
      <c r="CR33">
        <f t="shared" si="58"/>
        <v>3.81</v>
      </c>
      <c r="CS33">
        <f t="shared" si="39"/>
        <v>1.48</v>
      </c>
      <c r="CT33">
        <f t="shared" si="40"/>
        <v>78.069999999999993</v>
      </c>
      <c r="CU33">
        <f t="shared" si="41"/>
        <v>0</v>
      </c>
      <c r="CV33">
        <f t="shared" si="42"/>
        <v>0.37</v>
      </c>
      <c r="CW33">
        <f t="shared" si="43"/>
        <v>0</v>
      </c>
      <c r="CX33">
        <f t="shared" si="44"/>
        <v>0</v>
      </c>
      <c r="CY33">
        <f t="shared" si="45"/>
        <v>125.69200000000001</v>
      </c>
      <c r="CZ33">
        <f t="shared" si="46"/>
        <v>17.956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1005</v>
      </c>
      <c r="DV33" t="s">
        <v>40</v>
      </c>
      <c r="DW33" t="s">
        <v>40</v>
      </c>
      <c r="DX33">
        <v>1</v>
      </c>
      <c r="EE33">
        <v>46035301</v>
      </c>
      <c r="EF33">
        <v>1</v>
      </c>
      <c r="EG33" t="s">
        <v>19</v>
      </c>
      <c r="EH33">
        <v>0</v>
      </c>
      <c r="EI33" t="s">
        <v>3</v>
      </c>
      <c r="EJ33">
        <v>4</v>
      </c>
      <c r="EK33">
        <v>0</v>
      </c>
      <c r="EL33" t="s">
        <v>20</v>
      </c>
      <c r="EM33" t="s">
        <v>21</v>
      </c>
      <c r="EO33" t="s">
        <v>3</v>
      </c>
      <c r="EQ33">
        <v>131072</v>
      </c>
      <c r="ER33">
        <v>144.26</v>
      </c>
      <c r="ES33">
        <v>62.38</v>
      </c>
      <c r="ET33">
        <v>3.81</v>
      </c>
      <c r="EU33">
        <v>1.48</v>
      </c>
      <c r="EV33">
        <v>78.069999999999993</v>
      </c>
      <c r="EW33">
        <v>0.37</v>
      </c>
      <c r="EX33">
        <v>0</v>
      </c>
      <c r="EY33">
        <v>0</v>
      </c>
      <c r="FQ33">
        <v>0</v>
      </c>
      <c r="FR33">
        <f t="shared" si="47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319965723</v>
      </c>
      <c r="GG33">
        <v>2</v>
      </c>
      <c r="GH33">
        <v>1</v>
      </c>
      <c r="GI33">
        <v>-2</v>
      </c>
      <c r="GJ33">
        <v>0</v>
      </c>
      <c r="GK33">
        <f>ROUND(R33*(R12)/100,2)</f>
        <v>3.67</v>
      </c>
      <c r="GL33">
        <f t="shared" si="48"/>
        <v>0</v>
      </c>
      <c r="GM33">
        <f t="shared" si="59"/>
        <v>479.11</v>
      </c>
      <c r="GN33">
        <f t="shared" si="60"/>
        <v>0</v>
      </c>
      <c r="GO33">
        <f t="shared" si="61"/>
        <v>0</v>
      </c>
      <c r="GP33">
        <f t="shared" si="62"/>
        <v>479.11</v>
      </c>
      <c r="GR33">
        <v>0</v>
      </c>
      <c r="GS33">
        <v>3</v>
      </c>
      <c r="GT33">
        <v>0</v>
      </c>
      <c r="GU33" t="s">
        <v>3</v>
      </c>
      <c r="GV33">
        <f t="shared" si="49"/>
        <v>0</v>
      </c>
      <c r="GW33">
        <v>1</v>
      </c>
      <c r="GX33">
        <f t="shared" si="50"/>
        <v>0</v>
      </c>
      <c r="HA33">
        <v>0</v>
      </c>
      <c r="HB33">
        <v>0</v>
      </c>
      <c r="HC33">
        <f t="shared" si="51"/>
        <v>0</v>
      </c>
      <c r="IK33">
        <v>0</v>
      </c>
    </row>
    <row r="34" spans="1:245" x14ac:dyDescent="0.2">
      <c r="A34">
        <v>17</v>
      </c>
      <c r="B34">
        <v>1</v>
      </c>
      <c r="C34">
        <f>ROW(SmtRes!A27)</f>
        <v>27</v>
      </c>
      <c r="D34">
        <f>ROW(EtalonRes!A26)</f>
        <v>26</v>
      </c>
      <c r="E34" t="s">
        <v>46</v>
      </c>
      <c r="F34" t="s">
        <v>47</v>
      </c>
      <c r="G34" t="s">
        <v>48</v>
      </c>
      <c r="H34" t="s">
        <v>17</v>
      </c>
      <c r="I34">
        <v>2.2499999999999999E-2</v>
      </c>
      <c r="J34">
        <v>0</v>
      </c>
      <c r="O34">
        <f t="shared" si="21"/>
        <v>16340.8</v>
      </c>
      <c r="P34">
        <f t="shared" si="22"/>
        <v>15305.12</v>
      </c>
      <c r="Q34">
        <f t="shared" si="23"/>
        <v>99.35</v>
      </c>
      <c r="R34">
        <f t="shared" si="24"/>
        <v>3.78</v>
      </c>
      <c r="S34">
        <f t="shared" si="25"/>
        <v>936.33</v>
      </c>
      <c r="T34">
        <f t="shared" si="26"/>
        <v>0</v>
      </c>
      <c r="U34">
        <f t="shared" si="27"/>
        <v>4.6316249999999997</v>
      </c>
      <c r="V34">
        <f t="shared" si="28"/>
        <v>0</v>
      </c>
      <c r="W34">
        <f t="shared" si="29"/>
        <v>0</v>
      </c>
      <c r="X34">
        <f t="shared" si="30"/>
        <v>655.43</v>
      </c>
      <c r="Y34">
        <f t="shared" si="31"/>
        <v>93.63</v>
      </c>
      <c r="AA34">
        <v>46561299</v>
      </c>
      <c r="AB34">
        <f t="shared" si="32"/>
        <v>726258.01</v>
      </c>
      <c r="AC34">
        <f t="shared" si="52"/>
        <v>680227.7</v>
      </c>
      <c r="AD34">
        <f t="shared" si="53"/>
        <v>4415.67</v>
      </c>
      <c r="AE34">
        <f t="shared" si="54"/>
        <v>168.01</v>
      </c>
      <c r="AF34">
        <f t="shared" si="55"/>
        <v>41614.639999999999</v>
      </c>
      <c r="AG34">
        <f t="shared" si="34"/>
        <v>0</v>
      </c>
      <c r="AH34">
        <f t="shared" si="56"/>
        <v>205.85</v>
      </c>
      <c r="AI34">
        <f t="shared" si="57"/>
        <v>0</v>
      </c>
      <c r="AJ34">
        <f t="shared" si="36"/>
        <v>0</v>
      </c>
      <c r="AK34">
        <v>726258.01</v>
      </c>
      <c r="AL34">
        <v>680227.7</v>
      </c>
      <c r="AM34">
        <v>4415.67</v>
      </c>
      <c r="AN34">
        <v>168.01</v>
      </c>
      <c r="AO34">
        <v>41614.639999999999</v>
      </c>
      <c r="AP34">
        <v>0</v>
      </c>
      <c r="AQ34">
        <v>205.85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49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7"/>
        <v>16340.800000000001</v>
      </c>
      <c r="CQ34">
        <f t="shared" si="38"/>
        <v>680227.7</v>
      </c>
      <c r="CR34">
        <f t="shared" si="58"/>
        <v>4415.67</v>
      </c>
      <c r="CS34">
        <f t="shared" si="39"/>
        <v>168.01</v>
      </c>
      <c r="CT34">
        <f t="shared" si="40"/>
        <v>41614.639999999999</v>
      </c>
      <c r="CU34">
        <f t="shared" si="41"/>
        <v>0</v>
      </c>
      <c r="CV34">
        <f t="shared" si="42"/>
        <v>205.85</v>
      </c>
      <c r="CW34">
        <f t="shared" si="43"/>
        <v>0</v>
      </c>
      <c r="CX34">
        <f t="shared" si="44"/>
        <v>0</v>
      </c>
      <c r="CY34">
        <f t="shared" si="45"/>
        <v>655.43100000000004</v>
      </c>
      <c r="CZ34">
        <f t="shared" si="46"/>
        <v>93.63300000000001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17</v>
      </c>
      <c r="DW34" t="s">
        <v>17</v>
      </c>
      <c r="DX34">
        <v>100</v>
      </c>
      <c r="EE34">
        <v>46035301</v>
      </c>
      <c r="EF34">
        <v>1</v>
      </c>
      <c r="EG34" t="s">
        <v>19</v>
      </c>
      <c r="EH34">
        <v>0</v>
      </c>
      <c r="EI34" t="s">
        <v>3</v>
      </c>
      <c r="EJ34">
        <v>4</v>
      </c>
      <c r="EK34">
        <v>0</v>
      </c>
      <c r="EL34" t="s">
        <v>20</v>
      </c>
      <c r="EM34" t="s">
        <v>21</v>
      </c>
      <c r="EO34" t="s">
        <v>3</v>
      </c>
      <c r="EQ34">
        <v>0</v>
      </c>
      <c r="ER34">
        <v>726258.01</v>
      </c>
      <c r="ES34">
        <v>680227.7</v>
      </c>
      <c r="ET34">
        <v>4415.67</v>
      </c>
      <c r="EU34">
        <v>168.01</v>
      </c>
      <c r="EV34">
        <v>41614.639999999999</v>
      </c>
      <c r="EW34">
        <v>205.85</v>
      </c>
      <c r="EX34">
        <v>0</v>
      </c>
      <c r="EY34">
        <v>0</v>
      </c>
      <c r="FQ34">
        <v>0</v>
      </c>
      <c r="FR34">
        <f t="shared" si="47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1233045882</v>
      </c>
      <c r="GG34">
        <v>2</v>
      </c>
      <c r="GH34">
        <v>1</v>
      </c>
      <c r="GI34">
        <v>-2</v>
      </c>
      <c r="GJ34">
        <v>0</v>
      </c>
      <c r="GK34">
        <f>ROUND(R34*(R12)/100,2)</f>
        <v>4.08</v>
      </c>
      <c r="GL34">
        <f t="shared" si="48"/>
        <v>0</v>
      </c>
      <c r="GM34">
        <f t="shared" si="59"/>
        <v>17093.939999999999</v>
      </c>
      <c r="GN34">
        <f t="shared" si="60"/>
        <v>0</v>
      </c>
      <c r="GO34">
        <f t="shared" si="61"/>
        <v>0</v>
      </c>
      <c r="GP34">
        <f t="shared" si="62"/>
        <v>17093.939999999999</v>
      </c>
      <c r="GR34">
        <v>0</v>
      </c>
      <c r="GS34">
        <v>3</v>
      </c>
      <c r="GT34">
        <v>0</v>
      </c>
      <c r="GU34" t="s">
        <v>3</v>
      </c>
      <c r="GV34">
        <f t="shared" si="49"/>
        <v>0</v>
      </c>
      <c r="GW34">
        <v>1</v>
      </c>
      <c r="GX34">
        <f t="shared" si="50"/>
        <v>0</v>
      </c>
      <c r="HA34">
        <v>0</v>
      </c>
      <c r="HB34">
        <v>0</v>
      </c>
      <c r="HC34">
        <f t="shared" si="51"/>
        <v>0</v>
      </c>
      <c r="IK34">
        <v>0</v>
      </c>
    </row>
    <row r="35" spans="1:245" x14ac:dyDescent="0.2">
      <c r="A35">
        <v>18</v>
      </c>
      <c r="B35">
        <v>1</v>
      </c>
      <c r="C35">
        <v>25</v>
      </c>
      <c r="E35" t="s">
        <v>50</v>
      </c>
      <c r="F35" t="s">
        <v>51</v>
      </c>
      <c r="G35" t="s">
        <v>52</v>
      </c>
      <c r="H35" t="s">
        <v>29</v>
      </c>
      <c r="I35">
        <f>I34*J35</f>
        <v>2.2837499999999999</v>
      </c>
      <c r="J35">
        <v>101.5</v>
      </c>
      <c r="O35">
        <f t="shared" si="21"/>
        <v>8871.75</v>
      </c>
      <c r="P35">
        <f t="shared" si="22"/>
        <v>8871.75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46561299</v>
      </c>
      <c r="AB35">
        <f t="shared" si="32"/>
        <v>3884.73</v>
      </c>
      <c r="AC35">
        <f t="shared" si="52"/>
        <v>3884.73</v>
      </c>
      <c r="AD35">
        <f t="shared" si="53"/>
        <v>0</v>
      </c>
      <c r="AE35">
        <f t="shared" si="54"/>
        <v>0</v>
      </c>
      <c r="AF35">
        <f t="shared" si="55"/>
        <v>0</v>
      </c>
      <c r="AG35">
        <f t="shared" si="34"/>
        <v>0</v>
      </c>
      <c r="AH35">
        <f t="shared" si="56"/>
        <v>0</v>
      </c>
      <c r="AI35">
        <f t="shared" si="57"/>
        <v>0</v>
      </c>
      <c r="AJ35">
        <f t="shared" si="36"/>
        <v>0</v>
      </c>
      <c r="AK35">
        <v>3884.73</v>
      </c>
      <c r="AL35">
        <v>3884.73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3</v>
      </c>
      <c r="BI35">
        <v>4</v>
      </c>
      <c r="BJ35" t="s">
        <v>53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7"/>
        <v>8871.75</v>
      </c>
      <c r="CQ35">
        <f t="shared" si="38"/>
        <v>3884.73</v>
      </c>
      <c r="CR35">
        <f t="shared" si="58"/>
        <v>0</v>
      </c>
      <c r="CS35">
        <f t="shared" si="39"/>
        <v>0</v>
      </c>
      <c r="CT35">
        <f t="shared" si="40"/>
        <v>0</v>
      </c>
      <c r="CU35">
        <f t="shared" si="41"/>
        <v>0</v>
      </c>
      <c r="CV35">
        <f t="shared" si="42"/>
        <v>0</v>
      </c>
      <c r="CW35">
        <f t="shared" si="43"/>
        <v>0</v>
      </c>
      <c r="CX35">
        <f t="shared" si="44"/>
        <v>0</v>
      </c>
      <c r="CY35">
        <f t="shared" si="45"/>
        <v>0</v>
      </c>
      <c r="CZ35">
        <f t="shared" si="46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29</v>
      </c>
      <c r="DW35" t="s">
        <v>29</v>
      </c>
      <c r="DX35">
        <v>1</v>
      </c>
      <c r="EE35">
        <v>46035301</v>
      </c>
      <c r="EF35">
        <v>1</v>
      </c>
      <c r="EG35" t="s">
        <v>19</v>
      </c>
      <c r="EH35">
        <v>0</v>
      </c>
      <c r="EI35" t="s">
        <v>3</v>
      </c>
      <c r="EJ35">
        <v>4</v>
      </c>
      <c r="EK35">
        <v>0</v>
      </c>
      <c r="EL35" t="s">
        <v>20</v>
      </c>
      <c r="EM35" t="s">
        <v>21</v>
      </c>
      <c r="EO35" t="s">
        <v>3</v>
      </c>
      <c r="EQ35">
        <v>0</v>
      </c>
      <c r="ER35">
        <v>3884.73</v>
      </c>
      <c r="ES35">
        <v>3884.73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4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-793492541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48"/>
        <v>0</v>
      </c>
      <c r="GM35">
        <f t="shared" si="59"/>
        <v>8871.75</v>
      </c>
      <c r="GN35">
        <f t="shared" si="60"/>
        <v>0</v>
      </c>
      <c r="GO35">
        <f t="shared" si="61"/>
        <v>0</v>
      </c>
      <c r="GP35">
        <f t="shared" si="62"/>
        <v>8871.75</v>
      </c>
      <c r="GR35">
        <v>0</v>
      </c>
      <c r="GS35">
        <v>3</v>
      </c>
      <c r="GT35">
        <v>0</v>
      </c>
      <c r="GU35" t="s">
        <v>3</v>
      </c>
      <c r="GV35">
        <f t="shared" si="49"/>
        <v>0</v>
      </c>
      <c r="GW35">
        <v>1</v>
      </c>
      <c r="GX35">
        <f t="shared" si="50"/>
        <v>0</v>
      </c>
      <c r="HA35">
        <v>0</v>
      </c>
      <c r="HB35">
        <v>0</v>
      </c>
      <c r="HC35">
        <f t="shared" si="51"/>
        <v>0</v>
      </c>
      <c r="IK35">
        <v>0</v>
      </c>
    </row>
    <row r="36" spans="1:245" x14ac:dyDescent="0.2">
      <c r="A36">
        <v>18</v>
      </c>
      <c r="B36">
        <v>1</v>
      </c>
      <c r="C36">
        <v>24</v>
      </c>
      <c r="E36" t="s">
        <v>54</v>
      </c>
      <c r="F36" t="s">
        <v>55</v>
      </c>
      <c r="G36" t="s">
        <v>56</v>
      </c>
      <c r="H36" t="s">
        <v>29</v>
      </c>
      <c r="I36">
        <f>I34*J36</f>
        <v>-2.2837499999999999</v>
      </c>
      <c r="J36">
        <v>-101.5</v>
      </c>
      <c r="O36">
        <f t="shared" si="21"/>
        <v>-8483.51</v>
      </c>
      <c r="P36">
        <f t="shared" si="22"/>
        <v>-8483.51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46561299</v>
      </c>
      <c r="AB36">
        <f t="shared" si="32"/>
        <v>3714.73</v>
      </c>
      <c r="AC36">
        <f t="shared" si="52"/>
        <v>3714.73</v>
      </c>
      <c r="AD36">
        <f t="shared" si="53"/>
        <v>0</v>
      </c>
      <c r="AE36">
        <f t="shared" si="54"/>
        <v>0</v>
      </c>
      <c r="AF36">
        <f t="shared" si="55"/>
        <v>0</v>
      </c>
      <c r="AG36">
        <f t="shared" si="34"/>
        <v>0</v>
      </c>
      <c r="AH36">
        <f t="shared" si="56"/>
        <v>0</v>
      </c>
      <c r="AI36">
        <f t="shared" si="57"/>
        <v>0</v>
      </c>
      <c r="AJ36">
        <f t="shared" si="36"/>
        <v>0</v>
      </c>
      <c r="AK36">
        <v>3714.73</v>
      </c>
      <c r="AL36">
        <v>3714.73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4</v>
      </c>
      <c r="BJ36" t="s">
        <v>57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7"/>
        <v>-8483.51</v>
      </c>
      <c r="CQ36">
        <f t="shared" si="38"/>
        <v>3714.73</v>
      </c>
      <c r="CR36">
        <f t="shared" si="58"/>
        <v>0</v>
      </c>
      <c r="CS36">
        <f t="shared" si="39"/>
        <v>0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1007</v>
      </c>
      <c r="DV36" t="s">
        <v>29</v>
      </c>
      <c r="DW36" t="s">
        <v>29</v>
      </c>
      <c r="DX36">
        <v>1</v>
      </c>
      <c r="EE36">
        <v>46035301</v>
      </c>
      <c r="EF36">
        <v>1</v>
      </c>
      <c r="EG36" t="s">
        <v>19</v>
      </c>
      <c r="EH36">
        <v>0</v>
      </c>
      <c r="EI36" t="s">
        <v>3</v>
      </c>
      <c r="EJ36">
        <v>4</v>
      </c>
      <c r="EK36">
        <v>0</v>
      </c>
      <c r="EL36" t="s">
        <v>20</v>
      </c>
      <c r="EM36" t="s">
        <v>21</v>
      </c>
      <c r="EO36" t="s">
        <v>3</v>
      </c>
      <c r="EQ36">
        <v>0</v>
      </c>
      <c r="ER36">
        <v>3714.73</v>
      </c>
      <c r="ES36">
        <v>3714.73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47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426331755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48"/>
        <v>0</v>
      </c>
      <c r="GM36">
        <f t="shared" si="59"/>
        <v>-8483.51</v>
      </c>
      <c r="GN36">
        <f t="shared" si="60"/>
        <v>0</v>
      </c>
      <c r="GO36">
        <f t="shared" si="61"/>
        <v>0</v>
      </c>
      <c r="GP36">
        <f t="shared" si="62"/>
        <v>-8483.51</v>
      </c>
      <c r="GR36">
        <v>0</v>
      </c>
      <c r="GS36">
        <v>3</v>
      </c>
      <c r="GT36">
        <v>0</v>
      </c>
      <c r="GU36" t="s">
        <v>3</v>
      </c>
      <c r="GV36">
        <f t="shared" si="49"/>
        <v>0</v>
      </c>
      <c r="GW36">
        <v>1</v>
      </c>
      <c r="GX36">
        <f t="shared" si="50"/>
        <v>0</v>
      </c>
      <c r="HA36">
        <v>0</v>
      </c>
      <c r="HB36">
        <v>0</v>
      </c>
      <c r="HC36">
        <f t="shared" si="51"/>
        <v>0</v>
      </c>
      <c r="IK36">
        <v>0</v>
      </c>
    </row>
    <row r="37" spans="1:245" x14ac:dyDescent="0.2">
      <c r="A37">
        <v>17</v>
      </c>
      <c r="B37">
        <v>1</v>
      </c>
      <c r="C37">
        <f>ROW(SmtRes!A40)</f>
        <v>40</v>
      </c>
      <c r="D37">
        <f>ROW(EtalonRes!A34)</f>
        <v>34</v>
      </c>
      <c r="E37" t="s">
        <v>58</v>
      </c>
      <c r="F37" t="s">
        <v>59</v>
      </c>
      <c r="G37" t="s">
        <v>60</v>
      </c>
      <c r="H37" t="s">
        <v>40</v>
      </c>
      <c r="I37">
        <v>125.2</v>
      </c>
      <c r="J37">
        <v>0</v>
      </c>
      <c r="O37">
        <f t="shared" si="21"/>
        <v>869731.83999999997</v>
      </c>
      <c r="P37">
        <f t="shared" si="22"/>
        <v>712058.72</v>
      </c>
      <c r="Q37">
        <f t="shared" si="23"/>
        <v>58126.6</v>
      </c>
      <c r="R37">
        <f t="shared" si="24"/>
        <v>37056.699999999997</v>
      </c>
      <c r="S37">
        <f t="shared" si="25"/>
        <v>99546.52</v>
      </c>
      <c r="T37">
        <f t="shared" si="26"/>
        <v>0</v>
      </c>
      <c r="U37">
        <f t="shared" si="27"/>
        <v>371.84400000000005</v>
      </c>
      <c r="V37">
        <f t="shared" si="28"/>
        <v>0</v>
      </c>
      <c r="W37">
        <f t="shared" si="29"/>
        <v>0</v>
      </c>
      <c r="X37">
        <f t="shared" si="30"/>
        <v>69682.559999999998</v>
      </c>
      <c r="Y37">
        <f t="shared" si="31"/>
        <v>9954.65</v>
      </c>
      <c r="AA37">
        <v>46561299</v>
      </c>
      <c r="AB37">
        <f t="shared" si="32"/>
        <v>6946.74</v>
      </c>
      <c r="AC37">
        <f t="shared" si="52"/>
        <v>5687.37</v>
      </c>
      <c r="AD37">
        <f t="shared" si="53"/>
        <v>464.27</v>
      </c>
      <c r="AE37">
        <f t="shared" si="54"/>
        <v>295.98</v>
      </c>
      <c r="AF37">
        <f t="shared" si="55"/>
        <v>795.1</v>
      </c>
      <c r="AG37">
        <f t="shared" si="34"/>
        <v>0</v>
      </c>
      <c r="AH37">
        <f t="shared" si="56"/>
        <v>2.97</v>
      </c>
      <c r="AI37">
        <f t="shared" si="57"/>
        <v>0</v>
      </c>
      <c r="AJ37">
        <f t="shared" si="36"/>
        <v>0</v>
      </c>
      <c r="AK37">
        <v>6946.74</v>
      </c>
      <c r="AL37">
        <v>5687.37</v>
      </c>
      <c r="AM37">
        <v>464.27</v>
      </c>
      <c r="AN37">
        <v>295.98</v>
      </c>
      <c r="AO37">
        <v>795.1</v>
      </c>
      <c r="AP37">
        <v>0</v>
      </c>
      <c r="AQ37">
        <v>2.97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61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7"/>
        <v>869731.83999999997</v>
      </c>
      <c r="CQ37">
        <f t="shared" si="38"/>
        <v>5687.37</v>
      </c>
      <c r="CR37">
        <f t="shared" si="58"/>
        <v>464.27</v>
      </c>
      <c r="CS37">
        <f t="shared" si="39"/>
        <v>295.98</v>
      </c>
      <c r="CT37">
        <f t="shared" si="40"/>
        <v>795.1</v>
      </c>
      <c r="CU37">
        <f t="shared" si="41"/>
        <v>0</v>
      </c>
      <c r="CV37">
        <f t="shared" si="42"/>
        <v>2.97</v>
      </c>
      <c r="CW37">
        <f t="shared" si="43"/>
        <v>0</v>
      </c>
      <c r="CX37">
        <f t="shared" si="44"/>
        <v>0</v>
      </c>
      <c r="CY37">
        <f t="shared" si="45"/>
        <v>69682.563999999998</v>
      </c>
      <c r="CZ37">
        <f t="shared" si="46"/>
        <v>9954.652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1005</v>
      </c>
      <c r="DV37" t="s">
        <v>40</v>
      </c>
      <c r="DW37" t="s">
        <v>40</v>
      </c>
      <c r="DX37">
        <v>1</v>
      </c>
      <c r="EE37">
        <v>46035301</v>
      </c>
      <c r="EF37">
        <v>1</v>
      </c>
      <c r="EG37" t="s">
        <v>19</v>
      </c>
      <c r="EH37">
        <v>0</v>
      </c>
      <c r="EI37" t="s">
        <v>3</v>
      </c>
      <c r="EJ37">
        <v>4</v>
      </c>
      <c r="EK37">
        <v>0</v>
      </c>
      <c r="EL37" t="s">
        <v>20</v>
      </c>
      <c r="EM37" t="s">
        <v>21</v>
      </c>
      <c r="EO37" t="s">
        <v>3</v>
      </c>
      <c r="EQ37">
        <v>0</v>
      </c>
      <c r="ER37">
        <v>6946.74</v>
      </c>
      <c r="ES37">
        <v>5687.37</v>
      </c>
      <c r="ET37">
        <v>464.27</v>
      </c>
      <c r="EU37">
        <v>295.98</v>
      </c>
      <c r="EV37">
        <v>795.1</v>
      </c>
      <c r="EW37">
        <v>2.97</v>
      </c>
      <c r="EX37">
        <v>0</v>
      </c>
      <c r="EY37">
        <v>0</v>
      </c>
      <c r="FQ37">
        <v>0</v>
      </c>
      <c r="FR37">
        <f t="shared" si="47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1549732714</v>
      </c>
      <c r="GG37">
        <v>2</v>
      </c>
      <c r="GH37">
        <v>1</v>
      </c>
      <c r="GI37">
        <v>-2</v>
      </c>
      <c r="GJ37">
        <v>0</v>
      </c>
      <c r="GK37">
        <f>ROUND(R37*(R12)/100,2)</f>
        <v>40021.24</v>
      </c>
      <c r="GL37">
        <f t="shared" si="48"/>
        <v>0</v>
      </c>
      <c r="GM37">
        <f t="shared" si="59"/>
        <v>989390.29</v>
      </c>
      <c r="GN37">
        <f t="shared" si="60"/>
        <v>0</v>
      </c>
      <c r="GO37">
        <f t="shared" si="61"/>
        <v>0</v>
      </c>
      <c r="GP37">
        <f t="shared" si="62"/>
        <v>989390.29</v>
      </c>
      <c r="GR37">
        <v>0</v>
      </c>
      <c r="GS37">
        <v>3</v>
      </c>
      <c r="GT37">
        <v>0</v>
      </c>
      <c r="GU37" t="s">
        <v>3</v>
      </c>
      <c r="GV37">
        <f t="shared" si="49"/>
        <v>0</v>
      </c>
      <c r="GW37">
        <v>1</v>
      </c>
      <c r="GX37">
        <f t="shared" si="50"/>
        <v>0</v>
      </c>
      <c r="HA37">
        <v>0</v>
      </c>
      <c r="HB37">
        <v>0</v>
      </c>
      <c r="HC37">
        <f t="shared" si="51"/>
        <v>0</v>
      </c>
      <c r="IK37">
        <v>0</v>
      </c>
    </row>
    <row r="38" spans="1:245" x14ac:dyDescent="0.2">
      <c r="A38">
        <v>18</v>
      </c>
      <c r="B38">
        <v>1</v>
      </c>
      <c r="C38">
        <v>36</v>
      </c>
      <c r="E38" t="s">
        <v>62</v>
      </c>
      <c r="F38" t="s">
        <v>63</v>
      </c>
      <c r="G38" t="s">
        <v>64</v>
      </c>
      <c r="H38" t="s">
        <v>65</v>
      </c>
      <c r="I38">
        <f>I37*J38</f>
        <v>0.69974999999999998</v>
      </c>
      <c r="J38">
        <v>5.5890575079872206E-3</v>
      </c>
      <c r="O38">
        <f t="shared" si="21"/>
        <v>26121.17</v>
      </c>
      <c r="P38">
        <f t="shared" si="22"/>
        <v>26121.17</v>
      </c>
      <c r="Q38">
        <f t="shared" si="23"/>
        <v>0</v>
      </c>
      <c r="R38">
        <f t="shared" si="24"/>
        <v>0</v>
      </c>
      <c r="S38">
        <f t="shared" si="25"/>
        <v>0</v>
      </c>
      <c r="T38">
        <f t="shared" si="26"/>
        <v>0</v>
      </c>
      <c r="U38">
        <f t="shared" si="27"/>
        <v>0</v>
      </c>
      <c r="V38">
        <f t="shared" si="28"/>
        <v>0</v>
      </c>
      <c r="W38">
        <f t="shared" si="29"/>
        <v>0</v>
      </c>
      <c r="X38">
        <f t="shared" si="30"/>
        <v>0</v>
      </c>
      <c r="Y38">
        <f t="shared" si="31"/>
        <v>0</v>
      </c>
      <c r="AA38">
        <v>46561299</v>
      </c>
      <c r="AB38">
        <f t="shared" si="32"/>
        <v>37329.29</v>
      </c>
      <c r="AC38">
        <f t="shared" si="52"/>
        <v>37329.29</v>
      </c>
      <c r="AD38">
        <f t="shared" si="53"/>
        <v>0</v>
      </c>
      <c r="AE38">
        <f t="shared" si="54"/>
        <v>0</v>
      </c>
      <c r="AF38">
        <f t="shared" si="55"/>
        <v>0</v>
      </c>
      <c r="AG38">
        <f t="shared" si="34"/>
        <v>0</v>
      </c>
      <c r="AH38">
        <f t="shared" si="56"/>
        <v>0</v>
      </c>
      <c r="AI38">
        <f t="shared" si="57"/>
        <v>0</v>
      </c>
      <c r="AJ38">
        <f t="shared" si="36"/>
        <v>0</v>
      </c>
      <c r="AK38">
        <v>37329.29</v>
      </c>
      <c r="AL38">
        <v>37329.29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3</v>
      </c>
      <c r="BI38">
        <v>4</v>
      </c>
      <c r="BJ38" t="s">
        <v>66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7"/>
        <v>26121.17</v>
      </c>
      <c r="CQ38">
        <f t="shared" si="38"/>
        <v>37329.29</v>
      </c>
      <c r="CR38">
        <f t="shared" si="58"/>
        <v>0</v>
      </c>
      <c r="CS38">
        <f t="shared" si="39"/>
        <v>0</v>
      </c>
      <c r="CT38">
        <f t="shared" si="40"/>
        <v>0</v>
      </c>
      <c r="CU38">
        <f t="shared" si="41"/>
        <v>0</v>
      </c>
      <c r="CV38">
        <f t="shared" si="42"/>
        <v>0</v>
      </c>
      <c r="CW38">
        <f t="shared" si="43"/>
        <v>0</v>
      </c>
      <c r="CX38">
        <f t="shared" si="44"/>
        <v>0</v>
      </c>
      <c r="CY38">
        <f t="shared" si="45"/>
        <v>0</v>
      </c>
      <c r="CZ38">
        <f t="shared" si="46"/>
        <v>0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65</v>
      </c>
      <c r="DW38" t="s">
        <v>65</v>
      </c>
      <c r="DX38">
        <v>1000</v>
      </c>
      <c r="EE38">
        <v>46035301</v>
      </c>
      <c r="EF38">
        <v>1</v>
      </c>
      <c r="EG38" t="s">
        <v>19</v>
      </c>
      <c r="EH38">
        <v>0</v>
      </c>
      <c r="EI38" t="s">
        <v>3</v>
      </c>
      <c r="EJ38">
        <v>4</v>
      </c>
      <c r="EK38">
        <v>0</v>
      </c>
      <c r="EL38" t="s">
        <v>20</v>
      </c>
      <c r="EM38" t="s">
        <v>21</v>
      </c>
      <c r="EO38" t="s">
        <v>3</v>
      </c>
      <c r="EQ38">
        <v>0</v>
      </c>
      <c r="ER38">
        <v>37329.29</v>
      </c>
      <c r="ES38">
        <v>37329.29</v>
      </c>
      <c r="ET38">
        <v>0</v>
      </c>
      <c r="EU38">
        <v>0</v>
      </c>
      <c r="EV38">
        <v>0</v>
      </c>
      <c r="EW38">
        <v>0</v>
      </c>
      <c r="EX38">
        <v>0</v>
      </c>
      <c r="FQ38">
        <v>0</v>
      </c>
      <c r="FR38">
        <f t="shared" si="47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1662963478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48"/>
        <v>0</v>
      </c>
      <c r="GM38">
        <f t="shared" si="59"/>
        <v>26121.17</v>
      </c>
      <c r="GN38">
        <f t="shared" si="60"/>
        <v>0</v>
      </c>
      <c r="GO38">
        <f t="shared" si="61"/>
        <v>0</v>
      </c>
      <c r="GP38">
        <f t="shared" si="62"/>
        <v>26121.17</v>
      </c>
      <c r="GR38">
        <v>0</v>
      </c>
      <c r="GS38">
        <v>3</v>
      </c>
      <c r="GT38">
        <v>0</v>
      </c>
      <c r="GU38" t="s">
        <v>3</v>
      </c>
      <c r="GV38">
        <f t="shared" si="49"/>
        <v>0</v>
      </c>
      <c r="GW38">
        <v>1</v>
      </c>
      <c r="GX38">
        <f t="shared" si="50"/>
        <v>0</v>
      </c>
      <c r="HA38">
        <v>0</v>
      </c>
      <c r="HB38">
        <v>0</v>
      </c>
      <c r="HC38">
        <f t="shared" si="51"/>
        <v>0</v>
      </c>
      <c r="IK38">
        <v>0</v>
      </c>
    </row>
    <row r="39" spans="1:245" x14ac:dyDescent="0.2">
      <c r="A39">
        <v>18</v>
      </c>
      <c r="B39">
        <v>1</v>
      </c>
      <c r="C39">
        <v>32</v>
      </c>
      <c r="E39" t="s">
        <v>67</v>
      </c>
      <c r="F39" t="s">
        <v>68</v>
      </c>
      <c r="G39" t="s">
        <v>69</v>
      </c>
      <c r="H39" t="s">
        <v>65</v>
      </c>
      <c r="I39">
        <f>I37*J39</f>
        <v>0.90988000000000002</v>
      </c>
      <c r="J39">
        <v>7.2674121405750802E-3</v>
      </c>
      <c r="O39">
        <f t="shared" si="21"/>
        <v>29862.15</v>
      </c>
      <c r="P39">
        <f t="shared" si="22"/>
        <v>29862.15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46561299</v>
      </c>
      <c r="AB39">
        <f t="shared" si="32"/>
        <v>32819.879999999997</v>
      </c>
      <c r="AC39">
        <f t="shared" si="52"/>
        <v>32819.879999999997</v>
      </c>
      <c r="AD39">
        <f t="shared" si="53"/>
        <v>0</v>
      </c>
      <c r="AE39">
        <f t="shared" si="54"/>
        <v>0</v>
      </c>
      <c r="AF39">
        <f t="shared" si="55"/>
        <v>0</v>
      </c>
      <c r="AG39">
        <f t="shared" si="34"/>
        <v>0</v>
      </c>
      <c r="AH39">
        <f t="shared" si="56"/>
        <v>0</v>
      </c>
      <c r="AI39">
        <f t="shared" si="57"/>
        <v>0</v>
      </c>
      <c r="AJ39">
        <f t="shared" si="36"/>
        <v>0</v>
      </c>
      <c r="AK39">
        <v>32819.879999999997</v>
      </c>
      <c r="AL39">
        <v>32819.879999999997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4</v>
      </c>
      <c r="BJ39" t="s">
        <v>70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7"/>
        <v>29862.15</v>
      </c>
      <c r="CQ39">
        <f t="shared" si="38"/>
        <v>32819.879999999997</v>
      </c>
      <c r="CR39">
        <f t="shared" si="58"/>
        <v>0</v>
      </c>
      <c r="CS39">
        <f t="shared" si="39"/>
        <v>0</v>
      </c>
      <c r="CT39">
        <f t="shared" si="40"/>
        <v>0</v>
      </c>
      <c r="CU39">
        <f t="shared" si="41"/>
        <v>0</v>
      </c>
      <c r="CV39">
        <f t="shared" si="42"/>
        <v>0</v>
      </c>
      <c r="CW39">
        <f t="shared" si="43"/>
        <v>0</v>
      </c>
      <c r="CX39">
        <f t="shared" si="44"/>
        <v>0</v>
      </c>
      <c r="CY39">
        <f t="shared" si="45"/>
        <v>0</v>
      </c>
      <c r="CZ39">
        <f t="shared" si="46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1009</v>
      </c>
      <c r="DV39" t="s">
        <v>65</v>
      </c>
      <c r="DW39" t="s">
        <v>65</v>
      </c>
      <c r="DX39">
        <v>1000</v>
      </c>
      <c r="EE39">
        <v>46035301</v>
      </c>
      <c r="EF39">
        <v>1</v>
      </c>
      <c r="EG39" t="s">
        <v>19</v>
      </c>
      <c r="EH39">
        <v>0</v>
      </c>
      <c r="EI39" t="s">
        <v>3</v>
      </c>
      <c r="EJ39">
        <v>4</v>
      </c>
      <c r="EK39">
        <v>0</v>
      </c>
      <c r="EL39" t="s">
        <v>20</v>
      </c>
      <c r="EM39" t="s">
        <v>21</v>
      </c>
      <c r="EO39" t="s">
        <v>3</v>
      </c>
      <c r="EQ39">
        <v>0</v>
      </c>
      <c r="ER39">
        <v>32819.879999999997</v>
      </c>
      <c r="ES39">
        <v>32819.879999999997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47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1459204131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48"/>
        <v>0</v>
      </c>
      <c r="GM39">
        <f t="shared" si="59"/>
        <v>29862.15</v>
      </c>
      <c r="GN39">
        <f t="shared" si="60"/>
        <v>0</v>
      </c>
      <c r="GO39">
        <f t="shared" si="61"/>
        <v>0</v>
      </c>
      <c r="GP39">
        <f t="shared" si="62"/>
        <v>29862.15</v>
      </c>
      <c r="GR39">
        <v>0</v>
      </c>
      <c r="GS39">
        <v>3</v>
      </c>
      <c r="GT39">
        <v>0</v>
      </c>
      <c r="GU39" t="s">
        <v>3</v>
      </c>
      <c r="GV39">
        <f t="shared" si="49"/>
        <v>0</v>
      </c>
      <c r="GW39">
        <v>1</v>
      </c>
      <c r="GX39">
        <f t="shared" si="50"/>
        <v>0</v>
      </c>
      <c r="HA39">
        <v>0</v>
      </c>
      <c r="HB39">
        <v>0</v>
      </c>
      <c r="HC39">
        <f t="shared" si="51"/>
        <v>0</v>
      </c>
      <c r="IK39">
        <v>0</v>
      </c>
    </row>
    <row r="40" spans="1:245" x14ac:dyDescent="0.2">
      <c r="A40">
        <v>18</v>
      </c>
      <c r="B40">
        <v>1</v>
      </c>
      <c r="C40">
        <v>35</v>
      </c>
      <c r="E40" t="s">
        <v>71</v>
      </c>
      <c r="F40" t="s">
        <v>72</v>
      </c>
      <c r="G40" t="s">
        <v>73</v>
      </c>
      <c r="H40" t="s">
        <v>65</v>
      </c>
      <c r="I40">
        <f>I37*J40</f>
        <v>2.0510999999999999</v>
      </c>
      <c r="J40">
        <v>1.6382587859424921E-2</v>
      </c>
      <c r="O40">
        <f t="shared" si="21"/>
        <v>83269.63</v>
      </c>
      <c r="P40">
        <f t="shared" si="22"/>
        <v>83269.63</v>
      </c>
      <c r="Q40">
        <f t="shared" si="23"/>
        <v>0</v>
      </c>
      <c r="R40">
        <f t="shared" si="24"/>
        <v>0</v>
      </c>
      <c r="S40">
        <f t="shared" si="25"/>
        <v>0</v>
      </c>
      <c r="T40">
        <f t="shared" si="26"/>
        <v>0</v>
      </c>
      <c r="U40">
        <f t="shared" si="27"/>
        <v>0</v>
      </c>
      <c r="V40">
        <f t="shared" si="28"/>
        <v>0</v>
      </c>
      <c r="W40">
        <f t="shared" si="29"/>
        <v>0</v>
      </c>
      <c r="X40">
        <f t="shared" si="30"/>
        <v>0</v>
      </c>
      <c r="Y40">
        <f t="shared" si="31"/>
        <v>0</v>
      </c>
      <c r="AA40">
        <v>46561299</v>
      </c>
      <c r="AB40">
        <f t="shared" si="32"/>
        <v>40597.550000000003</v>
      </c>
      <c r="AC40">
        <f t="shared" si="52"/>
        <v>40597.550000000003</v>
      </c>
      <c r="AD40">
        <f t="shared" si="53"/>
        <v>0</v>
      </c>
      <c r="AE40">
        <f t="shared" si="54"/>
        <v>0</v>
      </c>
      <c r="AF40">
        <f t="shared" si="55"/>
        <v>0</v>
      </c>
      <c r="AG40">
        <f t="shared" si="34"/>
        <v>0</v>
      </c>
      <c r="AH40">
        <f t="shared" si="56"/>
        <v>0</v>
      </c>
      <c r="AI40">
        <f t="shared" si="57"/>
        <v>0</v>
      </c>
      <c r="AJ40">
        <f t="shared" si="36"/>
        <v>0</v>
      </c>
      <c r="AK40">
        <v>40597.550000000003</v>
      </c>
      <c r="AL40">
        <v>40597.550000000003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4</v>
      </c>
      <c r="BJ40" t="s">
        <v>74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7"/>
        <v>83269.63</v>
      </c>
      <c r="CQ40">
        <f t="shared" si="38"/>
        <v>40597.550000000003</v>
      </c>
      <c r="CR40">
        <f t="shared" si="58"/>
        <v>0</v>
      </c>
      <c r="CS40">
        <f t="shared" si="39"/>
        <v>0</v>
      </c>
      <c r="CT40">
        <f t="shared" si="40"/>
        <v>0</v>
      </c>
      <c r="CU40">
        <f t="shared" si="41"/>
        <v>0</v>
      </c>
      <c r="CV40">
        <f t="shared" si="42"/>
        <v>0</v>
      </c>
      <c r="CW40">
        <f t="shared" si="43"/>
        <v>0</v>
      </c>
      <c r="CX40">
        <f t="shared" si="44"/>
        <v>0</v>
      </c>
      <c r="CY40">
        <f t="shared" si="45"/>
        <v>0</v>
      </c>
      <c r="CZ40">
        <f t="shared" si="46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1009</v>
      </c>
      <c r="DV40" t="s">
        <v>65</v>
      </c>
      <c r="DW40" t="s">
        <v>65</v>
      </c>
      <c r="DX40">
        <v>1000</v>
      </c>
      <c r="EE40">
        <v>46035301</v>
      </c>
      <c r="EF40">
        <v>1</v>
      </c>
      <c r="EG40" t="s">
        <v>19</v>
      </c>
      <c r="EH40">
        <v>0</v>
      </c>
      <c r="EI40" t="s">
        <v>3</v>
      </c>
      <c r="EJ40">
        <v>4</v>
      </c>
      <c r="EK40">
        <v>0</v>
      </c>
      <c r="EL40" t="s">
        <v>20</v>
      </c>
      <c r="EM40" t="s">
        <v>21</v>
      </c>
      <c r="EO40" t="s">
        <v>3</v>
      </c>
      <c r="EQ40">
        <v>0</v>
      </c>
      <c r="ER40">
        <v>40597.550000000003</v>
      </c>
      <c r="ES40">
        <v>40597.550000000003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47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-1203325895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48"/>
        <v>0</v>
      </c>
      <c r="GM40">
        <f t="shared" si="59"/>
        <v>83269.63</v>
      </c>
      <c r="GN40">
        <f t="shared" si="60"/>
        <v>0</v>
      </c>
      <c r="GO40">
        <f t="shared" si="61"/>
        <v>0</v>
      </c>
      <c r="GP40">
        <f t="shared" si="62"/>
        <v>83269.63</v>
      </c>
      <c r="GR40">
        <v>0</v>
      </c>
      <c r="GS40">
        <v>3</v>
      </c>
      <c r="GT40">
        <v>0</v>
      </c>
      <c r="GU40" t="s">
        <v>3</v>
      </c>
      <c r="GV40">
        <f t="shared" si="49"/>
        <v>0</v>
      </c>
      <c r="GW40">
        <v>1</v>
      </c>
      <c r="GX40">
        <f t="shared" si="50"/>
        <v>0</v>
      </c>
      <c r="HA40">
        <v>0</v>
      </c>
      <c r="HB40">
        <v>0</v>
      </c>
      <c r="HC40">
        <f t="shared" si="51"/>
        <v>0</v>
      </c>
      <c r="IK40">
        <v>0</v>
      </c>
    </row>
    <row r="41" spans="1:245" x14ac:dyDescent="0.2">
      <c r="A41">
        <v>18</v>
      </c>
      <c r="B41">
        <v>1</v>
      </c>
      <c r="C41">
        <v>39</v>
      </c>
      <c r="E41" t="s">
        <v>75</v>
      </c>
      <c r="F41" t="s">
        <v>76</v>
      </c>
      <c r="G41" t="s">
        <v>77</v>
      </c>
      <c r="H41" t="s">
        <v>78</v>
      </c>
      <c r="I41">
        <f>I37*J41</f>
        <v>25</v>
      </c>
      <c r="J41">
        <v>0.19968051118210861</v>
      </c>
      <c r="O41">
        <f t="shared" si="21"/>
        <v>937.5</v>
      </c>
      <c r="P41">
        <f t="shared" si="22"/>
        <v>937.5</v>
      </c>
      <c r="Q41">
        <f t="shared" si="23"/>
        <v>0</v>
      </c>
      <c r="R41">
        <f t="shared" si="24"/>
        <v>0</v>
      </c>
      <c r="S41">
        <f t="shared" si="25"/>
        <v>0</v>
      </c>
      <c r="T41">
        <f t="shared" si="26"/>
        <v>0</v>
      </c>
      <c r="U41">
        <f t="shared" si="27"/>
        <v>0</v>
      </c>
      <c r="V41">
        <f t="shared" si="28"/>
        <v>0</v>
      </c>
      <c r="W41">
        <f t="shared" si="29"/>
        <v>0</v>
      </c>
      <c r="X41">
        <f t="shared" si="30"/>
        <v>0</v>
      </c>
      <c r="Y41">
        <f t="shared" si="31"/>
        <v>0</v>
      </c>
      <c r="AA41">
        <v>46561299</v>
      </c>
      <c r="AB41">
        <f t="shared" si="32"/>
        <v>37.5</v>
      </c>
      <c r="AC41">
        <f t="shared" si="52"/>
        <v>37.5</v>
      </c>
      <c r="AD41">
        <f t="shared" si="53"/>
        <v>0</v>
      </c>
      <c r="AE41">
        <f t="shared" si="54"/>
        <v>0</v>
      </c>
      <c r="AF41">
        <f t="shared" si="55"/>
        <v>0</v>
      </c>
      <c r="AG41">
        <f t="shared" si="34"/>
        <v>0</v>
      </c>
      <c r="AH41">
        <f t="shared" si="56"/>
        <v>0</v>
      </c>
      <c r="AI41">
        <f t="shared" si="57"/>
        <v>0</v>
      </c>
      <c r="AJ41">
        <f t="shared" si="36"/>
        <v>0</v>
      </c>
      <c r="AK41">
        <v>37.5</v>
      </c>
      <c r="AL41">
        <v>37.5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3</v>
      </c>
      <c r="BI41">
        <v>4</v>
      </c>
      <c r="BJ41" t="s">
        <v>3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7"/>
        <v>937.5</v>
      </c>
      <c r="CQ41">
        <f t="shared" si="38"/>
        <v>37.5</v>
      </c>
      <c r="CR41">
        <f t="shared" si="58"/>
        <v>0</v>
      </c>
      <c r="CS41">
        <f t="shared" si="39"/>
        <v>0</v>
      </c>
      <c r="CT41">
        <f t="shared" si="40"/>
        <v>0</v>
      </c>
      <c r="CU41">
        <f t="shared" si="41"/>
        <v>0</v>
      </c>
      <c r="CV41">
        <f t="shared" si="42"/>
        <v>0</v>
      </c>
      <c r="CW41">
        <f t="shared" si="43"/>
        <v>0</v>
      </c>
      <c r="CX41">
        <f t="shared" si="44"/>
        <v>0</v>
      </c>
      <c r="CY41">
        <f t="shared" si="45"/>
        <v>0</v>
      </c>
      <c r="CZ41">
        <f t="shared" si="46"/>
        <v>0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1013</v>
      </c>
      <c r="DV41" t="s">
        <v>78</v>
      </c>
      <c r="DW41" t="s">
        <v>78</v>
      </c>
      <c r="DX41">
        <v>1</v>
      </c>
      <c r="EE41">
        <v>46035301</v>
      </c>
      <c r="EF41">
        <v>1</v>
      </c>
      <c r="EG41" t="s">
        <v>19</v>
      </c>
      <c r="EH41">
        <v>0</v>
      </c>
      <c r="EI41" t="s">
        <v>3</v>
      </c>
      <c r="EJ41">
        <v>4</v>
      </c>
      <c r="EK41">
        <v>0</v>
      </c>
      <c r="EL41" t="s">
        <v>20</v>
      </c>
      <c r="EM41" t="s">
        <v>21</v>
      </c>
      <c r="EO41" t="s">
        <v>3</v>
      </c>
      <c r="EQ41">
        <v>0</v>
      </c>
      <c r="ER41">
        <v>37.5</v>
      </c>
      <c r="ES41">
        <v>37.5</v>
      </c>
      <c r="ET41">
        <v>0</v>
      </c>
      <c r="EU41">
        <v>0</v>
      </c>
      <c r="EV41">
        <v>0</v>
      </c>
      <c r="EW41">
        <v>0</v>
      </c>
      <c r="EX41">
        <v>0</v>
      </c>
      <c r="EZ41">
        <v>5</v>
      </c>
      <c r="FC41">
        <v>1</v>
      </c>
      <c r="FD41">
        <v>18</v>
      </c>
      <c r="FF41">
        <v>45</v>
      </c>
      <c r="FQ41">
        <v>0</v>
      </c>
      <c r="FR41">
        <f t="shared" si="47"/>
        <v>0</v>
      </c>
      <c r="FS41">
        <v>0</v>
      </c>
      <c r="FX41">
        <v>70</v>
      </c>
      <c r="FY41">
        <v>10</v>
      </c>
      <c r="GA41" t="s">
        <v>79</v>
      </c>
      <c r="GD41">
        <v>0</v>
      </c>
      <c r="GF41">
        <v>-1591933177</v>
      </c>
      <c r="GG41">
        <v>2</v>
      </c>
      <c r="GH41">
        <v>3</v>
      </c>
      <c r="GI41">
        <v>-2</v>
      </c>
      <c r="GJ41">
        <v>0</v>
      </c>
      <c r="GK41">
        <f>ROUND(R41*(R12)/100,2)</f>
        <v>0</v>
      </c>
      <c r="GL41">
        <f t="shared" si="48"/>
        <v>0</v>
      </c>
      <c r="GM41">
        <f t="shared" si="59"/>
        <v>937.5</v>
      </c>
      <c r="GN41">
        <f t="shared" si="60"/>
        <v>0</v>
      </c>
      <c r="GO41">
        <f t="shared" si="61"/>
        <v>0</v>
      </c>
      <c r="GP41">
        <f t="shared" si="62"/>
        <v>937.5</v>
      </c>
      <c r="GR41">
        <v>1</v>
      </c>
      <c r="GS41">
        <v>1</v>
      </c>
      <c r="GT41">
        <v>0</v>
      </c>
      <c r="GU41" t="s">
        <v>3</v>
      </c>
      <c r="GV41">
        <f t="shared" si="49"/>
        <v>0</v>
      </c>
      <c r="GW41">
        <v>1</v>
      </c>
      <c r="GX41">
        <f t="shared" si="50"/>
        <v>0</v>
      </c>
      <c r="HA41">
        <v>0</v>
      </c>
      <c r="HB41">
        <v>0</v>
      </c>
      <c r="HC41">
        <f t="shared" si="51"/>
        <v>0</v>
      </c>
      <c r="IK41">
        <v>0</v>
      </c>
    </row>
    <row r="42" spans="1:245" x14ac:dyDescent="0.2">
      <c r="A42">
        <v>18</v>
      </c>
      <c r="B42">
        <v>1</v>
      </c>
      <c r="C42">
        <v>40</v>
      </c>
      <c r="E42" t="s">
        <v>80</v>
      </c>
      <c r="F42" t="s">
        <v>76</v>
      </c>
      <c r="G42" t="s">
        <v>81</v>
      </c>
      <c r="H42" t="s">
        <v>78</v>
      </c>
      <c r="I42">
        <f>I37*J42</f>
        <v>96</v>
      </c>
      <c r="J42">
        <v>0.76677316293929709</v>
      </c>
      <c r="O42">
        <f t="shared" si="21"/>
        <v>1586.88</v>
      </c>
      <c r="P42">
        <f t="shared" si="22"/>
        <v>1586.88</v>
      </c>
      <c r="Q42">
        <f t="shared" si="23"/>
        <v>0</v>
      </c>
      <c r="R42">
        <f t="shared" si="24"/>
        <v>0</v>
      </c>
      <c r="S42">
        <f t="shared" si="25"/>
        <v>0</v>
      </c>
      <c r="T42">
        <f t="shared" si="26"/>
        <v>0</v>
      </c>
      <c r="U42">
        <f t="shared" si="27"/>
        <v>0</v>
      </c>
      <c r="V42">
        <f t="shared" si="28"/>
        <v>0</v>
      </c>
      <c r="W42">
        <f t="shared" si="29"/>
        <v>0</v>
      </c>
      <c r="X42">
        <f t="shared" si="30"/>
        <v>0</v>
      </c>
      <c r="Y42">
        <f t="shared" si="31"/>
        <v>0</v>
      </c>
      <c r="AA42">
        <v>46561299</v>
      </c>
      <c r="AB42">
        <f t="shared" si="32"/>
        <v>16.53</v>
      </c>
      <c r="AC42">
        <f t="shared" si="52"/>
        <v>16.53</v>
      </c>
      <c r="AD42">
        <f t="shared" si="53"/>
        <v>0</v>
      </c>
      <c r="AE42">
        <f t="shared" si="54"/>
        <v>0</v>
      </c>
      <c r="AF42">
        <f t="shared" si="55"/>
        <v>0</v>
      </c>
      <c r="AG42">
        <f t="shared" si="34"/>
        <v>0</v>
      </c>
      <c r="AH42">
        <f t="shared" si="56"/>
        <v>0</v>
      </c>
      <c r="AI42">
        <f t="shared" si="57"/>
        <v>0</v>
      </c>
      <c r="AJ42">
        <f t="shared" si="36"/>
        <v>0</v>
      </c>
      <c r="AK42">
        <v>16.53</v>
      </c>
      <c r="AL42">
        <v>16.53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3</v>
      </c>
      <c r="BI42">
        <v>4</v>
      </c>
      <c r="BJ42" t="s">
        <v>3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37"/>
        <v>1586.88</v>
      </c>
      <c r="CQ42">
        <f t="shared" si="38"/>
        <v>16.53</v>
      </c>
      <c r="CR42">
        <f t="shared" si="58"/>
        <v>0</v>
      </c>
      <c r="CS42">
        <f t="shared" si="39"/>
        <v>0</v>
      </c>
      <c r="CT42">
        <f t="shared" si="40"/>
        <v>0</v>
      </c>
      <c r="CU42">
        <f t="shared" si="41"/>
        <v>0</v>
      </c>
      <c r="CV42">
        <f t="shared" si="42"/>
        <v>0</v>
      </c>
      <c r="CW42">
        <f t="shared" si="43"/>
        <v>0</v>
      </c>
      <c r="CX42">
        <f t="shared" si="44"/>
        <v>0</v>
      </c>
      <c r="CY42">
        <f t="shared" si="45"/>
        <v>0</v>
      </c>
      <c r="CZ42">
        <f t="shared" si="46"/>
        <v>0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1013</v>
      </c>
      <c r="DV42" t="s">
        <v>78</v>
      </c>
      <c r="DW42" t="s">
        <v>78</v>
      </c>
      <c r="DX42">
        <v>1</v>
      </c>
      <c r="EE42">
        <v>46035301</v>
      </c>
      <c r="EF42">
        <v>1</v>
      </c>
      <c r="EG42" t="s">
        <v>19</v>
      </c>
      <c r="EH42">
        <v>0</v>
      </c>
      <c r="EI42" t="s">
        <v>3</v>
      </c>
      <c r="EJ42">
        <v>4</v>
      </c>
      <c r="EK42">
        <v>0</v>
      </c>
      <c r="EL42" t="s">
        <v>20</v>
      </c>
      <c r="EM42" t="s">
        <v>21</v>
      </c>
      <c r="EO42" t="s">
        <v>3</v>
      </c>
      <c r="EQ42">
        <v>0</v>
      </c>
      <c r="ER42">
        <v>16.53</v>
      </c>
      <c r="ES42">
        <v>16.53</v>
      </c>
      <c r="ET42">
        <v>0</v>
      </c>
      <c r="EU42">
        <v>0</v>
      </c>
      <c r="EV42">
        <v>0</v>
      </c>
      <c r="EW42">
        <v>0</v>
      </c>
      <c r="EX42">
        <v>0</v>
      </c>
      <c r="EZ42">
        <v>5</v>
      </c>
      <c r="FC42">
        <v>1</v>
      </c>
      <c r="FD42">
        <v>18</v>
      </c>
      <c r="FF42">
        <v>19.829999999999998</v>
      </c>
      <c r="FQ42">
        <v>0</v>
      </c>
      <c r="FR42">
        <f t="shared" si="47"/>
        <v>0</v>
      </c>
      <c r="FS42">
        <v>0</v>
      </c>
      <c r="FX42">
        <v>70</v>
      </c>
      <c r="FY42">
        <v>10</v>
      </c>
      <c r="GA42" t="s">
        <v>82</v>
      </c>
      <c r="GD42">
        <v>0</v>
      </c>
      <c r="GF42">
        <v>-1949902326</v>
      </c>
      <c r="GG42">
        <v>2</v>
      </c>
      <c r="GH42">
        <v>3</v>
      </c>
      <c r="GI42">
        <v>-2</v>
      </c>
      <c r="GJ42">
        <v>0</v>
      </c>
      <c r="GK42">
        <f>ROUND(R42*(R12)/100,2)</f>
        <v>0</v>
      </c>
      <c r="GL42">
        <f t="shared" si="48"/>
        <v>0</v>
      </c>
      <c r="GM42">
        <f t="shared" si="59"/>
        <v>1586.88</v>
      </c>
      <c r="GN42">
        <f t="shared" si="60"/>
        <v>0</v>
      </c>
      <c r="GO42">
        <f t="shared" si="61"/>
        <v>0</v>
      </c>
      <c r="GP42">
        <f t="shared" si="62"/>
        <v>1586.88</v>
      </c>
      <c r="GR42">
        <v>1</v>
      </c>
      <c r="GS42">
        <v>1</v>
      </c>
      <c r="GT42">
        <v>0</v>
      </c>
      <c r="GU42" t="s">
        <v>3</v>
      </c>
      <c r="GV42">
        <f t="shared" si="49"/>
        <v>0</v>
      </c>
      <c r="GW42">
        <v>1</v>
      </c>
      <c r="GX42">
        <f t="shared" si="50"/>
        <v>0</v>
      </c>
      <c r="HA42">
        <v>0</v>
      </c>
      <c r="HB42">
        <v>0</v>
      </c>
      <c r="HC42">
        <f t="shared" si="51"/>
        <v>0</v>
      </c>
      <c r="IK42">
        <v>0</v>
      </c>
    </row>
    <row r="43" spans="1:245" x14ac:dyDescent="0.2">
      <c r="A43">
        <v>18</v>
      </c>
      <c r="B43">
        <v>1</v>
      </c>
      <c r="C43">
        <v>34</v>
      </c>
      <c r="E43" t="s">
        <v>83</v>
      </c>
      <c r="F43" t="s">
        <v>84</v>
      </c>
      <c r="G43" t="s">
        <v>85</v>
      </c>
      <c r="H43" t="s">
        <v>65</v>
      </c>
      <c r="I43">
        <f>I37*J43</f>
        <v>-18.654800000000002</v>
      </c>
      <c r="J43">
        <v>-0.14900000000000002</v>
      </c>
      <c r="O43">
        <f t="shared" si="21"/>
        <v>-700255.3</v>
      </c>
      <c r="P43">
        <f t="shared" si="22"/>
        <v>-700255.3</v>
      </c>
      <c r="Q43">
        <f t="shared" si="23"/>
        <v>0</v>
      </c>
      <c r="R43">
        <f t="shared" si="24"/>
        <v>0</v>
      </c>
      <c r="S43">
        <f t="shared" si="25"/>
        <v>0</v>
      </c>
      <c r="T43">
        <f t="shared" si="26"/>
        <v>0</v>
      </c>
      <c r="U43">
        <f t="shared" si="27"/>
        <v>0</v>
      </c>
      <c r="V43">
        <f t="shared" si="28"/>
        <v>0</v>
      </c>
      <c r="W43">
        <f t="shared" si="29"/>
        <v>0</v>
      </c>
      <c r="X43">
        <f t="shared" si="30"/>
        <v>0</v>
      </c>
      <c r="Y43">
        <f t="shared" si="31"/>
        <v>0</v>
      </c>
      <c r="AA43">
        <v>46561299</v>
      </c>
      <c r="AB43">
        <f t="shared" si="32"/>
        <v>37537.54</v>
      </c>
      <c r="AC43">
        <f t="shared" si="52"/>
        <v>37537.54</v>
      </c>
      <c r="AD43">
        <f t="shared" si="53"/>
        <v>0</v>
      </c>
      <c r="AE43">
        <f t="shared" si="54"/>
        <v>0</v>
      </c>
      <c r="AF43">
        <f t="shared" si="55"/>
        <v>0</v>
      </c>
      <c r="AG43">
        <f t="shared" si="34"/>
        <v>0</v>
      </c>
      <c r="AH43">
        <f t="shared" si="56"/>
        <v>0</v>
      </c>
      <c r="AI43">
        <f t="shared" si="57"/>
        <v>0</v>
      </c>
      <c r="AJ43">
        <f t="shared" si="36"/>
        <v>0</v>
      </c>
      <c r="AK43">
        <v>37537.54</v>
      </c>
      <c r="AL43">
        <v>37537.54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4</v>
      </c>
      <c r="BJ43" t="s">
        <v>86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7"/>
        <v>-700255.3</v>
      </c>
      <c r="CQ43">
        <f t="shared" si="38"/>
        <v>37537.54</v>
      </c>
      <c r="CR43">
        <f t="shared" si="58"/>
        <v>0</v>
      </c>
      <c r="CS43">
        <f t="shared" si="39"/>
        <v>0</v>
      </c>
      <c r="CT43">
        <f t="shared" si="40"/>
        <v>0</v>
      </c>
      <c r="CU43">
        <f t="shared" si="41"/>
        <v>0</v>
      </c>
      <c r="CV43">
        <f t="shared" si="42"/>
        <v>0</v>
      </c>
      <c r="CW43">
        <f t="shared" si="43"/>
        <v>0</v>
      </c>
      <c r="CX43">
        <f t="shared" si="44"/>
        <v>0</v>
      </c>
      <c r="CY43">
        <f t="shared" si="45"/>
        <v>0</v>
      </c>
      <c r="CZ43">
        <f t="shared" si="46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1009</v>
      </c>
      <c r="DV43" t="s">
        <v>65</v>
      </c>
      <c r="DW43" t="s">
        <v>65</v>
      </c>
      <c r="DX43">
        <v>1000</v>
      </c>
      <c r="EE43">
        <v>46035301</v>
      </c>
      <c r="EF43">
        <v>1</v>
      </c>
      <c r="EG43" t="s">
        <v>19</v>
      </c>
      <c r="EH43">
        <v>0</v>
      </c>
      <c r="EI43" t="s">
        <v>3</v>
      </c>
      <c r="EJ43">
        <v>4</v>
      </c>
      <c r="EK43">
        <v>0</v>
      </c>
      <c r="EL43" t="s">
        <v>20</v>
      </c>
      <c r="EM43" t="s">
        <v>21</v>
      </c>
      <c r="EO43" t="s">
        <v>3</v>
      </c>
      <c r="EQ43">
        <v>0</v>
      </c>
      <c r="ER43">
        <v>37537.54</v>
      </c>
      <c r="ES43">
        <v>37537.54</v>
      </c>
      <c r="ET43">
        <v>0</v>
      </c>
      <c r="EU43">
        <v>0</v>
      </c>
      <c r="EV43">
        <v>0</v>
      </c>
      <c r="EW43">
        <v>0</v>
      </c>
      <c r="EX43">
        <v>0</v>
      </c>
      <c r="FQ43">
        <v>0</v>
      </c>
      <c r="FR43">
        <f t="shared" si="47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-2126876791</v>
      </c>
      <c r="GG43">
        <v>2</v>
      </c>
      <c r="GH43">
        <v>1</v>
      </c>
      <c r="GI43">
        <v>-2</v>
      </c>
      <c r="GJ43">
        <v>0</v>
      </c>
      <c r="GK43">
        <f>ROUND(R43*(R12)/100,2)</f>
        <v>0</v>
      </c>
      <c r="GL43">
        <f t="shared" si="48"/>
        <v>0</v>
      </c>
      <c r="GM43">
        <f t="shared" si="59"/>
        <v>-700255.3</v>
      </c>
      <c r="GN43">
        <f t="shared" si="60"/>
        <v>0</v>
      </c>
      <c r="GO43">
        <f t="shared" si="61"/>
        <v>0</v>
      </c>
      <c r="GP43">
        <f t="shared" si="62"/>
        <v>-700255.3</v>
      </c>
      <c r="GR43">
        <v>0</v>
      </c>
      <c r="GS43">
        <v>3</v>
      </c>
      <c r="GT43">
        <v>0</v>
      </c>
      <c r="GU43" t="s">
        <v>3</v>
      </c>
      <c r="GV43">
        <f t="shared" si="49"/>
        <v>0</v>
      </c>
      <c r="GW43">
        <v>1</v>
      </c>
      <c r="GX43">
        <f t="shared" si="50"/>
        <v>0</v>
      </c>
      <c r="HA43">
        <v>0</v>
      </c>
      <c r="HB43">
        <v>0</v>
      </c>
      <c r="HC43">
        <f t="shared" si="51"/>
        <v>0</v>
      </c>
      <c r="IK43">
        <v>0</v>
      </c>
    </row>
    <row r="44" spans="1:245" x14ac:dyDescent="0.2">
      <c r="A44">
        <v>17</v>
      </c>
      <c r="B44">
        <v>1</v>
      </c>
      <c r="C44">
        <f>ROW(SmtRes!A46)</f>
        <v>46</v>
      </c>
      <c r="D44">
        <f>ROW(EtalonRes!A40)</f>
        <v>40</v>
      </c>
      <c r="E44" t="s">
        <v>87</v>
      </c>
      <c r="F44" t="s">
        <v>88</v>
      </c>
      <c r="G44" t="s">
        <v>89</v>
      </c>
      <c r="H44" t="s">
        <v>90</v>
      </c>
      <c r="I44">
        <v>1.252</v>
      </c>
      <c r="J44">
        <v>0</v>
      </c>
      <c r="O44">
        <f t="shared" si="21"/>
        <v>3541.27</v>
      </c>
      <c r="P44">
        <f t="shared" si="22"/>
        <v>1279.68</v>
      </c>
      <c r="Q44">
        <f t="shared" si="23"/>
        <v>180.64</v>
      </c>
      <c r="R44">
        <f t="shared" si="24"/>
        <v>62.6</v>
      </c>
      <c r="S44">
        <f t="shared" si="25"/>
        <v>2080.9499999999998</v>
      </c>
      <c r="T44">
        <f t="shared" si="26"/>
        <v>0</v>
      </c>
      <c r="U44">
        <f t="shared" si="27"/>
        <v>7.6497200000000003</v>
      </c>
      <c r="V44">
        <f t="shared" si="28"/>
        <v>0</v>
      </c>
      <c r="W44">
        <f t="shared" si="29"/>
        <v>0</v>
      </c>
      <c r="X44">
        <f t="shared" si="30"/>
        <v>1456.67</v>
      </c>
      <c r="Y44">
        <f t="shared" si="31"/>
        <v>208.1</v>
      </c>
      <c r="AA44">
        <v>46561299</v>
      </c>
      <c r="AB44">
        <f t="shared" si="32"/>
        <v>2828.49</v>
      </c>
      <c r="AC44">
        <f t="shared" si="52"/>
        <v>1022.11</v>
      </c>
      <c r="AD44">
        <f t="shared" si="53"/>
        <v>144.28</v>
      </c>
      <c r="AE44">
        <f t="shared" si="54"/>
        <v>50</v>
      </c>
      <c r="AF44">
        <f t="shared" si="55"/>
        <v>1662.1</v>
      </c>
      <c r="AG44">
        <f t="shared" si="34"/>
        <v>0</v>
      </c>
      <c r="AH44">
        <f t="shared" si="56"/>
        <v>6.11</v>
      </c>
      <c r="AI44">
        <f t="shared" si="57"/>
        <v>0</v>
      </c>
      <c r="AJ44">
        <f t="shared" si="36"/>
        <v>0</v>
      </c>
      <c r="AK44">
        <v>2828.49</v>
      </c>
      <c r="AL44">
        <v>1022.11</v>
      </c>
      <c r="AM44">
        <v>144.28</v>
      </c>
      <c r="AN44">
        <v>50</v>
      </c>
      <c r="AO44">
        <v>1662.1</v>
      </c>
      <c r="AP44">
        <v>0</v>
      </c>
      <c r="AQ44">
        <v>6.11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3</v>
      </c>
      <c r="BE44" t="s">
        <v>3</v>
      </c>
      <c r="BF44" t="s">
        <v>3</v>
      </c>
      <c r="BG44" t="s">
        <v>3</v>
      </c>
      <c r="BH44">
        <v>0</v>
      </c>
      <c r="BI44">
        <v>4</v>
      </c>
      <c r="BJ44" t="s">
        <v>91</v>
      </c>
      <c r="BM44">
        <v>0</v>
      </c>
      <c r="BN44">
        <v>0</v>
      </c>
      <c r="BO44" t="s">
        <v>3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3</v>
      </c>
      <c r="CO44">
        <v>0</v>
      </c>
      <c r="CP44">
        <f t="shared" si="37"/>
        <v>3541.27</v>
      </c>
      <c r="CQ44">
        <f t="shared" si="38"/>
        <v>1022.11</v>
      </c>
      <c r="CR44">
        <f t="shared" si="58"/>
        <v>144.28</v>
      </c>
      <c r="CS44">
        <f t="shared" si="39"/>
        <v>50</v>
      </c>
      <c r="CT44">
        <f t="shared" si="40"/>
        <v>1662.1</v>
      </c>
      <c r="CU44">
        <f t="shared" si="41"/>
        <v>0</v>
      </c>
      <c r="CV44">
        <f t="shared" si="42"/>
        <v>6.11</v>
      </c>
      <c r="CW44">
        <f t="shared" si="43"/>
        <v>0</v>
      </c>
      <c r="CX44">
        <f t="shared" si="44"/>
        <v>0</v>
      </c>
      <c r="CY44">
        <f t="shared" si="45"/>
        <v>1456.665</v>
      </c>
      <c r="CZ44">
        <f t="shared" si="46"/>
        <v>208.095</v>
      </c>
      <c r="DC44" t="s">
        <v>3</v>
      </c>
      <c r="DD44" t="s">
        <v>3</v>
      </c>
      <c r="DE44" t="s">
        <v>3</v>
      </c>
      <c r="DF44" t="s">
        <v>3</v>
      </c>
      <c r="DG44" t="s">
        <v>3</v>
      </c>
      <c r="DH44" t="s">
        <v>3</v>
      </c>
      <c r="DI44" t="s">
        <v>3</v>
      </c>
      <c r="DJ44" t="s">
        <v>3</v>
      </c>
      <c r="DK44" t="s">
        <v>3</v>
      </c>
      <c r="DL44" t="s">
        <v>3</v>
      </c>
      <c r="DM44" t="s">
        <v>3</v>
      </c>
      <c r="DN44">
        <v>0</v>
      </c>
      <c r="DO44">
        <v>0</v>
      </c>
      <c r="DP44">
        <v>1</v>
      </c>
      <c r="DQ44">
        <v>1</v>
      </c>
      <c r="DU44">
        <v>1005</v>
      </c>
      <c r="DV44" t="s">
        <v>90</v>
      </c>
      <c r="DW44" t="s">
        <v>90</v>
      </c>
      <c r="DX44">
        <v>100</v>
      </c>
      <c r="EE44">
        <v>46035301</v>
      </c>
      <c r="EF44">
        <v>1</v>
      </c>
      <c r="EG44" t="s">
        <v>19</v>
      </c>
      <c r="EH44">
        <v>0</v>
      </c>
      <c r="EI44" t="s">
        <v>3</v>
      </c>
      <c r="EJ44">
        <v>4</v>
      </c>
      <c r="EK44">
        <v>0</v>
      </c>
      <c r="EL44" t="s">
        <v>20</v>
      </c>
      <c r="EM44" t="s">
        <v>21</v>
      </c>
      <c r="EO44" t="s">
        <v>3</v>
      </c>
      <c r="EQ44">
        <v>0</v>
      </c>
      <c r="ER44">
        <v>2828.49</v>
      </c>
      <c r="ES44">
        <v>1022.11</v>
      </c>
      <c r="ET44">
        <v>144.28</v>
      </c>
      <c r="EU44">
        <v>50</v>
      </c>
      <c r="EV44">
        <v>1662.1</v>
      </c>
      <c r="EW44">
        <v>6.11</v>
      </c>
      <c r="EX44">
        <v>0</v>
      </c>
      <c r="EY44">
        <v>0</v>
      </c>
      <c r="FQ44">
        <v>0</v>
      </c>
      <c r="FR44">
        <f t="shared" si="47"/>
        <v>0</v>
      </c>
      <c r="FS44">
        <v>0</v>
      </c>
      <c r="FX44">
        <v>70</v>
      </c>
      <c r="FY44">
        <v>10</v>
      </c>
      <c r="GA44" t="s">
        <v>3</v>
      </c>
      <c r="GD44">
        <v>0</v>
      </c>
      <c r="GF44">
        <v>-1014157109</v>
      </c>
      <c r="GG44">
        <v>2</v>
      </c>
      <c r="GH44">
        <v>1</v>
      </c>
      <c r="GI44">
        <v>-2</v>
      </c>
      <c r="GJ44">
        <v>0</v>
      </c>
      <c r="GK44">
        <f>ROUND(R44*(R12)/100,2)</f>
        <v>67.61</v>
      </c>
      <c r="GL44">
        <f t="shared" si="48"/>
        <v>0</v>
      </c>
      <c r="GM44">
        <f t="shared" si="59"/>
        <v>5273.65</v>
      </c>
      <c r="GN44">
        <f t="shared" si="60"/>
        <v>0</v>
      </c>
      <c r="GO44">
        <f t="shared" si="61"/>
        <v>0</v>
      </c>
      <c r="GP44">
        <f t="shared" si="62"/>
        <v>5273.65</v>
      </c>
      <c r="GR44">
        <v>0</v>
      </c>
      <c r="GS44">
        <v>3</v>
      </c>
      <c r="GT44">
        <v>0</v>
      </c>
      <c r="GU44" t="s">
        <v>3</v>
      </c>
      <c r="GV44">
        <f t="shared" si="49"/>
        <v>0</v>
      </c>
      <c r="GW44">
        <v>1</v>
      </c>
      <c r="GX44">
        <f t="shared" si="50"/>
        <v>0</v>
      </c>
      <c r="HA44">
        <v>0</v>
      </c>
      <c r="HB44">
        <v>0</v>
      </c>
      <c r="HC44">
        <f t="shared" si="51"/>
        <v>0</v>
      </c>
      <c r="IK44">
        <v>0</v>
      </c>
    </row>
    <row r="45" spans="1:245" x14ac:dyDescent="0.2">
      <c r="A45">
        <v>17</v>
      </c>
      <c r="B45">
        <v>1</v>
      </c>
      <c r="C45">
        <f>ROW(SmtRes!A50)</f>
        <v>50</v>
      </c>
      <c r="D45">
        <f>ROW(EtalonRes!A44)</f>
        <v>44</v>
      </c>
      <c r="E45" t="s">
        <v>92</v>
      </c>
      <c r="F45" t="s">
        <v>93</v>
      </c>
      <c r="G45" t="s">
        <v>94</v>
      </c>
      <c r="H45" t="s">
        <v>90</v>
      </c>
      <c r="I45">
        <v>1.252</v>
      </c>
      <c r="J45">
        <v>0</v>
      </c>
      <c r="O45">
        <f t="shared" si="21"/>
        <v>2000.21</v>
      </c>
      <c r="P45">
        <f t="shared" si="22"/>
        <v>1303.8499999999999</v>
      </c>
      <c r="Q45">
        <f t="shared" si="23"/>
        <v>8.56</v>
      </c>
      <c r="R45">
        <f t="shared" si="24"/>
        <v>4.6399999999999997</v>
      </c>
      <c r="S45">
        <f t="shared" si="25"/>
        <v>687.8</v>
      </c>
      <c r="T45">
        <f t="shared" si="26"/>
        <v>0</v>
      </c>
      <c r="U45">
        <f t="shared" si="27"/>
        <v>3.0674000000000001</v>
      </c>
      <c r="V45">
        <f t="shared" si="28"/>
        <v>0</v>
      </c>
      <c r="W45">
        <f t="shared" si="29"/>
        <v>0</v>
      </c>
      <c r="X45">
        <f t="shared" si="30"/>
        <v>481.46</v>
      </c>
      <c r="Y45">
        <f t="shared" si="31"/>
        <v>68.78</v>
      </c>
      <c r="AA45">
        <v>46561299</v>
      </c>
      <c r="AB45">
        <f t="shared" si="32"/>
        <v>1597.61</v>
      </c>
      <c r="AC45">
        <f t="shared" si="52"/>
        <v>1041.4100000000001</v>
      </c>
      <c r="AD45">
        <f t="shared" si="53"/>
        <v>6.84</v>
      </c>
      <c r="AE45">
        <f t="shared" si="54"/>
        <v>3.71</v>
      </c>
      <c r="AF45">
        <f t="shared" si="55"/>
        <v>549.36</v>
      </c>
      <c r="AG45">
        <f t="shared" si="34"/>
        <v>0</v>
      </c>
      <c r="AH45">
        <f t="shared" si="56"/>
        <v>2.4500000000000002</v>
      </c>
      <c r="AI45">
        <f t="shared" si="57"/>
        <v>0</v>
      </c>
      <c r="AJ45">
        <f t="shared" si="36"/>
        <v>0</v>
      </c>
      <c r="AK45">
        <v>1597.61</v>
      </c>
      <c r="AL45">
        <v>1041.4100000000001</v>
      </c>
      <c r="AM45">
        <v>6.84</v>
      </c>
      <c r="AN45">
        <v>3.71</v>
      </c>
      <c r="AO45">
        <v>549.36</v>
      </c>
      <c r="AP45">
        <v>0</v>
      </c>
      <c r="AQ45">
        <v>2.4500000000000002</v>
      </c>
      <c r="AR45">
        <v>0</v>
      </c>
      <c r="AS45">
        <v>0</v>
      </c>
      <c r="AT45">
        <v>70</v>
      </c>
      <c r="AU45">
        <v>10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3</v>
      </c>
      <c r="BE45" t="s">
        <v>3</v>
      </c>
      <c r="BF45" t="s">
        <v>3</v>
      </c>
      <c r="BG45" t="s">
        <v>3</v>
      </c>
      <c r="BH45">
        <v>0</v>
      </c>
      <c r="BI45">
        <v>4</v>
      </c>
      <c r="BJ45" t="s">
        <v>95</v>
      </c>
      <c r="BM45">
        <v>0</v>
      </c>
      <c r="BN45">
        <v>0</v>
      </c>
      <c r="BO45" t="s">
        <v>3</v>
      </c>
      <c r="BP45">
        <v>0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70</v>
      </c>
      <c r="CA45">
        <v>10</v>
      </c>
      <c r="CE45">
        <v>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37"/>
        <v>2000.2099999999998</v>
      </c>
      <c r="CQ45">
        <f t="shared" si="38"/>
        <v>1041.4100000000001</v>
      </c>
      <c r="CR45">
        <f t="shared" si="58"/>
        <v>6.84</v>
      </c>
      <c r="CS45">
        <f t="shared" si="39"/>
        <v>3.71</v>
      </c>
      <c r="CT45">
        <f t="shared" si="40"/>
        <v>549.36</v>
      </c>
      <c r="CU45">
        <f t="shared" si="41"/>
        <v>0</v>
      </c>
      <c r="CV45">
        <f t="shared" si="42"/>
        <v>2.4500000000000002</v>
      </c>
      <c r="CW45">
        <f t="shared" si="43"/>
        <v>0</v>
      </c>
      <c r="CX45">
        <f t="shared" si="44"/>
        <v>0</v>
      </c>
      <c r="CY45">
        <f t="shared" si="45"/>
        <v>481.46</v>
      </c>
      <c r="CZ45">
        <f t="shared" si="46"/>
        <v>68.78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0</v>
      </c>
      <c r="DO45">
        <v>0</v>
      </c>
      <c r="DP45">
        <v>1</v>
      </c>
      <c r="DQ45">
        <v>1</v>
      </c>
      <c r="DU45">
        <v>1005</v>
      </c>
      <c r="DV45" t="s">
        <v>90</v>
      </c>
      <c r="DW45" t="s">
        <v>90</v>
      </c>
      <c r="DX45">
        <v>100</v>
      </c>
      <c r="EE45">
        <v>46035301</v>
      </c>
      <c r="EF45">
        <v>1</v>
      </c>
      <c r="EG45" t="s">
        <v>19</v>
      </c>
      <c r="EH45">
        <v>0</v>
      </c>
      <c r="EI45" t="s">
        <v>3</v>
      </c>
      <c r="EJ45">
        <v>4</v>
      </c>
      <c r="EK45">
        <v>0</v>
      </c>
      <c r="EL45" t="s">
        <v>20</v>
      </c>
      <c r="EM45" t="s">
        <v>21</v>
      </c>
      <c r="EO45" t="s">
        <v>3</v>
      </c>
      <c r="EQ45">
        <v>0</v>
      </c>
      <c r="ER45">
        <v>1597.61</v>
      </c>
      <c r="ES45">
        <v>1041.4100000000001</v>
      </c>
      <c r="ET45">
        <v>6.84</v>
      </c>
      <c r="EU45">
        <v>3.71</v>
      </c>
      <c r="EV45">
        <v>549.36</v>
      </c>
      <c r="EW45">
        <v>2.4500000000000002</v>
      </c>
      <c r="EX45">
        <v>0</v>
      </c>
      <c r="EY45">
        <v>0</v>
      </c>
      <c r="FQ45">
        <v>0</v>
      </c>
      <c r="FR45">
        <f t="shared" si="47"/>
        <v>0</v>
      </c>
      <c r="FS45">
        <v>0</v>
      </c>
      <c r="FX45">
        <v>70</v>
      </c>
      <c r="FY45">
        <v>10</v>
      </c>
      <c r="GA45" t="s">
        <v>3</v>
      </c>
      <c r="GD45">
        <v>0</v>
      </c>
      <c r="GF45">
        <v>-1319810598</v>
      </c>
      <c r="GG45">
        <v>2</v>
      </c>
      <c r="GH45">
        <v>1</v>
      </c>
      <c r="GI45">
        <v>-2</v>
      </c>
      <c r="GJ45">
        <v>0</v>
      </c>
      <c r="GK45">
        <f>ROUND(R45*(R12)/100,2)</f>
        <v>5.01</v>
      </c>
      <c r="GL45">
        <f t="shared" si="48"/>
        <v>0</v>
      </c>
      <c r="GM45">
        <f t="shared" si="59"/>
        <v>2555.46</v>
      </c>
      <c r="GN45">
        <f t="shared" si="60"/>
        <v>0</v>
      </c>
      <c r="GO45">
        <f t="shared" si="61"/>
        <v>0</v>
      </c>
      <c r="GP45">
        <f t="shared" si="62"/>
        <v>2555.46</v>
      </c>
      <c r="GR45">
        <v>0</v>
      </c>
      <c r="GS45">
        <v>3</v>
      </c>
      <c r="GT45">
        <v>0</v>
      </c>
      <c r="GU45" t="s">
        <v>3</v>
      </c>
      <c r="GV45">
        <f t="shared" si="49"/>
        <v>0</v>
      </c>
      <c r="GW45">
        <v>1</v>
      </c>
      <c r="GX45">
        <f t="shared" si="50"/>
        <v>0</v>
      </c>
      <c r="HA45">
        <v>0</v>
      </c>
      <c r="HB45">
        <v>0</v>
      </c>
      <c r="HC45">
        <f t="shared" si="51"/>
        <v>0</v>
      </c>
      <c r="IK45">
        <v>0</v>
      </c>
    </row>
    <row r="47" spans="1:245" x14ac:dyDescent="0.2">
      <c r="A47" s="2">
        <v>51</v>
      </c>
      <c r="B47" s="2">
        <f>B24</f>
        <v>1</v>
      </c>
      <c r="C47" s="2">
        <f>A24</f>
        <v>4</v>
      </c>
      <c r="D47" s="2">
        <f>ROW(A24)</f>
        <v>24</v>
      </c>
      <c r="E47" s="2"/>
      <c r="F47" s="2" t="str">
        <f>IF(F24&lt;&gt;"",F24,"")</f>
        <v>Новый раздел</v>
      </c>
      <c r="G47" s="2" t="str">
        <f>IF(G24&lt;&gt;"",G24,"")</f>
        <v>Установка ограждения - Участок 1</v>
      </c>
      <c r="H47" s="2">
        <v>0</v>
      </c>
      <c r="I47" s="2"/>
      <c r="J47" s="2"/>
      <c r="K47" s="2"/>
      <c r="L47" s="2"/>
      <c r="M47" s="2"/>
      <c r="N47" s="2"/>
      <c r="O47" s="2">
        <f t="shared" ref="O47:T47" si="63">ROUND(AB47,2)</f>
        <v>338600.09</v>
      </c>
      <c r="P47" s="2">
        <f t="shared" si="63"/>
        <v>173234.6</v>
      </c>
      <c r="Q47" s="2">
        <f t="shared" si="63"/>
        <v>59869.14</v>
      </c>
      <c r="R47" s="2">
        <f t="shared" si="63"/>
        <v>37915.79</v>
      </c>
      <c r="S47" s="2">
        <f t="shared" si="63"/>
        <v>105496.35</v>
      </c>
      <c r="T47" s="2">
        <f t="shared" si="63"/>
        <v>0</v>
      </c>
      <c r="U47" s="2">
        <f>AH47</f>
        <v>399.14294500000005</v>
      </c>
      <c r="V47" s="2">
        <f>AI47</f>
        <v>0</v>
      </c>
      <c r="W47" s="2">
        <f>ROUND(AJ47,2)</f>
        <v>0</v>
      </c>
      <c r="X47" s="2">
        <f>ROUND(AK47,2)</f>
        <v>73847.44</v>
      </c>
      <c r="Y47" s="2">
        <f>ROUND(AL47,2)</f>
        <v>10549.64</v>
      </c>
      <c r="Z47" s="2"/>
      <c r="AA47" s="2"/>
      <c r="AB47" s="2">
        <f>ROUND(SUMIF(AA28:AA45,"=46561299",O28:O45),2)</f>
        <v>338600.09</v>
      </c>
      <c r="AC47" s="2">
        <f>ROUND(SUMIF(AA28:AA45,"=46561299",P28:P45),2)</f>
        <v>173234.6</v>
      </c>
      <c r="AD47" s="2">
        <f>ROUND(SUMIF(AA28:AA45,"=46561299",Q28:Q45),2)</f>
        <v>59869.14</v>
      </c>
      <c r="AE47" s="2">
        <f>ROUND(SUMIF(AA28:AA45,"=46561299",R28:R45),2)</f>
        <v>37915.79</v>
      </c>
      <c r="AF47" s="2">
        <f>ROUND(SUMIF(AA28:AA45,"=46561299",S28:S45),2)</f>
        <v>105496.35</v>
      </c>
      <c r="AG47" s="2">
        <f>ROUND(SUMIF(AA28:AA45,"=46561299",T28:T45),2)</f>
        <v>0</v>
      </c>
      <c r="AH47" s="2">
        <f>SUMIF(AA28:AA45,"=46561299",U28:U45)</f>
        <v>399.14294500000005</v>
      </c>
      <c r="AI47" s="2">
        <f>SUMIF(AA28:AA45,"=46561299",V28:V45)</f>
        <v>0</v>
      </c>
      <c r="AJ47" s="2">
        <f>ROUND(SUMIF(AA28:AA45,"=46561299",W28:W45),2)</f>
        <v>0</v>
      </c>
      <c r="AK47" s="2">
        <f>ROUND(SUMIF(AA28:AA45,"=46561299",X28:X45),2)</f>
        <v>73847.44</v>
      </c>
      <c r="AL47" s="2">
        <f>ROUND(SUMIF(AA28:AA45,"=46561299",Y28:Y45),2)</f>
        <v>10549.64</v>
      </c>
      <c r="AM47" s="2"/>
      <c r="AN47" s="2"/>
      <c r="AO47" s="2">
        <f t="shared" ref="AO47:BC47" si="64">ROUND(BX47,2)</f>
        <v>0</v>
      </c>
      <c r="AP47" s="2">
        <f t="shared" si="64"/>
        <v>0</v>
      </c>
      <c r="AQ47" s="2">
        <f t="shared" si="64"/>
        <v>0</v>
      </c>
      <c r="AR47" s="2">
        <f t="shared" si="64"/>
        <v>463098.78</v>
      </c>
      <c r="AS47" s="2">
        <f t="shared" si="64"/>
        <v>0</v>
      </c>
      <c r="AT47" s="2">
        <f t="shared" si="64"/>
        <v>0</v>
      </c>
      <c r="AU47" s="2">
        <f t="shared" si="64"/>
        <v>463098.78</v>
      </c>
      <c r="AV47" s="2">
        <f t="shared" si="64"/>
        <v>173234.6</v>
      </c>
      <c r="AW47" s="2">
        <f t="shared" si="64"/>
        <v>173234.6</v>
      </c>
      <c r="AX47" s="2">
        <f t="shared" si="64"/>
        <v>0</v>
      </c>
      <c r="AY47" s="2">
        <f t="shared" si="64"/>
        <v>173234.6</v>
      </c>
      <c r="AZ47" s="2">
        <f t="shared" si="64"/>
        <v>0</v>
      </c>
      <c r="BA47" s="2">
        <f t="shared" si="64"/>
        <v>0</v>
      </c>
      <c r="BB47" s="2">
        <f t="shared" si="64"/>
        <v>0</v>
      </c>
      <c r="BC47" s="2">
        <f t="shared" si="64"/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>
        <f>ROUND(SUMIF(AA28:AA45,"=46561299",FQ28:FQ45),2)</f>
        <v>0</v>
      </c>
      <c r="BY47" s="2">
        <f>ROUND(SUMIF(AA28:AA45,"=46561299",FR28:FR45),2)</f>
        <v>0</v>
      </c>
      <c r="BZ47" s="2">
        <f>ROUND(SUMIF(AA28:AA45,"=46561299",GL28:GL45),2)</f>
        <v>0</v>
      </c>
      <c r="CA47" s="2">
        <f>ROUND(SUMIF(AA28:AA45,"=46561299",GM28:GM45),2)</f>
        <v>463098.78</v>
      </c>
      <c r="CB47" s="2">
        <f>ROUND(SUMIF(AA28:AA45,"=46561299",GN28:GN45),2)</f>
        <v>0</v>
      </c>
      <c r="CC47" s="2">
        <f>ROUND(SUMIF(AA28:AA45,"=46561299",GO28:GO45),2)</f>
        <v>0</v>
      </c>
      <c r="CD47" s="2">
        <f>ROUND(SUMIF(AA28:AA45,"=46561299",GP28:GP45),2)</f>
        <v>463098.78</v>
      </c>
      <c r="CE47" s="2">
        <f>AC47-BX47</f>
        <v>173234.6</v>
      </c>
      <c r="CF47" s="2">
        <f>AC47-BY47</f>
        <v>173234.6</v>
      </c>
      <c r="CG47" s="2">
        <f>BX47-BZ47</f>
        <v>0</v>
      </c>
      <c r="CH47" s="2">
        <f>AC47-BX47-BY47+BZ47</f>
        <v>173234.6</v>
      </c>
      <c r="CI47" s="2">
        <f>BY47-BZ47</f>
        <v>0</v>
      </c>
      <c r="CJ47" s="2">
        <f>ROUND(SUMIF(AA28:AA45,"=46561299",GX28:GX45),2)</f>
        <v>0</v>
      </c>
      <c r="CK47" s="2">
        <f>ROUND(SUMIF(AA28:AA45,"=46561299",GY28:GY45),2)</f>
        <v>0</v>
      </c>
      <c r="CL47" s="2">
        <f>ROUND(SUMIF(AA28:AA45,"=46561299",GZ28:GZ45),2)</f>
        <v>0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>
        <v>0</v>
      </c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201</v>
      </c>
      <c r="F49" s="4">
        <f>ROUND(Source!O47,O49)</f>
        <v>338600.09</v>
      </c>
      <c r="G49" s="4" t="s">
        <v>96</v>
      </c>
      <c r="H49" s="4" t="s">
        <v>97</v>
      </c>
      <c r="I49" s="4"/>
      <c r="J49" s="4"/>
      <c r="K49" s="4">
        <v>201</v>
      </c>
      <c r="L49" s="4">
        <v>1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202</v>
      </c>
      <c r="F50" s="4">
        <f>ROUND(Source!P47,O50)</f>
        <v>173234.6</v>
      </c>
      <c r="G50" s="4" t="s">
        <v>98</v>
      </c>
      <c r="H50" s="4" t="s">
        <v>99</v>
      </c>
      <c r="I50" s="4"/>
      <c r="J50" s="4"/>
      <c r="K50" s="4">
        <v>202</v>
      </c>
      <c r="L50" s="4">
        <v>2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222</v>
      </c>
      <c r="F51" s="4">
        <f>ROUND(Source!AO47,O51)</f>
        <v>0</v>
      </c>
      <c r="G51" s="4" t="s">
        <v>100</v>
      </c>
      <c r="H51" s="4" t="s">
        <v>101</v>
      </c>
      <c r="I51" s="4"/>
      <c r="J51" s="4"/>
      <c r="K51" s="4">
        <v>222</v>
      </c>
      <c r="L51" s="4">
        <v>3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225</v>
      </c>
      <c r="F52" s="4">
        <f>ROUND(Source!AV47,O52)</f>
        <v>173234.6</v>
      </c>
      <c r="G52" s="4" t="s">
        <v>102</v>
      </c>
      <c r="H52" s="4" t="s">
        <v>103</v>
      </c>
      <c r="I52" s="4"/>
      <c r="J52" s="4"/>
      <c r="K52" s="4">
        <v>225</v>
      </c>
      <c r="L52" s="4">
        <v>4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226</v>
      </c>
      <c r="F53" s="4">
        <f>ROUND(Source!AW47,O53)</f>
        <v>173234.6</v>
      </c>
      <c r="G53" s="4" t="s">
        <v>104</v>
      </c>
      <c r="H53" s="4" t="s">
        <v>105</v>
      </c>
      <c r="I53" s="4"/>
      <c r="J53" s="4"/>
      <c r="K53" s="4">
        <v>226</v>
      </c>
      <c r="L53" s="4">
        <v>5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227</v>
      </c>
      <c r="F54" s="4">
        <f>ROUND(Source!AX47,O54)</f>
        <v>0</v>
      </c>
      <c r="G54" s="4" t="s">
        <v>106</v>
      </c>
      <c r="H54" s="4" t="s">
        <v>107</v>
      </c>
      <c r="I54" s="4"/>
      <c r="J54" s="4"/>
      <c r="K54" s="4">
        <v>227</v>
      </c>
      <c r="L54" s="4">
        <v>6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228</v>
      </c>
      <c r="F55" s="4">
        <f>ROUND(Source!AY47,O55)</f>
        <v>173234.6</v>
      </c>
      <c r="G55" s="4" t="s">
        <v>108</v>
      </c>
      <c r="H55" s="4" t="s">
        <v>109</v>
      </c>
      <c r="I55" s="4"/>
      <c r="J55" s="4"/>
      <c r="K55" s="4">
        <v>228</v>
      </c>
      <c r="L55" s="4">
        <v>7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216</v>
      </c>
      <c r="F56" s="4">
        <f>ROUND(Source!AP47,O56)</f>
        <v>0</v>
      </c>
      <c r="G56" s="4" t="s">
        <v>110</v>
      </c>
      <c r="H56" s="4" t="s">
        <v>111</v>
      </c>
      <c r="I56" s="4"/>
      <c r="J56" s="4"/>
      <c r="K56" s="4">
        <v>216</v>
      </c>
      <c r="L56" s="4">
        <v>8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223</v>
      </c>
      <c r="F57" s="4">
        <f>ROUND(Source!AQ47,O57)</f>
        <v>0</v>
      </c>
      <c r="G57" s="4" t="s">
        <v>112</v>
      </c>
      <c r="H57" s="4" t="s">
        <v>113</v>
      </c>
      <c r="I57" s="4"/>
      <c r="J57" s="4"/>
      <c r="K57" s="4">
        <v>223</v>
      </c>
      <c r="L57" s="4">
        <v>9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229</v>
      </c>
      <c r="F58" s="4">
        <f>ROUND(Source!AZ47,O58)</f>
        <v>0</v>
      </c>
      <c r="G58" s="4" t="s">
        <v>114</v>
      </c>
      <c r="H58" s="4" t="s">
        <v>115</v>
      </c>
      <c r="I58" s="4"/>
      <c r="J58" s="4"/>
      <c r="K58" s="4">
        <v>229</v>
      </c>
      <c r="L58" s="4">
        <v>10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203</v>
      </c>
      <c r="F59" s="4">
        <f>ROUND(Source!Q47,O59)</f>
        <v>59869.14</v>
      </c>
      <c r="G59" s="4" t="s">
        <v>116</v>
      </c>
      <c r="H59" s="4" t="s">
        <v>117</v>
      </c>
      <c r="I59" s="4"/>
      <c r="J59" s="4"/>
      <c r="K59" s="4">
        <v>203</v>
      </c>
      <c r="L59" s="4">
        <v>11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231</v>
      </c>
      <c r="F60" s="4">
        <f>ROUND(Source!BB47,O60)</f>
        <v>0</v>
      </c>
      <c r="G60" s="4" t="s">
        <v>118</v>
      </c>
      <c r="H60" s="4" t="s">
        <v>119</v>
      </c>
      <c r="I60" s="4"/>
      <c r="J60" s="4"/>
      <c r="K60" s="4">
        <v>231</v>
      </c>
      <c r="L60" s="4">
        <v>12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204</v>
      </c>
      <c r="F61" s="4">
        <f>ROUND(Source!R47,O61)</f>
        <v>37915.79</v>
      </c>
      <c r="G61" s="4" t="s">
        <v>120</v>
      </c>
      <c r="H61" s="4" t="s">
        <v>121</v>
      </c>
      <c r="I61" s="4"/>
      <c r="J61" s="4"/>
      <c r="K61" s="4">
        <v>204</v>
      </c>
      <c r="L61" s="4">
        <v>13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205</v>
      </c>
      <c r="F62" s="4">
        <f>ROUND(Source!S47,O62)</f>
        <v>105496.35</v>
      </c>
      <c r="G62" s="4" t="s">
        <v>122</v>
      </c>
      <c r="H62" s="4" t="s">
        <v>123</v>
      </c>
      <c r="I62" s="4"/>
      <c r="J62" s="4"/>
      <c r="K62" s="4">
        <v>205</v>
      </c>
      <c r="L62" s="4">
        <v>14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232</v>
      </c>
      <c r="F63" s="4">
        <f>ROUND(Source!BC47,O63)</f>
        <v>0</v>
      </c>
      <c r="G63" s="4" t="s">
        <v>124</v>
      </c>
      <c r="H63" s="4" t="s">
        <v>125</v>
      </c>
      <c r="I63" s="4"/>
      <c r="J63" s="4"/>
      <c r="K63" s="4">
        <v>232</v>
      </c>
      <c r="L63" s="4">
        <v>15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214</v>
      </c>
      <c r="F64" s="4">
        <f>ROUND(Source!AS47,O64)</f>
        <v>0</v>
      </c>
      <c r="G64" s="4" t="s">
        <v>126</v>
      </c>
      <c r="H64" s="4" t="s">
        <v>127</v>
      </c>
      <c r="I64" s="4"/>
      <c r="J64" s="4"/>
      <c r="K64" s="4">
        <v>214</v>
      </c>
      <c r="L64" s="4">
        <v>16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215</v>
      </c>
      <c r="F65" s="4">
        <f>ROUND(Source!AT47,O65)</f>
        <v>0</v>
      </c>
      <c r="G65" s="4" t="s">
        <v>128</v>
      </c>
      <c r="H65" s="4" t="s">
        <v>129</v>
      </c>
      <c r="I65" s="4"/>
      <c r="J65" s="4"/>
      <c r="K65" s="4">
        <v>215</v>
      </c>
      <c r="L65" s="4">
        <v>17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217</v>
      </c>
      <c r="F66" s="4">
        <f>ROUND(Source!AU47,O66)</f>
        <v>463098.78</v>
      </c>
      <c r="G66" s="4" t="s">
        <v>130</v>
      </c>
      <c r="H66" s="4" t="s">
        <v>131</v>
      </c>
      <c r="I66" s="4"/>
      <c r="J66" s="4"/>
      <c r="K66" s="4">
        <v>217</v>
      </c>
      <c r="L66" s="4">
        <v>18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230</v>
      </c>
      <c r="F67" s="4">
        <f>ROUND(Source!BA47,O67)</f>
        <v>0</v>
      </c>
      <c r="G67" s="4" t="s">
        <v>132</v>
      </c>
      <c r="H67" s="4" t="s">
        <v>133</v>
      </c>
      <c r="I67" s="4"/>
      <c r="J67" s="4"/>
      <c r="K67" s="4">
        <v>230</v>
      </c>
      <c r="L67" s="4">
        <v>19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206</v>
      </c>
      <c r="F68" s="4">
        <f>ROUND(Source!T47,O68)</f>
        <v>0</v>
      </c>
      <c r="G68" s="4" t="s">
        <v>134</v>
      </c>
      <c r="H68" s="4" t="s">
        <v>135</v>
      </c>
      <c r="I68" s="4"/>
      <c r="J68" s="4"/>
      <c r="K68" s="4">
        <v>206</v>
      </c>
      <c r="L68" s="4">
        <v>20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45" x14ac:dyDescent="0.2">
      <c r="A69" s="4">
        <v>50</v>
      </c>
      <c r="B69" s="4">
        <v>0</v>
      </c>
      <c r="C69" s="4">
        <v>0</v>
      </c>
      <c r="D69" s="4">
        <v>1</v>
      </c>
      <c r="E69" s="4">
        <v>207</v>
      </c>
      <c r="F69" s="4">
        <f>Source!U47</f>
        <v>399.14294500000005</v>
      </c>
      <c r="G69" s="4" t="s">
        <v>136</v>
      </c>
      <c r="H69" s="4" t="s">
        <v>137</v>
      </c>
      <c r="I69" s="4"/>
      <c r="J69" s="4"/>
      <c r="K69" s="4">
        <v>207</v>
      </c>
      <c r="L69" s="4">
        <v>21</v>
      </c>
      <c r="M69" s="4">
        <v>3</v>
      </c>
      <c r="N69" s="4" t="s">
        <v>3</v>
      </c>
      <c r="O69" s="4">
        <v>-1</v>
      </c>
      <c r="P69" s="4"/>
      <c r="Q69" s="4"/>
      <c r="R69" s="4"/>
      <c r="S69" s="4"/>
      <c r="T69" s="4"/>
      <c r="U69" s="4"/>
      <c r="V69" s="4"/>
      <c r="W69" s="4"/>
    </row>
    <row r="70" spans="1:245" x14ac:dyDescent="0.2">
      <c r="A70" s="4">
        <v>50</v>
      </c>
      <c r="B70" s="4">
        <v>0</v>
      </c>
      <c r="C70" s="4">
        <v>0</v>
      </c>
      <c r="D70" s="4">
        <v>1</v>
      </c>
      <c r="E70" s="4">
        <v>208</v>
      </c>
      <c r="F70" s="4">
        <f>Source!V47</f>
        <v>0</v>
      </c>
      <c r="G70" s="4" t="s">
        <v>138</v>
      </c>
      <c r="H70" s="4" t="s">
        <v>139</v>
      </c>
      <c r="I70" s="4"/>
      <c r="J70" s="4"/>
      <c r="K70" s="4">
        <v>208</v>
      </c>
      <c r="L70" s="4">
        <v>22</v>
      </c>
      <c r="M70" s="4">
        <v>3</v>
      </c>
      <c r="N70" s="4" t="s">
        <v>3</v>
      </c>
      <c r="O70" s="4">
        <v>-1</v>
      </c>
      <c r="P70" s="4"/>
      <c r="Q70" s="4"/>
      <c r="R70" s="4"/>
      <c r="S70" s="4"/>
      <c r="T70" s="4"/>
      <c r="U70" s="4"/>
      <c r="V70" s="4"/>
      <c r="W70" s="4"/>
    </row>
    <row r="71" spans="1:245" x14ac:dyDescent="0.2">
      <c r="A71" s="4">
        <v>50</v>
      </c>
      <c r="B71" s="4">
        <v>0</v>
      </c>
      <c r="C71" s="4">
        <v>0</v>
      </c>
      <c r="D71" s="4">
        <v>1</v>
      </c>
      <c r="E71" s="4">
        <v>209</v>
      </c>
      <c r="F71" s="4">
        <f>ROUND(Source!W47,O71)</f>
        <v>0</v>
      </c>
      <c r="G71" s="4" t="s">
        <v>140</v>
      </c>
      <c r="H71" s="4" t="s">
        <v>141</v>
      </c>
      <c r="I71" s="4"/>
      <c r="J71" s="4"/>
      <c r="K71" s="4">
        <v>209</v>
      </c>
      <c r="L71" s="4">
        <v>23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45" x14ac:dyDescent="0.2">
      <c r="A72" s="4">
        <v>50</v>
      </c>
      <c r="B72" s="4">
        <v>0</v>
      </c>
      <c r="C72" s="4">
        <v>0</v>
      </c>
      <c r="D72" s="4">
        <v>1</v>
      </c>
      <c r="E72" s="4">
        <v>210</v>
      </c>
      <c r="F72" s="4">
        <f>ROUND(Source!X47,O72)</f>
        <v>73847.44</v>
      </c>
      <c r="G72" s="4" t="s">
        <v>142</v>
      </c>
      <c r="H72" s="4" t="s">
        <v>143</v>
      </c>
      <c r="I72" s="4"/>
      <c r="J72" s="4"/>
      <c r="K72" s="4">
        <v>210</v>
      </c>
      <c r="L72" s="4">
        <v>24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45" x14ac:dyDescent="0.2">
      <c r="A73" s="4">
        <v>50</v>
      </c>
      <c r="B73" s="4">
        <v>0</v>
      </c>
      <c r="C73" s="4">
        <v>0</v>
      </c>
      <c r="D73" s="4">
        <v>1</v>
      </c>
      <c r="E73" s="4">
        <v>211</v>
      </c>
      <c r="F73" s="4">
        <f>ROUND(Source!Y47,O73)</f>
        <v>10549.64</v>
      </c>
      <c r="G73" s="4" t="s">
        <v>144</v>
      </c>
      <c r="H73" s="4" t="s">
        <v>145</v>
      </c>
      <c r="I73" s="4"/>
      <c r="J73" s="4"/>
      <c r="K73" s="4">
        <v>211</v>
      </c>
      <c r="L73" s="4">
        <v>25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45" x14ac:dyDescent="0.2">
      <c r="A74" s="4">
        <v>50</v>
      </c>
      <c r="B74" s="4">
        <v>0</v>
      </c>
      <c r="C74" s="4">
        <v>0</v>
      </c>
      <c r="D74" s="4">
        <v>1</v>
      </c>
      <c r="E74" s="4">
        <v>224</v>
      </c>
      <c r="F74" s="4">
        <f>ROUND(Source!AR47,O74)</f>
        <v>463098.78</v>
      </c>
      <c r="G74" s="4" t="s">
        <v>146</v>
      </c>
      <c r="H74" s="4" t="s">
        <v>147</v>
      </c>
      <c r="I74" s="4"/>
      <c r="J74" s="4"/>
      <c r="K74" s="4">
        <v>224</v>
      </c>
      <c r="L74" s="4">
        <v>26</v>
      </c>
      <c r="M74" s="4">
        <v>3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6" spans="1:245" x14ac:dyDescent="0.2">
      <c r="A76" s="1">
        <v>4</v>
      </c>
      <c r="B76" s="1">
        <v>1</v>
      </c>
      <c r="C76" s="1"/>
      <c r="D76" s="1">
        <f>ROW(A99)</f>
        <v>99</v>
      </c>
      <c r="E76" s="1"/>
      <c r="F76" s="1" t="s">
        <v>12</v>
      </c>
      <c r="G76" s="1" t="s">
        <v>148</v>
      </c>
      <c r="H76" s="1" t="s">
        <v>3</v>
      </c>
      <c r="I76" s="1">
        <v>0</v>
      </c>
      <c r="J76" s="1"/>
      <c r="K76" s="1">
        <v>-1</v>
      </c>
      <c r="L76" s="1"/>
      <c r="M76" s="1"/>
      <c r="N76" s="1"/>
      <c r="O76" s="1"/>
      <c r="P76" s="1"/>
      <c r="Q76" s="1"/>
      <c r="R76" s="1"/>
      <c r="S76" s="1"/>
      <c r="T76" s="1"/>
      <c r="U76" s="1" t="s">
        <v>3</v>
      </c>
      <c r="V76" s="1">
        <v>0</v>
      </c>
      <c r="W76" s="1"/>
      <c r="X76" s="1"/>
      <c r="Y76" s="1"/>
      <c r="Z76" s="1"/>
      <c r="AA76" s="1"/>
      <c r="AB76" s="1" t="s">
        <v>3</v>
      </c>
      <c r="AC76" s="1" t="s">
        <v>3</v>
      </c>
      <c r="AD76" s="1" t="s">
        <v>3</v>
      </c>
      <c r="AE76" s="1" t="s">
        <v>3</v>
      </c>
      <c r="AF76" s="1" t="s">
        <v>3</v>
      </c>
      <c r="AG76" s="1" t="s">
        <v>3</v>
      </c>
      <c r="AH76" s="1"/>
      <c r="AI76" s="1"/>
      <c r="AJ76" s="1"/>
      <c r="AK76" s="1"/>
      <c r="AL76" s="1"/>
      <c r="AM76" s="1"/>
      <c r="AN76" s="1"/>
      <c r="AO76" s="1"/>
      <c r="AP76" s="1" t="s">
        <v>3</v>
      </c>
      <c r="AQ76" s="1" t="s">
        <v>3</v>
      </c>
      <c r="AR76" s="1" t="s">
        <v>3</v>
      </c>
      <c r="AS76" s="1"/>
      <c r="AT76" s="1"/>
      <c r="AU76" s="1"/>
      <c r="AV76" s="1"/>
      <c r="AW76" s="1"/>
      <c r="AX76" s="1"/>
      <c r="AY76" s="1"/>
      <c r="AZ76" s="1" t="s">
        <v>3</v>
      </c>
      <c r="BA76" s="1"/>
      <c r="BB76" s="1" t="s">
        <v>3</v>
      </c>
      <c r="BC76" s="1" t="s">
        <v>3</v>
      </c>
      <c r="BD76" s="1" t="s">
        <v>3</v>
      </c>
      <c r="BE76" s="1" t="s">
        <v>3</v>
      </c>
      <c r="BF76" s="1" t="s">
        <v>3</v>
      </c>
      <c r="BG76" s="1" t="s">
        <v>3</v>
      </c>
      <c r="BH76" s="1" t="s">
        <v>3</v>
      </c>
      <c r="BI76" s="1" t="s">
        <v>3</v>
      </c>
      <c r="BJ76" s="1" t="s">
        <v>3</v>
      </c>
      <c r="BK76" s="1" t="s">
        <v>3</v>
      </c>
      <c r="BL76" s="1" t="s">
        <v>3</v>
      </c>
      <c r="BM76" s="1" t="s">
        <v>3</v>
      </c>
      <c r="BN76" s="1" t="s">
        <v>3</v>
      </c>
      <c r="BO76" s="1" t="s">
        <v>3</v>
      </c>
      <c r="BP76" s="1" t="s">
        <v>3</v>
      </c>
      <c r="BQ76" s="1"/>
      <c r="BR76" s="1"/>
      <c r="BS76" s="1"/>
      <c r="BT76" s="1"/>
      <c r="BU76" s="1"/>
      <c r="BV76" s="1"/>
      <c r="BW76" s="1"/>
      <c r="BX76" s="1">
        <v>0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>
        <v>0</v>
      </c>
    </row>
    <row r="78" spans="1:245" x14ac:dyDescent="0.2">
      <c r="A78" s="2">
        <v>52</v>
      </c>
      <c r="B78" s="2">
        <f t="shared" ref="B78:G78" si="65">B99</f>
        <v>1</v>
      </c>
      <c r="C78" s="2">
        <f t="shared" si="65"/>
        <v>4</v>
      </c>
      <c r="D78" s="2">
        <f t="shared" si="65"/>
        <v>76</v>
      </c>
      <c r="E78" s="2">
        <f t="shared" si="65"/>
        <v>0</v>
      </c>
      <c r="F78" s="2" t="str">
        <f t="shared" si="65"/>
        <v>Новый раздел</v>
      </c>
      <c r="G78" s="2" t="str">
        <f t="shared" si="65"/>
        <v>Установка ограждения - Участок 2</v>
      </c>
      <c r="H78" s="2"/>
      <c r="I78" s="2"/>
      <c r="J78" s="2"/>
      <c r="K78" s="2"/>
      <c r="L78" s="2"/>
      <c r="M78" s="2"/>
      <c r="N78" s="2"/>
      <c r="O78" s="2">
        <f t="shared" ref="O78:AT78" si="66">O99</f>
        <v>314849.56</v>
      </c>
      <c r="P78" s="2">
        <f t="shared" si="66"/>
        <v>161727.91</v>
      </c>
      <c r="Q78" s="2">
        <f t="shared" si="66"/>
        <v>55432.93</v>
      </c>
      <c r="R78" s="2">
        <f t="shared" si="66"/>
        <v>35099.19</v>
      </c>
      <c r="S78" s="2">
        <f t="shared" si="66"/>
        <v>97688.72</v>
      </c>
      <c r="T78" s="2">
        <f t="shared" si="66"/>
        <v>0</v>
      </c>
      <c r="U78" s="2">
        <f t="shared" si="66"/>
        <v>369.76844</v>
      </c>
      <c r="V78" s="2">
        <f t="shared" si="66"/>
        <v>0</v>
      </c>
      <c r="W78" s="2">
        <f t="shared" si="66"/>
        <v>0</v>
      </c>
      <c r="X78" s="2">
        <f t="shared" si="66"/>
        <v>68382.11</v>
      </c>
      <c r="Y78" s="2">
        <f t="shared" si="66"/>
        <v>9768.8799999999992</v>
      </c>
      <c r="Z78" s="2">
        <f t="shared" si="66"/>
        <v>0</v>
      </c>
      <c r="AA78" s="2">
        <f t="shared" si="66"/>
        <v>0</v>
      </c>
      <c r="AB78" s="2">
        <f t="shared" si="66"/>
        <v>314849.56</v>
      </c>
      <c r="AC78" s="2">
        <f t="shared" si="66"/>
        <v>161727.91</v>
      </c>
      <c r="AD78" s="2">
        <f t="shared" si="66"/>
        <v>55432.93</v>
      </c>
      <c r="AE78" s="2">
        <f t="shared" si="66"/>
        <v>35099.19</v>
      </c>
      <c r="AF78" s="2">
        <f t="shared" si="66"/>
        <v>97688.72</v>
      </c>
      <c r="AG78" s="2">
        <f t="shared" si="66"/>
        <v>0</v>
      </c>
      <c r="AH78" s="2">
        <f t="shared" si="66"/>
        <v>369.76844</v>
      </c>
      <c r="AI78" s="2">
        <f t="shared" si="66"/>
        <v>0</v>
      </c>
      <c r="AJ78" s="2">
        <f t="shared" si="66"/>
        <v>0</v>
      </c>
      <c r="AK78" s="2">
        <f t="shared" si="66"/>
        <v>68382.11</v>
      </c>
      <c r="AL78" s="2">
        <f t="shared" si="66"/>
        <v>9768.8799999999992</v>
      </c>
      <c r="AM78" s="2">
        <f t="shared" si="66"/>
        <v>0</v>
      </c>
      <c r="AN78" s="2">
        <f t="shared" si="66"/>
        <v>0</v>
      </c>
      <c r="AO78" s="2">
        <f t="shared" si="66"/>
        <v>0</v>
      </c>
      <c r="AP78" s="2">
        <f t="shared" si="66"/>
        <v>0</v>
      </c>
      <c r="AQ78" s="2">
        <f t="shared" si="66"/>
        <v>0</v>
      </c>
      <c r="AR78" s="2">
        <f t="shared" si="66"/>
        <v>430091.6</v>
      </c>
      <c r="AS78" s="2">
        <f t="shared" si="66"/>
        <v>0</v>
      </c>
      <c r="AT78" s="2">
        <f t="shared" si="66"/>
        <v>0</v>
      </c>
      <c r="AU78" s="2">
        <f t="shared" ref="AU78:BZ78" si="67">AU99</f>
        <v>430091.6</v>
      </c>
      <c r="AV78" s="2">
        <f t="shared" si="67"/>
        <v>161727.91</v>
      </c>
      <c r="AW78" s="2">
        <f t="shared" si="67"/>
        <v>161727.91</v>
      </c>
      <c r="AX78" s="2">
        <f t="shared" si="67"/>
        <v>0</v>
      </c>
      <c r="AY78" s="2">
        <f t="shared" si="67"/>
        <v>161727.91</v>
      </c>
      <c r="AZ78" s="2">
        <f t="shared" si="67"/>
        <v>0</v>
      </c>
      <c r="BA78" s="2">
        <f t="shared" si="67"/>
        <v>0</v>
      </c>
      <c r="BB78" s="2">
        <f t="shared" si="67"/>
        <v>0</v>
      </c>
      <c r="BC78" s="2">
        <f t="shared" si="67"/>
        <v>0</v>
      </c>
      <c r="BD78" s="2">
        <f t="shared" si="67"/>
        <v>0</v>
      </c>
      <c r="BE78" s="2">
        <f t="shared" si="67"/>
        <v>0</v>
      </c>
      <c r="BF78" s="2">
        <f t="shared" si="67"/>
        <v>0</v>
      </c>
      <c r="BG78" s="2">
        <f t="shared" si="67"/>
        <v>0</v>
      </c>
      <c r="BH78" s="2">
        <f t="shared" si="67"/>
        <v>0</v>
      </c>
      <c r="BI78" s="2">
        <f t="shared" si="67"/>
        <v>0</v>
      </c>
      <c r="BJ78" s="2">
        <f t="shared" si="67"/>
        <v>0</v>
      </c>
      <c r="BK78" s="2">
        <f t="shared" si="67"/>
        <v>0</v>
      </c>
      <c r="BL78" s="2">
        <f t="shared" si="67"/>
        <v>0</v>
      </c>
      <c r="BM78" s="2">
        <f t="shared" si="67"/>
        <v>0</v>
      </c>
      <c r="BN78" s="2">
        <f t="shared" si="67"/>
        <v>0</v>
      </c>
      <c r="BO78" s="2">
        <f t="shared" si="67"/>
        <v>0</v>
      </c>
      <c r="BP78" s="2">
        <f t="shared" si="67"/>
        <v>0</v>
      </c>
      <c r="BQ78" s="2">
        <f t="shared" si="67"/>
        <v>0</v>
      </c>
      <c r="BR78" s="2">
        <f t="shared" si="67"/>
        <v>0</v>
      </c>
      <c r="BS78" s="2">
        <f t="shared" si="67"/>
        <v>0</v>
      </c>
      <c r="BT78" s="2">
        <f t="shared" si="67"/>
        <v>0</v>
      </c>
      <c r="BU78" s="2">
        <f t="shared" si="67"/>
        <v>0</v>
      </c>
      <c r="BV78" s="2">
        <f t="shared" si="67"/>
        <v>0</v>
      </c>
      <c r="BW78" s="2">
        <f t="shared" si="67"/>
        <v>0</v>
      </c>
      <c r="BX78" s="2">
        <f t="shared" si="67"/>
        <v>0</v>
      </c>
      <c r="BY78" s="2">
        <f t="shared" si="67"/>
        <v>0</v>
      </c>
      <c r="BZ78" s="2">
        <f t="shared" si="67"/>
        <v>0</v>
      </c>
      <c r="CA78" s="2">
        <f t="shared" ref="CA78:DF78" si="68">CA99</f>
        <v>430091.6</v>
      </c>
      <c r="CB78" s="2">
        <f t="shared" si="68"/>
        <v>0</v>
      </c>
      <c r="CC78" s="2">
        <f t="shared" si="68"/>
        <v>0</v>
      </c>
      <c r="CD78" s="2">
        <f t="shared" si="68"/>
        <v>430091.6</v>
      </c>
      <c r="CE78" s="2">
        <f t="shared" si="68"/>
        <v>161727.91</v>
      </c>
      <c r="CF78" s="2">
        <f t="shared" si="68"/>
        <v>161727.91</v>
      </c>
      <c r="CG78" s="2">
        <f t="shared" si="68"/>
        <v>0</v>
      </c>
      <c r="CH78" s="2">
        <f t="shared" si="68"/>
        <v>161727.91</v>
      </c>
      <c r="CI78" s="2">
        <f t="shared" si="68"/>
        <v>0</v>
      </c>
      <c r="CJ78" s="2">
        <f t="shared" si="68"/>
        <v>0</v>
      </c>
      <c r="CK78" s="2">
        <f t="shared" si="68"/>
        <v>0</v>
      </c>
      <c r="CL78" s="2">
        <f t="shared" si="68"/>
        <v>0</v>
      </c>
      <c r="CM78" s="2">
        <f t="shared" si="68"/>
        <v>0</v>
      </c>
      <c r="CN78" s="2">
        <f t="shared" si="68"/>
        <v>0</v>
      </c>
      <c r="CO78" s="2">
        <f t="shared" si="68"/>
        <v>0</v>
      </c>
      <c r="CP78" s="2">
        <f t="shared" si="68"/>
        <v>0</v>
      </c>
      <c r="CQ78" s="2">
        <f t="shared" si="68"/>
        <v>0</v>
      </c>
      <c r="CR78" s="2">
        <f t="shared" si="68"/>
        <v>0</v>
      </c>
      <c r="CS78" s="2">
        <f t="shared" si="68"/>
        <v>0</v>
      </c>
      <c r="CT78" s="2">
        <f t="shared" si="68"/>
        <v>0</v>
      </c>
      <c r="CU78" s="2">
        <f t="shared" si="68"/>
        <v>0</v>
      </c>
      <c r="CV78" s="2">
        <f t="shared" si="68"/>
        <v>0</v>
      </c>
      <c r="CW78" s="2">
        <f t="shared" si="68"/>
        <v>0</v>
      </c>
      <c r="CX78" s="2">
        <f t="shared" si="68"/>
        <v>0</v>
      </c>
      <c r="CY78" s="2">
        <f t="shared" si="68"/>
        <v>0</v>
      </c>
      <c r="CZ78" s="2">
        <f t="shared" si="68"/>
        <v>0</v>
      </c>
      <c r="DA78" s="2">
        <f t="shared" si="68"/>
        <v>0</v>
      </c>
      <c r="DB78" s="2">
        <f t="shared" si="68"/>
        <v>0</v>
      </c>
      <c r="DC78" s="2">
        <f t="shared" si="68"/>
        <v>0</v>
      </c>
      <c r="DD78" s="2">
        <f t="shared" si="68"/>
        <v>0</v>
      </c>
      <c r="DE78" s="2">
        <f t="shared" si="68"/>
        <v>0</v>
      </c>
      <c r="DF78" s="2">
        <f t="shared" si="68"/>
        <v>0</v>
      </c>
      <c r="DG78" s="3">
        <f t="shared" ref="DG78:EL78" si="69">DG99</f>
        <v>0</v>
      </c>
      <c r="DH78" s="3">
        <f t="shared" si="69"/>
        <v>0</v>
      </c>
      <c r="DI78" s="3">
        <f t="shared" si="69"/>
        <v>0</v>
      </c>
      <c r="DJ78" s="3">
        <f t="shared" si="69"/>
        <v>0</v>
      </c>
      <c r="DK78" s="3">
        <f t="shared" si="69"/>
        <v>0</v>
      </c>
      <c r="DL78" s="3">
        <f t="shared" si="69"/>
        <v>0</v>
      </c>
      <c r="DM78" s="3">
        <f t="shared" si="69"/>
        <v>0</v>
      </c>
      <c r="DN78" s="3">
        <f t="shared" si="69"/>
        <v>0</v>
      </c>
      <c r="DO78" s="3">
        <f t="shared" si="69"/>
        <v>0</v>
      </c>
      <c r="DP78" s="3">
        <f t="shared" si="69"/>
        <v>0</v>
      </c>
      <c r="DQ78" s="3">
        <f t="shared" si="69"/>
        <v>0</v>
      </c>
      <c r="DR78" s="3">
        <f t="shared" si="69"/>
        <v>0</v>
      </c>
      <c r="DS78" s="3">
        <f t="shared" si="69"/>
        <v>0</v>
      </c>
      <c r="DT78" s="3">
        <f t="shared" si="69"/>
        <v>0</v>
      </c>
      <c r="DU78" s="3">
        <f t="shared" si="69"/>
        <v>0</v>
      </c>
      <c r="DV78" s="3">
        <f t="shared" si="69"/>
        <v>0</v>
      </c>
      <c r="DW78" s="3">
        <f t="shared" si="69"/>
        <v>0</v>
      </c>
      <c r="DX78" s="3">
        <f t="shared" si="69"/>
        <v>0</v>
      </c>
      <c r="DY78" s="3">
        <f t="shared" si="69"/>
        <v>0</v>
      </c>
      <c r="DZ78" s="3">
        <f t="shared" si="69"/>
        <v>0</v>
      </c>
      <c r="EA78" s="3">
        <f t="shared" si="69"/>
        <v>0</v>
      </c>
      <c r="EB78" s="3">
        <f t="shared" si="69"/>
        <v>0</v>
      </c>
      <c r="EC78" s="3">
        <f t="shared" si="69"/>
        <v>0</v>
      </c>
      <c r="ED78" s="3">
        <f t="shared" si="69"/>
        <v>0</v>
      </c>
      <c r="EE78" s="3">
        <f t="shared" si="69"/>
        <v>0</v>
      </c>
      <c r="EF78" s="3">
        <f t="shared" si="69"/>
        <v>0</v>
      </c>
      <c r="EG78" s="3">
        <f t="shared" si="69"/>
        <v>0</v>
      </c>
      <c r="EH78" s="3">
        <f t="shared" si="69"/>
        <v>0</v>
      </c>
      <c r="EI78" s="3">
        <f t="shared" si="69"/>
        <v>0</v>
      </c>
      <c r="EJ78" s="3">
        <f t="shared" si="69"/>
        <v>0</v>
      </c>
      <c r="EK78" s="3">
        <f t="shared" si="69"/>
        <v>0</v>
      </c>
      <c r="EL78" s="3">
        <f t="shared" si="69"/>
        <v>0</v>
      </c>
      <c r="EM78" s="3">
        <f t="shared" ref="EM78:FR78" si="70">EM99</f>
        <v>0</v>
      </c>
      <c r="EN78" s="3">
        <f t="shared" si="70"/>
        <v>0</v>
      </c>
      <c r="EO78" s="3">
        <f t="shared" si="70"/>
        <v>0</v>
      </c>
      <c r="EP78" s="3">
        <f t="shared" si="70"/>
        <v>0</v>
      </c>
      <c r="EQ78" s="3">
        <f t="shared" si="70"/>
        <v>0</v>
      </c>
      <c r="ER78" s="3">
        <f t="shared" si="70"/>
        <v>0</v>
      </c>
      <c r="ES78" s="3">
        <f t="shared" si="70"/>
        <v>0</v>
      </c>
      <c r="ET78" s="3">
        <f t="shared" si="70"/>
        <v>0</v>
      </c>
      <c r="EU78" s="3">
        <f t="shared" si="70"/>
        <v>0</v>
      </c>
      <c r="EV78" s="3">
        <f t="shared" si="70"/>
        <v>0</v>
      </c>
      <c r="EW78" s="3">
        <f t="shared" si="70"/>
        <v>0</v>
      </c>
      <c r="EX78" s="3">
        <f t="shared" si="70"/>
        <v>0</v>
      </c>
      <c r="EY78" s="3">
        <f t="shared" si="70"/>
        <v>0</v>
      </c>
      <c r="EZ78" s="3">
        <f t="shared" si="70"/>
        <v>0</v>
      </c>
      <c r="FA78" s="3">
        <f t="shared" si="70"/>
        <v>0</v>
      </c>
      <c r="FB78" s="3">
        <f t="shared" si="70"/>
        <v>0</v>
      </c>
      <c r="FC78" s="3">
        <f t="shared" si="70"/>
        <v>0</v>
      </c>
      <c r="FD78" s="3">
        <f t="shared" si="70"/>
        <v>0</v>
      </c>
      <c r="FE78" s="3">
        <f t="shared" si="70"/>
        <v>0</v>
      </c>
      <c r="FF78" s="3">
        <f t="shared" si="70"/>
        <v>0</v>
      </c>
      <c r="FG78" s="3">
        <f t="shared" si="70"/>
        <v>0</v>
      </c>
      <c r="FH78" s="3">
        <f t="shared" si="70"/>
        <v>0</v>
      </c>
      <c r="FI78" s="3">
        <f t="shared" si="70"/>
        <v>0</v>
      </c>
      <c r="FJ78" s="3">
        <f t="shared" si="70"/>
        <v>0</v>
      </c>
      <c r="FK78" s="3">
        <f t="shared" si="70"/>
        <v>0</v>
      </c>
      <c r="FL78" s="3">
        <f t="shared" si="70"/>
        <v>0</v>
      </c>
      <c r="FM78" s="3">
        <f t="shared" si="70"/>
        <v>0</v>
      </c>
      <c r="FN78" s="3">
        <f t="shared" si="70"/>
        <v>0</v>
      </c>
      <c r="FO78" s="3">
        <f t="shared" si="70"/>
        <v>0</v>
      </c>
      <c r="FP78" s="3">
        <f t="shared" si="70"/>
        <v>0</v>
      </c>
      <c r="FQ78" s="3">
        <f t="shared" si="70"/>
        <v>0</v>
      </c>
      <c r="FR78" s="3">
        <f t="shared" si="70"/>
        <v>0</v>
      </c>
      <c r="FS78" s="3">
        <f t="shared" ref="FS78:GX78" si="71">FS99</f>
        <v>0</v>
      </c>
      <c r="FT78" s="3">
        <f t="shared" si="71"/>
        <v>0</v>
      </c>
      <c r="FU78" s="3">
        <f t="shared" si="71"/>
        <v>0</v>
      </c>
      <c r="FV78" s="3">
        <f t="shared" si="71"/>
        <v>0</v>
      </c>
      <c r="FW78" s="3">
        <f t="shared" si="71"/>
        <v>0</v>
      </c>
      <c r="FX78" s="3">
        <f t="shared" si="71"/>
        <v>0</v>
      </c>
      <c r="FY78" s="3">
        <f t="shared" si="71"/>
        <v>0</v>
      </c>
      <c r="FZ78" s="3">
        <f t="shared" si="71"/>
        <v>0</v>
      </c>
      <c r="GA78" s="3">
        <f t="shared" si="71"/>
        <v>0</v>
      </c>
      <c r="GB78" s="3">
        <f t="shared" si="71"/>
        <v>0</v>
      </c>
      <c r="GC78" s="3">
        <f t="shared" si="71"/>
        <v>0</v>
      </c>
      <c r="GD78" s="3">
        <f t="shared" si="71"/>
        <v>0</v>
      </c>
      <c r="GE78" s="3">
        <f t="shared" si="71"/>
        <v>0</v>
      </c>
      <c r="GF78" s="3">
        <f t="shared" si="71"/>
        <v>0</v>
      </c>
      <c r="GG78" s="3">
        <f t="shared" si="71"/>
        <v>0</v>
      </c>
      <c r="GH78" s="3">
        <f t="shared" si="71"/>
        <v>0</v>
      </c>
      <c r="GI78" s="3">
        <f t="shared" si="71"/>
        <v>0</v>
      </c>
      <c r="GJ78" s="3">
        <f t="shared" si="71"/>
        <v>0</v>
      </c>
      <c r="GK78" s="3">
        <f t="shared" si="71"/>
        <v>0</v>
      </c>
      <c r="GL78" s="3">
        <f t="shared" si="71"/>
        <v>0</v>
      </c>
      <c r="GM78" s="3">
        <f t="shared" si="71"/>
        <v>0</v>
      </c>
      <c r="GN78" s="3">
        <f t="shared" si="71"/>
        <v>0</v>
      </c>
      <c r="GO78" s="3">
        <f t="shared" si="71"/>
        <v>0</v>
      </c>
      <c r="GP78" s="3">
        <f t="shared" si="71"/>
        <v>0</v>
      </c>
      <c r="GQ78" s="3">
        <f t="shared" si="71"/>
        <v>0</v>
      </c>
      <c r="GR78" s="3">
        <f t="shared" si="71"/>
        <v>0</v>
      </c>
      <c r="GS78" s="3">
        <f t="shared" si="71"/>
        <v>0</v>
      </c>
      <c r="GT78" s="3">
        <f t="shared" si="71"/>
        <v>0</v>
      </c>
      <c r="GU78" s="3">
        <f t="shared" si="71"/>
        <v>0</v>
      </c>
      <c r="GV78" s="3">
        <f t="shared" si="71"/>
        <v>0</v>
      </c>
      <c r="GW78" s="3">
        <f t="shared" si="71"/>
        <v>0</v>
      </c>
      <c r="GX78" s="3">
        <f t="shared" si="71"/>
        <v>0</v>
      </c>
    </row>
    <row r="80" spans="1:245" x14ac:dyDescent="0.2">
      <c r="A80">
        <v>17</v>
      </c>
      <c r="B80">
        <v>1</v>
      </c>
      <c r="C80">
        <f>ROW(SmtRes!A51)</f>
        <v>51</v>
      </c>
      <c r="D80">
        <f>ROW(EtalonRes!A45)</f>
        <v>45</v>
      </c>
      <c r="E80" t="s">
        <v>149</v>
      </c>
      <c r="F80" t="s">
        <v>15</v>
      </c>
      <c r="G80" t="s">
        <v>16</v>
      </c>
      <c r="H80" t="s">
        <v>17</v>
      </c>
      <c r="I80">
        <v>2.5999999999999999E-2</v>
      </c>
      <c r="J80">
        <v>0</v>
      </c>
      <c r="O80">
        <f t="shared" ref="O80:O97" si="72">ROUND(CP80,2)</f>
        <v>1090.73</v>
      </c>
      <c r="P80">
        <f t="shared" ref="P80:P97" si="73">ROUND(CQ80*I80,2)</f>
        <v>0</v>
      </c>
      <c r="Q80">
        <f t="shared" ref="Q80:Q97" si="74">ROUND(CR80*I80,2)</f>
        <v>0</v>
      </c>
      <c r="R80">
        <f t="shared" ref="R80:R97" si="75">ROUND(CS80*I80,2)</f>
        <v>0</v>
      </c>
      <c r="S80">
        <f t="shared" ref="S80:S97" si="76">ROUND(CT80*I80,2)</f>
        <v>1090.73</v>
      </c>
      <c r="T80">
        <f t="shared" ref="T80:T97" si="77">ROUND(CU80*I80,2)</f>
        <v>0</v>
      </c>
      <c r="U80">
        <f t="shared" ref="U80:U97" si="78">CV80*I80</f>
        <v>5.7615999999999996</v>
      </c>
      <c r="V80">
        <f t="shared" ref="V80:V97" si="79">CW80*I80</f>
        <v>0</v>
      </c>
      <c r="W80">
        <f t="shared" ref="W80:W97" si="80">ROUND(CX80*I80,2)</f>
        <v>0</v>
      </c>
      <c r="X80">
        <f t="shared" ref="X80:X97" si="81">ROUND(CY80,2)</f>
        <v>763.51</v>
      </c>
      <c r="Y80">
        <f t="shared" ref="Y80:Y97" si="82">ROUND(CZ80,2)</f>
        <v>109.07</v>
      </c>
      <c r="AA80">
        <v>46561299</v>
      </c>
      <c r="AB80">
        <f t="shared" ref="AB80:AB97" si="83">ROUND((AC80+AD80+AF80),6)</f>
        <v>41951.1</v>
      </c>
      <c r="AC80">
        <f>ROUND((ES80),6)</f>
        <v>0</v>
      </c>
      <c r="AD80">
        <f>ROUND((((ET80)-(EU80))+AE80),6)</f>
        <v>0</v>
      </c>
      <c r="AE80">
        <f t="shared" ref="AE80:AF82" si="84">ROUND((EU80),6)</f>
        <v>0</v>
      </c>
      <c r="AF80">
        <f t="shared" si="84"/>
        <v>41951.1</v>
      </c>
      <c r="AG80">
        <f t="shared" ref="AG80:AG97" si="85">ROUND((AP80),6)</f>
        <v>0</v>
      </c>
      <c r="AH80">
        <f t="shared" ref="AH80:AI82" si="86">(EW80)</f>
        <v>221.6</v>
      </c>
      <c r="AI80">
        <f t="shared" si="86"/>
        <v>0</v>
      </c>
      <c r="AJ80">
        <f t="shared" ref="AJ80:AJ97" si="87">(AS80)</f>
        <v>0</v>
      </c>
      <c r="AK80">
        <v>41951.1</v>
      </c>
      <c r="AL80">
        <v>0</v>
      </c>
      <c r="AM80">
        <v>0</v>
      </c>
      <c r="AN80">
        <v>0</v>
      </c>
      <c r="AO80">
        <v>41951.1</v>
      </c>
      <c r="AP80">
        <v>0</v>
      </c>
      <c r="AQ80">
        <v>221.6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18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ref="CP80:CP97" si="88">(P80+Q80+S80)</f>
        <v>1090.73</v>
      </c>
      <c r="CQ80">
        <f t="shared" ref="CQ80:CQ97" si="89">(AC80*BC80*AW80)</f>
        <v>0</v>
      </c>
      <c r="CR80">
        <f>((((ET80)*BB80-(EU80)*BS80)+AE80*BS80)*AV80)</f>
        <v>0</v>
      </c>
      <c r="CS80">
        <f t="shared" ref="CS80:CS97" si="90">(AE80*BS80*AV80)</f>
        <v>0</v>
      </c>
      <c r="CT80">
        <f t="shared" ref="CT80:CT97" si="91">(AF80*BA80*AV80)</f>
        <v>41951.1</v>
      </c>
      <c r="CU80">
        <f t="shared" ref="CU80:CU97" si="92">AG80</f>
        <v>0</v>
      </c>
      <c r="CV80">
        <f t="shared" ref="CV80:CV97" si="93">(AH80*AV80)</f>
        <v>221.6</v>
      </c>
      <c r="CW80">
        <f t="shared" ref="CW80:CW97" si="94">AI80</f>
        <v>0</v>
      </c>
      <c r="CX80">
        <f t="shared" ref="CX80:CX97" si="95">AJ80</f>
        <v>0</v>
      </c>
      <c r="CY80">
        <f t="shared" ref="CY80:CY97" si="96">((S80*BZ80)/100)</f>
        <v>763.51100000000008</v>
      </c>
      <c r="CZ80">
        <f t="shared" ref="CZ80:CZ97" si="97">((S80*CA80)/100)</f>
        <v>109.07299999999999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1007</v>
      </c>
      <c r="DV80" t="s">
        <v>17</v>
      </c>
      <c r="DW80" t="s">
        <v>17</v>
      </c>
      <c r="DX80">
        <v>100</v>
      </c>
      <c r="EE80">
        <v>46035301</v>
      </c>
      <c r="EF80">
        <v>1</v>
      </c>
      <c r="EG80" t="s">
        <v>19</v>
      </c>
      <c r="EH80">
        <v>0</v>
      </c>
      <c r="EI80" t="s">
        <v>3</v>
      </c>
      <c r="EJ80">
        <v>4</v>
      </c>
      <c r="EK80">
        <v>0</v>
      </c>
      <c r="EL80" t="s">
        <v>20</v>
      </c>
      <c r="EM80" t="s">
        <v>21</v>
      </c>
      <c r="EO80" t="s">
        <v>3</v>
      </c>
      <c r="EQ80">
        <v>0</v>
      </c>
      <c r="ER80">
        <v>41951.1</v>
      </c>
      <c r="ES80">
        <v>0</v>
      </c>
      <c r="ET80">
        <v>0</v>
      </c>
      <c r="EU80">
        <v>0</v>
      </c>
      <c r="EV80">
        <v>41951.1</v>
      </c>
      <c r="EW80">
        <v>221.6</v>
      </c>
      <c r="EX80">
        <v>0</v>
      </c>
      <c r="EY80">
        <v>0</v>
      </c>
      <c r="FQ80">
        <v>0</v>
      </c>
      <c r="FR80">
        <f t="shared" ref="FR80:FR97" si="98">ROUND(IF(AND(BH80=3,BI80=3),P80,0),2)</f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1383297733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 t="shared" ref="GL80:GL97" si="99">ROUND(IF(AND(BH80=3,BI80=3,FS80&lt;&gt;0),P80,0),2)</f>
        <v>0</v>
      </c>
      <c r="GM80">
        <f>ROUND(O80+X80+Y80+GK80,2)+GX80</f>
        <v>1963.31</v>
      </c>
      <c r="GN80">
        <f>IF(OR(BI80=0,BI80=1),ROUND(O80+X80+Y80+GK80,2),0)</f>
        <v>0</v>
      </c>
      <c r="GO80">
        <f>IF(BI80=2,ROUND(O80+X80+Y80+GK80,2),0)</f>
        <v>0</v>
      </c>
      <c r="GP80">
        <f>IF(BI80=4,ROUND(O80+X80+Y80+GK80,2)+GX80,0)</f>
        <v>1963.31</v>
      </c>
      <c r="GR80">
        <v>0</v>
      </c>
      <c r="GS80">
        <v>3</v>
      </c>
      <c r="GT80">
        <v>0</v>
      </c>
      <c r="GU80" t="s">
        <v>3</v>
      </c>
      <c r="GV80">
        <f t="shared" ref="GV80:GV97" si="100">ROUND((GT80),6)</f>
        <v>0</v>
      </c>
      <c r="GW80">
        <v>1</v>
      </c>
      <c r="GX80">
        <f t="shared" ref="GX80:GX97" si="101">ROUND(HC80*I80,2)</f>
        <v>0</v>
      </c>
      <c r="HA80">
        <v>0</v>
      </c>
      <c r="HB80">
        <v>0</v>
      </c>
      <c r="HC80">
        <f t="shared" ref="HC80:HC97" si="102">GV80*GW80</f>
        <v>0</v>
      </c>
      <c r="IK80">
        <v>0</v>
      </c>
    </row>
    <row r="81" spans="1:245" x14ac:dyDescent="0.2">
      <c r="A81">
        <v>17</v>
      </c>
      <c r="B81">
        <v>1</v>
      </c>
      <c r="C81">
        <f>ROW(SmtRes!A52)</f>
        <v>52</v>
      </c>
      <c r="D81">
        <f>ROW(EtalonRes!A46)</f>
        <v>46</v>
      </c>
      <c r="E81" t="s">
        <v>150</v>
      </c>
      <c r="F81" t="s">
        <v>23</v>
      </c>
      <c r="G81" t="s">
        <v>24</v>
      </c>
      <c r="H81" t="s">
        <v>17</v>
      </c>
      <c r="I81">
        <v>2.5999999999999999E-2</v>
      </c>
      <c r="J81">
        <v>0</v>
      </c>
      <c r="O81">
        <f t="shared" si="72"/>
        <v>289.39</v>
      </c>
      <c r="P81">
        <f t="shared" si="73"/>
        <v>0</v>
      </c>
      <c r="Q81">
        <f t="shared" si="74"/>
        <v>0</v>
      </c>
      <c r="R81">
        <f t="shared" si="75"/>
        <v>0</v>
      </c>
      <c r="S81">
        <f t="shared" si="76"/>
        <v>289.39</v>
      </c>
      <c r="T81">
        <f t="shared" si="77"/>
        <v>0</v>
      </c>
      <c r="U81">
        <f t="shared" si="78"/>
        <v>2.1579999999999999</v>
      </c>
      <c r="V81">
        <f t="shared" si="79"/>
        <v>0</v>
      </c>
      <c r="W81">
        <f t="shared" si="80"/>
        <v>0</v>
      </c>
      <c r="X81">
        <f t="shared" si="81"/>
        <v>202.57</v>
      </c>
      <c r="Y81">
        <f t="shared" si="82"/>
        <v>28.94</v>
      </c>
      <c r="AA81">
        <v>46561299</v>
      </c>
      <c r="AB81">
        <f t="shared" si="83"/>
        <v>11130.3</v>
      </c>
      <c r="AC81">
        <f>ROUND((ES81),6)</f>
        <v>0</v>
      </c>
      <c r="AD81">
        <f>ROUND((((ET81)-(EU81))+AE81),6)</f>
        <v>0</v>
      </c>
      <c r="AE81">
        <f t="shared" si="84"/>
        <v>0</v>
      </c>
      <c r="AF81">
        <f t="shared" si="84"/>
        <v>11130.3</v>
      </c>
      <c r="AG81">
        <f t="shared" si="85"/>
        <v>0</v>
      </c>
      <c r="AH81">
        <f t="shared" si="86"/>
        <v>83</v>
      </c>
      <c r="AI81">
        <f t="shared" si="86"/>
        <v>0</v>
      </c>
      <c r="AJ81">
        <f t="shared" si="87"/>
        <v>0</v>
      </c>
      <c r="AK81">
        <v>11130.3</v>
      </c>
      <c r="AL81">
        <v>0</v>
      </c>
      <c r="AM81">
        <v>0</v>
      </c>
      <c r="AN81">
        <v>0</v>
      </c>
      <c r="AO81">
        <v>11130.3</v>
      </c>
      <c r="AP81">
        <v>0</v>
      </c>
      <c r="AQ81">
        <v>83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25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88"/>
        <v>289.39</v>
      </c>
      <c r="CQ81">
        <f t="shared" si="89"/>
        <v>0</v>
      </c>
      <c r="CR81">
        <f>((((ET81)*BB81-(EU81)*BS81)+AE81*BS81)*AV81)</f>
        <v>0</v>
      </c>
      <c r="CS81">
        <f t="shared" si="90"/>
        <v>0</v>
      </c>
      <c r="CT81">
        <f t="shared" si="91"/>
        <v>11130.3</v>
      </c>
      <c r="CU81">
        <f t="shared" si="92"/>
        <v>0</v>
      </c>
      <c r="CV81">
        <f t="shared" si="93"/>
        <v>83</v>
      </c>
      <c r="CW81">
        <f t="shared" si="94"/>
        <v>0</v>
      </c>
      <c r="CX81">
        <f t="shared" si="95"/>
        <v>0</v>
      </c>
      <c r="CY81">
        <f t="shared" si="96"/>
        <v>202.57299999999998</v>
      </c>
      <c r="CZ81">
        <f t="shared" si="97"/>
        <v>28.938999999999997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1007</v>
      </c>
      <c r="DV81" t="s">
        <v>17</v>
      </c>
      <c r="DW81" t="s">
        <v>17</v>
      </c>
      <c r="DX81">
        <v>100</v>
      </c>
      <c r="EE81">
        <v>46035301</v>
      </c>
      <c r="EF81">
        <v>1</v>
      </c>
      <c r="EG81" t="s">
        <v>19</v>
      </c>
      <c r="EH81">
        <v>0</v>
      </c>
      <c r="EI81" t="s">
        <v>3</v>
      </c>
      <c r="EJ81">
        <v>4</v>
      </c>
      <c r="EK81">
        <v>0</v>
      </c>
      <c r="EL81" t="s">
        <v>20</v>
      </c>
      <c r="EM81" t="s">
        <v>21</v>
      </c>
      <c r="EO81" t="s">
        <v>3</v>
      </c>
      <c r="EQ81">
        <v>0</v>
      </c>
      <c r="ER81">
        <v>11130.3</v>
      </c>
      <c r="ES81">
        <v>0</v>
      </c>
      <c r="ET81">
        <v>0</v>
      </c>
      <c r="EU81">
        <v>0</v>
      </c>
      <c r="EV81">
        <v>11130.3</v>
      </c>
      <c r="EW81">
        <v>83</v>
      </c>
      <c r="EX81">
        <v>0</v>
      </c>
      <c r="EY81">
        <v>0</v>
      </c>
      <c r="FQ81">
        <v>0</v>
      </c>
      <c r="FR81">
        <f t="shared" si="98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-1624416853</v>
      </c>
      <c r="GG81">
        <v>2</v>
      </c>
      <c r="GH81">
        <v>1</v>
      </c>
      <c r="GI81">
        <v>-2</v>
      </c>
      <c r="GJ81">
        <v>0</v>
      </c>
      <c r="GK81">
        <f>ROUND(R81*(R12)/100,2)</f>
        <v>0</v>
      </c>
      <c r="GL81">
        <f t="shared" si="99"/>
        <v>0</v>
      </c>
      <c r="GM81">
        <f>ROUND(O81+X81+Y81+GK81,2)+GX81</f>
        <v>520.9</v>
      </c>
      <c r="GN81">
        <f>IF(OR(BI81=0,BI81=1),ROUND(O81+X81+Y81+GK81,2),0)</f>
        <v>0</v>
      </c>
      <c r="GO81">
        <f>IF(BI81=2,ROUND(O81+X81+Y81+GK81,2),0)</f>
        <v>0</v>
      </c>
      <c r="GP81">
        <f>IF(BI81=4,ROUND(O81+X81+Y81+GK81,2)+GX81,0)</f>
        <v>520.9</v>
      </c>
      <c r="GR81">
        <v>0</v>
      </c>
      <c r="GS81">
        <v>3</v>
      </c>
      <c r="GT81">
        <v>0</v>
      </c>
      <c r="GU81" t="s">
        <v>3</v>
      </c>
      <c r="GV81">
        <f t="shared" si="100"/>
        <v>0</v>
      </c>
      <c r="GW81">
        <v>1</v>
      </c>
      <c r="GX81">
        <f t="shared" si="101"/>
        <v>0</v>
      </c>
      <c r="HA81">
        <v>0</v>
      </c>
      <c r="HB81">
        <v>0</v>
      </c>
      <c r="HC81">
        <f t="shared" si="102"/>
        <v>0</v>
      </c>
      <c r="IK81">
        <v>0</v>
      </c>
    </row>
    <row r="82" spans="1:245" x14ac:dyDescent="0.2">
      <c r="A82">
        <v>17</v>
      </c>
      <c r="B82">
        <v>1</v>
      </c>
      <c r="C82">
        <f>ROW(SmtRes!A53)</f>
        <v>53</v>
      </c>
      <c r="D82">
        <f>ROW(EtalonRes!A47)</f>
        <v>47</v>
      </c>
      <c r="E82" t="s">
        <v>151</v>
      </c>
      <c r="F82" t="s">
        <v>27</v>
      </c>
      <c r="G82" t="s">
        <v>28</v>
      </c>
      <c r="H82" t="s">
        <v>29</v>
      </c>
      <c r="I82">
        <v>2.6</v>
      </c>
      <c r="J82">
        <v>0</v>
      </c>
      <c r="O82">
        <f t="shared" si="72"/>
        <v>122.9</v>
      </c>
      <c r="P82">
        <f t="shared" si="73"/>
        <v>0</v>
      </c>
      <c r="Q82">
        <f t="shared" si="74"/>
        <v>122.9</v>
      </c>
      <c r="R82">
        <f t="shared" si="75"/>
        <v>66.72</v>
      </c>
      <c r="S82">
        <f t="shared" si="76"/>
        <v>0</v>
      </c>
      <c r="T82">
        <f t="shared" si="77"/>
        <v>0</v>
      </c>
      <c r="U82">
        <f t="shared" si="78"/>
        <v>0</v>
      </c>
      <c r="V82">
        <f t="shared" si="79"/>
        <v>0</v>
      </c>
      <c r="W82">
        <f t="shared" si="80"/>
        <v>0</v>
      </c>
      <c r="X82">
        <f t="shared" si="81"/>
        <v>0</v>
      </c>
      <c r="Y82">
        <f t="shared" si="82"/>
        <v>0</v>
      </c>
      <c r="AA82">
        <v>46561299</v>
      </c>
      <c r="AB82">
        <f t="shared" si="83"/>
        <v>47.27</v>
      </c>
      <c r="AC82">
        <f>ROUND((ES82),6)</f>
        <v>0</v>
      </c>
      <c r="AD82">
        <f>ROUND((((ET82)-(EU82))+AE82),6)</f>
        <v>47.27</v>
      </c>
      <c r="AE82">
        <f t="shared" si="84"/>
        <v>25.66</v>
      </c>
      <c r="AF82">
        <f t="shared" si="84"/>
        <v>0</v>
      </c>
      <c r="AG82">
        <f t="shared" si="85"/>
        <v>0</v>
      </c>
      <c r="AH82">
        <f t="shared" si="86"/>
        <v>0</v>
      </c>
      <c r="AI82">
        <f t="shared" si="86"/>
        <v>0</v>
      </c>
      <c r="AJ82">
        <f t="shared" si="87"/>
        <v>0</v>
      </c>
      <c r="AK82">
        <v>47.27</v>
      </c>
      <c r="AL82">
        <v>0</v>
      </c>
      <c r="AM82">
        <v>47.27</v>
      </c>
      <c r="AN82">
        <v>25.66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0</v>
      </c>
      <c r="BI82">
        <v>4</v>
      </c>
      <c r="BJ82" t="s">
        <v>30</v>
      </c>
      <c r="BM82">
        <v>1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0</v>
      </c>
      <c r="CA82">
        <v>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8"/>
        <v>122.9</v>
      </c>
      <c r="CQ82">
        <f t="shared" si="89"/>
        <v>0</v>
      </c>
      <c r="CR82">
        <f>((((ET82)*BB82-(EU82)*BS82)+AE82*BS82)*AV82)</f>
        <v>47.27</v>
      </c>
      <c r="CS82">
        <f t="shared" si="90"/>
        <v>25.66</v>
      </c>
      <c r="CT82">
        <f t="shared" si="91"/>
        <v>0</v>
      </c>
      <c r="CU82">
        <f t="shared" si="92"/>
        <v>0</v>
      </c>
      <c r="CV82">
        <f t="shared" si="93"/>
        <v>0</v>
      </c>
      <c r="CW82">
        <f t="shared" si="94"/>
        <v>0</v>
      </c>
      <c r="CX82">
        <f t="shared" si="95"/>
        <v>0</v>
      </c>
      <c r="CY82">
        <f t="shared" si="96"/>
        <v>0</v>
      </c>
      <c r="CZ82">
        <f t="shared" si="97"/>
        <v>0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1007</v>
      </c>
      <c r="DV82" t="s">
        <v>29</v>
      </c>
      <c r="DW82" t="s">
        <v>29</v>
      </c>
      <c r="DX82">
        <v>1</v>
      </c>
      <c r="EE82">
        <v>46035303</v>
      </c>
      <c r="EF82">
        <v>1</v>
      </c>
      <c r="EG82" t="s">
        <v>19</v>
      </c>
      <c r="EH82">
        <v>0</v>
      </c>
      <c r="EI82" t="s">
        <v>3</v>
      </c>
      <c r="EJ82">
        <v>4</v>
      </c>
      <c r="EK82">
        <v>1</v>
      </c>
      <c r="EL82" t="s">
        <v>31</v>
      </c>
      <c r="EM82" t="s">
        <v>21</v>
      </c>
      <c r="EO82" t="s">
        <v>3</v>
      </c>
      <c r="EQ82">
        <v>0</v>
      </c>
      <c r="ER82">
        <v>47.27</v>
      </c>
      <c r="ES82">
        <v>0</v>
      </c>
      <c r="ET82">
        <v>47.27</v>
      </c>
      <c r="EU82">
        <v>25.66</v>
      </c>
      <c r="EV82">
        <v>0</v>
      </c>
      <c r="EW82">
        <v>0</v>
      </c>
      <c r="EX82">
        <v>0</v>
      </c>
      <c r="EY82">
        <v>0</v>
      </c>
      <c r="FQ82">
        <v>0</v>
      </c>
      <c r="FR82">
        <f t="shared" si="98"/>
        <v>0</v>
      </c>
      <c r="FS82">
        <v>0</v>
      </c>
      <c r="FX82">
        <v>0</v>
      </c>
      <c r="FY82">
        <v>0</v>
      </c>
      <c r="GA82" t="s">
        <v>3</v>
      </c>
      <c r="GD82">
        <v>1</v>
      </c>
      <c r="GF82">
        <v>-1023303705</v>
      </c>
      <c r="GG82">
        <v>2</v>
      </c>
      <c r="GH82">
        <v>1</v>
      </c>
      <c r="GI82">
        <v>-2</v>
      </c>
      <c r="GJ82">
        <v>0</v>
      </c>
      <c r="GK82">
        <v>0</v>
      </c>
      <c r="GL82">
        <f t="shared" si="99"/>
        <v>0</v>
      </c>
      <c r="GM82">
        <f>ROUND(O82+X82+Y82,2)+GX82</f>
        <v>122.9</v>
      </c>
      <c r="GN82">
        <f>IF(OR(BI82=0,BI82=1),ROUND(O82+X82+Y82,2),0)</f>
        <v>0</v>
      </c>
      <c r="GO82">
        <f>IF(BI82=2,ROUND(O82+X82+Y82,2),0)</f>
        <v>0</v>
      </c>
      <c r="GP82">
        <f>IF(BI82=4,ROUND(O82+X82+Y82,2)+GX82,0)</f>
        <v>122.9</v>
      </c>
      <c r="GR82">
        <v>0</v>
      </c>
      <c r="GS82">
        <v>3</v>
      </c>
      <c r="GT82">
        <v>0</v>
      </c>
      <c r="GU82" t="s">
        <v>3</v>
      </c>
      <c r="GV82">
        <f t="shared" si="100"/>
        <v>0</v>
      </c>
      <c r="GW82">
        <v>1</v>
      </c>
      <c r="GX82">
        <f t="shared" si="101"/>
        <v>0</v>
      </c>
      <c r="HA82">
        <v>0</v>
      </c>
      <c r="HB82">
        <v>0</v>
      </c>
      <c r="HC82">
        <f t="shared" si="102"/>
        <v>0</v>
      </c>
      <c r="IK82">
        <v>0</v>
      </c>
    </row>
    <row r="83" spans="1:245" x14ac:dyDescent="0.2">
      <c r="A83">
        <v>17</v>
      </c>
      <c r="B83">
        <v>1</v>
      </c>
      <c r="C83">
        <f>ROW(SmtRes!A54)</f>
        <v>54</v>
      </c>
      <c r="D83">
        <f>ROW(EtalonRes!A48)</f>
        <v>48</v>
      </c>
      <c r="E83" t="s">
        <v>152</v>
      </c>
      <c r="F83" t="s">
        <v>33</v>
      </c>
      <c r="G83" t="s">
        <v>34</v>
      </c>
      <c r="H83" t="s">
        <v>29</v>
      </c>
      <c r="I83">
        <v>2.6</v>
      </c>
      <c r="J83">
        <v>0</v>
      </c>
      <c r="O83">
        <f t="shared" si="72"/>
        <v>1268.8</v>
      </c>
      <c r="P83">
        <f t="shared" si="73"/>
        <v>0</v>
      </c>
      <c r="Q83">
        <f t="shared" si="74"/>
        <v>1268.8</v>
      </c>
      <c r="R83">
        <f t="shared" si="75"/>
        <v>688.9</v>
      </c>
      <c r="S83">
        <f t="shared" si="76"/>
        <v>0</v>
      </c>
      <c r="T83">
        <f t="shared" si="77"/>
        <v>0</v>
      </c>
      <c r="U83">
        <f t="shared" si="78"/>
        <v>0</v>
      </c>
      <c r="V83">
        <f t="shared" si="79"/>
        <v>0</v>
      </c>
      <c r="W83">
        <f t="shared" si="80"/>
        <v>0</v>
      </c>
      <c r="X83">
        <f t="shared" si="81"/>
        <v>0</v>
      </c>
      <c r="Y83">
        <f t="shared" si="82"/>
        <v>0</v>
      </c>
      <c r="AA83">
        <v>46561299</v>
      </c>
      <c r="AB83">
        <f t="shared" si="83"/>
        <v>488</v>
      </c>
      <c r="AC83">
        <f>ROUND(((ES83*32)),6)</f>
        <v>0</v>
      </c>
      <c r="AD83">
        <f>ROUND(((((ET83*32))-((EU83*32)))+AE83),6)</f>
        <v>488</v>
      </c>
      <c r="AE83">
        <f>ROUND(((EU83*32)),6)</f>
        <v>264.95999999999998</v>
      </c>
      <c r="AF83">
        <f>ROUND(((EV83*32)),6)</f>
        <v>0</v>
      </c>
      <c r="AG83">
        <f t="shared" si="85"/>
        <v>0</v>
      </c>
      <c r="AH83">
        <f>((EW83*32))</f>
        <v>0</v>
      </c>
      <c r="AI83">
        <f>((EX83*32))</f>
        <v>0</v>
      </c>
      <c r="AJ83">
        <f t="shared" si="87"/>
        <v>0</v>
      </c>
      <c r="AK83">
        <v>15.25</v>
      </c>
      <c r="AL83">
        <v>0</v>
      </c>
      <c r="AM83">
        <v>15.25</v>
      </c>
      <c r="AN83">
        <v>8.2799999999999994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35</v>
      </c>
      <c r="BM83">
        <v>1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0</v>
      </c>
      <c r="CA83">
        <v>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88"/>
        <v>1268.8</v>
      </c>
      <c r="CQ83">
        <f t="shared" si="89"/>
        <v>0</v>
      </c>
      <c r="CR83">
        <f>(((((ET83*32))*BB83-((EU83*32))*BS83)+AE83*BS83)*AV83)</f>
        <v>488</v>
      </c>
      <c r="CS83">
        <f t="shared" si="90"/>
        <v>264.95999999999998</v>
      </c>
      <c r="CT83">
        <f t="shared" si="91"/>
        <v>0</v>
      </c>
      <c r="CU83">
        <f t="shared" si="92"/>
        <v>0</v>
      </c>
      <c r="CV83">
        <f t="shared" si="93"/>
        <v>0</v>
      </c>
      <c r="CW83">
        <f t="shared" si="94"/>
        <v>0</v>
      </c>
      <c r="CX83">
        <f t="shared" si="95"/>
        <v>0</v>
      </c>
      <c r="CY83">
        <f t="shared" si="96"/>
        <v>0</v>
      </c>
      <c r="CZ83">
        <f t="shared" si="97"/>
        <v>0</v>
      </c>
      <c r="DC83" t="s">
        <v>3</v>
      </c>
      <c r="DD83" t="s">
        <v>36</v>
      </c>
      <c r="DE83" t="s">
        <v>36</v>
      </c>
      <c r="DF83" t="s">
        <v>36</v>
      </c>
      <c r="DG83" t="s">
        <v>36</v>
      </c>
      <c r="DH83" t="s">
        <v>3</v>
      </c>
      <c r="DI83" t="s">
        <v>36</v>
      </c>
      <c r="DJ83" t="s">
        <v>36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1007</v>
      </c>
      <c r="DV83" t="s">
        <v>29</v>
      </c>
      <c r="DW83" t="s">
        <v>29</v>
      </c>
      <c r="DX83">
        <v>1</v>
      </c>
      <c r="EE83">
        <v>46035303</v>
      </c>
      <c r="EF83">
        <v>1</v>
      </c>
      <c r="EG83" t="s">
        <v>19</v>
      </c>
      <c r="EH83">
        <v>0</v>
      </c>
      <c r="EI83" t="s">
        <v>3</v>
      </c>
      <c r="EJ83">
        <v>4</v>
      </c>
      <c r="EK83">
        <v>1</v>
      </c>
      <c r="EL83" t="s">
        <v>31</v>
      </c>
      <c r="EM83" t="s">
        <v>21</v>
      </c>
      <c r="EO83" t="s">
        <v>3</v>
      </c>
      <c r="EQ83">
        <v>0</v>
      </c>
      <c r="ER83">
        <v>15.25</v>
      </c>
      <c r="ES83">
        <v>0</v>
      </c>
      <c r="ET83">
        <v>15.25</v>
      </c>
      <c r="EU83">
        <v>8.2799999999999994</v>
      </c>
      <c r="EV83">
        <v>0</v>
      </c>
      <c r="EW83">
        <v>0</v>
      </c>
      <c r="EX83">
        <v>0</v>
      </c>
      <c r="EY83">
        <v>0</v>
      </c>
      <c r="FQ83">
        <v>0</v>
      </c>
      <c r="FR83">
        <f t="shared" si="98"/>
        <v>0</v>
      </c>
      <c r="FS83">
        <v>0</v>
      </c>
      <c r="FX83">
        <v>0</v>
      </c>
      <c r="FY83">
        <v>0</v>
      </c>
      <c r="GA83" t="s">
        <v>3</v>
      </c>
      <c r="GD83">
        <v>1</v>
      </c>
      <c r="GF83">
        <v>-103757531</v>
      </c>
      <c r="GG83">
        <v>2</v>
      </c>
      <c r="GH83">
        <v>1</v>
      </c>
      <c r="GI83">
        <v>-2</v>
      </c>
      <c r="GJ83">
        <v>0</v>
      </c>
      <c r="GK83">
        <v>0</v>
      </c>
      <c r="GL83">
        <f t="shared" si="99"/>
        <v>0</v>
      </c>
      <c r="GM83">
        <f>ROUND(O83+X83+Y83,2)+GX83</f>
        <v>1268.8</v>
      </c>
      <c r="GN83">
        <f>IF(OR(BI83=0,BI83=1),ROUND(O83+X83+Y83,2),0)</f>
        <v>0</v>
      </c>
      <c r="GO83">
        <f>IF(BI83=2,ROUND(O83+X83+Y83,2),0)</f>
        <v>0</v>
      </c>
      <c r="GP83">
        <f>IF(BI83=4,ROUND(O83+X83+Y83,2)+GX83,0)</f>
        <v>1268.8</v>
      </c>
      <c r="GR83">
        <v>0</v>
      </c>
      <c r="GS83">
        <v>3</v>
      </c>
      <c r="GT83">
        <v>0</v>
      </c>
      <c r="GU83" t="s">
        <v>3</v>
      </c>
      <c r="GV83">
        <f t="shared" si="100"/>
        <v>0</v>
      </c>
      <c r="GW83">
        <v>1</v>
      </c>
      <c r="GX83">
        <f t="shared" si="101"/>
        <v>0</v>
      </c>
      <c r="HA83">
        <v>0</v>
      </c>
      <c r="HB83">
        <v>0</v>
      </c>
      <c r="HC83">
        <f t="shared" si="102"/>
        <v>0</v>
      </c>
      <c r="IK83">
        <v>0</v>
      </c>
    </row>
    <row r="84" spans="1:245" x14ac:dyDescent="0.2">
      <c r="A84">
        <v>17</v>
      </c>
      <c r="B84">
        <v>1</v>
      </c>
      <c r="C84">
        <f>ROW(SmtRes!A58)</f>
        <v>58</v>
      </c>
      <c r="D84">
        <f>ROW(EtalonRes!A52)</f>
        <v>52</v>
      </c>
      <c r="E84" t="s">
        <v>153</v>
      </c>
      <c r="F84" t="s">
        <v>38</v>
      </c>
      <c r="G84" t="s">
        <v>39</v>
      </c>
      <c r="H84" t="s">
        <v>40</v>
      </c>
      <c r="I84">
        <v>2.2000000000000002</v>
      </c>
      <c r="J84">
        <v>0</v>
      </c>
      <c r="O84">
        <f t="shared" si="72"/>
        <v>1784.38</v>
      </c>
      <c r="P84">
        <f t="shared" si="73"/>
        <v>1179.8599999999999</v>
      </c>
      <c r="Q84">
        <f t="shared" si="74"/>
        <v>0</v>
      </c>
      <c r="R84">
        <f t="shared" si="75"/>
        <v>0</v>
      </c>
      <c r="S84">
        <f t="shared" si="76"/>
        <v>604.52</v>
      </c>
      <c r="T84">
        <f t="shared" si="77"/>
        <v>0</v>
      </c>
      <c r="U84">
        <f t="shared" si="78"/>
        <v>2.75</v>
      </c>
      <c r="V84">
        <f t="shared" si="79"/>
        <v>0</v>
      </c>
      <c r="W84">
        <f t="shared" si="80"/>
        <v>0</v>
      </c>
      <c r="X84">
        <f t="shared" si="81"/>
        <v>423.16</v>
      </c>
      <c r="Y84">
        <f t="shared" si="82"/>
        <v>60.45</v>
      </c>
      <c r="AA84">
        <v>46561299</v>
      </c>
      <c r="AB84">
        <f t="shared" si="83"/>
        <v>811.08</v>
      </c>
      <c r="AC84">
        <f t="shared" ref="AC84:AC97" si="103">ROUND((ES84),6)</f>
        <v>536.29999999999995</v>
      </c>
      <c r="AD84">
        <f t="shared" ref="AD84:AD97" si="104">ROUND((((ET84)-(EU84))+AE84),6)</f>
        <v>0</v>
      </c>
      <c r="AE84">
        <f t="shared" ref="AE84:AE97" si="105">ROUND((EU84),6)</f>
        <v>0</v>
      </c>
      <c r="AF84">
        <f t="shared" ref="AF84:AF97" si="106">ROUND((EV84),6)</f>
        <v>274.77999999999997</v>
      </c>
      <c r="AG84">
        <f t="shared" si="85"/>
        <v>0</v>
      </c>
      <c r="AH84">
        <f t="shared" ref="AH84:AH97" si="107">(EW84)</f>
        <v>1.25</v>
      </c>
      <c r="AI84">
        <f t="shared" ref="AI84:AI97" si="108">(EX84)</f>
        <v>0</v>
      </c>
      <c r="AJ84">
        <f t="shared" si="87"/>
        <v>0</v>
      </c>
      <c r="AK84">
        <v>811.08</v>
      </c>
      <c r="AL84">
        <v>536.29999999999995</v>
      </c>
      <c r="AM84">
        <v>0</v>
      </c>
      <c r="AN84">
        <v>0</v>
      </c>
      <c r="AO84">
        <v>274.77999999999997</v>
      </c>
      <c r="AP84">
        <v>0</v>
      </c>
      <c r="AQ84">
        <v>1.25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0</v>
      </c>
      <c r="BI84">
        <v>4</v>
      </c>
      <c r="BJ84" t="s">
        <v>41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8"/>
        <v>1784.3799999999999</v>
      </c>
      <c r="CQ84">
        <f t="shared" si="89"/>
        <v>536.29999999999995</v>
      </c>
      <c r="CR84">
        <f t="shared" ref="CR84:CR97" si="109">((((ET84)*BB84-(EU84)*BS84)+AE84*BS84)*AV84)</f>
        <v>0</v>
      </c>
      <c r="CS84">
        <f t="shared" si="90"/>
        <v>0</v>
      </c>
      <c r="CT84">
        <f t="shared" si="91"/>
        <v>274.77999999999997</v>
      </c>
      <c r="CU84">
        <f t="shared" si="92"/>
        <v>0</v>
      </c>
      <c r="CV84">
        <f t="shared" si="93"/>
        <v>1.25</v>
      </c>
      <c r="CW84">
        <f t="shared" si="94"/>
        <v>0</v>
      </c>
      <c r="CX84">
        <f t="shared" si="95"/>
        <v>0</v>
      </c>
      <c r="CY84">
        <f t="shared" si="96"/>
        <v>423.16399999999999</v>
      </c>
      <c r="CZ84">
        <f t="shared" si="97"/>
        <v>60.451999999999998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1005</v>
      </c>
      <c r="DV84" t="s">
        <v>40</v>
      </c>
      <c r="DW84" t="s">
        <v>40</v>
      </c>
      <c r="DX84">
        <v>1</v>
      </c>
      <c r="EE84">
        <v>46035301</v>
      </c>
      <c r="EF84">
        <v>1</v>
      </c>
      <c r="EG84" t="s">
        <v>19</v>
      </c>
      <c r="EH84">
        <v>0</v>
      </c>
      <c r="EI84" t="s">
        <v>3</v>
      </c>
      <c r="EJ84">
        <v>4</v>
      </c>
      <c r="EK84">
        <v>0</v>
      </c>
      <c r="EL84" t="s">
        <v>20</v>
      </c>
      <c r="EM84" t="s">
        <v>21</v>
      </c>
      <c r="EO84" t="s">
        <v>3</v>
      </c>
      <c r="EQ84">
        <v>0</v>
      </c>
      <c r="ER84">
        <v>811.08</v>
      </c>
      <c r="ES84">
        <v>536.29999999999995</v>
      </c>
      <c r="ET84">
        <v>0</v>
      </c>
      <c r="EU84">
        <v>0</v>
      </c>
      <c r="EV84">
        <v>274.77999999999997</v>
      </c>
      <c r="EW84">
        <v>1.25</v>
      </c>
      <c r="EX84">
        <v>0</v>
      </c>
      <c r="EY84">
        <v>0</v>
      </c>
      <c r="FQ84">
        <v>0</v>
      </c>
      <c r="FR84">
        <f t="shared" si="98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1029220427</v>
      </c>
      <c r="GG84">
        <v>2</v>
      </c>
      <c r="GH84">
        <v>1</v>
      </c>
      <c r="GI84">
        <v>-2</v>
      </c>
      <c r="GJ84">
        <v>0</v>
      </c>
      <c r="GK84">
        <f>ROUND(R84*(R12)/100,2)</f>
        <v>0</v>
      </c>
      <c r="GL84">
        <f t="shared" si="99"/>
        <v>0</v>
      </c>
      <c r="GM84">
        <f t="shared" ref="GM84:GM97" si="110">ROUND(O84+X84+Y84+GK84,2)+GX84</f>
        <v>2267.9899999999998</v>
      </c>
      <c r="GN84">
        <f t="shared" ref="GN84:GN97" si="111">IF(OR(BI84=0,BI84=1),ROUND(O84+X84+Y84+GK84,2),0)</f>
        <v>0</v>
      </c>
      <c r="GO84">
        <f t="shared" ref="GO84:GO97" si="112">IF(BI84=2,ROUND(O84+X84+Y84+GK84,2),0)</f>
        <v>0</v>
      </c>
      <c r="GP84">
        <f t="shared" ref="GP84:GP97" si="113">IF(BI84=4,ROUND(O84+X84+Y84+GK84,2)+GX84,0)</f>
        <v>2267.9899999999998</v>
      </c>
      <c r="GR84">
        <v>0</v>
      </c>
      <c r="GS84">
        <v>3</v>
      </c>
      <c r="GT84">
        <v>0</v>
      </c>
      <c r="GU84" t="s">
        <v>3</v>
      </c>
      <c r="GV84">
        <f t="shared" si="100"/>
        <v>0</v>
      </c>
      <c r="GW84">
        <v>1</v>
      </c>
      <c r="GX84">
        <f t="shared" si="101"/>
        <v>0</v>
      </c>
      <c r="HA84">
        <v>0</v>
      </c>
      <c r="HB84">
        <v>0</v>
      </c>
      <c r="HC84">
        <f t="shared" si="102"/>
        <v>0</v>
      </c>
      <c r="IK84">
        <v>0</v>
      </c>
    </row>
    <row r="85" spans="1:245" x14ac:dyDescent="0.2">
      <c r="A85">
        <v>17</v>
      </c>
      <c r="B85">
        <v>1</v>
      </c>
      <c r="C85">
        <f>ROW(SmtRes!A62)</f>
        <v>62</v>
      </c>
      <c r="D85">
        <f>ROW(EtalonRes!A56)</f>
        <v>56</v>
      </c>
      <c r="E85" t="s">
        <v>154</v>
      </c>
      <c r="F85" t="s">
        <v>43</v>
      </c>
      <c r="G85" t="s">
        <v>44</v>
      </c>
      <c r="H85" t="s">
        <v>40</v>
      </c>
      <c r="I85">
        <v>2.2000000000000002</v>
      </c>
      <c r="J85">
        <v>0</v>
      </c>
      <c r="O85">
        <f t="shared" si="72"/>
        <v>317.37</v>
      </c>
      <c r="P85">
        <f t="shared" si="73"/>
        <v>137.24</v>
      </c>
      <c r="Q85">
        <f t="shared" si="74"/>
        <v>8.3800000000000008</v>
      </c>
      <c r="R85">
        <f t="shared" si="75"/>
        <v>3.26</v>
      </c>
      <c r="S85">
        <f t="shared" si="76"/>
        <v>171.75</v>
      </c>
      <c r="T85">
        <f t="shared" si="77"/>
        <v>0</v>
      </c>
      <c r="U85">
        <f t="shared" si="78"/>
        <v>0.81400000000000006</v>
      </c>
      <c r="V85">
        <f t="shared" si="79"/>
        <v>0</v>
      </c>
      <c r="W85">
        <f t="shared" si="80"/>
        <v>0</v>
      </c>
      <c r="X85">
        <f t="shared" si="81"/>
        <v>120.23</v>
      </c>
      <c r="Y85">
        <f t="shared" si="82"/>
        <v>17.18</v>
      </c>
      <c r="AA85">
        <v>46561299</v>
      </c>
      <c r="AB85">
        <f t="shared" si="83"/>
        <v>144.26</v>
      </c>
      <c r="AC85">
        <f t="shared" si="103"/>
        <v>62.38</v>
      </c>
      <c r="AD85">
        <f t="shared" si="104"/>
        <v>3.81</v>
      </c>
      <c r="AE85">
        <f t="shared" si="105"/>
        <v>1.48</v>
      </c>
      <c r="AF85">
        <f t="shared" si="106"/>
        <v>78.069999999999993</v>
      </c>
      <c r="AG85">
        <f t="shared" si="85"/>
        <v>0</v>
      </c>
      <c r="AH85">
        <f t="shared" si="107"/>
        <v>0.37</v>
      </c>
      <c r="AI85">
        <f t="shared" si="108"/>
        <v>0</v>
      </c>
      <c r="AJ85">
        <f t="shared" si="87"/>
        <v>0</v>
      </c>
      <c r="AK85">
        <v>144.26</v>
      </c>
      <c r="AL85">
        <v>62.38</v>
      </c>
      <c r="AM85">
        <v>3.81</v>
      </c>
      <c r="AN85">
        <v>1.48</v>
      </c>
      <c r="AO85">
        <v>78.069999999999993</v>
      </c>
      <c r="AP85">
        <v>0</v>
      </c>
      <c r="AQ85">
        <v>0.37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0</v>
      </c>
      <c r="BI85">
        <v>4</v>
      </c>
      <c r="BJ85" t="s">
        <v>45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8"/>
        <v>317.37</v>
      </c>
      <c r="CQ85">
        <f t="shared" si="89"/>
        <v>62.38</v>
      </c>
      <c r="CR85">
        <f t="shared" si="109"/>
        <v>3.81</v>
      </c>
      <c r="CS85">
        <f t="shared" si="90"/>
        <v>1.48</v>
      </c>
      <c r="CT85">
        <f t="shared" si="91"/>
        <v>78.069999999999993</v>
      </c>
      <c r="CU85">
        <f t="shared" si="92"/>
        <v>0</v>
      </c>
      <c r="CV85">
        <f t="shared" si="93"/>
        <v>0.37</v>
      </c>
      <c r="CW85">
        <f t="shared" si="94"/>
        <v>0</v>
      </c>
      <c r="CX85">
        <f t="shared" si="95"/>
        <v>0</v>
      </c>
      <c r="CY85">
        <f t="shared" si="96"/>
        <v>120.22499999999999</v>
      </c>
      <c r="CZ85">
        <f t="shared" si="97"/>
        <v>17.175000000000001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1005</v>
      </c>
      <c r="DV85" t="s">
        <v>40</v>
      </c>
      <c r="DW85" t="s">
        <v>40</v>
      </c>
      <c r="DX85">
        <v>1</v>
      </c>
      <c r="EE85">
        <v>46035301</v>
      </c>
      <c r="EF85">
        <v>1</v>
      </c>
      <c r="EG85" t="s">
        <v>19</v>
      </c>
      <c r="EH85">
        <v>0</v>
      </c>
      <c r="EI85" t="s">
        <v>3</v>
      </c>
      <c r="EJ85">
        <v>4</v>
      </c>
      <c r="EK85">
        <v>0</v>
      </c>
      <c r="EL85" t="s">
        <v>20</v>
      </c>
      <c r="EM85" t="s">
        <v>21</v>
      </c>
      <c r="EO85" t="s">
        <v>3</v>
      </c>
      <c r="EQ85">
        <v>0</v>
      </c>
      <c r="ER85">
        <v>144.26</v>
      </c>
      <c r="ES85">
        <v>62.38</v>
      </c>
      <c r="ET85">
        <v>3.81</v>
      </c>
      <c r="EU85">
        <v>1.48</v>
      </c>
      <c r="EV85">
        <v>78.069999999999993</v>
      </c>
      <c r="EW85">
        <v>0.37</v>
      </c>
      <c r="EX85">
        <v>0</v>
      </c>
      <c r="EY85">
        <v>0</v>
      </c>
      <c r="FQ85">
        <v>0</v>
      </c>
      <c r="FR85">
        <f t="shared" si="98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319965723</v>
      </c>
      <c r="GG85">
        <v>2</v>
      </c>
      <c r="GH85">
        <v>1</v>
      </c>
      <c r="GI85">
        <v>-2</v>
      </c>
      <c r="GJ85">
        <v>0</v>
      </c>
      <c r="GK85">
        <f>ROUND(R85*(R12)/100,2)</f>
        <v>3.52</v>
      </c>
      <c r="GL85">
        <f t="shared" si="99"/>
        <v>0</v>
      </c>
      <c r="GM85">
        <f t="shared" si="110"/>
        <v>458.3</v>
      </c>
      <c r="GN85">
        <f t="shared" si="111"/>
        <v>0</v>
      </c>
      <c r="GO85">
        <f t="shared" si="112"/>
        <v>0</v>
      </c>
      <c r="GP85">
        <f t="shared" si="113"/>
        <v>458.3</v>
      </c>
      <c r="GR85">
        <v>0</v>
      </c>
      <c r="GS85">
        <v>3</v>
      </c>
      <c r="GT85">
        <v>0</v>
      </c>
      <c r="GU85" t="s">
        <v>3</v>
      </c>
      <c r="GV85">
        <f t="shared" si="100"/>
        <v>0</v>
      </c>
      <c r="GW85">
        <v>1</v>
      </c>
      <c r="GX85">
        <f t="shared" si="101"/>
        <v>0</v>
      </c>
      <c r="HA85">
        <v>0</v>
      </c>
      <c r="HB85">
        <v>0</v>
      </c>
      <c r="HC85">
        <f t="shared" si="102"/>
        <v>0</v>
      </c>
      <c r="IK85">
        <v>0</v>
      </c>
    </row>
    <row r="86" spans="1:245" x14ac:dyDescent="0.2">
      <c r="A86">
        <v>17</v>
      </c>
      <c r="B86">
        <v>1</v>
      </c>
      <c r="C86">
        <f>ROW(SmtRes!A77)</f>
        <v>77</v>
      </c>
      <c r="D86">
        <f>ROW(EtalonRes!A70)</f>
        <v>70</v>
      </c>
      <c r="E86" t="s">
        <v>155</v>
      </c>
      <c r="F86" t="s">
        <v>47</v>
      </c>
      <c r="G86" t="s">
        <v>48</v>
      </c>
      <c r="H86" t="s">
        <v>17</v>
      </c>
      <c r="I86">
        <v>2.1600000000000001E-2</v>
      </c>
      <c r="J86">
        <v>0</v>
      </c>
      <c r="O86">
        <f t="shared" si="72"/>
        <v>15687.18</v>
      </c>
      <c r="P86">
        <f t="shared" si="73"/>
        <v>14692.92</v>
      </c>
      <c r="Q86">
        <f t="shared" si="74"/>
        <v>95.38</v>
      </c>
      <c r="R86">
        <f t="shared" si="75"/>
        <v>3.63</v>
      </c>
      <c r="S86">
        <f t="shared" si="76"/>
        <v>898.88</v>
      </c>
      <c r="T86">
        <f t="shared" si="77"/>
        <v>0</v>
      </c>
      <c r="U86">
        <f t="shared" si="78"/>
        <v>4.4463600000000003</v>
      </c>
      <c r="V86">
        <f t="shared" si="79"/>
        <v>0</v>
      </c>
      <c r="W86">
        <f t="shared" si="80"/>
        <v>0</v>
      </c>
      <c r="X86">
        <f t="shared" si="81"/>
        <v>629.22</v>
      </c>
      <c r="Y86">
        <f t="shared" si="82"/>
        <v>89.89</v>
      </c>
      <c r="AA86">
        <v>46561299</v>
      </c>
      <c r="AB86">
        <f t="shared" si="83"/>
        <v>726258.01</v>
      </c>
      <c r="AC86">
        <f t="shared" si="103"/>
        <v>680227.7</v>
      </c>
      <c r="AD86">
        <f t="shared" si="104"/>
        <v>4415.67</v>
      </c>
      <c r="AE86">
        <f t="shared" si="105"/>
        <v>168.01</v>
      </c>
      <c r="AF86">
        <f t="shared" si="106"/>
        <v>41614.639999999999</v>
      </c>
      <c r="AG86">
        <f t="shared" si="85"/>
        <v>0</v>
      </c>
      <c r="AH86">
        <f t="shared" si="107"/>
        <v>205.85</v>
      </c>
      <c r="AI86">
        <f t="shared" si="108"/>
        <v>0</v>
      </c>
      <c r="AJ86">
        <f t="shared" si="87"/>
        <v>0</v>
      </c>
      <c r="AK86">
        <v>726258.01</v>
      </c>
      <c r="AL86">
        <v>680227.7</v>
      </c>
      <c r="AM86">
        <v>4415.67</v>
      </c>
      <c r="AN86">
        <v>168.01</v>
      </c>
      <c r="AO86">
        <v>41614.639999999999</v>
      </c>
      <c r="AP86">
        <v>0</v>
      </c>
      <c r="AQ86">
        <v>205.85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0</v>
      </c>
      <c r="BI86">
        <v>4</v>
      </c>
      <c r="BJ86" t="s">
        <v>49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8"/>
        <v>15687.179999999998</v>
      </c>
      <c r="CQ86">
        <f t="shared" si="89"/>
        <v>680227.7</v>
      </c>
      <c r="CR86">
        <f t="shared" si="109"/>
        <v>4415.67</v>
      </c>
      <c r="CS86">
        <f t="shared" si="90"/>
        <v>168.01</v>
      </c>
      <c r="CT86">
        <f t="shared" si="91"/>
        <v>41614.639999999999</v>
      </c>
      <c r="CU86">
        <f t="shared" si="92"/>
        <v>0</v>
      </c>
      <c r="CV86">
        <f t="shared" si="93"/>
        <v>205.85</v>
      </c>
      <c r="CW86">
        <f t="shared" si="94"/>
        <v>0</v>
      </c>
      <c r="CX86">
        <f t="shared" si="95"/>
        <v>0</v>
      </c>
      <c r="CY86">
        <f t="shared" si="96"/>
        <v>629.21600000000001</v>
      </c>
      <c r="CZ86">
        <f t="shared" si="97"/>
        <v>89.887999999999991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1007</v>
      </c>
      <c r="DV86" t="s">
        <v>17</v>
      </c>
      <c r="DW86" t="s">
        <v>17</v>
      </c>
      <c r="DX86">
        <v>100</v>
      </c>
      <c r="EE86">
        <v>46035301</v>
      </c>
      <c r="EF86">
        <v>1</v>
      </c>
      <c r="EG86" t="s">
        <v>19</v>
      </c>
      <c r="EH86">
        <v>0</v>
      </c>
      <c r="EI86" t="s">
        <v>3</v>
      </c>
      <c r="EJ86">
        <v>4</v>
      </c>
      <c r="EK86">
        <v>0</v>
      </c>
      <c r="EL86" t="s">
        <v>20</v>
      </c>
      <c r="EM86" t="s">
        <v>21</v>
      </c>
      <c r="EO86" t="s">
        <v>3</v>
      </c>
      <c r="EQ86">
        <v>0</v>
      </c>
      <c r="ER86">
        <v>726258.01</v>
      </c>
      <c r="ES86">
        <v>680227.7</v>
      </c>
      <c r="ET86">
        <v>4415.67</v>
      </c>
      <c r="EU86">
        <v>168.01</v>
      </c>
      <c r="EV86">
        <v>41614.639999999999</v>
      </c>
      <c r="EW86">
        <v>205.85</v>
      </c>
      <c r="EX86">
        <v>0</v>
      </c>
      <c r="EY86">
        <v>0</v>
      </c>
      <c r="FQ86">
        <v>0</v>
      </c>
      <c r="FR86">
        <f t="shared" si="98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1233045882</v>
      </c>
      <c r="GG86">
        <v>2</v>
      </c>
      <c r="GH86">
        <v>1</v>
      </c>
      <c r="GI86">
        <v>-2</v>
      </c>
      <c r="GJ86">
        <v>0</v>
      </c>
      <c r="GK86">
        <f>ROUND(R86*(R12)/100,2)</f>
        <v>3.92</v>
      </c>
      <c r="GL86">
        <f t="shared" si="99"/>
        <v>0</v>
      </c>
      <c r="GM86">
        <f t="shared" si="110"/>
        <v>16410.21</v>
      </c>
      <c r="GN86">
        <f t="shared" si="111"/>
        <v>0</v>
      </c>
      <c r="GO86">
        <f t="shared" si="112"/>
        <v>0</v>
      </c>
      <c r="GP86">
        <f t="shared" si="113"/>
        <v>16410.21</v>
      </c>
      <c r="GR86">
        <v>0</v>
      </c>
      <c r="GS86">
        <v>3</v>
      </c>
      <c r="GT86">
        <v>0</v>
      </c>
      <c r="GU86" t="s">
        <v>3</v>
      </c>
      <c r="GV86">
        <f t="shared" si="100"/>
        <v>0</v>
      </c>
      <c r="GW86">
        <v>1</v>
      </c>
      <c r="GX86">
        <f t="shared" si="101"/>
        <v>0</v>
      </c>
      <c r="HA86">
        <v>0</v>
      </c>
      <c r="HB86">
        <v>0</v>
      </c>
      <c r="HC86">
        <f t="shared" si="102"/>
        <v>0</v>
      </c>
      <c r="IK86">
        <v>0</v>
      </c>
    </row>
    <row r="87" spans="1:245" x14ac:dyDescent="0.2">
      <c r="A87">
        <v>18</v>
      </c>
      <c r="B87">
        <v>1</v>
      </c>
      <c r="C87">
        <v>75</v>
      </c>
      <c r="E87" t="s">
        <v>156</v>
      </c>
      <c r="F87" t="s">
        <v>51</v>
      </c>
      <c r="G87" t="s">
        <v>52</v>
      </c>
      <c r="H87" t="s">
        <v>29</v>
      </c>
      <c r="I87">
        <f>I86*J87</f>
        <v>2.1924000000000001</v>
      </c>
      <c r="J87">
        <v>101.5</v>
      </c>
      <c r="O87">
        <f t="shared" si="72"/>
        <v>8516.8799999999992</v>
      </c>
      <c r="P87">
        <f t="shared" si="73"/>
        <v>8516.8799999999992</v>
      </c>
      <c r="Q87">
        <f t="shared" si="74"/>
        <v>0</v>
      </c>
      <c r="R87">
        <f t="shared" si="75"/>
        <v>0</v>
      </c>
      <c r="S87">
        <f t="shared" si="76"/>
        <v>0</v>
      </c>
      <c r="T87">
        <f t="shared" si="77"/>
        <v>0</v>
      </c>
      <c r="U87">
        <f t="shared" si="78"/>
        <v>0</v>
      </c>
      <c r="V87">
        <f t="shared" si="79"/>
        <v>0</v>
      </c>
      <c r="W87">
        <f t="shared" si="80"/>
        <v>0</v>
      </c>
      <c r="X87">
        <f t="shared" si="81"/>
        <v>0</v>
      </c>
      <c r="Y87">
        <f t="shared" si="82"/>
        <v>0</v>
      </c>
      <c r="AA87">
        <v>46561299</v>
      </c>
      <c r="AB87">
        <f t="shared" si="83"/>
        <v>3884.73</v>
      </c>
      <c r="AC87">
        <f t="shared" si="103"/>
        <v>3884.73</v>
      </c>
      <c r="AD87">
        <f t="shared" si="104"/>
        <v>0</v>
      </c>
      <c r="AE87">
        <f t="shared" si="105"/>
        <v>0</v>
      </c>
      <c r="AF87">
        <f t="shared" si="106"/>
        <v>0</v>
      </c>
      <c r="AG87">
        <f t="shared" si="85"/>
        <v>0</v>
      </c>
      <c r="AH87">
        <f t="shared" si="107"/>
        <v>0</v>
      </c>
      <c r="AI87">
        <f t="shared" si="108"/>
        <v>0</v>
      </c>
      <c r="AJ87">
        <f t="shared" si="87"/>
        <v>0</v>
      </c>
      <c r="AK87">
        <v>3884.73</v>
      </c>
      <c r="AL87">
        <v>3884.73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3</v>
      </c>
      <c r="BI87">
        <v>4</v>
      </c>
      <c r="BJ87" t="s">
        <v>53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88"/>
        <v>8516.8799999999992</v>
      </c>
      <c r="CQ87">
        <f t="shared" si="89"/>
        <v>3884.73</v>
      </c>
      <c r="CR87">
        <f t="shared" si="109"/>
        <v>0</v>
      </c>
      <c r="CS87">
        <f t="shared" si="90"/>
        <v>0</v>
      </c>
      <c r="CT87">
        <f t="shared" si="91"/>
        <v>0</v>
      </c>
      <c r="CU87">
        <f t="shared" si="92"/>
        <v>0</v>
      </c>
      <c r="CV87">
        <f t="shared" si="93"/>
        <v>0</v>
      </c>
      <c r="CW87">
        <f t="shared" si="94"/>
        <v>0</v>
      </c>
      <c r="CX87">
        <f t="shared" si="95"/>
        <v>0</v>
      </c>
      <c r="CY87">
        <f t="shared" si="96"/>
        <v>0</v>
      </c>
      <c r="CZ87">
        <f t="shared" si="97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1007</v>
      </c>
      <c r="DV87" t="s">
        <v>29</v>
      </c>
      <c r="DW87" t="s">
        <v>29</v>
      </c>
      <c r="DX87">
        <v>1</v>
      </c>
      <c r="EE87">
        <v>46035301</v>
      </c>
      <c r="EF87">
        <v>1</v>
      </c>
      <c r="EG87" t="s">
        <v>19</v>
      </c>
      <c r="EH87">
        <v>0</v>
      </c>
      <c r="EI87" t="s">
        <v>3</v>
      </c>
      <c r="EJ87">
        <v>4</v>
      </c>
      <c r="EK87">
        <v>0</v>
      </c>
      <c r="EL87" t="s">
        <v>20</v>
      </c>
      <c r="EM87" t="s">
        <v>21</v>
      </c>
      <c r="EO87" t="s">
        <v>3</v>
      </c>
      <c r="EQ87">
        <v>0</v>
      </c>
      <c r="ER87">
        <v>3884.73</v>
      </c>
      <c r="ES87">
        <v>3884.73</v>
      </c>
      <c r="ET87">
        <v>0</v>
      </c>
      <c r="EU87">
        <v>0</v>
      </c>
      <c r="EV87">
        <v>0</v>
      </c>
      <c r="EW87">
        <v>0</v>
      </c>
      <c r="EX87">
        <v>0</v>
      </c>
      <c r="FQ87">
        <v>0</v>
      </c>
      <c r="FR87">
        <f t="shared" si="98"/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-793492541</v>
      </c>
      <c r="GG87">
        <v>2</v>
      </c>
      <c r="GH87">
        <v>1</v>
      </c>
      <c r="GI87">
        <v>-2</v>
      </c>
      <c r="GJ87">
        <v>0</v>
      </c>
      <c r="GK87">
        <f>ROUND(R87*(R12)/100,2)</f>
        <v>0</v>
      </c>
      <c r="GL87">
        <f t="shared" si="99"/>
        <v>0</v>
      </c>
      <c r="GM87">
        <f t="shared" si="110"/>
        <v>8516.8799999999992</v>
      </c>
      <c r="GN87">
        <f t="shared" si="111"/>
        <v>0</v>
      </c>
      <c r="GO87">
        <f t="shared" si="112"/>
        <v>0</v>
      </c>
      <c r="GP87">
        <f t="shared" si="113"/>
        <v>8516.8799999999992</v>
      </c>
      <c r="GR87">
        <v>0</v>
      </c>
      <c r="GS87">
        <v>3</v>
      </c>
      <c r="GT87">
        <v>0</v>
      </c>
      <c r="GU87" t="s">
        <v>3</v>
      </c>
      <c r="GV87">
        <f t="shared" si="100"/>
        <v>0</v>
      </c>
      <c r="GW87">
        <v>1</v>
      </c>
      <c r="GX87">
        <f t="shared" si="101"/>
        <v>0</v>
      </c>
      <c r="HA87">
        <v>0</v>
      </c>
      <c r="HB87">
        <v>0</v>
      </c>
      <c r="HC87">
        <f t="shared" si="102"/>
        <v>0</v>
      </c>
      <c r="IK87">
        <v>0</v>
      </c>
    </row>
    <row r="88" spans="1:245" x14ac:dyDescent="0.2">
      <c r="A88">
        <v>18</v>
      </c>
      <c r="B88">
        <v>1</v>
      </c>
      <c r="C88">
        <v>74</v>
      </c>
      <c r="E88" t="s">
        <v>157</v>
      </c>
      <c r="F88" t="s">
        <v>55</v>
      </c>
      <c r="G88" t="s">
        <v>56</v>
      </c>
      <c r="H88" t="s">
        <v>29</v>
      </c>
      <c r="I88">
        <f>I86*J88</f>
        <v>-2.1924000000000001</v>
      </c>
      <c r="J88">
        <v>-101.5</v>
      </c>
      <c r="O88">
        <f t="shared" si="72"/>
        <v>-8144.17</v>
      </c>
      <c r="P88">
        <f t="shared" si="73"/>
        <v>-8144.17</v>
      </c>
      <c r="Q88">
        <f t="shared" si="74"/>
        <v>0</v>
      </c>
      <c r="R88">
        <f t="shared" si="75"/>
        <v>0</v>
      </c>
      <c r="S88">
        <f t="shared" si="76"/>
        <v>0</v>
      </c>
      <c r="T88">
        <f t="shared" si="77"/>
        <v>0</v>
      </c>
      <c r="U88">
        <f t="shared" si="78"/>
        <v>0</v>
      </c>
      <c r="V88">
        <f t="shared" si="79"/>
        <v>0</v>
      </c>
      <c r="W88">
        <f t="shared" si="80"/>
        <v>0</v>
      </c>
      <c r="X88">
        <f t="shared" si="81"/>
        <v>0</v>
      </c>
      <c r="Y88">
        <f t="shared" si="82"/>
        <v>0</v>
      </c>
      <c r="AA88">
        <v>46561299</v>
      </c>
      <c r="AB88">
        <f t="shared" si="83"/>
        <v>3714.73</v>
      </c>
      <c r="AC88">
        <f t="shared" si="103"/>
        <v>3714.73</v>
      </c>
      <c r="AD88">
        <f t="shared" si="104"/>
        <v>0</v>
      </c>
      <c r="AE88">
        <f t="shared" si="105"/>
        <v>0</v>
      </c>
      <c r="AF88">
        <f t="shared" si="106"/>
        <v>0</v>
      </c>
      <c r="AG88">
        <f t="shared" si="85"/>
        <v>0</v>
      </c>
      <c r="AH88">
        <f t="shared" si="107"/>
        <v>0</v>
      </c>
      <c r="AI88">
        <f t="shared" si="108"/>
        <v>0</v>
      </c>
      <c r="AJ88">
        <f t="shared" si="87"/>
        <v>0</v>
      </c>
      <c r="AK88">
        <v>3714.73</v>
      </c>
      <c r="AL88">
        <v>3714.73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70</v>
      </c>
      <c r="AU88">
        <v>10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3</v>
      </c>
      <c r="BI88">
        <v>4</v>
      </c>
      <c r="BJ88" t="s">
        <v>57</v>
      </c>
      <c r="BM88">
        <v>0</v>
      </c>
      <c r="BN88">
        <v>0</v>
      </c>
      <c r="BO88" t="s">
        <v>3</v>
      </c>
      <c r="BP88">
        <v>0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70</v>
      </c>
      <c r="CA88">
        <v>10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8"/>
        <v>-8144.17</v>
      </c>
      <c r="CQ88">
        <f t="shared" si="89"/>
        <v>3714.73</v>
      </c>
      <c r="CR88">
        <f t="shared" si="109"/>
        <v>0</v>
      </c>
      <c r="CS88">
        <f t="shared" si="90"/>
        <v>0</v>
      </c>
      <c r="CT88">
        <f t="shared" si="91"/>
        <v>0</v>
      </c>
      <c r="CU88">
        <f t="shared" si="92"/>
        <v>0</v>
      </c>
      <c r="CV88">
        <f t="shared" si="93"/>
        <v>0</v>
      </c>
      <c r="CW88">
        <f t="shared" si="94"/>
        <v>0</v>
      </c>
      <c r="CX88">
        <f t="shared" si="95"/>
        <v>0</v>
      </c>
      <c r="CY88">
        <f t="shared" si="96"/>
        <v>0</v>
      </c>
      <c r="CZ88">
        <f t="shared" si="97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1007</v>
      </c>
      <c r="DV88" t="s">
        <v>29</v>
      </c>
      <c r="DW88" t="s">
        <v>29</v>
      </c>
      <c r="DX88">
        <v>1</v>
      </c>
      <c r="EE88">
        <v>46035301</v>
      </c>
      <c r="EF88">
        <v>1</v>
      </c>
      <c r="EG88" t="s">
        <v>19</v>
      </c>
      <c r="EH88">
        <v>0</v>
      </c>
      <c r="EI88" t="s">
        <v>3</v>
      </c>
      <c r="EJ88">
        <v>4</v>
      </c>
      <c r="EK88">
        <v>0</v>
      </c>
      <c r="EL88" t="s">
        <v>20</v>
      </c>
      <c r="EM88" t="s">
        <v>21</v>
      </c>
      <c r="EO88" t="s">
        <v>3</v>
      </c>
      <c r="EQ88">
        <v>32768</v>
      </c>
      <c r="ER88">
        <v>3714.73</v>
      </c>
      <c r="ES88">
        <v>3714.73</v>
      </c>
      <c r="ET88">
        <v>0</v>
      </c>
      <c r="EU88">
        <v>0</v>
      </c>
      <c r="EV88">
        <v>0</v>
      </c>
      <c r="EW88">
        <v>0</v>
      </c>
      <c r="EX88">
        <v>0</v>
      </c>
      <c r="FQ88">
        <v>0</v>
      </c>
      <c r="FR88">
        <f t="shared" si="98"/>
        <v>0</v>
      </c>
      <c r="FS88">
        <v>0</v>
      </c>
      <c r="FX88">
        <v>70</v>
      </c>
      <c r="FY88">
        <v>10</v>
      </c>
      <c r="GA88" t="s">
        <v>3</v>
      </c>
      <c r="GD88">
        <v>0</v>
      </c>
      <c r="GF88">
        <v>426331755</v>
      </c>
      <c r="GG88">
        <v>2</v>
      </c>
      <c r="GH88">
        <v>1</v>
      </c>
      <c r="GI88">
        <v>-2</v>
      </c>
      <c r="GJ88">
        <v>0</v>
      </c>
      <c r="GK88">
        <f>ROUND(R88*(R12)/100,2)</f>
        <v>0</v>
      </c>
      <c r="GL88">
        <f t="shared" si="99"/>
        <v>0</v>
      </c>
      <c r="GM88">
        <f t="shared" si="110"/>
        <v>-8144.17</v>
      </c>
      <c r="GN88">
        <f t="shared" si="111"/>
        <v>0</v>
      </c>
      <c r="GO88">
        <f t="shared" si="112"/>
        <v>0</v>
      </c>
      <c r="GP88">
        <f t="shared" si="113"/>
        <v>-8144.17</v>
      </c>
      <c r="GR88">
        <v>0</v>
      </c>
      <c r="GS88">
        <v>3</v>
      </c>
      <c r="GT88">
        <v>0</v>
      </c>
      <c r="GU88" t="s">
        <v>3</v>
      </c>
      <c r="GV88">
        <f t="shared" si="100"/>
        <v>0</v>
      </c>
      <c r="GW88">
        <v>1</v>
      </c>
      <c r="GX88">
        <f t="shared" si="101"/>
        <v>0</v>
      </c>
      <c r="HA88">
        <v>0</v>
      </c>
      <c r="HB88">
        <v>0</v>
      </c>
      <c r="HC88">
        <f t="shared" si="102"/>
        <v>0</v>
      </c>
      <c r="IK88">
        <v>0</v>
      </c>
    </row>
    <row r="89" spans="1:245" x14ac:dyDescent="0.2">
      <c r="A89">
        <v>17</v>
      </c>
      <c r="B89">
        <v>1</v>
      </c>
      <c r="C89">
        <f>ROW(SmtRes!A90)</f>
        <v>90</v>
      </c>
      <c r="D89">
        <f>ROW(EtalonRes!A78)</f>
        <v>78</v>
      </c>
      <c r="E89" t="s">
        <v>158</v>
      </c>
      <c r="F89" t="s">
        <v>59</v>
      </c>
      <c r="G89" t="s">
        <v>60</v>
      </c>
      <c r="H89" t="s">
        <v>40</v>
      </c>
      <c r="I89">
        <v>115.8</v>
      </c>
      <c r="J89">
        <v>0</v>
      </c>
      <c r="O89">
        <f t="shared" si="72"/>
        <v>804432.5</v>
      </c>
      <c r="P89">
        <f t="shared" si="73"/>
        <v>658597.44999999995</v>
      </c>
      <c r="Q89">
        <f t="shared" si="74"/>
        <v>53762.47</v>
      </c>
      <c r="R89">
        <f t="shared" si="75"/>
        <v>34274.480000000003</v>
      </c>
      <c r="S89">
        <f t="shared" si="76"/>
        <v>92072.58</v>
      </c>
      <c r="T89">
        <f t="shared" si="77"/>
        <v>0</v>
      </c>
      <c r="U89">
        <f t="shared" si="78"/>
        <v>343.92599999999999</v>
      </c>
      <c r="V89">
        <f t="shared" si="79"/>
        <v>0</v>
      </c>
      <c r="W89">
        <f t="shared" si="80"/>
        <v>0</v>
      </c>
      <c r="X89">
        <f t="shared" si="81"/>
        <v>64450.81</v>
      </c>
      <c r="Y89">
        <f t="shared" si="82"/>
        <v>9207.26</v>
      </c>
      <c r="AA89">
        <v>46561299</v>
      </c>
      <c r="AB89">
        <f t="shared" si="83"/>
        <v>6946.74</v>
      </c>
      <c r="AC89">
        <f t="shared" si="103"/>
        <v>5687.37</v>
      </c>
      <c r="AD89">
        <f t="shared" si="104"/>
        <v>464.27</v>
      </c>
      <c r="AE89">
        <f t="shared" si="105"/>
        <v>295.98</v>
      </c>
      <c r="AF89">
        <f t="shared" si="106"/>
        <v>795.1</v>
      </c>
      <c r="AG89">
        <f t="shared" si="85"/>
        <v>0</v>
      </c>
      <c r="AH89">
        <f t="shared" si="107"/>
        <v>2.97</v>
      </c>
      <c r="AI89">
        <f t="shared" si="108"/>
        <v>0</v>
      </c>
      <c r="AJ89">
        <f t="shared" si="87"/>
        <v>0</v>
      </c>
      <c r="AK89">
        <v>6946.74</v>
      </c>
      <c r="AL89">
        <v>5687.37</v>
      </c>
      <c r="AM89">
        <v>464.27</v>
      </c>
      <c r="AN89">
        <v>295.98</v>
      </c>
      <c r="AO89">
        <v>795.1</v>
      </c>
      <c r="AP89">
        <v>0</v>
      </c>
      <c r="AQ89">
        <v>2.97</v>
      </c>
      <c r="AR89">
        <v>0</v>
      </c>
      <c r="AS89">
        <v>0</v>
      </c>
      <c r="AT89">
        <v>70</v>
      </c>
      <c r="AU89">
        <v>10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0</v>
      </c>
      <c r="BI89">
        <v>4</v>
      </c>
      <c r="BJ89" t="s">
        <v>61</v>
      </c>
      <c r="BM89">
        <v>0</v>
      </c>
      <c r="BN89">
        <v>0</v>
      </c>
      <c r="BO89" t="s">
        <v>3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70</v>
      </c>
      <c r="CA89">
        <v>10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 t="shared" si="88"/>
        <v>804432.49999999988</v>
      </c>
      <c r="CQ89">
        <f t="shared" si="89"/>
        <v>5687.37</v>
      </c>
      <c r="CR89">
        <f t="shared" si="109"/>
        <v>464.27</v>
      </c>
      <c r="CS89">
        <f t="shared" si="90"/>
        <v>295.98</v>
      </c>
      <c r="CT89">
        <f t="shared" si="91"/>
        <v>795.1</v>
      </c>
      <c r="CU89">
        <f t="shared" si="92"/>
        <v>0</v>
      </c>
      <c r="CV89">
        <f t="shared" si="93"/>
        <v>2.97</v>
      </c>
      <c r="CW89">
        <f t="shared" si="94"/>
        <v>0</v>
      </c>
      <c r="CX89">
        <f t="shared" si="95"/>
        <v>0</v>
      </c>
      <c r="CY89">
        <f t="shared" si="96"/>
        <v>64450.806000000004</v>
      </c>
      <c r="CZ89">
        <f t="shared" si="97"/>
        <v>9207.2579999999998</v>
      </c>
      <c r="DC89" t="s">
        <v>3</v>
      </c>
      <c r="DD89" t="s">
        <v>3</v>
      </c>
      <c r="DE89" t="s">
        <v>3</v>
      </c>
      <c r="DF89" t="s">
        <v>3</v>
      </c>
      <c r="DG89" t="s">
        <v>3</v>
      </c>
      <c r="DH89" t="s">
        <v>3</v>
      </c>
      <c r="DI89" t="s">
        <v>3</v>
      </c>
      <c r="DJ89" t="s">
        <v>3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1005</v>
      </c>
      <c r="DV89" t="s">
        <v>40</v>
      </c>
      <c r="DW89" t="s">
        <v>40</v>
      </c>
      <c r="DX89">
        <v>1</v>
      </c>
      <c r="EE89">
        <v>46035301</v>
      </c>
      <c r="EF89">
        <v>1</v>
      </c>
      <c r="EG89" t="s">
        <v>19</v>
      </c>
      <c r="EH89">
        <v>0</v>
      </c>
      <c r="EI89" t="s">
        <v>3</v>
      </c>
      <c r="EJ89">
        <v>4</v>
      </c>
      <c r="EK89">
        <v>0</v>
      </c>
      <c r="EL89" t="s">
        <v>20</v>
      </c>
      <c r="EM89" t="s">
        <v>21</v>
      </c>
      <c r="EO89" t="s">
        <v>3</v>
      </c>
      <c r="EQ89">
        <v>0</v>
      </c>
      <c r="ER89">
        <v>6946.74</v>
      </c>
      <c r="ES89">
        <v>5687.37</v>
      </c>
      <c r="ET89">
        <v>464.27</v>
      </c>
      <c r="EU89">
        <v>295.98</v>
      </c>
      <c r="EV89">
        <v>795.1</v>
      </c>
      <c r="EW89">
        <v>2.97</v>
      </c>
      <c r="EX89">
        <v>0</v>
      </c>
      <c r="EY89">
        <v>0</v>
      </c>
      <c r="FQ89">
        <v>0</v>
      </c>
      <c r="FR89">
        <f t="shared" si="98"/>
        <v>0</v>
      </c>
      <c r="FS89">
        <v>0</v>
      </c>
      <c r="FX89">
        <v>70</v>
      </c>
      <c r="FY89">
        <v>10</v>
      </c>
      <c r="GA89" t="s">
        <v>3</v>
      </c>
      <c r="GD89">
        <v>0</v>
      </c>
      <c r="GF89">
        <v>1549732714</v>
      </c>
      <c r="GG89">
        <v>2</v>
      </c>
      <c r="GH89">
        <v>1</v>
      </c>
      <c r="GI89">
        <v>-2</v>
      </c>
      <c r="GJ89">
        <v>0</v>
      </c>
      <c r="GK89">
        <f>ROUND(R89*(R12)/100,2)</f>
        <v>37016.44</v>
      </c>
      <c r="GL89">
        <f t="shared" si="99"/>
        <v>0</v>
      </c>
      <c r="GM89">
        <f t="shared" si="110"/>
        <v>915107.01</v>
      </c>
      <c r="GN89">
        <f t="shared" si="111"/>
        <v>0</v>
      </c>
      <c r="GO89">
        <f t="shared" si="112"/>
        <v>0</v>
      </c>
      <c r="GP89">
        <f t="shared" si="113"/>
        <v>915107.01</v>
      </c>
      <c r="GR89">
        <v>0</v>
      </c>
      <c r="GS89">
        <v>3</v>
      </c>
      <c r="GT89">
        <v>0</v>
      </c>
      <c r="GU89" t="s">
        <v>3</v>
      </c>
      <c r="GV89">
        <f t="shared" si="100"/>
        <v>0</v>
      </c>
      <c r="GW89">
        <v>1</v>
      </c>
      <c r="GX89">
        <f t="shared" si="101"/>
        <v>0</v>
      </c>
      <c r="HA89">
        <v>0</v>
      </c>
      <c r="HB89">
        <v>0</v>
      </c>
      <c r="HC89">
        <f t="shared" si="102"/>
        <v>0</v>
      </c>
      <c r="IK89">
        <v>0</v>
      </c>
    </row>
    <row r="90" spans="1:245" x14ac:dyDescent="0.2">
      <c r="A90">
        <v>18</v>
      </c>
      <c r="B90">
        <v>1</v>
      </c>
      <c r="C90">
        <v>86</v>
      </c>
      <c r="E90" t="s">
        <v>159</v>
      </c>
      <c r="F90" t="s">
        <v>63</v>
      </c>
      <c r="G90" t="s">
        <v>160</v>
      </c>
      <c r="H90" t="s">
        <v>65</v>
      </c>
      <c r="I90">
        <f>I89*J90</f>
        <v>0.67176000000000002</v>
      </c>
      <c r="J90">
        <v>5.8010362694300519E-3</v>
      </c>
      <c r="O90">
        <f t="shared" si="72"/>
        <v>25076.32</v>
      </c>
      <c r="P90">
        <f t="shared" si="73"/>
        <v>25076.32</v>
      </c>
      <c r="Q90">
        <f t="shared" si="74"/>
        <v>0</v>
      </c>
      <c r="R90">
        <f t="shared" si="75"/>
        <v>0</v>
      </c>
      <c r="S90">
        <f t="shared" si="76"/>
        <v>0</v>
      </c>
      <c r="T90">
        <f t="shared" si="77"/>
        <v>0</v>
      </c>
      <c r="U90">
        <f t="shared" si="78"/>
        <v>0</v>
      </c>
      <c r="V90">
        <f t="shared" si="79"/>
        <v>0</v>
      </c>
      <c r="W90">
        <f t="shared" si="80"/>
        <v>0</v>
      </c>
      <c r="X90">
        <f t="shared" si="81"/>
        <v>0</v>
      </c>
      <c r="Y90">
        <f t="shared" si="82"/>
        <v>0</v>
      </c>
      <c r="AA90">
        <v>46561299</v>
      </c>
      <c r="AB90">
        <f t="shared" si="83"/>
        <v>37329.29</v>
      </c>
      <c r="AC90">
        <f t="shared" si="103"/>
        <v>37329.29</v>
      </c>
      <c r="AD90">
        <f t="shared" si="104"/>
        <v>0</v>
      </c>
      <c r="AE90">
        <f t="shared" si="105"/>
        <v>0</v>
      </c>
      <c r="AF90">
        <f t="shared" si="106"/>
        <v>0</v>
      </c>
      <c r="AG90">
        <f t="shared" si="85"/>
        <v>0</v>
      </c>
      <c r="AH90">
        <f t="shared" si="107"/>
        <v>0</v>
      </c>
      <c r="AI90">
        <f t="shared" si="108"/>
        <v>0</v>
      </c>
      <c r="AJ90">
        <f t="shared" si="87"/>
        <v>0</v>
      </c>
      <c r="AK90">
        <v>37329.29</v>
      </c>
      <c r="AL90">
        <v>37329.29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70</v>
      </c>
      <c r="AU90">
        <v>10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3</v>
      </c>
      <c r="BI90">
        <v>4</v>
      </c>
      <c r="BJ90" t="s">
        <v>66</v>
      </c>
      <c r="BM90">
        <v>0</v>
      </c>
      <c r="BN90">
        <v>0</v>
      </c>
      <c r="BO90" t="s">
        <v>3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70</v>
      </c>
      <c r="CA90">
        <v>10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 t="shared" si="88"/>
        <v>25076.32</v>
      </c>
      <c r="CQ90">
        <f t="shared" si="89"/>
        <v>37329.29</v>
      </c>
      <c r="CR90">
        <f t="shared" si="109"/>
        <v>0</v>
      </c>
      <c r="CS90">
        <f t="shared" si="90"/>
        <v>0</v>
      </c>
      <c r="CT90">
        <f t="shared" si="91"/>
        <v>0</v>
      </c>
      <c r="CU90">
        <f t="shared" si="92"/>
        <v>0</v>
      </c>
      <c r="CV90">
        <f t="shared" si="93"/>
        <v>0</v>
      </c>
      <c r="CW90">
        <f t="shared" si="94"/>
        <v>0</v>
      </c>
      <c r="CX90">
        <f t="shared" si="95"/>
        <v>0</v>
      </c>
      <c r="CY90">
        <f t="shared" si="96"/>
        <v>0</v>
      </c>
      <c r="CZ90">
        <f t="shared" si="97"/>
        <v>0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1009</v>
      </c>
      <c r="DV90" t="s">
        <v>65</v>
      </c>
      <c r="DW90" t="s">
        <v>65</v>
      </c>
      <c r="DX90">
        <v>1000</v>
      </c>
      <c r="EE90">
        <v>46035301</v>
      </c>
      <c r="EF90">
        <v>1</v>
      </c>
      <c r="EG90" t="s">
        <v>19</v>
      </c>
      <c r="EH90">
        <v>0</v>
      </c>
      <c r="EI90" t="s">
        <v>3</v>
      </c>
      <c r="EJ90">
        <v>4</v>
      </c>
      <c r="EK90">
        <v>0</v>
      </c>
      <c r="EL90" t="s">
        <v>20</v>
      </c>
      <c r="EM90" t="s">
        <v>21</v>
      </c>
      <c r="EO90" t="s">
        <v>3</v>
      </c>
      <c r="EQ90">
        <v>0</v>
      </c>
      <c r="ER90">
        <v>37329.29</v>
      </c>
      <c r="ES90">
        <v>37329.29</v>
      </c>
      <c r="ET90">
        <v>0</v>
      </c>
      <c r="EU90">
        <v>0</v>
      </c>
      <c r="EV90">
        <v>0</v>
      </c>
      <c r="EW90">
        <v>0</v>
      </c>
      <c r="EX90">
        <v>0</v>
      </c>
      <c r="FQ90">
        <v>0</v>
      </c>
      <c r="FR90">
        <f t="shared" si="98"/>
        <v>0</v>
      </c>
      <c r="FS90">
        <v>0</v>
      </c>
      <c r="FX90">
        <v>70</v>
      </c>
      <c r="FY90">
        <v>10</v>
      </c>
      <c r="GA90" t="s">
        <v>3</v>
      </c>
      <c r="GD90">
        <v>0</v>
      </c>
      <c r="GF90">
        <v>-2136427542</v>
      </c>
      <c r="GG90">
        <v>2</v>
      </c>
      <c r="GH90">
        <v>1</v>
      </c>
      <c r="GI90">
        <v>-2</v>
      </c>
      <c r="GJ90">
        <v>0</v>
      </c>
      <c r="GK90">
        <f>ROUND(R90*(R12)/100,2)</f>
        <v>0</v>
      </c>
      <c r="GL90">
        <f t="shared" si="99"/>
        <v>0</v>
      </c>
      <c r="GM90">
        <f t="shared" si="110"/>
        <v>25076.32</v>
      </c>
      <c r="GN90">
        <f t="shared" si="111"/>
        <v>0</v>
      </c>
      <c r="GO90">
        <f t="shared" si="112"/>
        <v>0</v>
      </c>
      <c r="GP90">
        <f t="shared" si="113"/>
        <v>25076.32</v>
      </c>
      <c r="GR90">
        <v>0</v>
      </c>
      <c r="GS90">
        <v>3</v>
      </c>
      <c r="GT90">
        <v>0</v>
      </c>
      <c r="GU90" t="s">
        <v>3</v>
      </c>
      <c r="GV90">
        <f t="shared" si="100"/>
        <v>0</v>
      </c>
      <c r="GW90">
        <v>1</v>
      </c>
      <c r="GX90">
        <f t="shared" si="101"/>
        <v>0</v>
      </c>
      <c r="HA90">
        <v>0</v>
      </c>
      <c r="HB90">
        <v>0</v>
      </c>
      <c r="HC90">
        <f t="shared" si="102"/>
        <v>0</v>
      </c>
      <c r="IK90">
        <v>0</v>
      </c>
    </row>
    <row r="91" spans="1:245" x14ac:dyDescent="0.2">
      <c r="A91">
        <v>18</v>
      </c>
      <c r="B91">
        <v>1</v>
      </c>
      <c r="C91">
        <v>82</v>
      </c>
      <c r="E91" t="s">
        <v>161</v>
      </c>
      <c r="F91" t="s">
        <v>68</v>
      </c>
      <c r="G91" t="s">
        <v>162</v>
      </c>
      <c r="H91" t="s">
        <v>65</v>
      </c>
      <c r="I91">
        <f>I89*J91</f>
        <v>0.85397999999999996</v>
      </c>
      <c r="J91">
        <v>7.3746113989637306E-3</v>
      </c>
      <c r="O91">
        <f t="shared" si="72"/>
        <v>28027.52</v>
      </c>
      <c r="P91">
        <f t="shared" si="73"/>
        <v>28027.52</v>
      </c>
      <c r="Q91">
        <f t="shared" si="74"/>
        <v>0</v>
      </c>
      <c r="R91">
        <f t="shared" si="75"/>
        <v>0</v>
      </c>
      <c r="S91">
        <f t="shared" si="76"/>
        <v>0</v>
      </c>
      <c r="T91">
        <f t="shared" si="77"/>
        <v>0</v>
      </c>
      <c r="U91">
        <f t="shared" si="78"/>
        <v>0</v>
      </c>
      <c r="V91">
        <f t="shared" si="79"/>
        <v>0</v>
      </c>
      <c r="W91">
        <f t="shared" si="80"/>
        <v>0</v>
      </c>
      <c r="X91">
        <f t="shared" si="81"/>
        <v>0</v>
      </c>
      <c r="Y91">
        <f t="shared" si="82"/>
        <v>0</v>
      </c>
      <c r="AA91">
        <v>46561299</v>
      </c>
      <c r="AB91">
        <f t="shared" si="83"/>
        <v>32819.879999999997</v>
      </c>
      <c r="AC91">
        <f t="shared" si="103"/>
        <v>32819.879999999997</v>
      </c>
      <c r="AD91">
        <f t="shared" si="104"/>
        <v>0</v>
      </c>
      <c r="AE91">
        <f t="shared" si="105"/>
        <v>0</v>
      </c>
      <c r="AF91">
        <f t="shared" si="106"/>
        <v>0</v>
      </c>
      <c r="AG91">
        <f t="shared" si="85"/>
        <v>0</v>
      </c>
      <c r="AH91">
        <f t="shared" si="107"/>
        <v>0</v>
      </c>
      <c r="AI91">
        <f t="shared" si="108"/>
        <v>0</v>
      </c>
      <c r="AJ91">
        <f t="shared" si="87"/>
        <v>0</v>
      </c>
      <c r="AK91">
        <v>32819.879999999997</v>
      </c>
      <c r="AL91">
        <v>32819.879999999997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70</v>
      </c>
      <c r="AU91">
        <v>10</v>
      </c>
      <c r="AV91">
        <v>1</v>
      </c>
      <c r="AW91">
        <v>1</v>
      </c>
      <c r="AZ91">
        <v>1</v>
      </c>
      <c r="BA91">
        <v>1</v>
      </c>
      <c r="BB91">
        <v>1</v>
      </c>
      <c r="BC91">
        <v>1</v>
      </c>
      <c r="BD91" t="s">
        <v>3</v>
      </c>
      <c r="BE91" t="s">
        <v>3</v>
      </c>
      <c r="BF91" t="s">
        <v>3</v>
      </c>
      <c r="BG91" t="s">
        <v>3</v>
      </c>
      <c r="BH91">
        <v>3</v>
      </c>
      <c r="BI91">
        <v>4</v>
      </c>
      <c r="BJ91" t="s">
        <v>70</v>
      </c>
      <c r="BM91">
        <v>0</v>
      </c>
      <c r="BN91">
        <v>0</v>
      </c>
      <c r="BO91" t="s">
        <v>3</v>
      </c>
      <c r="BP91">
        <v>0</v>
      </c>
      <c r="BQ91">
        <v>1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3</v>
      </c>
      <c r="BZ91">
        <v>70</v>
      </c>
      <c r="CA91">
        <v>10</v>
      </c>
      <c r="CE91">
        <v>0</v>
      </c>
      <c r="CF91">
        <v>0</v>
      </c>
      <c r="CG91">
        <v>0</v>
      </c>
      <c r="CM91">
        <v>0</v>
      </c>
      <c r="CN91" t="s">
        <v>3</v>
      </c>
      <c r="CO91">
        <v>0</v>
      </c>
      <c r="CP91">
        <f t="shared" si="88"/>
        <v>28027.52</v>
      </c>
      <c r="CQ91">
        <f t="shared" si="89"/>
        <v>32819.879999999997</v>
      </c>
      <c r="CR91">
        <f t="shared" si="109"/>
        <v>0</v>
      </c>
      <c r="CS91">
        <f t="shared" si="90"/>
        <v>0</v>
      </c>
      <c r="CT91">
        <f t="shared" si="91"/>
        <v>0</v>
      </c>
      <c r="CU91">
        <f t="shared" si="92"/>
        <v>0</v>
      </c>
      <c r="CV91">
        <f t="shared" si="93"/>
        <v>0</v>
      </c>
      <c r="CW91">
        <f t="shared" si="94"/>
        <v>0</v>
      </c>
      <c r="CX91">
        <f t="shared" si="95"/>
        <v>0</v>
      </c>
      <c r="CY91">
        <f t="shared" si="96"/>
        <v>0</v>
      </c>
      <c r="CZ91">
        <f t="shared" si="97"/>
        <v>0</v>
      </c>
      <c r="DC91" t="s">
        <v>3</v>
      </c>
      <c r="DD91" t="s">
        <v>3</v>
      </c>
      <c r="DE91" t="s">
        <v>3</v>
      </c>
      <c r="DF91" t="s">
        <v>3</v>
      </c>
      <c r="DG91" t="s">
        <v>3</v>
      </c>
      <c r="DH91" t="s">
        <v>3</v>
      </c>
      <c r="DI91" t="s">
        <v>3</v>
      </c>
      <c r="DJ91" t="s">
        <v>3</v>
      </c>
      <c r="DK91" t="s">
        <v>3</v>
      </c>
      <c r="DL91" t="s">
        <v>3</v>
      </c>
      <c r="DM91" t="s">
        <v>3</v>
      </c>
      <c r="DN91">
        <v>0</v>
      </c>
      <c r="DO91">
        <v>0</v>
      </c>
      <c r="DP91">
        <v>1</v>
      </c>
      <c r="DQ91">
        <v>1</v>
      </c>
      <c r="DU91">
        <v>1009</v>
      </c>
      <c r="DV91" t="s">
        <v>65</v>
      </c>
      <c r="DW91" t="s">
        <v>65</v>
      </c>
      <c r="DX91">
        <v>1000</v>
      </c>
      <c r="EE91">
        <v>46035301</v>
      </c>
      <c r="EF91">
        <v>1</v>
      </c>
      <c r="EG91" t="s">
        <v>19</v>
      </c>
      <c r="EH91">
        <v>0</v>
      </c>
      <c r="EI91" t="s">
        <v>3</v>
      </c>
      <c r="EJ91">
        <v>4</v>
      </c>
      <c r="EK91">
        <v>0</v>
      </c>
      <c r="EL91" t="s">
        <v>20</v>
      </c>
      <c r="EM91" t="s">
        <v>21</v>
      </c>
      <c r="EO91" t="s">
        <v>3</v>
      </c>
      <c r="EQ91">
        <v>0</v>
      </c>
      <c r="ER91">
        <v>32819.879999999997</v>
      </c>
      <c r="ES91">
        <v>32819.879999999997</v>
      </c>
      <c r="ET91">
        <v>0</v>
      </c>
      <c r="EU91">
        <v>0</v>
      </c>
      <c r="EV91">
        <v>0</v>
      </c>
      <c r="EW91">
        <v>0</v>
      </c>
      <c r="EX91">
        <v>0</v>
      </c>
      <c r="FQ91">
        <v>0</v>
      </c>
      <c r="FR91">
        <f t="shared" si="98"/>
        <v>0</v>
      </c>
      <c r="FS91">
        <v>0</v>
      </c>
      <c r="FX91">
        <v>70</v>
      </c>
      <c r="FY91">
        <v>10</v>
      </c>
      <c r="GA91" t="s">
        <v>3</v>
      </c>
      <c r="GD91">
        <v>0</v>
      </c>
      <c r="GF91">
        <v>526509494</v>
      </c>
      <c r="GG91">
        <v>2</v>
      </c>
      <c r="GH91">
        <v>1</v>
      </c>
      <c r="GI91">
        <v>-2</v>
      </c>
      <c r="GJ91">
        <v>0</v>
      </c>
      <c r="GK91">
        <f>ROUND(R91*(R12)/100,2)</f>
        <v>0</v>
      </c>
      <c r="GL91">
        <f t="shared" si="99"/>
        <v>0</v>
      </c>
      <c r="GM91">
        <f t="shared" si="110"/>
        <v>28027.52</v>
      </c>
      <c r="GN91">
        <f t="shared" si="111"/>
        <v>0</v>
      </c>
      <c r="GO91">
        <f t="shared" si="112"/>
        <v>0</v>
      </c>
      <c r="GP91">
        <f t="shared" si="113"/>
        <v>28027.52</v>
      </c>
      <c r="GR91">
        <v>0</v>
      </c>
      <c r="GS91">
        <v>3</v>
      </c>
      <c r="GT91">
        <v>0</v>
      </c>
      <c r="GU91" t="s">
        <v>3</v>
      </c>
      <c r="GV91">
        <f t="shared" si="100"/>
        <v>0</v>
      </c>
      <c r="GW91">
        <v>1</v>
      </c>
      <c r="GX91">
        <f t="shared" si="101"/>
        <v>0</v>
      </c>
      <c r="HA91">
        <v>0</v>
      </c>
      <c r="HB91">
        <v>0</v>
      </c>
      <c r="HC91">
        <f t="shared" si="102"/>
        <v>0</v>
      </c>
      <c r="IK91">
        <v>0</v>
      </c>
    </row>
    <row r="92" spans="1:245" x14ac:dyDescent="0.2">
      <c r="A92">
        <v>18</v>
      </c>
      <c r="B92">
        <v>1</v>
      </c>
      <c r="C92">
        <v>85</v>
      </c>
      <c r="E92" t="s">
        <v>163</v>
      </c>
      <c r="F92" t="s">
        <v>72</v>
      </c>
      <c r="G92" t="s">
        <v>164</v>
      </c>
      <c r="H92" t="s">
        <v>65</v>
      </c>
      <c r="I92">
        <f>I89*J92</f>
        <v>1.8846900000000002</v>
      </c>
      <c r="J92">
        <v>1.6275388601036271E-2</v>
      </c>
      <c r="O92">
        <f t="shared" si="72"/>
        <v>76513.8</v>
      </c>
      <c r="P92">
        <f t="shared" si="73"/>
        <v>76513.8</v>
      </c>
      <c r="Q92">
        <f t="shared" si="74"/>
        <v>0</v>
      </c>
      <c r="R92">
        <f t="shared" si="75"/>
        <v>0</v>
      </c>
      <c r="S92">
        <f t="shared" si="76"/>
        <v>0</v>
      </c>
      <c r="T92">
        <f t="shared" si="77"/>
        <v>0</v>
      </c>
      <c r="U92">
        <f t="shared" si="78"/>
        <v>0</v>
      </c>
      <c r="V92">
        <f t="shared" si="79"/>
        <v>0</v>
      </c>
      <c r="W92">
        <f t="shared" si="80"/>
        <v>0</v>
      </c>
      <c r="X92">
        <f t="shared" si="81"/>
        <v>0</v>
      </c>
      <c r="Y92">
        <f t="shared" si="82"/>
        <v>0</v>
      </c>
      <c r="AA92">
        <v>46561299</v>
      </c>
      <c r="AB92">
        <f t="shared" si="83"/>
        <v>40597.550000000003</v>
      </c>
      <c r="AC92">
        <f t="shared" si="103"/>
        <v>40597.550000000003</v>
      </c>
      <c r="AD92">
        <f t="shared" si="104"/>
        <v>0</v>
      </c>
      <c r="AE92">
        <f t="shared" si="105"/>
        <v>0</v>
      </c>
      <c r="AF92">
        <f t="shared" si="106"/>
        <v>0</v>
      </c>
      <c r="AG92">
        <f t="shared" si="85"/>
        <v>0</v>
      </c>
      <c r="AH92">
        <f t="shared" si="107"/>
        <v>0</v>
      </c>
      <c r="AI92">
        <f t="shared" si="108"/>
        <v>0</v>
      </c>
      <c r="AJ92">
        <f t="shared" si="87"/>
        <v>0</v>
      </c>
      <c r="AK92">
        <v>40597.550000000003</v>
      </c>
      <c r="AL92">
        <v>40597.550000000003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70</v>
      </c>
      <c r="AU92">
        <v>10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D92" t="s">
        <v>3</v>
      </c>
      <c r="BE92" t="s">
        <v>3</v>
      </c>
      <c r="BF92" t="s">
        <v>3</v>
      </c>
      <c r="BG92" t="s">
        <v>3</v>
      </c>
      <c r="BH92">
        <v>3</v>
      </c>
      <c r="BI92">
        <v>4</v>
      </c>
      <c r="BJ92" t="s">
        <v>74</v>
      </c>
      <c r="BM92">
        <v>0</v>
      </c>
      <c r="BN92">
        <v>0</v>
      </c>
      <c r="BO92" t="s">
        <v>3</v>
      </c>
      <c r="BP92">
        <v>0</v>
      </c>
      <c r="BQ92">
        <v>1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70</v>
      </c>
      <c r="CA92">
        <v>10</v>
      </c>
      <c r="CE92">
        <v>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 t="shared" si="88"/>
        <v>76513.8</v>
      </c>
      <c r="CQ92">
        <f t="shared" si="89"/>
        <v>40597.550000000003</v>
      </c>
      <c r="CR92">
        <f t="shared" si="109"/>
        <v>0</v>
      </c>
      <c r="CS92">
        <f t="shared" si="90"/>
        <v>0</v>
      </c>
      <c r="CT92">
        <f t="shared" si="91"/>
        <v>0</v>
      </c>
      <c r="CU92">
        <f t="shared" si="92"/>
        <v>0</v>
      </c>
      <c r="CV92">
        <f t="shared" si="93"/>
        <v>0</v>
      </c>
      <c r="CW92">
        <f t="shared" si="94"/>
        <v>0</v>
      </c>
      <c r="CX92">
        <f t="shared" si="95"/>
        <v>0</v>
      </c>
      <c r="CY92">
        <f t="shared" si="96"/>
        <v>0</v>
      </c>
      <c r="CZ92">
        <f t="shared" si="97"/>
        <v>0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1009</v>
      </c>
      <c r="DV92" t="s">
        <v>65</v>
      </c>
      <c r="DW92" t="s">
        <v>65</v>
      </c>
      <c r="DX92">
        <v>1000</v>
      </c>
      <c r="EE92">
        <v>46035301</v>
      </c>
      <c r="EF92">
        <v>1</v>
      </c>
      <c r="EG92" t="s">
        <v>19</v>
      </c>
      <c r="EH92">
        <v>0</v>
      </c>
      <c r="EI92" t="s">
        <v>3</v>
      </c>
      <c r="EJ92">
        <v>4</v>
      </c>
      <c r="EK92">
        <v>0</v>
      </c>
      <c r="EL92" t="s">
        <v>20</v>
      </c>
      <c r="EM92" t="s">
        <v>21</v>
      </c>
      <c r="EO92" t="s">
        <v>3</v>
      </c>
      <c r="EQ92">
        <v>0</v>
      </c>
      <c r="ER92">
        <v>40597.550000000003</v>
      </c>
      <c r="ES92">
        <v>40597.550000000003</v>
      </c>
      <c r="ET92">
        <v>0</v>
      </c>
      <c r="EU92">
        <v>0</v>
      </c>
      <c r="EV92">
        <v>0</v>
      </c>
      <c r="EW92">
        <v>0</v>
      </c>
      <c r="EX92">
        <v>0</v>
      </c>
      <c r="FQ92">
        <v>0</v>
      </c>
      <c r="FR92">
        <f t="shared" si="98"/>
        <v>0</v>
      </c>
      <c r="FS92">
        <v>0</v>
      </c>
      <c r="FX92">
        <v>70</v>
      </c>
      <c r="FY92">
        <v>10</v>
      </c>
      <c r="GA92" t="s">
        <v>3</v>
      </c>
      <c r="GD92">
        <v>0</v>
      </c>
      <c r="GF92">
        <v>-49825837</v>
      </c>
      <c r="GG92">
        <v>2</v>
      </c>
      <c r="GH92">
        <v>1</v>
      </c>
      <c r="GI92">
        <v>-2</v>
      </c>
      <c r="GJ92">
        <v>0</v>
      </c>
      <c r="GK92">
        <f>ROUND(R92*(R12)/100,2)</f>
        <v>0</v>
      </c>
      <c r="GL92">
        <f t="shared" si="99"/>
        <v>0</v>
      </c>
      <c r="GM92">
        <f t="shared" si="110"/>
        <v>76513.8</v>
      </c>
      <c r="GN92">
        <f t="shared" si="111"/>
        <v>0</v>
      </c>
      <c r="GO92">
        <f t="shared" si="112"/>
        <v>0</v>
      </c>
      <c r="GP92">
        <f t="shared" si="113"/>
        <v>76513.8</v>
      </c>
      <c r="GR92">
        <v>0</v>
      </c>
      <c r="GS92">
        <v>3</v>
      </c>
      <c r="GT92">
        <v>0</v>
      </c>
      <c r="GU92" t="s">
        <v>3</v>
      </c>
      <c r="GV92">
        <f t="shared" si="100"/>
        <v>0</v>
      </c>
      <c r="GW92">
        <v>1</v>
      </c>
      <c r="GX92">
        <f t="shared" si="101"/>
        <v>0</v>
      </c>
      <c r="HA92">
        <v>0</v>
      </c>
      <c r="HB92">
        <v>0</v>
      </c>
      <c r="HC92">
        <f t="shared" si="102"/>
        <v>0</v>
      </c>
      <c r="IK92">
        <v>0</v>
      </c>
    </row>
    <row r="93" spans="1:245" x14ac:dyDescent="0.2">
      <c r="A93">
        <v>18</v>
      </c>
      <c r="B93">
        <v>1</v>
      </c>
      <c r="C93">
        <v>89</v>
      </c>
      <c r="E93" t="s">
        <v>165</v>
      </c>
      <c r="F93" t="s">
        <v>76</v>
      </c>
      <c r="G93" t="s">
        <v>77</v>
      </c>
      <c r="H93" t="s">
        <v>78</v>
      </c>
      <c r="I93">
        <f>I89*J93</f>
        <v>24</v>
      </c>
      <c r="J93">
        <v>0.20725388601036271</v>
      </c>
      <c r="O93">
        <f t="shared" si="72"/>
        <v>900</v>
      </c>
      <c r="P93">
        <f t="shared" si="73"/>
        <v>900</v>
      </c>
      <c r="Q93">
        <f t="shared" si="74"/>
        <v>0</v>
      </c>
      <c r="R93">
        <f t="shared" si="75"/>
        <v>0</v>
      </c>
      <c r="S93">
        <f t="shared" si="76"/>
        <v>0</v>
      </c>
      <c r="T93">
        <f t="shared" si="77"/>
        <v>0</v>
      </c>
      <c r="U93">
        <f t="shared" si="78"/>
        <v>0</v>
      </c>
      <c r="V93">
        <f t="shared" si="79"/>
        <v>0</v>
      </c>
      <c r="W93">
        <f t="shared" si="80"/>
        <v>0</v>
      </c>
      <c r="X93">
        <f t="shared" si="81"/>
        <v>0</v>
      </c>
      <c r="Y93">
        <f t="shared" si="82"/>
        <v>0</v>
      </c>
      <c r="AA93">
        <v>46561299</v>
      </c>
      <c r="AB93">
        <f t="shared" si="83"/>
        <v>37.5</v>
      </c>
      <c r="AC93">
        <f t="shared" si="103"/>
        <v>37.5</v>
      </c>
      <c r="AD93">
        <f t="shared" si="104"/>
        <v>0</v>
      </c>
      <c r="AE93">
        <f t="shared" si="105"/>
        <v>0</v>
      </c>
      <c r="AF93">
        <f t="shared" si="106"/>
        <v>0</v>
      </c>
      <c r="AG93">
        <f t="shared" si="85"/>
        <v>0</v>
      </c>
      <c r="AH93">
        <f t="shared" si="107"/>
        <v>0</v>
      </c>
      <c r="AI93">
        <f t="shared" si="108"/>
        <v>0</v>
      </c>
      <c r="AJ93">
        <f t="shared" si="87"/>
        <v>0</v>
      </c>
      <c r="AK93">
        <v>37.5</v>
      </c>
      <c r="AL93">
        <v>37.5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70</v>
      </c>
      <c r="AU93">
        <v>10</v>
      </c>
      <c r="AV93">
        <v>1</v>
      </c>
      <c r="AW93">
        <v>1</v>
      </c>
      <c r="AZ93">
        <v>1</v>
      </c>
      <c r="BA93">
        <v>1</v>
      </c>
      <c r="BB93">
        <v>1</v>
      </c>
      <c r="BC93">
        <v>1</v>
      </c>
      <c r="BD93" t="s">
        <v>3</v>
      </c>
      <c r="BE93" t="s">
        <v>3</v>
      </c>
      <c r="BF93" t="s">
        <v>3</v>
      </c>
      <c r="BG93" t="s">
        <v>3</v>
      </c>
      <c r="BH93">
        <v>3</v>
      </c>
      <c r="BI93">
        <v>4</v>
      </c>
      <c r="BJ93" t="s">
        <v>3</v>
      </c>
      <c r="BM93">
        <v>0</v>
      </c>
      <c r="BN93">
        <v>0</v>
      </c>
      <c r="BO93" t="s">
        <v>3</v>
      </c>
      <c r="BP93">
        <v>0</v>
      </c>
      <c r="BQ93">
        <v>1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 t="s">
        <v>3</v>
      </c>
      <c r="BZ93">
        <v>70</v>
      </c>
      <c r="CA93">
        <v>10</v>
      </c>
      <c r="CE93">
        <v>0</v>
      </c>
      <c r="CF93">
        <v>0</v>
      </c>
      <c r="CG93">
        <v>0</v>
      </c>
      <c r="CM93">
        <v>0</v>
      </c>
      <c r="CN93" t="s">
        <v>3</v>
      </c>
      <c r="CO93">
        <v>0</v>
      </c>
      <c r="CP93">
        <f t="shared" si="88"/>
        <v>900</v>
      </c>
      <c r="CQ93">
        <f t="shared" si="89"/>
        <v>37.5</v>
      </c>
      <c r="CR93">
        <f t="shared" si="109"/>
        <v>0</v>
      </c>
      <c r="CS93">
        <f t="shared" si="90"/>
        <v>0</v>
      </c>
      <c r="CT93">
        <f t="shared" si="91"/>
        <v>0</v>
      </c>
      <c r="CU93">
        <f t="shared" si="92"/>
        <v>0</v>
      </c>
      <c r="CV93">
        <f t="shared" si="93"/>
        <v>0</v>
      </c>
      <c r="CW93">
        <f t="shared" si="94"/>
        <v>0</v>
      </c>
      <c r="CX93">
        <f t="shared" si="95"/>
        <v>0</v>
      </c>
      <c r="CY93">
        <f t="shared" si="96"/>
        <v>0</v>
      </c>
      <c r="CZ93">
        <f t="shared" si="97"/>
        <v>0</v>
      </c>
      <c r="DC93" t="s">
        <v>3</v>
      </c>
      <c r="DD93" t="s">
        <v>3</v>
      </c>
      <c r="DE93" t="s">
        <v>3</v>
      </c>
      <c r="DF93" t="s">
        <v>3</v>
      </c>
      <c r="DG93" t="s">
        <v>3</v>
      </c>
      <c r="DH93" t="s">
        <v>3</v>
      </c>
      <c r="DI93" t="s">
        <v>3</v>
      </c>
      <c r="DJ93" t="s">
        <v>3</v>
      </c>
      <c r="DK93" t="s">
        <v>3</v>
      </c>
      <c r="DL93" t="s">
        <v>3</v>
      </c>
      <c r="DM93" t="s">
        <v>3</v>
      </c>
      <c r="DN93">
        <v>0</v>
      </c>
      <c r="DO93">
        <v>0</v>
      </c>
      <c r="DP93">
        <v>1</v>
      </c>
      <c r="DQ93">
        <v>1</v>
      </c>
      <c r="DU93">
        <v>1013</v>
      </c>
      <c r="DV93" t="s">
        <v>78</v>
      </c>
      <c r="DW93" t="s">
        <v>78</v>
      </c>
      <c r="DX93">
        <v>1</v>
      </c>
      <c r="EE93">
        <v>46035301</v>
      </c>
      <c r="EF93">
        <v>1</v>
      </c>
      <c r="EG93" t="s">
        <v>19</v>
      </c>
      <c r="EH93">
        <v>0</v>
      </c>
      <c r="EI93" t="s">
        <v>3</v>
      </c>
      <c r="EJ93">
        <v>4</v>
      </c>
      <c r="EK93">
        <v>0</v>
      </c>
      <c r="EL93" t="s">
        <v>20</v>
      </c>
      <c r="EM93" t="s">
        <v>21</v>
      </c>
      <c r="EO93" t="s">
        <v>3</v>
      </c>
      <c r="EQ93">
        <v>0</v>
      </c>
      <c r="ER93">
        <v>37.5</v>
      </c>
      <c r="ES93">
        <v>37.5</v>
      </c>
      <c r="ET93">
        <v>0</v>
      </c>
      <c r="EU93">
        <v>0</v>
      </c>
      <c r="EV93">
        <v>0</v>
      </c>
      <c r="EW93">
        <v>0</v>
      </c>
      <c r="EX93">
        <v>0</v>
      </c>
      <c r="EZ93">
        <v>5</v>
      </c>
      <c r="FC93">
        <v>1</v>
      </c>
      <c r="FD93">
        <v>18</v>
      </c>
      <c r="FF93">
        <v>45</v>
      </c>
      <c r="FQ93">
        <v>0</v>
      </c>
      <c r="FR93">
        <f t="shared" si="98"/>
        <v>0</v>
      </c>
      <c r="FS93">
        <v>0</v>
      </c>
      <c r="FX93">
        <v>70</v>
      </c>
      <c r="FY93">
        <v>10</v>
      </c>
      <c r="GA93" t="s">
        <v>79</v>
      </c>
      <c r="GD93">
        <v>0</v>
      </c>
      <c r="GF93">
        <v>-1591933177</v>
      </c>
      <c r="GG93">
        <v>2</v>
      </c>
      <c r="GH93">
        <v>3</v>
      </c>
      <c r="GI93">
        <v>-2</v>
      </c>
      <c r="GJ93">
        <v>0</v>
      </c>
      <c r="GK93">
        <f>ROUND(R93*(R12)/100,2)</f>
        <v>0</v>
      </c>
      <c r="GL93">
        <f t="shared" si="99"/>
        <v>0</v>
      </c>
      <c r="GM93">
        <f t="shared" si="110"/>
        <v>900</v>
      </c>
      <c r="GN93">
        <f t="shared" si="111"/>
        <v>0</v>
      </c>
      <c r="GO93">
        <f t="shared" si="112"/>
        <v>0</v>
      </c>
      <c r="GP93">
        <f t="shared" si="113"/>
        <v>900</v>
      </c>
      <c r="GR93">
        <v>1</v>
      </c>
      <c r="GS93">
        <v>1</v>
      </c>
      <c r="GT93">
        <v>0</v>
      </c>
      <c r="GU93" t="s">
        <v>3</v>
      </c>
      <c r="GV93">
        <f t="shared" si="100"/>
        <v>0</v>
      </c>
      <c r="GW93">
        <v>1</v>
      </c>
      <c r="GX93">
        <f t="shared" si="101"/>
        <v>0</v>
      </c>
      <c r="HA93">
        <v>0</v>
      </c>
      <c r="HB93">
        <v>0</v>
      </c>
      <c r="HC93">
        <f t="shared" si="102"/>
        <v>0</v>
      </c>
      <c r="IK93">
        <v>0</v>
      </c>
    </row>
    <row r="94" spans="1:245" x14ac:dyDescent="0.2">
      <c r="A94">
        <v>18</v>
      </c>
      <c r="B94">
        <v>1</v>
      </c>
      <c r="C94">
        <v>90</v>
      </c>
      <c r="E94" t="s">
        <v>166</v>
      </c>
      <c r="F94" t="s">
        <v>76</v>
      </c>
      <c r="G94" t="s">
        <v>81</v>
      </c>
      <c r="H94" t="s">
        <v>78</v>
      </c>
      <c r="I94">
        <f>I89*J94</f>
        <v>92</v>
      </c>
      <c r="J94">
        <v>0.79447322970639034</v>
      </c>
      <c r="O94">
        <f t="shared" si="72"/>
        <v>1520.76</v>
      </c>
      <c r="P94">
        <f t="shared" si="73"/>
        <v>1520.76</v>
      </c>
      <c r="Q94">
        <f t="shared" si="74"/>
        <v>0</v>
      </c>
      <c r="R94">
        <f t="shared" si="75"/>
        <v>0</v>
      </c>
      <c r="S94">
        <f t="shared" si="76"/>
        <v>0</v>
      </c>
      <c r="T94">
        <f t="shared" si="77"/>
        <v>0</v>
      </c>
      <c r="U94">
        <f t="shared" si="78"/>
        <v>0</v>
      </c>
      <c r="V94">
        <f t="shared" si="79"/>
        <v>0</v>
      </c>
      <c r="W94">
        <f t="shared" si="80"/>
        <v>0</v>
      </c>
      <c r="X94">
        <f t="shared" si="81"/>
        <v>0</v>
      </c>
      <c r="Y94">
        <f t="shared" si="82"/>
        <v>0</v>
      </c>
      <c r="AA94">
        <v>46561299</v>
      </c>
      <c r="AB94">
        <f t="shared" si="83"/>
        <v>16.53</v>
      </c>
      <c r="AC94">
        <f t="shared" si="103"/>
        <v>16.53</v>
      </c>
      <c r="AD94">
        <f t="shared" si="104"/>
        <v>0</v>
      </c>
      <c r="AE94">
        <f t="shared" si="105"/>
        <v>0</v>
      </c>
      <c r="AF94">
        <f t="shared" si="106"/>
        <v>0</v>
      </c>
      <c r="AG94">
        <f t="shared" si="85"/>
        <v>0</v>
      </c>
      <c r="AH94">
        <f t="shared" si="107"/>
        <v>0</v>
      </c>
      <c r="AI94">
        <f t="shared" si="108"/>
        <v>0</v>
      </c>
      <c r="AJ94">
        <f t="shared" si="87"/>
        <v>0</v>
      </c>
      <c r="AK94">
        <v>16.53</v>
      </c>
      <c r="AL94">
        <v>16.53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70</v>
      </c>
      <c r="AU94">
        <v>10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</v>
      </c>
      <c r="BD94" t="s">
        <v>3</v>
      </c>
      <c r="BE94" t="s">
        <v>3</v>
      </c>
      <c r="BF94" t="s">
        <v>3</v>
      </c>
      <c r="BG94" t="s">
        <v>3</v>
      </c>
      <c r="BH94">
        <v>3</v>
      </c>
      <c r="BI94">
        <v>4</v>
      </c>
      <c r="BJ94" t="s">
        <v>3</v>
      </c>
      <c r="BM94">
        <v>0</v>
      </c>
      <c r="BN94">
        <v>0</v>
      </c>
      <c r="BO94" t="s">
        <v>3</v>
      </c>
      <c r="BP94">
        <v>0</v>
      </c>
      <c r="BQ94">
        <v>1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3</v>
      </c>
      <c r="BZ94">
        <v>70</v>
      </c>
      <c r="CA94">
        <v>10</v>
      </c>
      <c r="CE94">
        <v>0</v>
      </c>
      <c r="CF94">
        <v>0</v>
      </c>
      <c r="CG94">
        <v>0</v>
      </c>
      <c r="CM94">
        <v>0</v>
      </c>
      <c r="CN94" t="s">
        <v>3</v>
      </c>
      <c r="CO94">
        <v>0</v>
      </c>
      <c r="CP94">
        <f t="shared" si="88"/>
        <v>1520.76</v>
      </c>
      <c r="CQ94">
        <f t="shared" si="89"/>
        <v>16.53</v>
      </c>
      <c r="CR94">
        <f t="shared" si="109"/>
        <v>0</v>
      </c>
      <c r="CS94">
        <f t="shared" si="90"/>
        <v>0</v>
      </c>
      <c r="CT94">
        <f t="shared" si="91"/>
        <v>0</v>
      </c>
      <c r="CU94">
        <f t="shared" si="92"/>
        <v>0</v>
      </c>
      <c r="CV94">
        <f t="shared" si="93"/>
        <v>0</v>
      </c>
      <c r="CW94">
        <f t="shared" si="94"/>
        <v>0</v>
      </c>
      <c r="CX94">
        <f t="shared" si="95"/>
        <v>0</v>
      </c>
      <c r="CY94">
        <f t="shared" si="96"/>
        <v>0</v>
      </c>
      <c r="CZ94">
        <f t="shared" si="97"/>
        <v>0</v>
      </c>
      <c r="DC94" t="s">
        <v>3</v>
      </c>
      <c r="DD94" t="s">
        <v>3</v>
      </c>
      <c r="DE94" t="s">
        <v>3</v>
      </c>
      <c r="DF94" t="s">
        <v>3</v>
      </c>
      <c r="DG94" t="s">
        <v>3</v>
      </c>
      <c r="DH94" t="s">
        <v>3</v>
      </c>
      <c r="DI94" t="s">
        <v>3</v>
      </c>
      <c r="DJ94" t="s">
        <v>3</v>
      </c>
      <c r="DK94" t="s">
        <v>3</v>
      </c>
      <c r="DL94" t="s">
        <v>3</v>
      </c>
      <c r="DM94" t="s">
        <v>3</v>
      </c>
      <c r="DN94">
        <v>0</v>
      </c>
      <c r="DO94">
        <v>0</v>
      </c>
      <c r="DP94">
        <v>1</v>
      </c>
      <c r="DQ94">
        <v>1</v>
      </c>
      <c r="DU94">
        <v>1013</v>
      </c>
      <c r="DV94" t="s">
        <v>78</v>
      </c>
      <c r="DW94" t="s">
        <v>78</v>
      </c>
      <c r="DX94">
        <v>1</v>
      </c>
      <c r="EE94">
        <v>46035301</v>
      </c>
      <c r="EF94">
        <v>1</v>
      </c>
      <c r="EG94" t="s">
        <v>19</v>
      </c>
      <c r="EH94">
        <v>0</v>
      </c>
      <c r="EI94" t="s">
        <v>3</v>
      </c>
      <c r="EJ94">
        <v>4</v>
      </c>
      <c r="EK94">
        <v>0</v>
      </c>
      <c r="EL94" t="s">
        <v>20</v>
      </c>
      <c r="EM94" t="s">
        <v>21</v>
      </c>
      <c r="EO94" t="s">
        <v>3</v>
      </c>
      <c r="EQ94">
        <v>0</v>
      </c>
      <c r="ER94">
        <v>16.53</v>
      </c>
      <c r="ES94">
        <v>16.53</v>
      </c>
      <c r="ET94">
        <v>0</v>
      </c>
      <c r="EU94">
        <v>0</v>
      </c>
      <c r="EV94">
        <v>0</v>
      </c>
      <c r="EW94">
        <v>0</v>
      </c>
      <c r="EX94">
        <v>0</v>
      </c>
      <c r="EZ94">
        <v>5</v>
      </c>
      <c r="FC94">
        <v>1</v>
      </c>
      <c r="FD94">
        <v>18</v>
      </c>
      <c r="FF94">
        <v>19.829999999999998</v>
      </c>
      <c r="FQ94">
        <v>0</v>
      </c>
      <c r="FR94">
        <f t="shared" si="98"/>
        <v>0</v>
      </c>
      <c r="FS94">
        <v>0</v>
      </c>
      <c r="FX94">
        <v>70</v>
      </c>
      <c r="FY94">
        <v>10</v>
      </c>
      <c r="GA94" t="s">
        <v>82</v>
      </c>
      <c r="GD94">
        <v>0</v>
      </c>
      <c r="GF94">
        <v>-1949902326</v>
      </c>
      <c r="GG94">
        <v>2</v>
      </c>
      <c r="GH94">
        <v>3</v>
      </c>
      <c r="GI94">
        <v>-2</v>
      </c>
      <c r="GJ94">
        <v>0</v>
      </c>
      <c r="GK94">
        <f>ROUND(R94*(R12)/100,2)</f>
        <v>0</v>
      </c>
      <c r="GL94">
        <f t="shared" si="99"/>
        <v>0</v>
      </c>
      <c r="GM94">
        <f t="shared" si="110"/>
        <v>1520.76</v>
      </c>
      <c r="GN94">
        <f t="shared" si="111"/>
        <v>0</v>
      </c>
      <c r="GO94">
        <f t="shared" si="112"/>
        <v>0</v>
      </c>
      <c r="GP94">
        <f t="shared" si="113"/>
        <v>1520.76</v>
      </c>
      <c r="GR94">
        <v>1</v>
      </c>
      <c r="GS94">
        <v>1</v>
      </c>
      <c r="GT94">
        <v>0</v>
      </c>
      <c r="GU94" t="s">
        <v>3</v>
      </c>
      <c r="GV94">
        <f t="shared" si="100"/>
        <v>0</v>
      </c>
      <c r="GW94">
        <v>1</v>
      </c>
      <c r="GX94">
        <f t="shared" si="101"/>
        <v>0</v>
      </c>
      <c r="HA94">
        <v>0</v>
      </c>
      <c r="HB94">
        <v>0</v>
      </c>
      <c r="HC94">
        <f t="shared" si="102"/>
        <v>0</v>
      </c>
      <c r="IK94">
        <v>0</v>
      </c>
    </row>
    <row r="95" spans="1:245" x14ac:dyDescent="0.2">
      <c r="A95">
        <v>18</v>
      </c>
      <c r="B95">
        <v>1</v>
      </c>
      <c r="C95">
        <v>84</v>
      </c>
      <c r="E95" t="s">
        <v>167</v>
      </c>
      <c r="F95" t="s">
        <v>84</v>
      </c>
      <c r="G95" t="s">
        <v>85</v>
      </c>
      <c r="H95" t="s">
        <v>65</v>
      </c>
      <c r="I95">
        <f>I89*J95</f>
        <v>-17.254200000000001</v>
      </c>
      <c r="J95">
        <v>-0.14900000000000002</v>
      </c>
      <c r="O95">
        <f t="shared" si="72"/>
        <v>-647680.22</v>
      </c>
      <c r="P95">
        <f t="shared" si="73"/>
        <v>-647680.22</v>
      </c>
      <c r="Q95">
        <f t="shared" si="74"/>
        <v>0</v>
      </c>
      <c r="R95">
        <f t="shared" si="75"/>
        <v>0</v>
      </c>
      <c r="S95">
        <f t="shared" si="76"/>
        <v>0</v>
      </c>
      <c r="T95">
        <f t="shared" si="77"/>
        <v>0</v>
      </c>
      <c r="U95">
        <f t="shared" si="78"/>
        <v>0</v>
      </c>
      <c r="V95">
        <f t="shared" si="79"/>
        <v>0</v>
      </c>
      <c r="W95">
        <f t="shared" si="80"/>
        <v>0</v>
      </c>
      <c r="X95">
        <f t="shared" si="81"/>
        <v>0</v>
      </c>
      <c r="Y95">
        <f t="shared" si="82"/>
        <v>0</v>
      </c>
      <c r="AA95">
        <v>46561299</v>
      </c>
      <c r="AB95">
        <f t="shared" si="83"/>
        <v>37537.54</v>
      </c>
      <c r="AC95">
        <f t="shared" si="103"/>
        <v>37537.54</v>
      </c>
      <c r="AD95">
        <f t="shared" si="104"/>
        <v>0</v>
      </c>
      <c r="AE95">
        <f t="shared" si="105"/>
        <v>0</v>
      </c>
      <c r="AF95">
        <f t="shared" si="106"/>
        <v>0</v>
      </c>
      <c r="AG95">
        <f t="shared" si="85"/>
        <v>0</v>
      </c>
      <c r="AH95">
        <f t="shared" si="107"/>
        <v>0</v>
      </c>
      <c r="AI95">
        <f t="shared" si="108"/>
        <v>0</v>
      </c>
      <c r="AJ95">
        <f t="shared" si="87"/>
        <v>0</v>
      </c>
      <c r="AK95">
        <v>37537.54</v>
      </c>
      <c r="AL95">
        <v>37537.54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70</v>
      </c>
      <c r="AU95">
        <v>10</v>
      </c>
      <c r="AV95">
        <v>1</v>
      </c>
      <c r="AW95">
        <v>1</v>
      </c>
      <c r="AZ95">
        <v>1</v>
      </c>
      <c r="BA95">
        <v>1</v>
      </c>
      <c r="BB95">
        <v>1</v>
      </c>
      <c r="BC95">
        <v>1</v>
      </c>
      <c r="BD95" t="s">
        <v>3</v>
      </c>
      <c r="BE95" t="s">
        <v>3</v>
      </c>
      <c r="BF95" t="s">
        <v>3</v>
      </c>
      <c r="BG95" t="s">
        <v>3</v>
      </c>
      <c r="BH95">
        <v>3</v>
      </c>
      <c r="BI95">
        <v>4</v>
      </c>
      <c r="BJ95" t="s">
        <v>86</v>
      </c>
      <c r="BM95">
        <v>0</v>
      </c>
      <c r="BN95">
        <v>0</v>
      </c>
      <c r="BO95" t="s">
        <v>3</v>
      </c>
      <c r="BP95">
        <v>0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 t="s">
        <v>3</v>
      </c>
      <c r="BZ95">
        <v>70</v>
      </c>
      <c r="CA95">
        <v>10</v>
      </c>
      <c r="CE95">
        <v>0</v>
      </c>
      <c r="CF95">
        <v>0</v>
      </c>
      <c r="CG95">
        <v>0</v>
      </c>
      <c r="CM95">
        <v>0</v>
      </c>
      <c r="CN95" t="s">
        <v>3</v>
      </c>
      <c r="CO95">
        <v>0</v>
      </c>
      <c r="CP95">
        <f t="shared" si="88"/>
        <v>-647680.22</v>
      </c>
      <c r="CQ95">
        <f t="shared" si="89"/>
        <v>37537.54</v>
      </c>
      <c r="CR95">
        <f t="shared" si="109"/>
        <v>0</v>
      </c>
      <c r="CS95">
        <f t="shared" si="90"/>
        <v>0</v>
      </c>
      <c r="CT95">
        <f t="shared" si="91"/>
        <v>0</v>
      </c>
      <c r="CU95">
        <f t="shared" si="92"/>
        <v>0</v>
      </c>
      <c r="CV95">
        <f t="shared" si="93"/>
        <v>0</v>
      </c>
      <c r="CW95">
        <f t="shared" si="94"/>
        <v>0</v>
      </c>
      <c r="CX95">
        <f t="shared" si="95"/>
        <v>0</v>
      </c>
      <c r="CY95">
        <f t="shared" si="96"/>
        <v>0</v>
      </c>
      <c r="CZ95">
        <f t="shared" si="97"/>
        <v>0</v>
      </c>
      <c r="DC95" t="s">
        <v>3</v>
      </c>
      <c r="DD95" t="s">
        <v>3</v>
      </c>
      <c r="DE95" t="s">
        <v>3</v>
      </c>
      <c r="DF95" t="s">
        <v>3</v>
      </c>
      <c r="DG95" t="s">
        <v>3</v>
      </c>
      <c r="DH95" t="s">
        <v>3</v>
      </c>
      <c r="DI95" t="s">
        <v>3</v>
      </c>
      <c r="DJ95" t="s">
        <v>3</v>
      </c>
      <c r="DK95" t="s">
        <v>3</v>
      </c>
      <c r="DL95" t="s">
        <v>3</v>
      </c>
      <c r="DM95" t="s">
        <v>3</v>
      </c>
      <c r="DN95">
        <v>0</v>
      </c>
      <c r="DO95">
        <v>0</v>
      </c>
      <c r="DP95">
        <v>1</v>
      </c>
      <c r="DQ95">
        <v>1</v>
      </c>
      <c r="DU95">
        <v>1009</v>
      </c>
      <c r="DV95" t="s">
        <v>65</v>
      </c>
      <c r="DW95" t="s">
        <v>65</v>
      </c>
      <c r="DX95">
        <v>1000</v>
      </c>
      <c r="EE95">
        <v>46035301</v>
      </c>
      <c r="EF95">
        <v>1</v>
      </c>
      <c r="EG95" t="s">
        <v>19</v>
      </c>
      <c r="EH95">
        <v>0</v>
      </c>
      <c r="EI95" t="s">
        <v>3</v>
      </c>
      <c r="EJ95">
        <v>4</v>
      </c>
      <c r="EK95">
        <v>0</v>
      </c>
      <c r="EL95" t="s">
        <v>20</v>
      </c>
      <c r="EM95" t="s">
        <v>21</v>
      </c>
      <c r="EO95" t="s">
        <v>3</v>
      </c>
      <c r="EQ95">
        <v>32768</v>
      </c>
      <c r="ER95">
        <v>37537.54</v>
      </c>
      <c r="ES95">
        <v>37537.54</v>
      </c>
      <c r="ET95">
        <v>0</v>
      </c>
      <c r="EU95">
        <v>0</v>
      </c>
      <c r="EV95">
        <v>0</v>
      </c>
      <c r="EW95">
        <v>0</v>
      </c>
      <c r="EX95">
        <v>0</v>
      </c>
      <c r="FQ95">
        <v>0</v>
      </c>
      <c r="FR95">
        <f t="shared" si="98"/>
        <v>0</v>
      </c>
      <c r="FS95">
        <v>0</v>
      </c>
      <c r="FX95">
        <v>70</v>
      </c>
      <c r="FY95">
        <v>10</v>
      </c>
      <c r="GA95" t="s">
        <v>3</v>
      </c>
      <c r="GD95">
        <v>0</v>
      </c>
      <c r="GF95">
        <v>-2126876791</v>
      </c>
      <c r="GG95">
        <v>2</v>
      </c>
      <c r="GH95">
        <v>1</v>
      </c>
      <c r="GI95">
        <v>-2</v>
      </c>
      <c r="GJ95">
        <v>0</v>
      </c>
      <c r="GK95">
        <f>ROUND(R95*(R12)/100,2)</f>
        <v>0</v>
      </c>
      <c r="GL95">
        <f t="shared" si="99"/>
        <v>0</v>
      </c>
      <c r="GM95">
        <f t="shared" si="110"/>
        <v>-647680.22</v>
      </c>
      <c r="GN95">
        <f t="shared" si="111"/>
        <v>0</v>
      </c>
      <c r="GO95">
        <f t="shared" si="112"/>
        <v>0</v>
      </c>
      <c r="GP95">
        <f t="shared" si="113"/>
        <v>-647680.22</v>
      </c>
      <c r="GR95">
        <v>0</v>
      </c>
      <c r="GS95">
        <v>3</v>
      </c>
      <c r="GT95">
        <v>0</v>
      </c>
      <c r="GU95" t="s">
        <v>3</v>
      </c>
      <c r="GV95">
        <f t="shared" si="100"/>
        <v>0</v>
      </c>
      <c r="GW95">
        <v>1</v>
      </c>
      <c r="GX95">
        <f t="shared" si="101"/>
        <v>0</v>
      </c>
      <c r="HA95">
        <v>0</v>
      </c>
      <c r="HB95">
        <v>0</v>
      </c>
      <c r="HC95">
        <f t="shared" si="102"/>
        <v>0</v>
      </c>
      <c r="IK95">
        <v>0</v>
      </c>
    </row>
    <row r="96" spans="1:245" x14ac:dyDescent="0.2">
      <c r="A96">
        <v>17</v>
      </c>
      <c r="B96">
        <v>1</v>
      </c>
      <c r="C96">
        <f>ROW(SmtRes!A96)</f>
        <v>96</v>
      </c>
      <c r="D96">
        <f>ROW(EtalonRes!A84)</f>
        <v>84</v>
      </c>
      <c r="E96" t="s">
        <v>168</v>
      </c>
      <c r="F96" t="s">
        <v>88</v>
      </c>
      <c r="G96" t="s">
        <v>89</v>
      </c>
      <c r="H96" t="s">
        <v>90</v>
      </c>
      <c r="I96">
        <v>1.1579999999999999</v>
      </c>
      <c r="J96">
        <v>0</v>
      </c>
      <c r="O96">
        <f t="shared" si="72"/>
        <v>3275.39</v>
      </c>
      <c r="P96">
        <f t="shared" si="73"/>
        <v>1183.5999999999999</v>
      </c>
      <c r="Q96">
        <f t="shared" si="74"/>
        <v>167.08</v>
      </c>
      <c r="R96">
        <f t="shared" si="75"/>
        <v>57.9</v>
      </c>
      <c r="S96">
        <f t="shared" si="76"/>
        <v>1924.71</v>
      </c>
      <c r="T96">
        <f t="shared" si="77"/>
        <v>0</v>
      </c>
      <c r="U96">
        <f t="shared" si="78"/>
        <v>7.07538</v>
      </c>
      <c r="V96">
        <f t="shared" si="79"/>
        <v>0</v>
      </c>
      <c r="W96">
        <f t="shared" si="80"/>
        <v>0</v>
      </c>
      <c r="X96">
        <f t="shared" si="81"/>
        <v>1347.3</v>
      </c>
      <c r="Y96">
        <f t="shared" si="82"/>
        <v>192.47</v>
      </c>
      <c r="AA96">
        <v>46561299</v>
      </c>
      <c r="AB96">
        <f t="shared" si="83"/>
        <v>2828.49</v>
      </c>
      <c r="AC96">
        <f t="shared" si="103"/>
        <v>1022.11</v>
      </c>
      <c r="AD96">
        <f t="shared" si="104"/>
        <v>144.28</v>
      </c>
      <c r="AE96">
        <f t="shared" si="105"/>
        <v>50</v>
      </c>
      <c r="AF96">
        <f t="shared" si="106"/>
        <v>1662.1</v>
      </c>
      <c r="AG96">
        <f t="shared" si="85"/>
        <v>0</v>
      </c>
      <c r="AH96">
        <f t="shared" si="107"/>
        <v>6.11</v>
      </c>
      <c r="AI96">
        <f t="shared" si="108"/>
        <v>0</v>
      </c>
      <c r="AJ96">
        <f t="shared" si="87"/>
        <v>0</v>
      </c>
      <c r="AK96">
        <v>2828.49</v>
      </c>
      <c r="AL96">
        <v>1022.11</v>
      </c>
      <c r="AM96">
        <v>144.28</v>
      </c>
      <c r="AN96">
        <v>50</v>
      </c>
      <c r="AO96">
        <v>1662.1</v>
      </c>
      <c r="AP96">
        <v>0</v>
      </c>
      <c r="AQ96">
        <v>6.11</v>
      </c>
      <c r="AR96">
        <v>0</v>
      </c>
      <c r="AS96">
        <v>0</v>
      </c>
      <c r="AT96">
        <v>70</v>
      </c>
      <c r="AU96">
        <v>10</v>
      </c>
      <c r="AV96">
        <v>1</v>
      </c>
      <c r="AW96">
        <v>1</v>
      </c>
      <c r="AZ96">
        <v>1</v>
      </c>
      <c r="BA96">
        <v>1</v>
      </c>
      <c r="BB96">
        <v>1</v>
      </c>
      <c r="BC96">
        <v>1</v>
      </c>
      <c r="BD96" t="s">
        <v>3</v>
      </c>
      <c r="BE96" t="s">
        <v>3</v>
      </c>
      <c r="BF96" t="s">
        <v>3</v>
      </c>
      <c r="BG96" t="s">
        <v>3</v>
      </c>
      <c r="BH96">
        <v>0</v>
      </c>
      <c r="BI96">
        <v>4</v>
      </c>
      <c r="BJ96" t="s">
        <v>91</v>
      </c>
      <c r="BM96">
        <v>0</v>
      </c>
      <c r="BN96">
        <v>0</v>
      </c>
      <c r="BO96" t="s">
        <v>3</v>
      </c>
      <c r="BP96">
        <v>0</v>
      </c>
      <c r="BQ96">
        <v>1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 t="s">
        <v>3</v>
      </c>
      <c r="BZ96">
        <v>70</v>
      </c>
      <c r="CA96">
        <v>10</v>
      </c>
      <c r="CE96">
        <v>0</v>
      </c>
      <c r="CF96">
        <v>0</v>
      </c>
      <c r="CG96">
        <v>0</v>
      </c>
      <c r="CM96">
        <v>0</v>
      </c>
      <c r="CN96" t="s">
        <v>3</v>
      </c>
      <c r="CO96">
        <v>0</v>
      </c>
      <c r="CP96">
        <f t="shared" si="88"/>
        <v>3275.39</v>
      </c>
      <c r="CQ96">
        <f t="shared" si="89"/>
        <v>1022.11</v>
      </c>
      <c r="CR96">
        <f t="shared" si="109"/>
        <v>144.28</v>
      </c>
      <c r="CS96">
        <f t="shared" si="90"/>
        <v>50</v>
      </c>
      <c r="CT96">
        <f t="shared" si="91"/>
        <v>1662.1</v>
      </c>
      <c r="CU96">
        <f t="shared" si="92"/>
        <v>0</v>
      </c>
      <c r="CV96">
        <f t="shared" si="93"/>
        <v>6.11</v>
      </c>
      <c r="CW96">
        <f t="shared" si="94"/>
        <v>0</v>
      </c>
      <c r="CX96">
        <f t="shared" si="95"/>
        <v>0</v>
      </c>
      <c r="CY96">
        <f t="shared" si="96"/>
        <v>1347.297</v>
      </c>
      <c r="CZ96">
        <f t="shared" si="97"/>
        <v>192.47099999999998</v>
      </c>
      <c r="DC96" t="s">
        <v>3</v>
      </c>
      <c r="DD96" t="s">
        <v>3</v>
      </c>
      <c r="DE96" t="s">
        <v>3</v>
      </c>
      <c r="DF96" t="s">
        <v>3</v>
      </c>
      <c r="DG96" t="s">
        <v>3</v>
      </c>
      <c r="DH96" t="s">
        <v>3</v>
      </c>
      <c r="DI96" t="s">
        <v>3</v>
      </c>
      <c r="DJ96" t="s">
        <v>3</v>
      </c>
      <c r="DK96" t="s">
        <v>3</v>
      </c>
      <c r="DL96" t="s">
        <v>3</v>
      </c>
      <c r="DM96" t="s">
        <v>3</v>
      </c>
      <c r="DN96">
        <v>0</v>
      </c>
      <c r="DO96">
        <v>0</v>
      </c>
      <c r="DP96">
        <v>1</v>
      </c>
      <c r="DQ96">
        <v>1</v>
      </c>
      <c r="DU96">
        <v>1005</v>
      </c>
      <c r="DV96" t="s">
        <v>90</v>
      </c>
      <c r="DW96" t="s">
        <v>90</v>
      </c>
      <c r="DX96">
        <v>100</v>
      </c>
      <c r="EE96">
        <v>46035301</v>
      </c>
      <c r="EF96">
        <v>1</v>
      </c>
      <c r="EG96" t="s">
        <v>19</v>
      </c>
      <c r="EH96">
        <v>0</v>
      </c>
      <c r="EI96" t="s">
        <v>3</v>
      </c>
      <c r="EJ96">
        <v>4</v>
      </c>
      <c r="EK96">
        <v>0</v>
      </c>
      <c r="EL96" t="s">
        <v>20</v>
      </c>
      <c r="EM96" t="s">
        <v>21</v>
      </c>
      <c r="EO96" t="s">
        <v>3</v>
      </c>
      <c r="EQ96">
        <v>0</v>
      </c>
      <c r="ER96">
        <v>2828.49</v>
      </c>
      <c r="ES96">
        <v>1022.11</v>
      </c>
      <c r="ET96">
        <v>144.28</v>
      </c>
      <c r="EU96">
        <v>50</v>
      </c>
      <c r="EV96">
        <v>1662.1</v>
      </c>
      <c r="EW96">
        <v>6.11</v>
      </c>
      <c r="EX96">
        <v>0</v>
      </c>
      <c r="EY96">
        <v>0</v>
      </c>
      <c r="FQ96">
        <v>0</v>
      </c>
      <c r="FR96">
        <f t="shared" si="98"/>
        <v>0</v>
      </c>
      <c r="FS96">
        <v>0</v>
      </c>
      <c r="FX96">
        <v>70</v>
      </c>
      <c r="FY96">
        <v>10</v>
      </c>
      <c r="GA96" t="s">
        <v>3</v>
      </c>
      <c r="GD96">
        <v>0</v>
      </c>
      <c r="GF96">
        <v>-1014157109</v>
      </c>
      <c r="GG96">
        <v>2</v>
      </c>
      <c r="GH96">
        <v>1</v>
      </c>
      <c r="GI96">
        <v>-2</v>
      </c>
      <c r="GJ96">
        <v>0</v>
      </c>
      <c r="GK96">
        <f>ROUND(R96*(R12)/100,2)</f>
        <v>62.53</v>
      </c>
      <c r="GL96">
        <f t="shared" si="99"/>
        <v>0</v>
      </c>
      <c r="GM96">
        <f t="shared" si="110"/>
        <v>4877.6899999999996</v>
      </c>
      <c r="GN96">
        <f t="shared" si="111"/>
        <v>0</v>
      </c>
      <c r="GO96">
        <f t="shared" si="112"/>
        <v>0</v>
      </c>
      <c r="GP96">
        <f t="shared" si="113"/>
        <v>4877.6899999999996</v>
      </c>
      <c r="GR96">
        <v>0</v>
      </c>
      <c r="GS96">
        <v>3</v>
      </c>
      <c r="GT96">
        <v>0</v>
      </c>
      <c r="GU96" t="s">
        <v>3</v>
      </c>
      <c r="GV96">
        <f t="shared" si="100"/>
        <v>0</v>
      </c>
      <c r="GW96">
        <v>1</v>
      </c>
      <c r="GX96">
        <f t="shared" si="101"/>
        <v>0</v>
      </c>
      <c r="HA96">
        <v>0</v>
      </c>
      <c r="HB96">
        <v>0</v>
      </c>
      <c r="HC96">
        <f t="shared" si="102"/>
        <v>0</v>
      </c>
      <c r="IK96">
        <v>0</v>
      </c>
    </row>
    <row r="97" spans="1:245" x14ac:dyDescent="0.2">
      <c r="A97">
        <v>17</v>
      </c>
      <c r="B97">
        <v>1</v>
      </c>
      <c r="C97">
        <f>ROW(SmtRes!A100)</f>
        <v>100</v>
      </c>
      <c r="D97">
        <f>ROW(EtalonRes!A88)</f>
        <v>88</v>
      </c>
      <c r="E97" t="s">
        <v>169</v>
      </c>
      <c r="F97" t="s">
        <v>93</v>
      </c>
      <c r="G97" t="s">
        <v>94</v>
      </c>
      <c r="H97" t="s">
        <v>90</v>
      </c>
      <c r="I97">
        <v>1.1579999999999999</v>
      </c>
      <c r="J97">
        <v>0</v>
      </c>
      <c r="O97">
        <f t="shared" si="72"/>
        <v>1850.03</v>
      </c>
      <c r="P97">
        <f t="shared" si="73"/>
        <v>1205.95</v>
      </c>
      <c r="Q97">
        <f t="shared" si="74"/>
        <v>7.92</v>
      </c>
      <c r="R97">
        <f t="shared" si="75"/>
        <v>4.3</v>
      </c>
      <c r="S97">
        <f t="shared" si="76"/>
        <v>636.16</v>
      </c>
      <c r="T97">
        <f t="shared" si="77"/>
        <v>0</v>
      </c>
      <c r="U97">
        <f t="shared" si="78"/>
        <v>2.8371</v>
      </c>
      <c r="V97">
        <f t="shared" si="79"/>
        <v>0</v>
      </c>
      <c r="W97">
        <f t="shared" si="80"/>
        <v>0</v>
      </c>
      <c r="X97">
        <f t="shared" si="81"/>
        <v>445.31</v>
      </c>
      <c r="Y97">
        <f t="shared" si="82"/>
        <v>63.62</v>
      </c>
      <c r="AA97">
        <v>46561299</v>
      </c>
      <c r="AB97">
        <f t="shared" si="83"/>
        <v>1597.61</v>
      </c>
      <c r="AC97">
        <f t="shared" si="103"/>
        <v>1041.4100000000001</v>
      </c>
      <c r="AD97">
        <f t="shared" si="104"/>
        <v>6.84</v>
      </c>
      <c r="AE97">
        <f t="shared" si="105"/>
        <v>3.71</v>
      </c>
      <c r="AF97">
        <f t="shared" si="106"/>
        <v>549.36</v>
      </c>
      <c r="AG97">
        <f t="shared" si="85"/>
        <v>0</v>
      </c>
      <c r="AH97">
        <f t="shared" si="107"/>
        <v>2.4500000000000002</v>
      </c>
      <c r="AI97">
        <f t="shared" si="108"/>
        <v>0</v>
      </c>
      <c r="AJ97">
        <f t="shared" si="87"/>
        <v>0</v>
      </c>
      <c r="AK97">
        <v>1597.61</v>
      </c>
      <c r="AL97">
        <v>1041.4100000000001</v>
      </c>
      <c r="AM97">
        <v>6.84</v>
      </c>
      <c r="AN97">
        <v>3.71</v>
      </c>
      <c r="AO97">
        <v>549.36</v>
      </c>
      <c r="AP97">
        <v>0</v>
      </c>
      <c r="AQ97">
        <v>2.4500000000000002</v>
      </c>
      <c r="AR97">
        <v>0</v>
      </c>
      <c r="AS97">
        <v>0</v>
      </c>
      <c r="AT97">
        <v>70</v>
      </c>
      <c r="AU97">
        <v>10</v>
      </c>
      <c r="AV97">
        <v>1</v>
      </c>
      <c r="AW97">
        <v>1</v>
      </c>
      <c r="AZ97">
        <v>1</v>
      </c>
      <c r="BA97">
        <v>1</v>
      </c>
      <c r="BB97">
        <v>1</v>
      </c>
      <c r="BC97">
        <v>1</v>
      </c>
      <c r="BD97" t="s">
        <v>3</v>
      </c>
      <c r="BE97" t="s">
        <v>3</v>
      </c>
      <c r="BF97" t="s">
        <v>3</v>
      </c>
      <c r="BG97" t="s">
        <v>3</v>
      </c>
      <c r="BH97">
        <v>0</v>
      </c>
      <c r="BI97">
        <v>4</v>
      </c>
      <c r="BJ97" t="s">
        <v>95</v>
      </c>
      <c r="BM97">
        <v>0</v>
      </c>
      <c r="BN97">
        <v>0</v>
      </c>
      <c r="BO97" t="s">
        <v>3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 t="s">
        <v>3</v>
      </c>
      <c r="BZ97">
        <v>70</v>
      </c>
      <c r="CA97">
        <v>10</v>
      </c>
      <c r="CE97">
        <v>0</v>
      </c>
      <c r="CF97">
        <v>0</v>
      </c>
      <c r="CG97">
        <v>0</v>
      </c>
      <c r="CM97">
        <v>0</v>
      </c>
      <c r="CN97" t="s">
        <v>3</v>
      </c>
      <c r="CO97">
        <v>0</v>
      </c>
      <c r="CP97">
        <f t="shared" si="88"/>
        <v>1850.0300000000002</v>
      </c>
      <c r="CQ97">
        <f t="shared" si="89"/>
        <v>1041.4100000000001</v>
      </c>
      <c r="CR97">
        <f t="shared" si="109"/>
        <v>6.84</v>
      </c>
      <c r="CS97">
        <f t="shared" si="90"/>
        <v>3.71</v>
      </c>
      <c r="CT97">
        <f t="shared" si="91"/>
        <v>549.36</v>
      </c>
      <c r="CU97">
        <f t="shared" si="92"/>
        <v>0</v>
      </c>
      <c r="CV97">
        <f t="shared" si="93"/>
        <v>2.4500000000000002</v>
      </c>
      <c r="CW97">
        <f t="shared" si="94"/>
        <v>0</v>
      </c>
      <c r="CX97">
        <f t="shared" si="95"/>
        <v>0</v>
      </c>
      <c r="CY97">
        <f t="shared" si="96"/>
        <v>445.31199999999995</v>
      </c>
      <c r="CZ97">
        <f t="shared" si="97"/>
        <v>63.615999999999993</v>
      </c>
      <c r="DC97" t="s">
        <v>3</v>
      </c>
      <c r="DD97" t="s">
        <v>3</v>
      </c>
      <c r="DE97" t="s">
        <v>3</v>
      </c>
      <c r="DF97" t="s">
        <v>3</v>
      </c>
      <c r="DG97" t="s">
        <v>3</v>
      </c>
      <c r="DH97" t="s">
        <v>3</v>
      </c>
      <c r="DI97" t="s">
        <v>3</v>
      </c>
      <c r="DJ97" t="s">
        <v>3</v>
      </c>
      <c r="DK97" t="s">
        <v>3</v>
      </c>
      <c r="DL97" t="s">
        <v>3</v>
      </c>
      <c r="DM97" t="s">
        <v>3</v>
      </c>
      <c r="DN97">
        <v>0</v>
      </c>
      <c r="DO97">
        <v>0</v>
      </c>
      <c r="DP97">
        <v>1</v>
      </c>
      <c r="DQ97">
        <v>1</v>
      </c>
      <c r="DU97">
        <v>1005</v>
      </c>
      <c r="DV97" t="s">
        <v>90</v>
      </c>
      <c r="DW97" t="s">
        <v>90</v>
      </c>
      <c r="DX97">
        <v>100</v>
      </c>
      <c r="EE97">
        <v>46035301</v>
      </c>
      <c r="EF97">
        <v>1</v>
      </c>
      <c r="EG97" t="s">
        <v>19</v>
      </c>
      <c r="EH97">
        <v>0</v>
      </c>
      <c r="EI97" t="s">
        <v>3</v>
      </c>
      <c r="EJ97">
        <v>4</v>
      </c>
      <c r="EK97">
        <v>0</v>
      </c>
      <c r="EL97" t="s">
        <v>20</v>
      </c>
      <c r="EM97" t="s">
        <v>21</v>
      </c>
      <c r="EO97" t="s">
        <v>3</v>
      </c>
      <c r="EQ97">
        <v>0</v>
      </c>
      <c r="ER97">
        <v>1597.61</v>
      </c>
      <c r="ES97">
        <v>1041.4100000000001</v>
      </c>
      <c r="ET97">
        <v>6.84</v>
      </c>
      <c r="EU97">
        <v>3.71</v>
      </c>
      <c r="EV97">
        <v>549.36</v>
      </c>
      <c r="EW97">
        <v>2.4500000000000002</v>
      </c>
      <c r="EX97">
        <v>0</v>
      </c>
      <c r="EY97">
        <v>0</v>
      </c>
      <c r="FQ97">
        <v>0</v>
      </c>
      <c r="FR97">
        <f t="shared" si="98"/>
        <v>0</v>
      </c>
      <c r="FS97">
        <v>0</v>
      </c>
      <c r="FX97">
        <v>70</v>
      </c>
      <c r="FY97">
        <v>10</v>
      </c>
      <c r="GA97" t="s">
        <v>3</v>
      </c>
      <c r="GD97">
        <v>0</v>
      </c>
      <c r="GF97">
        <v>-1319810598</v>
      </c>
      <c r="GG97">
        <v>2</v>
      </c>
      <c r="GH97">
        <v>1</v>
      </c>
      <c r="GI97">
        <v>-2</v>
      </c>
      <c r="GJ97">
        <v>0</v>
      </c>
      <c r="GK97">
        <f>ROUND(R97*(R12)/100,2)</f>
        <v>4.6399999999999997</v>
      </c>
      <c r="GL97">
        <f t="shared" si="99"/>
        <v>0</v>
      </c>
      <c r="GM97">
        <f t="shared" si="110"/>
        <v>2363.6</v>
      </c>
      <c r="GN97">
        <f t="shared" si="111"/>
        <v>0</v>
      </c>
      <c r="GO97">
        <f t="shared" si="112"/>
        <v>0</v>
      </c>
      <c r="GP97">
        <f t="shared" si="113"/>
        <v>2363.6</v>
      </c>
      <c r="GR97">
        <v>0</v>
      </c>
      <c r="GS97">
        <v>3</v>
      </c>
      <c r="GT97">
        <v>0</v>
      </c>
      <c r="GU97" t="s">
        <v>3</v>
      </c>
      <c r="GV97">
        <f t="shared" si="100"/>
        <v>0</v>
      </c>
      <c r="GW97">
        <v>1</v>
      </c>
      <c r="GX97">
        <f t="shared" si="101"/>
        <v>0</v>
      </c>
      <c r="HA97">
        <v>0</v>
      </c>
      <c r="HB97">
        <v>0</v>
      </c>
      <c r="HC97">
        <f t="shared" si="102"/>
        <v>0</v>
      </c>
      <c r="IK97">
        <v>0</v>
      </c>
    </row>
    <row r="99" spans="1:245" x14ac:dyDescent="0.2">
      <c r="A99" s="2">
        <v>51</v>
      </c>
      <c r="B99" s="2">
        <f>B76</f>
        <v>1</v>
      </c>
      <c r="C99" s="2">
        <f>A76</f>
        <v>4</v>
      </c>
      <c r="D99" s="2">
        <f>ROW(A76)</f>
        <v>76</v>
      </c>
      <c r="E99" s="2"/>
      <c r="F99" s="2" t="str">
        <f>IF(F76&lt;&gt;"",F76,"")</f>
        <v>Новый раздел</v>
      </c>
      <c r="G99" s="2" t="str">
        <f>IF(G76&lt;&gt;"",G76,"")</f>
        <v>Установка ограждения - Участок 2</v>
      </c>
      <c r="H99" s="2">
        <v>0</v>
      </c>
      <c r="I99" s="2"/>
      <c r="J99" s="2"/>
      <c r="K99" s="2"/>
      <c r="L99" s="2"/>
      <c r="M99" s="2"/>
      <c r="N99" s="2"/>
      <c r="O99" s="2">
        <f t="shared" ref="O99:T99" si="114">ROUND(AB99,2)</f>
        <v>314849.56</v>
      </c>
      <c r="P99" s="2">
        <f t="shared" si="114"/>
        <v>161727.91</v>
      </c>
      <c r="Q99" s="2">
        <f t="shared" si="114"/>
        <v>55432.93</v>
      </c>
      <c r="R99" s="2">
        <f t="shared" si="114"/>
        <v>35099.19</v>
      </c>
      <c r="S99" s="2">
        <f t="shared" si="114"/>
        <v>97688.72</v>
      </c>
      <c r="T99" s="2">
        <f t="shared" si="114"/>
        <v>0</v>
      </c>
      <c r="U99" s="2">
        <f>AH99</f>
        <v>369.76844</v>
      </c>
      <c r="V99" s="2">
        <f>AI99</f>
        <v>0</v>
      </c>
      <c r="W99" s="2">
        <f>ROUND(AJ99,2)</f>
        <v>0</v>
      </c>
      <c r="X99" s="2">
        <f>ROUND(AK99,2)</f>
        <v>68382.11</v>
      </c>
      <c r="Y99" s="2">
        <f>ROUND(AL99,2)</f>
        <v>9768.8799999999992</v>
      </c>
      <c r="Z99" s="2"/>
      <c r="AA99" s="2"/>
      <c r="AB99" s="2">
        <f>ROUND(SUMIF(AA80:AA97,"=46561299",O80:O97),2)</f>
        <v>314849.56</v>
      </c>
      <c r="AC99" s="2">
        <f>ROUND(SUMIF(AA80:AA97,"=46561299",P80:P97),2)</f>
        <v>161727.91</v>
      </c>
      <c r="AD99" s="2">
        <f>ROUND(SUMIF(AA80:AA97,"=46561299",Q80:Q97),2)</f>
        <v>55432.93</v>
      </c>
      <c r="AE99" s="2">
        <f>ROUND(SUMIF(AA80:AA97,"=46561299",R80:R97),2)</f>
        <v>35099.19</v>
      </c>
      <c r="AF99" s="2">
        <f>ROUND(SUMIF(AA80:AA97,"=46561299",S80:S97),2)</f>
        <v>97688.72</v>
      </c>
      <c r="AG99" s="2">
        <f>ROUND(SUMIF(AA80:AA97,"=46561299",T80:T97),2)</f>
        <v>0</v>
      </c>
      <c r="AH99" s="2">
        <f>SUMIF(AA80:AA97,"=46561299",U80:U97)</f>
        <v>369.76844</v>
      </c>
      <c r="AI99" s="2">
        <f>SUMIF(AA80:AA97,"=46561299",V80:V97)</f>
        <v>0</v>
      </c>
      <c r="AJ99" s="2">
        <f>ROUND(SUMIF(AA80:AA97,"=46561299",W80:W97),2)</f>
        <v>0</v>
      </c>
      <c r="AK99" s="2">
        <f>ROUND(SUMIF(AA80:AA97,"=46561299",X80:X97),2)</f>
        <v>68382.11</v>
      </c>
      <c r="AL99" s="2">
        <f>ROUND(SUMIF(AA80:AA97,"=46561299",Y80:Y97),2)</f>
        <v>9768.8799999999992</v>
      </c>
      <c r="AM99" s="2"/>
      <c r="AN99" s="2"/>
      <c r="AO99" s="2">
        <f t="shared" ref="AO99:BC99" si="115">ROUND(BX99,2)</f>
        <v>0</v>
      </c>
      <c r="AP99" s="2">
        <f t="shared" si="115"/>
        <v>0</v>
      </c>
      <c r="AQ99" s="2">
        <f t="shared" si="115"/>
        <v>0</v>
      </c>
      <c r="AR99" s="2">
        <f t="shared" si="115"/>
        <v>430091.6</v>
      </c>
      <c r="AS99" s="2">
        <f t="shared" si="115"/>
        <v>0</v>
      </c>
      <c r="AT99" s="2">
        <f t="shared" si="115"/>
        <v>0</v>
      </c>
      <c r="AU99" s="2">
        <f t="shared" si="115"/>
        <v>430091.6</v>
      </c>
      <c r="AV99" s="2">
        <f t="shared" si="115"/>
        <v>161727.91</v>
      </c>
      <c r="AW99" s="2">
        <f t="shared" si="115"/>
        <v>161727.91</v>
      </c>
      <c r="AX99" s="2">
        <f t="shared" si="115"/>
        <v>0</v>
      </c>
      <c r="AY99" s="2">
        <f t="shared" si="115"/>
        <v>161727.91</v>
      </c>
      <c r="AZ99" s="2">
        <f t="shared" si="115"/>
        <v>0</v>
      </c>
      <c r="BA99" s="2">
        <f t="shared" si="115"/>
        <v>0</v>
      </c>
      <c r="BB99" s="2">
        <f t="shared" si="115"/>
        <v>0</v>
      </c>
      <c r="BC99" s="2">
        <f t="shared" si="115"/>
        <v>0</v>
      </c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>
        <f>ROUND(SUMIF(AA80:AA97,"=46561299",FQ80:FQ97),2)</f>
        <v>0</v>
      </c>
      <c r="BY99" s="2">
        <f>ROUND(SUMIF(AA80:AA97,"=46561299",FR80:FR97),2)</f>
        <v>0</v>
      </c>
      <c r="BZ99" s="2">
        <f>ROUND(SUMIF(AA80:AA97,"=46561299",GL80:GL97),2)</f>
        <v>0</v>
      </c>
      <c r="CA99" s="2">
        <f>ROUND(SUMIF(AA80:AA97,"=46561299",GM80:GM97),2)</f>
        <v>430091.6</v>
      </c>
      <c r="CB99" s="2">
        <f>ROUND(SUMIF(AA80:AA97,"=46561299",GN80:GN97),2)</f>
        <v>0</v>
      </c>
      <c r="CC99" s="2">
        <f>ROUND(SUMIF(AA80:AA97,"=46561299",GO80:GO97),2)</f>
        <v>0</v>
      </c>
      <c r="CD99" s="2">
        <f>ROUND(SUMIF(AA80:AA97,"=46561299",GP80:GP97),2)</f>
        <v>430091.6</v>
      </c>
      <c r="CE99" s="2">
        <f>AC99-BX99</f>
        <v>161727.91</v>
      </c>
      <c r="CF99" s="2">
        <f>AC99-BY99</f>
        <v>161727.91</v>
      </c>
      <c r="CG99" s="2">
        <f>BX99-BZ99</f>
        <v>0</v>
      </c>
      <c r="CH99" s="2">
        <f>AC99-BX99-BY99+BZ99</f>
        <v>161727.91</v>
      </c>
      <c r="CI99" s="2">
        <f>BY99-BZ99</f>
        <v>0</v>
      </c>
      <c r="CJ99" s="2">
        <f>ROUND(SUMIF(AA80:AA97,"=46561299",GX80:GX97),2)</f>
        <v>0</v>
      </c>
      <c r="CK99" s="2">
        <f>ROUND(SUMIF(AA80:AA97,"=46561299",GY80:GY97),2)</f>
        <v>0</v>
      </c>
      <c r="CL99" s="2">
        <f>ROUND(SUMIF(AA80:AA97,"=46561299",GZ80:GZ97),2)</f>
        <v>0</v>
      </c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>
        <v>0</v>
      </c>
    </row>
    <row r="101" spans="1:245" x14ac:dyDescent="0.2">
      <c r="A101" s="4">
        <v>50</v>
      </c>
      <c r="B101" s="4">
        <v>0</v>
      </c>
      <c r="C101" s="4">
        <v>0</v>
      </c>
      <c r="D101" s="4">
        <v>1</v>
      </c>
      <c r="E101" s="4">
        <v>201</v>
      </c>
      <c r="F101" s="4">
        <f>ROUND(Source!O99,O101)</f>
        <v>314849.56</v>
      </c>
      <c r="G101" s="4" t="s">
        <v>96</v>
      </c>
      <c r="H101" s="4" t="s">
        <v>97</v>
      </c>
      <c r="I101" s="4"/>
      <c r="J101" s="4"/>
      <c r="K101" s="4">
        <v>201</v>
      </c>
      <c r="L101" s="4">
        <v>1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45" x14ac:dyDescent="0.2">
      <c r="A102" s="4">
        <v>50</v>
      </c>
      <c r="B102" s="4">
        <v>0</v>
      </c>
      <c r="C102" s="4">
        <v>0</v>
      </c>
      <c r="D102" s="4">
        <v>1</v>
      </c>
      <c r="E102" s="4">
        <v>202</v>
      </c>
      <c r="F102" s="4">
        <f>ROUND(Source!P99,O102)</f>
        <v>161727.91</v>
      </c>
      <c r="G102" s="4" t="s">
        <v>98</v>
      </c>
      <c r="H102" s="4" t="s">
        <v>99</v>
      </c>
      <c r="I102" s="4"/>
      <c r="J102" s="4"/>
      <c r="K102" s="4">
        <v>202</v>
      </c>
      <c r="L102" s="4">
        <v>2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45" x14ac:dyDescent="0.2">
      <c r="A103" s="4">
        <v>50</v>
      </c>
      <c r="B103" s="4">
        <v>0</v>
      </c>
      <c r="C103" s="4">
        <v>0</v>
      </c>
      <c r="D103" s="4">
        <v>1</v>
      </c>
      <c r="E103" s="4">
        <v>222</v>
      </c>
      <c r="F103" s="4">
        <f>ROUND(Source!AO99,O103)</f>
        <v>0</v>
      </c>
      <c r="G103" s="4" t="s">
        <v>100</v>
      </c>
      <c r="H103" s="4" t="s">
        <v>101</v>
      </c>
      <c r="I103" s="4"/>
      <c r="J103" s="4"/>
      <c r="K103" s="4">
        <v>222</v>
      </c>
      <c r="L103" s="4">
        <v>3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45" x14ac:dyDescent="0.2">
      <c r="A104" s="4">
        <v>50</v>
      </c>
      <c r="B104" s="4">
        <v>0</v>
      </c>
      <c r="C104" s="4">
        <v>0</v>
      </c>
      <c r="D104" s="4">
        <v>1</v>
      </c>
      <c r="E104" s="4">
        <v>225</v>
      </c>
      <c r="F104" s="4">
        <f>ROUND(Source!AV99,O104)</f>
        <v>161727.91</v>
      </c>
      <c r="G104" s="4" t="s">
        <v>102</v>
      </c>
      <c r="H104" s="4" t="s">
        <v>103</v>
      </c>
      <c r="I104" s="4"/>
      <c r="J104" s="4"/>
      <c r="K104" s="4">
        <v>225</v>
      </c>
      <c r="L104" s="4">
        <v>4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45" x14ac:dyDescent="0.2">
      <c r="A105" s="4">
        <v>50</v>
      </c>
      <c r="B105" s="4">
        <v>0</v>
      </c>
      <c r="C105" s="4">
        <v>0</v>
      </c>
      <c r="D105" s="4">
        <v>1</v>
      </c>
      <c r="E105" s="4">
        <v>226</v>
      </c>
      <c r="F105" s="4">
        <f>ROUND(Source!AW99,O105)</f>
        <v>161727.91</v>
      </c>
      <c r="G105" s="4" t="s">
        <v>104</v>
      </c>
      <c r="H105" s="4" t="s">
        <v>105</v>
      </c>
      <c r="I105" s="4"/>
      <c r="J105" s="4"/>
      <c r="K105" s="4">
        <v>226</v>
      </c>
      <c r="L105" s="4">
        <v>5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45" x14ac:dyDescent="0.2">
      <c r="A106" s="4">
        <v>50</v>
      </c>
      <c r="B106" s="4">
        <v>0</v>
      </c>
      <c r="C106" s="4">
        <v>0</v>
      </c>
      <c r="D106" s="4">
        <v>1</v>
      </c>
      <c r="E106" s="4">
        <v>227</v>
      </c>
      <c r="F106" s="4">
        <f>ROUND(Source!AX99,O106)</f>
        <v>0</v>
      </c>
      <c r="G106" s="4" t="s">
        <v>106</v>
      </c>
      <c r="H106" s="4" t="s">
        <v>107</v>
      </c>
      <c r="I106" s="4"/>
      <c r="J106" s="4"/>
      <c r="K106" s="4">
        <v>227</v>
      </c>
      <c r="L106" s="4">
        <v>6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45" x14ac:dyDescent="0.2">
      <c r="A107" s="4">
        <v>50</v>
      </c>
      <c r="B107" s="4">
        <v>0</v>
      </c>
      <c r="C107" s="4">
        <v>0</v>
      </c>
      <c r="D107" s="4">
        <v>1</v>
      </c>
      <c r="E107" s="4">
        <v>228</v>
      </c>
      <c r="F107" s="4">
        <f>ROUND(Source!AY99,O107)</f>
        <v>161727.91</v>
      </c>
      <c r="G107" s="4" t="s">
        <v>108</v>
      </c>
      <c r="H107" s="4" t="s">
        <v>109</v>
      </c>
      <c r="I107" s="4"/>
      <c r="J107" s="4"/>
      <c r="K107" s="4">
        <v>228</v>
      </c>
      <c r="L107" s="4">
        <v>7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45" x14ac:dyDescent="0.2">
      <c r="A108" s="4">
        <v>50</v>
      </c>
      <c r="B108" s="4">
        <v>0</v>
      </c>
      <c r="C108" s="4">
        <v>0</v>
      </c>
      <c r="D108" s="4">
        <v>1</v>
      </c>
      <c r="E108" s="4">
        <v>216</v>
      </c>
      <c r="F108" s="4">
        <f>ROUND(Source!AP99,O108)</f>
        <v>0</v>
      </c>
      <c r="G108" s="4" t="s">
        <v>110</v>
      </c>
      <c r="H108" s="4" t="s">
        <v>111</v>
      </c>
      <c r="I108" s="4"/>
      <c r="J108" s="4"/>
      <c r="K108" s="4">
        <v>216</v>
      </c>
      <c r="L108" s="4">
        <v>8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45" x14ac:dyDescent="0.2">
      <c r="A109" s="4">
        <v>50</v>
      </c>
      <c r="B109" s="4">
        <v>0</v>
      </c>
      <c r="C109" s="4">
        <v>0</v>
      </c>
      <c r="D109" s="4">
        <v>1</v>
      </c>
      <c r="E109" s="4">
        <v>223</v>
      </c>
      <c r="F109" s="4">
        <f>ROUND(Source!AQ99,O109)</f>
        <v>0</v>
      </c>
      <c r="G109" s="4" t="s">
        <v>112</v>
      </c>
      <c r="H109" s="4" t="s">
        <v>113</v>
      </c>
      <c r="I109" s="4"/>
      <c r="J109" s="4"/>
      <c r="K109" s="4">
        <v>223</v>
      </c>
      <c r="L109" s="4">
        <v>9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45" x14ac:dyDescent="0.2">
      <c r="A110" s="4">
        <v>50</v>
      </c>
      <c r="B110" s="4">
        <v>0</v>
      </c>
      <c r="C110" s="4">
        <v>0</v>
      </c>
      <c r="D110" s="4">
        <v>1</v>
      </c>
      <c r="E110" s="4">
        <v>229</v>
      </c>
      <c r="F110" s="4">
        <f>ROUND(Source!AZ99,O110)</f>
        <v>0</v>
      </c>
      <c r="G110" s="4" t="s">
        <v>114</v>
      </c>
      <c r="H110" s="4" t="s">
        <v>115</v>
      </c>
      <c r="I110" s="4"/>
      <c r="J110" s="4"/>
      <c r="K110" s="4">
        <v>229</v>
      </c>
      <c r="L110" s="4">
        <v>10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45" x14ac:dyDescent="0.2">
      <c r="A111" s="4">
        <v>50</v>
      </c>
      <c r="B111" s="4">
        <v>0</v>
      </c>
      <c r="C111" s="4">
        <v>0</v>
      </c>
      <c r="D111" s="4">
        <v>1</v>
      </c>
      <c r="E111" s="4">
        <v>203</v>
      </c>
      <c r="F111" s="4">
        <f>ROUND(Source!Q99,O111)</f>
        <v>55432.93</v>
      </c>
      <c r="G111" s="4" t="s">
        <v>116</v>
      </c>
      <c r="H111" s="4" t="s">
        <v>117</v>
      </c>
      <c r="I111" s="4"/>
      <c r="J111" s="4"/>
      <c r="K111" s="4">
        <v>203</v>
      </c>
      <c r="L111" s="4">
        <v>11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45" x14ac:dyDescent="0.2">
      <c r="A112" s="4">
        <v>50</v>
      </c>
      <c r="B112" s="4">
        <v>0</v>
      </c>
      <c r="C112" s="4">
        <v>0</v>
      </c>
      <c r="D112" s="4">
        <v>1</v>
      </c>
      <c r="E112" s="4">
        <v>231</v>
      </c>
      <c r="F112" s="4">
        <f>ROUND(Source!BB99,O112)</f>
        <v>0</v>
      </c>
      <c r="G112" s="4" t="s">
        <v>118</v>
      </c>
      <c r="H112" s="4" t="s">
        <v>119</v>
      </c>
      <c r="I112" s="4"/>
      <c r="J112" s="4"/>
      <c r="K112" s="4">
        <v>231</v>
      </c>
      <c r="L112" s="4">
        <v>12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88" x14ac:dyDescent="0.2">
      <c r="A113" s="4">
        <v>50</v>
      </c>
      <c r="B113" s="4">
        <v>0</v>
      </c>
      <c r="C113" s="4">
        <v>0</v>
      </c>
      <c r="D113" s="4">
        <v>1</v>
      </c>
      <c r="E113" s="4">
        <v>204</v>
      </c>
      <c r="F113" s="4">
        <f>ROUND(Source!R99,O113)</f>
        <v>35099.19</v>
      </c>
      <c r="G113" s="4" t="s">
        <v>120</v>
      </c>
      <c r="H113" s="4" t="s">
        <v>121</v>
      </c>
      <c r="I113" s="4"/>
      <c r="J113" s="4"/>
      <c r="K113" s="4">
        <v>204</v>
      </c>
      <c r="L113" s="4">
        <v>13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88" x14ac:dyDescent="0.2">
      <c r="A114" s="4">
        <v>50</v>
      </c>
      <c r="B114" s="4">
        <v>0</v>
      </c>
      <c r="C114" s="4">
        <v>0</v>
      </c>
      <c r="D114" s="4">
        <v>1</v>
      </c>
      <c r="E114" s="4">
        <v>205</v>
      </c>
      <c r="F114" s="4">
        <f>ROUND(Source!S99,O114)</f>
        <v>97688.72</v>
      </c>
      <c r="G114" s="4" t="s">
        <v>122</v>
      </c>
      <c r="H114" s="4" t="s">
        <v>123</v>
      </c>
      <c r="I114" s="4"/>
      <c r="J114" s="4"/>
      <c r="K114" s="4">
        <v>205</v>
      </c>
      <c r="L114" s="4">
        <v>14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88" x14ac:dyDescent="0.2">
      <c r="A115" s="4">
        <v>50</v>
      </c>
      <c r="B115" s="4">
        <v>0</v>
      </c>
      <c r="C115" s="4">
        <v>0</v>
      </c>
      <c r="D115" s="4">
        <v>1</v>
      </c>
      <c r="E115" s="4">
        <v>232</v>
      </c>
      <c r="F115" s="4">
        <f>ROUND(Source!BC99,O115)</f>
        <v>0</v>
      </c>
      <c r="G115" s="4" t="s">
        <v>124</v>
      </c>
      <c r="H115" s="4" t="s">
        <v>125</v>
      </c>
      <c r="I115" s="4"/>
      <c r="J115" s="4"/>
      <c r="K115" s="4">
        <v>232</v>
      </c>
      <c r="L115" s="4">
        <v>15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88" x14ac:dyDescent="0.2">
      <c r="A116" s="4">
        <v>50</v>
      </c>
      <c r="B116" s="4">
        <v>0</v>
      </c>
      <c r="C116" s="4">
        <v>0</v>
      </c>
      <c r="D116" s="4">
        <v>1</v>
      </c>
      <c r="E116" s="4">
        <v>214</v>
      </c>
      <c r="F116" s="4">
        <f>ROUND(Source!AS99,O116)</f>
        <v>0</v>
      </c>
      <c r="G116" s="4" t="s">
        <v>126</v>
      </c>
      <c r="H116" s="4" t="s">
        <v>127</v>
      </c>
      <c r="I116" s="4"/>
      <c r="J116" s="4"/>
      <c r="K116" s="4">
        <v>214</v>
      </c>
      <c r="L116" s="4">
        <v>16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88" x14ac:dyDescent="0.2">
      <c r="A117" s="4">
        <v>50</v>
      </c>
      <c r="B117" s="4">
        <v>0</v>
      </c>
      <c r="C117" s="4">
        <v>0</v>
      </c>
      <c r="D117" s="4">
        <v>1</v>
      </c>
      <c r="E117" s="4">
        <v>215</v>
      </c>
      <c r="F117" s="4">
        <f>ROUND(Source!AT99,O117)</f>
        <v>0</v>
      </c>
      <c r="G117" s="4" t="s">
        <v>128</v>
      </c>
      <c r="H117" s="4" t="s">
        <v>129</v>
      </c>
      <c r="I117" s="4"/>
      <c r="J117" s="4"/>
      <c r="K117" s="4">
        <v>215</v>
      </c>
      <c r="L117" s="4">
        <v>17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88" x14ac:dyDescent="0.2">
      <c r="A118" s="4">
        <v>50</v>
      </c>
      <c r="B118" s="4">
        <v>0</v>
      </c>
      <c r="C118" s="4">
        <v>0</v>
      </c>
      <c r="D118" s="4">
        <v>1</v>
      </c>
      <c r="E118" s="4">
        <v>217</v>
      </c>
      <c r="F118" s="4">
        <f>ROUND(Source!AU99,O118)</f>
        <v>430091.6</v>
      </c>
      <c r="G118" s="4" t="s">
        <v>130</v>
      </c>
      <c r="H118" s="4" t="s">
        <v>131</v>
      </c>
      <c r="I118" s="4"/>
      <c r="J118" s="4"/>
      <c r="K118" s="4">
        <v>217</v>
      </c>
      <c r="L118" s="4">
        <v>18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88" x14ac:dyDescent="0.2">
      <c r="A119" s="4">
        <v>50</v>
      </c>
      <c r="B119" s="4">
        <v>0</v>
      </c>
      <c r="C119" s="4">
        <v>0</v>
      </c>
      <c r="D119" s="4">
        <v>1</v>
      </c>
      <c r="E119" s="4">
        <v>230</v>
      </c>
      <c r="F119" s="4">
        <f>ROUND(Source!BA99,O119)</f>
        <v>0</v>
      </c>
      <c r="G119" s="4" t="s">
        <v>132</v>
      </c>
      <c r="H119" s="4" t="s">
        <v>133</v>
      </c>
      <c r="I119" s="4"/>
      <c r="J119" s="4"/>
      <c r="K119" s="4">
        <v>230</v>
      </c>
      <c r="L119" s="4">
        <v>19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88" x14ac:dyDescent="0.2">
      <c r="A120" s="4">
        <v>50</v>
      </c>
      <c r="B120" s="4">
        <v>0</v>
      </c>
      <c r="C120" s="4">
        <v>0</v>
      </c>
      <c r="D120" s="4">
        <v>1</v>
      </c>
      <c r="E120" s="4">
        <v>206</v>
      </c>
      <c r="F120" s="4">
        <f>ROUND(Source!T99,O120)</f>
        <v>0</v>
      </c>
      <c r="G120" s="4" t="s">
        <v>134</v>
      </c>
      <c r="H120" s="4" t="s">
        <v>135</v>
      </c>
      <c r="I120" s="4"/>
      <c r="J120" s="4"/>
      <c r="K120" s="4">
        <v>206</v>
      </c>
      <c r="L120" s="4">
        <v>20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88" x14ac:dyDescent="0.2">
      <c r="A121" s="4">
        <v>50</v>
      </c>
      <c r="B121" s="4">
        <v>0</v>
      </c>
      <c r="C121" s="4">
        <v>0</v>
      </c>
      <c r="D121" s="4">
        <v>1</v>
      </c>
      <c r="E121" s="4">
        <v>207</v>
      </c>
      <c r="F121" s="4">
        <f>Source!U99</f>
        <v>369.76844</v>
      </c>
      <c r="G121" s="4" t="s">
        <v>136</v>
      </c>
      <c r="H121" s="4" t="s">
        <v>137</v>
      </c>
      <c r="I121" s="4"/>
      <c r="J121" s="4"/>
      <c r="K121" s="4">
        <v>207</v>
      </c>
      <c r="L121" s="4">
        <v>21</v>
      </c>
      <c r="M121" s="4">
        <v>3</v>
      </c>
      <c r="N121" s="4" t="s">
        <v>3</v>
      </c>
      <c r="O121" s="4">
        <v>-1</v>
      </c>
      <c r="P121" s="4"/>
      <c r="Q121" s="4"/>
      <c r="R121" s="4"/>
      <c r="S121" s="4"/>
      <c r="T121" s="4"/>
      <c r="U121" s="4"/>
      <c r="V121" s="4"/>
      <c r="W121" s="4"/>
    </row>
    <row r="122" spans="1:88" x14ac:dyDescent="0.2">
      <c r="A122" s="4">
        <v>50</v>
      </c>
      <c r="B122" s="4">
        <v>0</v>
      </c>
      <c r="C122" s="4">
        <v>0</v>
      </c>
      <c r="D122" s="4">
        <v>1</v>
      </c>
      <c r="E122" s="4">
        <v>208</v>
      </c>
      <c r="F122" s="4">
        <f>Source!V99</f>
        <v>0</v>
      </c>
      <c r="G122" s="4" t="s">
        <v>138</v>
      </c>
      <c r="H122" s="4" t="s">
        <v>139</v>
      </c>
      <c r="I122" s="4"/>
      <c r="J122" s="4"/>
      <c r="K122" s="4">
        <v>208</v>
      </c>
      <c r="L122" s="4">
        <v>22</v>
      </c>
      <c r="M122" s="4">
        <v>3</v>
      </c>
      <c r="N122" s="4" t="s">
        <v>3</v>
      </c>
      <c r="O122" s="4">
        <v>-1</v>
      </c>
      <c r="P122" s="4"/>
      <c r="Q122" s="4"/>
      <c r="R122" s="4"/>
      <c r="S122" s="4"/>
      <c r="T122" s="4"/>
      <c r="U122" s="4"/>
      <c r="V122" s="4"/>
      <c r="W122" s="4"/>
    </row>
    <row r="123" spans="1:88" x14ac:dyDescent="0.2">
      <c r="A123" s="4">
        <v>50</v>
      </c>
      <c r="B123" s="4">
        <v>0</v>
      </c>
      <c r="C123" s="4">
        <v>0</v>
      </c>
      <c r="D123" s="4">
        <v>1</v>
      </c>
      <c r="E123" s="4">
        <v>209</v>
      </c>
      <c r="F123" s="4">
        <f>ROUND(Source!W99,O123)</f>
        <v>0</v>
      </c>
      <c r="G123" s="4" t="s">
        <v>140</v>
      </c>
      <c r="H123" s="4" t="s">
        <v>141</v>
      </c>
      <c r="I123" s="4"/>
      <c r="J123" s="4"/>
      <c r="K123" s="4">
        <v>209</v>
      </c>
      <c r="L123" s="4">
        <v>23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88" x14ac:dyDescent="0.2">
      <c r="A124" s="4">
        <v>50</v>
      </c>
      <c r="B124" s="4">
        <v>0</v>
      </c>
      <c r="C124" s="4">
        <v>0</v>
      </c>
      <c r="D124" s="4">
        <v>1</v>
      </c>
      <c r="E124" s="4">
        <v>210</v>
      </c>
      <c r="F124" s="4">
        <f>ROUND(Source!X99,O124)</f>
        <v>68382.11</v>
      </c>
      <c r="G124" s="4" t="s">
        <v>142</v>
      </c>
      <c r="H124" s="4" t="s">
        <v>143</v>
      </c>
      <c r="I124" s="4"/>
      <c r="J124" s="4"/>
      <c r="K124" s="4">
        <v>210</v>
      </c>
      <c r="L124" s="4">
        <v>24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88" x14ac:dyDescent="0.2">
      <c r="A125" s="4">
        <v>50</v>
      </c>
      <c r="B125" s="4">
        <v>0</v>
      </c>
      <c r="C125" s="4">
        <v>0</v>
      </c>
      <c r="D125" s="4">
        <v>1</v>
      </c>
      <c r="E125" s="4">
        <v>211</v>
      </c>
      <c r="F125" s="4">
        <f>ROUND(Source!Y99,O125)</f>
        <v>9768.8799999999992</v>
      </c>
      <c r="G125" s="4" t="s">
        <v>144</v>
      </c>
      <c r="H125" s="4" t="s">
        <v>145</v>
      </c>
      <c r="I125" s="4"/>
      <c r="J125" s="4"/>
      <c r="K125" s="4">
        <v>211</v>
      </c>
      <c r="L125" s="4">
        <v>25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88" x14ac:dyDescent="0.2">
      <c r="A126" s="4">
        <v>50</v>
      </c>
      <c r="B126" s="4">
        <v>0</v>
      </c>
      <c r="C126" s="4">
        <v>0</v>
      </c>
      <c r="D126" s="4">
        <v>1</v>
      </c>
      <c r="E126" s="4">
        <v>224</v>
      </c>
      <c r="F126" s="4">
        <f>ROUND(Source!AR99,O126)</f>
        <v>430091.6</v>
      </c>
      <c r="G126" s="4" t="s">
        <v>146</v>
      </c>
      <c r="H126" s="4" t="s">
        <v>147</v>
      </c>
      <c r="I126" s="4"/>
      <c r="J126" s="4"/>
      <c r="K126" s="4">
        <v>224</v>
      </c>
      <c r="L126" s="4">
        <v>26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8" spans="1:88" x14ac:dyDescent="0.2">
      <c r="A128" s="1">
        <v>4</v>
      </c>
      <c r="B128" s="1">
        <v>1</v>
      </c>
      <c r="C128" s="1"/>
      <c r="D128" s="1">
        <f>ROW(A162)</f>
        <v>162</v>
      </c>
      <c r="E128" s="1"/>
      <c r="F128" s="1" t="s">
        <v>12</v>
      </c>
      <c r="G128" s="1" t="s">
        <v>170</v>
      </c>
      <c r="H128" s="1" t="s">
        <v>3</v>
      </c>
      <c r="I128" s="1">
        <v>0</v>
      </c>
      <c r="J128" s="1"/>
      <c r="K128" s="1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 t="s">
        <v>3</v>
      </c>
      <c r="V128" s="1">
        <v>0</v>
      </c>
      <c r="W128" s="1"/>
      <c r="X128" s="1"/>
      <c r="Y128" s="1"/>
      <c r="Z128" s="1"/>
      <c r="AA128" s="1"/>
      <c r="AB128" s="1" t="s">
        <v>3</v>
      </c>
      <c r="AC128" s="1" t="s">
        <v>3</v>
      </c>
      <c r="AD128" s="1" t="s">
        <v>3</v>
      </c>
      <c r="AE128" s="1" t="s">
        <v>3</v>
      </c>
      <c r="AF128" s="1" t="s">
        <v>3</v>
      </c>
      <c r="AG128" s="1" t="s">
        <v>3</v>
      </c>
      <c r="AH128" s="1"/>
      <c r="AI128" s="1"/>
      <c r="AJ128" s="1"/>
      <c r="AK128" s="1"/>
      <c r="AL128" s="1"/>
      <c r="AM128" s="1"/>
      <c r="AN128" s="1"/>
      <c r="AO128" s="1"/>
      <c r="AP128" s="1" t="s">
        <v>3</v>
      </c>
      <c r="AQ128" s="1" t="s">
        <v>3</v>
      </c>
      <c r="AR128" s="1" t="s">
        <v>3</v>
      </c>
      <c r="AS128" s="1"/>
      <c r="AT128" s="1"/>
      <c r="AU128" s="1"/>
      <c r="AV128" s="1"/>
      <c r="AW128" s="1"/>
      <c r="AX128" s="1"/>
      <c r="AY128" s="1"/>
      <c r="AZ128" s="1" t="s">
        <v>3</v>
      </c>
      <c r="BA128" s="1"/>
      <c r="BB128" s="1" t="s">
        <v>3</v>
      </c>
      <c r="BC128" s="1" t="s">
        <v>3</v>
      </c>
      <c r="BD128" s="1" t="s">
        <v>3</v>
      </c>
      <c r="BE128" s="1" t="s">
        <v>3</v>
      </c>
      <c r="BF128" s="1" t="s">
        <v>3</v>
      </c>
      <c r="BG128" s="1" t="s">
        <v>3</v>
      </c>
      <c r="BH128" s="1" t="s">
        <v>3</v>
      </c>
      <c r="BI128" s="1" t="s">
        <v>3</v>
      </c>
      <c r="BJ128" s="1" t="s">
        <v>3</v>
      </c>
      <c r="BK128" s="1" t="s">
        <v>3</v>
      </c>
      <c r="BL128" s="1" t="s">
        <v>3</v>
      </c>
      <c r="BM128" s="1" t="s">
        <v>3</v>
      </c>
      <c r="BN128" s="1" t="s">
        <v>3</v>
      </c>
      <c r="BO128" s="1" t="s">
        <v>3</v>
      </c>
      <c r="BP128" s="1" t="s">
        <v>3</v>
      </c>
      <c r="BQ128" s="1"/>
      <c r="BR128" s="1"/>
      <c r="BS128" s="1"/>
      <c r="BT128" s="1"/>
      <c r="BU128" s="1"/>
      <c r="BV128" s="1"/>
      <c r="BW128" s="1"/>
      <c r="BX128" s="1">
        <v>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>
        <v>0</v>
      </c>
    </row>
    <row r="130" spans="1:245" x14ac:dyDescent="0.2">
      <c r="A130" s="2">
        <v>52</v>
      </c>
      <c r="B130" s="2">
        <f t="shared" ref="B130:G130" si="116">B162</f>
        <v>1</v>
      </c>
      <c r="C130" s="2">
        <f t="shared" si="116"/>
        <v>4</v>
      </c>
      <c r="D130" s="2">
        <f t="shared" si="116"/>
        <v>128</v>
      </c>
      <c r="E130" s="2">
        <f t="shared" si="116"/>
        <v>0</v>
      </c>
      <c r="F130" s="2" t="str">
        <f t="shared" si="116"/>
        <v>Новый раздел</v>
      </c>
      <c r="G130" s="2" t="str">
        <f t="shared" si="116"/>
        <v>Установка ограждения - Участок 3</v>
      </c>
      <c r="H130" s="2"/>
      <c r="I130" s="2"/>
      <c r="J130" s="2"/>
      <c r="K130" s="2"/>
      <c r="L130" s="2"/>
      <c r="M130" s="2"/>
      <c r="N130" s="2"/>
      <c r="O130" s="2">
        <f t="shared" ref="O130:AT130" si="117">O162</f>
        <v>327367.31</v>
      </c>
      <c r="P130" s="2">
        <f t="shared" si="117"/>
        <v>157421.32999999999</v>
      </c>
      <c r="Q130" s="2">
        <f t="shared" si="117"/>
        <v>59107.96</v>
      </c>
      <c r="R130" s="2">
        <f t="shared" si="117"/>
        <v>37564</v>
      </c>
      <c r="S130" s="2">
        <f t="shared" si="117"/>
        <v>110838.02</v>
      </c>
      <c r="T130" s="2">
        <f t="shared" si="117"/>
        <v>0</v>
      </c>
      <c r="U130" s="2">
        <f t="shared" si="117"/>
        <v>425.39542500000005</v>
      </c>
      <c r="V130" s="2">
        <f t="shared" si="117"/>
        <v>0</v>
      </c>
      <c r="W130" s="2">
        <f t="shared" si="117"/>
        <v>0</v>
      </c>
      <c r="X130" s="2">
        <f t="shared" si="117"/>
        <v>77586.61</v>
      </c>
      <c r="Y130" s="2">
        <f t="shared" si="117"/>
        <v>11083.81</v>
      </c>
      <c r="Z130" s="2">
        <f t="shared" si="117"/>
        <v>0</v>
      </c>
      <c r="AA130" s="2">
        <f t="shared" si="117"/>
        <v>0</v>
      </c>
      <c r="AB130" s="2">
        <f t="shared" si="117"/>
        <v>327367.31</v>
      </c>
      <c r="AC130" s="2">
        <f t="shared" si="117"/>
        <v>157421.32999999999</v>
      </c>
      <c r="AD130" s="2">
        <f t="shared" si="117"/>
        <v>59107.96</v>
      </c>
      <c r="AE130" s="2">
        <f t="shared" si="117"/>
        <v>37564</v>
      </c>
      <c r="AF130" s="2">
        <f t="shared" si="117"/>
        <v>110838.02</v>
      </c>
      <c r="AG130" s="2">
        <f t="shared" si="117"/>
        <v>0</v>
      </c>
      <c r="AH130" s="2">
        <f t="shared" si="117"/>
        <v>425.39542500000005</v>
      </c>
      <c r="AI130" s="2">
        <f t="shared" si="117"/>
        <v>0</v>
      </c>
      <c r="AJ130" s="2">
        <f t="shared" si="117"/>
        <v>0</v>
      </c>
      <c r="AK130" s="2">
        <f t="shared" si="117"/>
        <v>77586.61</v>
      </c>
      <c r="AL130" s="2">
        <f t="shared" si="117"/>
        <v>11083.81</v>
      </c>
      <c r="AM130" s="2">
        <f t="shared" si="117"/>
        <v>0</v>
      </c>
      <c r="AN130" s="2">
        <f t="shared" si="117"/>
        <v>0</v>
      </c>
      <c r="AO130" s="2">
        <f t="shared" si="117"/>
        <v>0</v>
      </c>
      <c r="AP130" s="2">
        <f t="shared" si="117"/>
        <v>0</v>
      </c>
      <c r="AQ130" s="2">
        <f t="shared" si="117"/>
        <v>0</v>
      </c>
      <c r="AR130" s="2">
        <f t="shared" si="117"/>
        <v>456167.43</v>
      </c>
      <c r="AS130" s="2">
        <f t="shared" si="117"/>
        <v>0</v>
      </c>
      <c r="AT130" s="2">
        <f t="shared" si="117"/>
        <v>0</v>
      </c>
      <c r="AU130" s="2">
        <f t="shared" ref="AU130:BZ130" si="118">AU162</f>
        <v>456167.43</v>
      </c>
      <c r="AV130" s="2">
        <f t="shared" si="118"/>
        <v>157421.32999999999</v>
      </c>
      <c r="AW130" s="2">
        <f t="shared" si="118"/>
        <v>157421.32999999999</v>
      </c>
      <c r="AX130" s="2">
        <f t="shared" si="118"/>
        <v>0</v>
      </c>
      <c r="AY130" s="2">
        <f t="shared" si="118"/>
        <v>157421.32999999999</v>
      </c>
      <c r="AZ130" s="2">
        <f t="shared" si="118"/>
        <v>0</v>
      </c>
      <c r="BA130" s="2">
        <f t="shared" si="118"/>
        <v>0</v>
      </c>
      <c r="BB130" s="2">
        <f t="shared" si="118"/>
        <v>0</v>
      </c>
      <c r="BC130" s="2">
        <f t="shared" si="118"/>
        <v>0</v>
      </c>
      <c r="BD130" s="2">
        <f t="shared" si="118"/>
        <v>0</v>
      </c>
      <c r="BE130" s="2">
        <f t="shared" si="118"/>
        <v>0</v>
      </c>
      <c r="BF130" s="2">
        <f t="shared" si="118"/>
        <v>0</v>
      </c>
      <c r="BG130" s="2">
        <f t="shared" si="118"/>
        <v>0</v>
      </c>
      <c r="BH130" s="2">
        <f t="shared" si="118"/>
        <v>0</v>
      </c>
      <c r="BI130" s="2">
        <f t="shared" si="118"/>
        <v>0</v>
      </c>
      <c r="BJ130" s="2">
        <f t="shared" si="118"/>
        <v>0</v>
      </c>
      <c r="BK130" s="2">
        <f t="shared" si="118"/>
        <v>0</v>
      </c>
      <c r="BL130" s="2">
        <f t="shared" si="118"/>
        <v>0</v>
      </c>
      <c r="BM130" s="2">
        <f t="shared" si="118"/>
        <v>0</v>
      </c>
      <c r="BN130" s="2">
        <f t="shared" si="118"/>
        <v>0</v>
      </c>
      <c r="BO130" s="2">
        <f t="shared" si="118"/>
        <v>0</v>
      </c>
      <c r="BP130" s="2">
        <f t="shared" si="118"/>
        <v>0</v>
      </c>
      <c r="BQ130" s="2">
        <f t="shared" si="118"/>
        <v>0</v>
      </c>
      <c r="BR130" s="2">
        <f t="shared" si="118"/>
        <v>0</v>
      </c>
      <c r="BS130" s="2">
        <f t="shared" si="118"/>
        <v>0</v>
      </c>
      <c r="BT130" s="2">
        <f t="shared" si="118"/>
        <v>0</v>
      </c>
      <c r="BU130" s="2">
        <f t="shared" si="118"/>
        <v>0</v>
      </c>
      <c r="BV130" s="2">
        <f t="shared" si="118"/>
        <v>0</v>
      </c>
      <c r="BW130" s="2">
        <f t="shared" si="118"/>
        <v>0</v>
      </c>
      <c r="BX130" s="2">
        <f t="shared" si="118"/>
        <v>0</v>
      </c>
      <c r="BY130" s="2">
        <f t="shared" si="118"/>
        <v>0</v>
      </c>
      <c r="BZ130" s="2">
        <f t="shared" si="118"/>
        <v>0</v>
      </c>
      <c r="CA130" s="2">
        <f t="shared" ref="CA130:DF130" si="119">CA162</f>
        <v>456167.43</v>
      </c>
      <c r="CB130" s="2">
        <f t="shared" si="119"/>
        <v>0</v>
      </c>
      <c r="CC130" s="2">
        <f t="shared" si="119"/>
        <v>0</v>
      </c>
      <c r="CD130" s="2">
        <f t="shared" si="119"/>
        <v>456167.43</v>
      </c>
      <c r="CE130" s="2">
        <f t="shared" si="119"/>
        <v>157421.32999999999</v>
      </c>
      <c r="CF130" s="2">
        <f t="shared" si="119"/>
        <v>157421.32999999999</v>
      </c>
      <c r="CG130" s="2">
        <f t="shared" si="119"/>
        <v>0</v>
      </c>
      <c r="CH130" s="2">
        <f t="shared" si="119"/>
        <v>157421.32999999999</v>
      </c>
      <c r="CI130" s="2">
        <f t="shared" si="119"/>
        <v>0</v>
      </c>
      <c r="CJ130" s="2">
        <f t="shared" si="119"/>
        <v>0</v>
      </c>
      <c r="CK130" s="2">
        <f t="shared" si="119"/>
        <v>0</v>
      </c>
      <c r="CL130" s="2">
        <f t="shared" si="119"/>
        <v>0</v>
      </c>
      <c r="CM130" s="2">
        <f t="shared" si="119"/>
        <v>0</v>
      </c>
      <c r="CN130" s="2">
        <f t="shared" si="119"/>
        <v>0</v>
      </c>
      <c r="CO130" s="2">
        <f t="shared" si="119"/>
        <v>0</v>
      </c>
      <c r="CP130" s="2">
        <f t="shared" si="119"/>
        <v>0</v>
      </c>
      <c r="CQ130" s="2">
        <f t="shared" si="119"/>
        <v>0</v>
      </c>
      <c r="CR130" s="2">
        <f t="shared" si="119"/>
        <v>0</v>
      </c>
      <c r="CS130" s="2">
        <f t="shared" si="119"/>
        <v>0</v>
      </c>
      <c r="CT130" s="2">
        <f t="shared" si="119"/>
        <v>0</v>
      </c>
      <c r="CU130" s="2">
        <f t="shared" si="119"/>
        <v>0</v>
      </c>
      <c r="CV130" s="2">
        <f t="shared" si="119"/>
        <v>0</v>
      </c>
      <c r="CW130" s="2">
        <f t="shared" si="119"/>
        <v>0</v>
      </c>
      <c r="CX130" s="2">
        <f t="shared" si="119"/>
        <v>0</v>
      </c>
      <c r="CY130" s="2">
        <f t="shared" si="119"/>
        <v>0</v>
      </c>
      <c r="CZ130" s="2">
        <f t="shared" si="119"/>
        <v>0</v>
      </c>
      <c r="DA130" s="2">
        <f t="shared" si="119"/>
        <v>0</v>
      </c>
      <c r="DB130" s="2">
        <f t="shared" si="119"/>
        <v>0</v>
      </c>
      <c r="DC130" s="2">
        <f t="shared" si="119"/>
        <v>0</v>
      </c>
      <c r="DD130" s="2">
        <f t="shared" si="119"/>
        <v>0</v>
      </c>
      <c r="DE130" s="2">
        <f t="shared" si="119"/>
        <v>0</v>
      </c>
      <c r="DF130" s="2">
        <f t="shared" si="119"/>
        <v>0</v>
      </c>
      <c r="DG130" s="3">
        <f t="shared" ref="DG130:EL130" si="120">DG162</f>
        <v>0</v>
      </c>
      <c r="DH130" s="3">
        <f t="shared" si="120"/>
        <v>0</v>
      </c>
      <c r="DI130" s="3">
        <f t="shared" si="120"/>
        <v>0</v>
      </c>
      <c r="DJ130" s="3">
        <f t="shared" si="120"/>
        <v>0</v>
      </c>
      <c r="DK130" s="3">
        <f t="shared" si="120"/>
        <v>0</v>
      </c>
      <c r="DL130" s="3">
        <f t="shared" si="120"/>
        <v>0</v>
      </c>
      <c r="DM130" s="3">
        <f t="shared" si="120"/>
        <v>0</v>
      </c>
      <c r="DN130" s="3">
        <f t="shared" si="120"/>
        <v>0</v>
      </c>
      <c r="DO130" s="3">
        <f t="shared" si="120"/>
        <v>0</v>
      </c>
      <c r="DP130" s="3">
        <f t="shared" si="120"/>
        <v>0</v>
      </c>
      <c r="DQ130" s="3">
        <f t="shared" si="120"/>
        <v>0</v>
      </c>
      <c r="DR130" s="3">
        <f t="shared" si="120"/>
        <v>0</v>
      </c>
      <c r="DS130" s="3">
        <f t="shared" si="120"/>
        <v>0</v>
      </c>
      <c r="DT130" s="3">
        <f t="shared" si="120"/>
        <v>0</v>
      </c>
      <c r="DU130" s="3">
        <f t="shared" si="120"/>
        <v>0</v>
      </c>
      <c r="DV130" s="3">
        <f t="shared" si="120"/>
        <v>0</v>
      </c>
      <c r="DW130" s="3">
        <f t="shared" si="120"/>
        <v>0</v>
      </c>
      <c r="DX130" s="3">
        <f t="shared" si="120"/>
        <v>0</v>
      </c>
      <c r="DY130" s="3">
        <f t="shared" si="120"/>
        <v>0</v>
      </c>
      <c r="DZ130" s="3">
        <f t="shared" si="120"/>
        <v>0</v>
      </c>
      <c r="EA130" s="3">
        <f t="shared" si="120"/>
        <v>0</v>
      </c>
      <c r="EB130" s="3">
        <f t="shared" si="120"/>
        <v>0</v>
      </c>
      <c r="EC130" s="3">
        <f t="shared" si="120"/>
        <v>0</v>
      </c>
      <c r="ED130" s="3">
        <f t="shared" si="120"/>
        <v>0</v>
      </c>
      <c r="EE130" s="3">
        <f t="shared" si="120"/>
        <v>0</v>
      </c>
      <c r="EF130" s="3">
        <f t="shared" si="120"/>
        <v>0</v>
      </c>
      <c r="EG130" s="3">
        <f t="shared" si="120"/>
        <v>0</v>
      </c>
      <c r="EH130" s="3">
        <f t="shared" si="120"/>
        <v>0</v>
      </c>
      <c r="EI130" s="3">
        <f t="shared" si="120"/>
        <v>0</v>
      </c>
      <c r="EJ130" s="3">
        <f t="shared" si="120"/>
        <v>0</v>
      </c>
      <c r="EK130" s="3">
        <f t="shared" si="120"/>
        <v>0</v>
      </c>
      <c r="EL130" s="3">
        <f t="shared" si="120"/>
        <v>0</v>
      </c>
      <c r="EM130" s="3">
        <f t="shared" ref="EM130:FR130" si="121">EM162</f>
        <v>0</v>
      </c>
      <c r="EN130" s="3">
        <f t="shared" si="121"/>
        <v>0</v>
      </c>
      <c r="EO130" s="3">
        <f t="shared" si="121"/>
        <v>0</v>
      </c>
      <c r="EP130" s="3">
        <f t="shared" si="121"/>
        <v>0</v>
      </c>
      <c r="EQ130" s="3">
        <f t="shared" si="121"/>
        <v>0</v>
      </c>
      <c r="ER130" s="3">
        <f t="shared" si="121"/>
        <v>0</v>
      </c>
      <c r="ES130" s="3">
        <f t="shared" si="121"/>
        <v>0</v>
      </c>
      <c r="ET130" s="3">
        <f t="shared" si="121"/>
        <v>0</v>
      </c>
      <c r="EU130" s="3">
        <f t="shared" si="121"/>
        <v>0</v>
      </c>
      <c r="EV130" s="3">
        <f t="shared" si="121"/>
        <v>0</v>
      </c>
      <c r="EW130" s="3">
        <f t="shared" si="121"/>
        <v>0</v>
      </c>
      <c r="EX130" s="3">
        <f t="shared" si="121"/>
        <v>0</v>
      </c>
      <c r="EY130" s="3">
        <f t="shared" si="121"/>
        <v>0</v>
      </c>
      <c r="EZ130" s="3">
        <f t="shared" si="121"/>
        <v>0</v>
      </c>
      <c r="FA130" s="3">
        <f t="shared" si="121"/>
        <v>0</v>
      </c>
      <c r="FB130" s="3">
        <f t="shared" si="121"/>
        <v>0</v>
      </c>
      <c r="FC130" s="3">
        <f t="shared" si="121"/>
        <v>0</v>
      </c>
      <c r="FD130" s="3">
        <f t="shared" si="121"/>
        <v>0</v>
      </c>
      <c r="FE130" s="3">
        <f t="shared" si="121"/>
        <v>0</v>
      </c>
      <c r="FF130" s="3">
        <f t="shared" si="121"/>
        <v>0</v>
      </c>
      <c r="FG130" s="3">
        <f t="shared" si="121"/>
        <v>0</v>
      </c>
      <c r="FH130" s="3">
        <f t="shared" si="121"/>
        <v>0</v>
      </c>
      <c r="FI130" s="3">
        <f t="shared" si="121"/>
        <v>0</v>
      </c>
      <c r="FJ130" s="3">
        <f t="shared" si="121"/>
        <v>0</v>
      </c>
      <c r="FK130" s="3">
        <f t="shared" si="121"/>
        <v>0</v>
      </c>
      <c r="FL130" s="3">
        <f t="shared" si="121"/>
        <v>0</v>
      </c>
      <c r="FM130" s="3">
        <f t="shared" si="121"/>
        <v>0</v>
      </c>
      <c r="FN130" s="3">
        <f t="shared" si="121"/>
        <v>0</v>
      </c>
      <c r="FO130" s="3">
        <f t="shared" si="121"/>
        <v>0</v>
      </c>
      <c r="FP130" s="3">
        <f t="shared" si="121"/>
        <v>0</v>
      </c>
      <c r="FQ130" s="3">
        <f t="shared" si="121"/>
        <v>0</v>
      </c>
      <c r="FR130" s="3">
        <f t="shared" si="121"/>
        <v>0</v>
      </c>
      <c r="FS130" s="3">
        <f t="shared" ref="FS130:GX130" si="122">FS162</f>
        <v>0</v>
      </c>
      <c r="FT130" s="3">
        <f t="shared" si="122"/>
        <v>0</v>
      </c>
      <c r="FU130" s="3">
        <f t="shared" si="122"/>
        <v>0</v>
      </c>
      <c r="FV130" s="3">
        <f t="shared" si="122"/>
        <v>0</v>
      </c>
      <c r="FW130" s="3">
        <f t="shared" si="122"/>
        <v>0</v>
      </c>
      <c r="FX130" s="3">
        <f t="shared" si="122"/>
        <v>0</v>
      </c>
      <c r="FY130" s="3">
        <f t="shared" si="122"/>
        <v>0</v>
      </c>
      <c r="FZ130" s="3">
        <f t="shared" si="122"/>
        <v>0</v>
      </c>
      <c r="GA130" s="3">
        <f t="shared" si="122"/>
        <v>0</v>
      </c>
      <c r="GB130" s="3">
        <f t="shared" si="122"/>
        <v>0</v>
      </c>
      <c r="GC130" s="3">
        <f t="shared" si="122"/>
        <v>0</v>
      </c>
      <c r="GD130" s="3">
        <f t="shared" si="122"/>
        <v>0</v>
      </c>
      <c r="GE130" s="3">
        <f t="shared" si="122"/>
        <v>0</v>
      </c>
      <c r="GF130" s="3">
        <f t="shared" si="122"/>
        <v>0</v>
      </c>
      <c r="GG130" s="3">
        <f t="shared" si="122"/>
        <v>0</v>
      </c>
      <c r="GH130" s="3">
        <f t="shared" si="122"/>
        <v>0</v>
      </c>
      <c r="GI130" s="3">
        <f t="shared" si="122"/>
        <v>0</v>
      </c>
      <c r="GJ130" s="3">
        <f t="shared" si="122"/>
        <v>0</v>
      </c>
      <c r="GK130" s="3">
        <f t="shared" si="122"/>
        <v>0</v>
      </c>
      <c r="GL130" s="3">
        <f t="shared" si="122"/>
        <v>0</v>
      </c>
      <c r="GM130" s="3">
        <f t="shared" si="122"/>
        <v>0</v>
      </c>
      <c r="GN130" s="3">
        <f t="shared" si="122"/>
        <v>0</v>
      </c>
      <c r="GO130" s="3">
        <f t="shared" si="122"/>
        <v>0</v>
      </c>
      <c r="GP130" s="3">
        <f t="shared" si="122"/>
        <v>0</v>
      </c>
      <c r="GQ130" s="3">
        <f t="shared" si="122"/>
        <v>0</v>
      </c>
      <c r="GR130" s="3">
        <f t="shared" si="122"/>
        <v>0</v>
      </c>
      <c r="GS130" s="3">
        <f t="shared" si="122"/>
        <v>0</v>
      </c>
      <c r="GT130" s="3">
        <f t="shared" si="122"/>
        <v>0</v>
      </c>
      <c r="GU130" s="3">
        <f t="shared" si="122"/>
        <v>0</v>
      </c>
      <c r="GV130" s="3">
        <f t="shared" si="122"/>
        <v>0</v>
      </c>
      <c r="GW130" s="3">
        <f t="shared" si="122"/>
        <v>0</v>
      </c>
      <c r="GX130" s="3">
        <f t="shared" si="122"/>
        <v>0</v>
      </c>
    </row>
    <row r="132" spans="1:245" x14ac:dyDescent="0.2">
      <c r="A132">
        <v>17</v>
      </c>
      <c r="B132">
        <v>1</v>
      </c>
      <c r="C132">
        <f>ROW(SmtRes!A108)</f>
        <v>108</v>
      </c>
      <c r="D132">
        <f>ROW(EtalonRes!A96)</f>
        <v>96</v>
      </c>
      <c r="E132" t="s">
        <v>171</v>
      </c>
      <c r="F132" t="s">
        <v>59</v>
      </c>
      <c r="G132" t="s">
        <v>172</v>
      </c>
      <c r="H132" t="s">
        <v>40</v>
      </c>
      <c r="I132">
        <v>73.099999999999994</v>
      </c>
      <c r="J132">
        <v>0</v>
      </c>
      <c r="O132">
        <f t="shared" ref="O132:O160" si="123">ROUND(CP132,2)</f>
        <v>18411.990000000002</v>
      </c>
      <c r="P132">
        <f t="shared" ref="P132:P160" si="124">ROUND(CQ132*I132,2)</f>
        <v>0</v>
      </c>
      <c r="Q132">
        <f t="shared" ref="Q132:Q160" si="125">ROUND(CR132*I132,2)</f>
        <v>6787.63</v>
      </c>
      <c r="R132">
        <f t="shared" ref="R132:R160" si="126">ROUND(CS132*I132,2)</f>
        <v>4327.2299999999996</v>
      </c>
      <c r="S132">
        <f t="shared" ref="S132:S160" si="127">ROUND(CT132*I132,2)</f>
        <v>11624.36</v>
      </c>
      <c r="T132">
        <f t="shared" ref="T132:T160" si="128">ROUND(CU132*I132,2)</f>
        <v>0</v>
      </c>
      <c r="U132">
        <f t="shared" ref="U132:U160" si="129">CV132*I132</f>
        <v>43.421400000000006</v>
      </c>
      <c r="V132">
        <f t="shared" ref="V132:V160" si="130">CW132*I132</f>
        <v>0</v>
      </c>
      <c r="W132">
        <f t="shared" ref="W132:W160" si="131">ROUND(CX132*I132,2)</f>
        <v>0</v>
      </c>
      <c r="X132">
        <f t="shared" ref="X132:X160" si="132">ROUND(CY132,2)</f>
        <v>8137.05</v>
      </c>
      <c r="Y132">
        <f t="shared" ref="Y132:Y160" si="133">ROUND(CZ132,2)</f>
        <v>1162.44</v>
      </c>
      <c r="AA132">
        <v>46561299</v>
      </c>
      <c r="AB132">
        <f t="shared" ref="AB132:AB160" si="134">ROUND((AC132+AD132+AF132),6)</f>
        <v>251.874</v>
      </c>
      <c r="AC132">
        <f>ROUND(((ES132*0)),6)</f>
        <v>0</v>
      </c>
      <c r="AD132">
        <f>ROUND(((((ET132*0.2))-((EU132*0.2)))+AE132),6)</f>
        <v>92.853999999999999</v>
      </c>
      <c r="AE132">
        <f>ROUND(((EU132*0.2)),6)</f>
        <v>59.195999999999998</v>
      </c>
      <c r="AF132">
        <f>ROUND(((EV132*0.2)),6)</f>
        <v>159.02000000000001</v>
      </c>
      <c r="AG132">
        <f t="shared" ref="AG132:AG160" si="135">ROUND((AP132),6)</f>
        <v>0</v>
      </c>
      <c r="AH132">
        <f>((EW132*0.2))</f>
        <v>0.59400000000000008</v>
      </c>
      <c r="AI132">
        <f>((EX132*0.2))</f>
        <v>0</v>
      </c>
      <c r="AJ132">
        <f t="shared" ref="AJ132:AJ160" si="136">(AS132)</f>
        <v>0</v>
      </c>
      <c r="AK132">
        <v>6946.74</v>
      </c>
      <c r="AL132">
        <v>5687.37</v>
      </c>
      <c r="AM132">
        <v>464.27</v>
      </c>
      <c r="AN132">
        <v>295.98</v>
      </c>
      <c r="AO132">
        <v>795.1</v>
      </c>
      <c r="AP132">
        <v>0</v>
      </c>
      <c r="AQ132">
        <v>2.97</v>
      </c>
      <c r="AR132">
        <v>0</v>
      </c>
      <c r="AS132">
        <v>0</v>
      </c>
      <c r="AT132">
        <v>70</v>
      </c>
      <c r="AU132">
        <v>10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D132" t="s">
        <v>3</v>
      </c>
      <c r="BE132" t="s">
        <v>3</v>
      </c>
      <c r="BF132" t="s">
        <v>3</v>
      </c>
      <c r="BG132" t="s">
        <v>3</v>
      </c>
      <c r="BH132">
        <v>0</v>
      </c>
      <c r="BI132">
        <v>4</v>
      </c>
      <c r="BJ132" t="s">
        <v>61</v>
      </c>
      <c r="BM132">
        <v>0</v>
      </c>
      <c r="BN132">
        <v>0</v>
      </c>
      <c r="BO132" t="s">
        <v>3</v>
      </c>
      <c r="BP132">
        <v>0</v>
      </c>
      <c r="BQ132">
        <v>1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3</v>
      </c>
      <c r="BZ132">
        <v>70</v>
      </c>
      <c r="CA132">
        <v>10</v>
      </c>
      <c r="CE132">
        <v>0</v>
      </c>
      <c r="CF132">
        <v>0</v>
      </c>
      <c r="CG132">
        <v>0</v>
      </c>
      <c r="CM132">
        <v>0</v>
      </c>
      <c r="CN132" t="s">
        <v>395</v>
      </c>
      <c r="CO132">
        <v>0</v>
      </c>
      <c r="CP132">
        <f t="shared" ref="CP132:CP160" si="137">(P132+Q132+S132)</f>
        <v>18411.990000000002</v>
      </c>
      <c r="CQ132">
        <f t="shared" ref="CQ132:CQ160" si="138">(AC132*BC132*AW132)</f>
        <v>0</v>
      </c>
      <c r="CR132">
        <f>(((((ET132*0.2))*BB132-((EU132*0.2))*BS132)+AE132*BS132)*AV132)</f>
        <v>92.853999999999985</v>
      </c>
      <c r="CS132">
        <f t="shared" ref="CS132:CS160" si="139">(AE132*BS132*AV132)</f>
        <v>59.195999999999998</v>
      </c>
      <c r="CT132">
        <f t="shared" ref="CT132:CT160" si="140">(AF132*BA132*AV132)</f>
        <v>159.02000000000001</v>
      </c>
      <c r="CU132">
        <f t="shared" ref="CU132:CU160" si="141">AG132</f>
        <v>0</v>
      </c>
      <c r="CV132">
        <f t="shared" ref="CV132:CV160" si="142">(AH132*AV132)</f>
        <v>0.59400000000000008</v>
      </c>
      <c r="CW132">
        <f t="shared" ref="CW132:CW160" si="143">AI132</f>
        <v>0</v>
      </c>
      <c r="CX132">
        <f t="shared" ref="CX132:CX160" si="144">AJ132</f>
        <v>0</v>
      </c>
      <c r="CY132">
        <f t="shared" ref="CY132:CY160" si="145">((S132*BZ132)/100)</f>
        <v>8137.0520000000006</v>
      </c>
      <c r="CZ132">
        <f t="shared" ref="CZ132:CZ160" si="146">((S132*CA132)/100)</f>
        <v>1162.4360000000001</v>
      </c>
      <c r="DC132" t="s">
        <v>3</v>
      </c>
      <c r="DD132" t="s">
        <v>173</v>
      </c>
      <c r="DE132" t="s">
        <v>174</v>
      </c>
      <c r="DF132" t="s">
        <v>174</v>
      </c>
      <c r="DG132" t="s">
        <v>174</v>
      </c>
      <c r="DH132" t="s">
        <v>3</v>
      </c>
      <c r="DI132" t="s">
        <v>174</v>
      </c>
      <c r="DJ132" t="s">
        <v>174</v>
      </c>
      <c r="DK132" t="s">
        <v>3</v>
      </c>
      <c r="DL132" t="s">
        <v>3</v>
      </c>
      <c r="DM132" t="s">
        <v>3</v>
      </c>
      <c r="DN132">
        <v>0</v>
      </c>
      <c r="DO132">
        <v>0</v>
      </c>
      <c r="DP132">
        <v>1</v>
      </c>
      <c r="DQ132">
        <v>1</v>
      </c>
      <c r="DU132">
        <v>1005</v>
      </c>
      <c r="DV132" t="s">
        <v>40</v>
      </c>
      <c r="DW132" t="s">
        <v>40</v>
      </c>
      <c r="DX132">
        <v>1</v>
      </c>
      <c r="EE132">
        <v>46035301</v>
      </c>
      <c r="EF132">
        <v>1</v>
      </c>
      <c r="EG132" t="s">
        <v>19</v>
      </c>
      <c r="EH132">
        <v>0</v>
      </c>
      <c r="EI132" t="s">
        <v>3</v>
      </c>
      <c r="EJ132">
        <v>4</v>
      </c>
      <c r="EK132">
        <v>0</v>
      </c>
      <c r="EL132" t="s">
        <v>20</v>
      </c>
      <c r="EM132" t="s">
        <v>21</v>
      </c>
      <c r="EO132" t="s">
        <v>175</v>
      </c>
      <c r="EQ132">
        <v>0</v>
      </c>
      <c r="ER132">
        <v>6946.74</v>
      </c>
      <c r="ES132">
        <v>5687.37</v>
      </c>
      <c r="ET132">
        <v>464.27</v>
      </c>
      <c r="EU132">
        <v>295.98</v>
      </c>
      <c r="EV132">
        <v>795.1</v>
      </c>
      <c r="EW132">
        <v>2.97</v>
      </c>
      <c r="EX132">
        <v>0</v>
      </c>
      <c r="EY132">
        <v>0</v>
      </c>
      <c r="FQ132">
        <v>0</v>
      </c>
      <c r="FR132">
        <f t="shared" ref="FR132:FR160" si="147">ROUND(IF(AND(BH132=3,BI132=3),P132,0),2)</f>
        <v>0</v>
      </c>
      <c r="FS132">
        <v>0</v>
      </c>
      <c r="FX132">
        <v>70</v>
      </c>
      <c r="FY132">
        <v>10</v>
      </c>
      <c r="GA132" t="s">
        <v>3</v>
      </c>
      <c r="GD132">
        <v>0</v>
      </c>
      <c r="GF132">
        <v>-928577046</v>
      </c>
      <c r="GG132">
        <v>2</v>
      </c>
      <c r="GH132">
        <v>1</v>
      </c>
      <c r="GI132">
        <v>-2</v>
      </c>
      <c r="GJ132">
        <v>0</v>
      </c>
      <c r="GK132">
        <f>ROUND(R132*(R12)/100,2)</f>
        <v>4673.41</v>
      </c>
      <c r="GL132">
        <f t="shared" ref="GL132:GL160" si="148">ROUND(IF(AND(BH132=3,BI132=3,FS132&lt;&gt;0),P132,0),2)</f>
        <v>0</v>
      </c>
      <c r="GM132">
        <f>ROUND(O132+X132+Y132+GK132,2)+GX132</f>
        <v>32384.89</v>
      </c>
      <c r="GN132">
        <f>IF(OR(BI132=0,BI132=1),ROUND(O132+X132+Y132+GK132,2),0)</f>
        <v>0</v>
      </c>
      <c r="GO132">
        <f>IF(BI132=2,ROUND(O132+X132+Y132+GK132,2),0)</f>
        <v>0</v>
      </c>
      <c r="GP132">
        <f>IF(BI132=4,ROUND(O132+X132+Y132+GK132,2)+GX132,0)</f>
        <v>32384.89</v>
      </c>
      <c r="GR132">
        <v>0</v>
      </c>
      <c r="GS132">
        <v>3</v>
      </c>
      <c r="GT132">
        <v>0</v>
      </c>
      <c r="GU132" t="s">
        <v>3</v>
      </c>
      <c r="GV132">
        <f t="shared" ref="GV132:GV160" si="149">ROUND((GT132),6)</f>
        <v>0</v>
      </c>
      <c r="GW132">
        <v>1</v>
      </c>
      <c r="GX132">
        <f t="shared" ref="GX132:GX160" si="150">ROUND(HC132*I132,2)</f>
        <v>0</v>
      </c>
      <c r="HA132">
        <v>0</v>
      </c>
      <c r="HB132">
        <v>0</v>
      </c>
      <c r="HC132">
        <f t="shared" ref="HC132:HC160" si="151">GV132*GW132</f>
        <v>0</v>
      </c>
      <c r="IK132">
        <v>0</v>
      </c>
    </row>
    <row r="133" spans="1:245" x14ac:dyDescent="0.2">
      <c r="A133">
        <v>17</v>
      </c>
      <c r="B133">
        <v>1</v>
      </c>
      <c r="C133">
        <f>ROW(SmtRes!A112)</f>
        <v>112</v>
      </c>
      <c r="D133">
        <f>ROW(EtalonRes!A100)</f>
        <v>100</v>
      </c>
      <c r="E133" t="s">
        <v>176</v>
      </c>
      <c r="F133" t="s">
        <v>177</v>
      </c>
      <c r="G133" t="s">
        <v>178</v>
      </c>
      <c r="H133" t="s">
        <v>29</v>
      </c>
      <c r="I133">
        <v>0.9</v>
      </c>
      <c r="J133">
        <v>0</v>
      </c>
      <c r="O133">
        <f t="shared" si="123"/>
        <v>2538.4299999999998</v>
      </c>
      <c r="P133">
        <f t="shared" si="124"/>
        <v>0</v>
      </c>
      <c r="Q133">
        <f t="shared" si="125"/>
        <v>836.66</v>
      </c>
      <c r="R133">
        <f t="shared" si="126"/>
        <v>631.49</v>
      </c>
      <c r="S133">
        <f t="shared" si="127"/>
        <v>1701.77</v>
      </c>
      <c r="T133">
        <f t="shared" si="128"/>
        <v>0</v>
      </c>
      <c r="U133">
        <f t="shared" si="129"/>
        <v>7.4429999999999996</v>
      </c>
      <c r="V133">
        <f t="shared" si="130"/>
        <v>0</v>
      </c>
      <c r="W133">
        <f t="shared" si="131"/>
        <v>0</v>
      </c>
      <c r="X133">
        <f t="shared" si="132"/>
        <v>1191.24</v>
      </c>
      <c r="Y133">
        <f t="shared" si="133"/>
        <v>170.18</v>
      </c>
      <c r="AA133">
        <v>46561299</v>
      </c>
      <c r="AB133">
        <f t="shared" si="134"/>
        <v>2820.47</v>
      </c>
      <c r="AC133">
        <f>ROUND((ES133),6)</f>
        <v>0</v>
      </c>
      <c r="AD133">
        <f>ROUND((((ET133)-(EU133))+AE133),6)</f>
        <v>929.62</v>
      </c>
      <c r="AE133">
        <f t="shared" ref="AE133:AF137" si="152">ROUND((EU133),6)</f>
        <v>701.65</v>
      </c>
      <c r="AF133">
        <f t="shared" si="152"/>
        <v>1890.85</v>
      </c>
      <c r="AG133">
        <f t="shared" si="135"/>
        <v>0</v>
      </c>
      <c r="AH133">
        <f t="shared" ref="AH133:AI137" si="153">(EW133)</f>
        <v>8.27</v>
      </c>
      <c r="AI133">
        <f t="shared" si="153"/>
        <v>0</v>
      </c>
      <c r="AJ133">
        <f t="shared" si="136"/>
        <v>0</v>
      </c>
      <c r="AK133">
        <v>2820.47</v>
      </c>
      <c r="AL133">
        <v>0</v>
      </c>
      <c r="AM133">
        <v>929.62</v>
      </c>
      <c r="AN133">
        <v>701.65</v>
      </c>
      <c r="AO133">
        <v>1890.85</v>
      </c>
      <c r="AP133">
        <v>0</v>
      </c>
      <c r="AQ133">
        <v>8.27</v>
      </c>
      <c r="AR133">
        <v>0</v>
      </c>
      <c r="AS133">
        <v>0</v>
      </c>
      <c r="AT133">
        <v>70</v>
      </c>
      <c r="AU133">
        <v>10</v>
      </c>
      <c r="AV133">
        <v>1</v>
      </c>
      <c r="AW133">
        <v>1</v>
      </c>
      <c r="AZ133">
        <v>1</v>
      </c>
      <c r="BA133">
        <v>1</v>
      </c>
      <c r="BB133">
        <v>1</v>
      </c>
      <c r="BC133">
        <v>1</v>
      </c>
      <c r="BD133" t="s">
        <v>3</v>
      </c>
      <c r="BE133" t="s">
        <v>3</v>
      </c>
      <c r="BF133" t="s">
        <v>3</v>
      </c>
      <c r="BG133" t="s">
        <v>3</v>
      </c>
      <c r="BH133">
        <v>0</v>
      </c>
      <c r="BI133">
        <v>4</v>
      </c>
      <c r="BJ133" t="s">
        <v>179</v>
      </c>
      <c r="BM133">
        <v>0</v>
      </c>
      <c r="BN133">
        <v>0</v>
      </c>
      <c r="BO133" t="s">
        <v>3</v>
      </c>
      <c r="BP133">
        <v>0</v>
      </c>
      <c r="BQ133">
        <v>1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t="s">
        <v>3</v>
      </c>
      <c r="BZ133">
        <v>70</v>
      </c>
      <c r="CA133">
        <v>10</v>
      </c>
      <c r="CE133">
        <v>0</v>
      </c>
      <c r="CF133">
        <v>0</v>
      </c>
      <c r="CG133">
        <v>0</v>
      </c>
      <c r="CM133">
        <v>0</v>
      </c>
      <c r="CN133" t="s">
        <v>3</v>
      </c>
      <c r="CO133">
        <v>0</v>
      </c>
      <c r="CP133">
        <f t="shared" si="137"/>
        <v>2538.4299999999998</v>
      </c>
      <c r="CQ133">
        <f t="shared" si="138"/>
        <v>0</v>
      </c>
      <c r="CR133">
        <f>((((ET133)*BB133-(EU133)*BS133)+AE133*BS133)*AV133)</f>
        <v>929.62</v>
      </c>
      <c r="CS133">
        <f t="shared" si="139"/>
        <v>701.65</v>
      </c>
      <c r="CT133">
        <f t="shared" si="140"/>
        <v>1890.85</v>
      </c>
      <c r="CU133">
        <f t="shared" si="141"/>
        <v>0</v>
      </c>
      <c r="CV133">
        <f t="shared" si="142"/>
        <v>8.27</v>
      </c>
      <c r="CW133">
        <f t="shared" si="143"/>
        <v>0</v>
      </c>
      <c r="CX133">
        <f t="shared" si="144"/>
        <v>0</v>
      </c>
      <c r="CY133">
        <f t="shared" si="145"/>
        <v>1191.239</v>
      </c>
      <c r="CZ133">
        <f t="shared" si="146"/>
        <v>170.17700000000002</v>
      </c>
      <c r="DC133" t="s">
        <v>3</v>
      </c>
      <c r="DD133" t="s">
        <v>3</v>
      </c>
      <c r="DE133" t="s">
        <v>3</v>
      </c>
      <c r="DF133" t="s">
        <v>3</v>
      </c>
      <c r="DG133" t="s">
        <v>3</v>
      </c>
      <c r="DH133" t="s">
        <v>3</v>
      </c>
      <c r="DI133" t="s">
        <v>3</v>
      </c>
      <c r="DJ133" t="s">
        <v>3</v>
      </c>
      <c r="DK133" t="s">
        <v>3</v>
      </c>
      <c r="DL133" t="s">
        <v>3</v>
      </c>
      <c r="DM133" t="s">
        <v>3</v>
      </c>
      <c r="DN133">
        <v>0</v>
      </c>
      <c r="DO133">
        <v>0</v>
      </c>
      <c r="DP133">
        <v>1</v>
      </c>
      <c r="DQ133">
        <v>1</v>
      </c>
      <c r="DU133">
        <v>1007</v>
      </c>
      <c r="DV133" t="s">
        <v>29</v>
      </c>
      <c r="DW133" t="s">
        <v>29</v>
      </c>
      <c r="DX133">
        <v>1</v>
      </c>
      <c r="EE133">
        <v>46035301</v>
      </c>
      <c r="EF133">
        <v>1</v>
      </c>
      <c r="EG133" t="s">
        <v>19</v>
      </c>
      <c r="EH133">
        <v>0</v>
      </c>
      <c r="EI133" t="s">
        <v>3</v>
      </c>
      <c r="EJ133">
        <v>4</v>
      </c>
      <c r="EK133">
        <v>0</v>
      </c>
      <c r="EL133" t="s">
        <v>20</v>
      </c>
      <c r="EM133" t="s">
        <v>21</v>
      </c>
      <c r="EO133" t="s">
        <v>3</v>
      </c>
      <c r="EQ133">
        <v>0</v>
      </c>
      <c r="ER133">
        <v>2820.47</v>
      </c>
      <c r="ES133">
        <v>0</v>
      </c>
      <c r="ET133">
        <v>929.62</v>
      </c>
      <c r="EU133">
        <v>701.65</v>
      </c>
      <c r="EV133">
        <v>1890.85</v>
      </c>
      <c r="EW133">
        <v>8.27</v>
      </c>
      <c r="EX133">
        <v>0</v>
      </c>
      <c r="EY133">
        <v>0</v>
      </c>
      <c r="FQ133">
        <v>0</v>
      </c>
      <c r="FR133">
        <f t="shared" si="147"/>
        <v>0</v>
      </c>
      <c r="FS133">
        <v>0</v>
      </c>
      <c r="FX133">
        <v>70</v>
      </c>
      <c r="FY133">
        <v>10</v>
      </c>
      <c r="GA133" t="s">
        <v>3</v>
      </c>
      <c r="GD133">
        <v>0</v>
      </c>
      <c r="GF133">
        <v>-1898011121</v>
      </c>
      <c r="GG133">
        <v>2</v>
      </c>
      <c r="GH133">
        <v>1</v>
      </c>
      <c r="GI133">
        <v>-2</v>
      </c>
      <c r="GJ133">
        <v>0</v>
      </c>
      <c r="GK133">
        <f>ROUND(R133*(R12)/100,2)</f>
        <v>682.01</v>
      </c>
      <c r="GL133">
        <f t="shared" si="148"/>
        <v>0</v>
      </c>
      <c r="GM133">
        <f>ROUND(O133+X133+Y133+GK133,2)+GX133</f>
        <v>4581.8599999999997</v>
      </c>
      <c r="GN133">
        <f>IF(OR(BI133=0,BI133=1),ROUND(O133+X133+Y133+GK133,2),0)</f>
        <v>0</v>
      </c>
      <c r="GO133">
        <f>IF(BI133=2,ROUND(O133+X133+Y133+GK133,2),0)</f>
        <v>0</v>
      </c>
      <c r="GP133">
        <f>IF(BI133=4,ROUND(O133+X133+Y133+GK133,2)+GX133,0)</f>
        <v>4581.8599999999997</v>
      </c>
      <c r="GR133">
        <v>0</v>
      </c>
      <c r="GS133">
        <v>3</v>
      </c>
      <c r="GT133">
        <v>0</v>
      </c>
      <c r="GU133" t="s">
        <v>3</v>
      </c>
      <c r="GV133">
        <f t="shared" si="149"/>
        <v>0</v>
      </c>
      <c r="GW133">
        <v>1</v>
      </c>
      <c r="GX133">
        <f t="shared" si="150"/>
        <v>0</v>
      </c>
      <c r="HA133">
        <v>0</v>
      </c>
      <c r="HB133">
        <v>0</v>
      </c>
      <c r="HC133">
        <f t="shared" si="151"/>
        <v>0</v>
      </c>
      <c r="IK133">
        <v>0</v>
      </c>
    </row>
    <row r="134" spans="1:245" x14ac:dyDescent="0.2">
      <c r="A134">
        <v>17</v>
      </c>
      <c r="B134">
        <v>1</v>
      </c>
      <c r="C134">
        <f>ROW(SmtRes!A113)</f>
        <v>113</v>
      </c>
      <c r="D134">
        <f>ROW(EtalonRes!A101)</f>
        <v>101</v>
      </c>
      <c r="E134" t="s">
        <v>180</v>
      </c>
      <c r="F134" t="s">
        <v>15</v>
      </c>
      <c r="G134" t="s">
        <v>16</v>
      </c>
      <c r="H134" t="s">
        <v>17</v>
      </c>
      <c r="I134">
        <v>2.3E-2</v>
      </c>
      <c r="J134">
        <v>0</v>
      </c>
      <c r="O134">
        <f t="shared" si="123"/>
        <v>964.88</v>
      </c>
      <c r="P134">
        <f t="shared" si="124"/>
        <v>0</v>
      </c>
      <c r="Q134">
        <f t="shared" si="125"/>
        <v>0</v>
      </c>
      <c r="R134">
        <f t="shared" si="126"/>
        <v>0</v>
      </c>
      <c r="S134">
        <f t="shared" si="127"/>
        <v>964.88</v>
      </c>
      <c r="T134">
        <f t="shared" si="128"/>
        <v>0</v>
      </c>
      <c r="U134">
        <f t="shared" si="129"/>
        <v>5.0968</v>
      </c>
      <c r="V134">
        <f t="shared" si="130"/>
        <v>0</v>
      </c>
      <c r="W134">
        <f t="shared" si="131"/>
        <v>0</v>
      </c>
      <c r="X134">
        <f t="shared" si="132"/>
        <v>675.42</v>
      </c>
      <c r="Y134">
        <f t="shared" si="133"/>
        <v>96.49</v>
      </c>
      <c r="AA134">
        <v>46561299</v>
      </c>
      <c r="AB134">
        <f t="shared" si="134"/>
        <v>41951.1</v>
      </c>
      <c r="AC134">
        <f>ROUND((ES134),6)</f>
        <v>0</v>
      </c>
      <c r="AD134">
        <f>ROUND((((ET134)-(EU134))+AE134),6)</f>
        <v>0</v>
      </c>
      <c r="AE134">
        <f t="shared" si="152"/>
        <v>0</v>
      </c>
      <c r="AF134">
        <f t="shared" si="152"/>
        <v>41951.1</v>
      </c>
      <c r="AG134">
        <f t="shared" si="135"/>
        <v>0</v>
      </c>
      <c r="AH134">
        <f t="shared" si="153"/>
        <v>221.6</v>
      </c>
      <c r="AI134">
        <f t="shared" si="153"/>
        <v>0</v>
      </c>
      <c r="AJ134">
        <f t="shared" si="136"/>
        <v>0</v>
      </c>
      <c r="AK134">
        <v>41951.1</v>
      </c>
      <c r="AL134">
        <v>0</v>
      </c>
      <c r="AM134">
        <v>0</v>
      </c>
      <c r="AN134">
        <v>0</v>
      </c>
      <c r="AO134">
        <v>41951.1</v>
      </c>
      <c r="AP134">
        <v>0</v>
      </c>
      <c r="AQ134">
        <v>221.6</v>
      </c>
      <c r="AR134">
        <v>0</v>
      </c>
      <c r="AS134">
        <v>0</v>
      </c>
      <c r="AT134">
        <v>70</v>
      </c>
      <c r="AU134">
        <v>10</v>
      </c>
      <c r="AV134">
        <v>1</v>
      </c>
      <c r="AW134">
        <v>1</v>
      </c>
      <c r="AZ134">
        <v>1</v>
      </c>
      <c r="BA134">
        <v>1</v>
      </c>
      <c r="BB134">
        <v>1</v>
      </c>
      <c r="BC134">
        <v>1</v>
      </c>
      <c r="BD134" t="s">
        <v>3</v>
      </c>
      <c r="BE134" t="s">
        <v>3</v>
      </c>
      <c r="BF134" t="s">
        <v>3</v>
      </c>
      <c r="BG134" t="s">
        <v>3</v>
      </c>
      <c r="BH134">
        <v>0</v>
      </c>
      <c r="BI134">
        <v>4</v>
      </c>
      <c r="BJ134" t="s">
        <v>18</v>
      </c>
      <c r="BM134">
        <v>0</v>
      </c>
      <c r="BN134">
        <v>0</v>
      </c>
      <c r="BO134" t="s">
        <v>3</v>
      </c>
      <c r="BP134">
        <v>0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 t="s">
        <v>3</v>
      </c>
      <c r="BZ134">
        <v>70</v>
      </c>
      <c r="CA134">
        <v>10</v>
      </c>
      <c r="CE134">
        <v>0</v>
      </c>
      <c r="CF134">
        <v>0</v>
      </c>
      <c r="CG134">
        <v>0</v>
      </c>
      <c r="CM134">
        <v>0</v>
      </c>
      <c r="CN134" t="s">
        <v>3</v>
      </c>
      <c r="CO134">
        <v>0</v>
      </c>
      <c r="CP134">
        <f t="shared" si="137"/>
        <v>964.88</v>
      </c>
      <c r="CQ134">
        <f t="shared" si="138"/>
        <v>0</v>
      </c>
      <c r="CR134">
        <f>((((ET134)*BB134-(EU134)*BS134)+AE134*BS134)*AV134)</f>
        <v>0</v>
      </c>
      <c r="CS134">
        <f t="shared" si="139"/>
        <v>0</v>
      </c>
      <c r="CT134">
        <f t="shared" si="140"/>
        <v>41951.1</v>
      </c>
      <c r="CU134">
        <f t="shared" si="141"/>
        <v>0</v>
      </c>
      <c r="CV134">
        <f t="shared" si="142"/>
        <v>221.6</v>
      </c>
      <c r="CW134">
        <f t="shared" si="143"/>
        <v>0</v>
      </c>
      <c r="CX134">
        <f t="shared" si="144"/>
        <v>0</v>
      </c>
      <c r="CY134">
        <f t="shared" si="145"/>
        <v>675.41600000000005</v>
      </c>
      <c r="CZ134">
        <f t="shared" si="146"/>
        <v>96.488</v>
      </c>
      <c r="DC134" t="s">
        <v>3</v>
      </c>
      <c r="DD134" t="s">
        <v>3</v>
      </c>
      <c r="DE134" t="s">
        <v>3</v>
      </c>
      <c r="DF134" t="s">
        <v>3</v>
      </c>
      <c r="DG134" t="s">
        <v>3</v>
      </c>
      <c r="DH134" t="s">
        <v>3</v>
      </c>
      <c r="DI134" t="s">
        <v>3</v>
      </c>
      <c r="DJ134" t="s">
        <v>3</v>
      </c>
      <c r="DK134" t="s">
        <v>3</v>
      </c>
      <c r="DL134" t="s">
        <v>3</v>
      </c>
      <c r="DM134" t="s">
        <v>3</v>
      </c>
      <c r="DN134">
        <v>0</v>
      </c>
      <c r="DO134">
        <v>0</v>
      </c>
      <c r="DP134">
        <v>1</v>
      </c>
      <c r="DQ134">
        <v>1</v>
      </c>
      <c r="DU134">
        <v>1007</v>
      </c>
      <c r="DV134" t="s">
        <v>17</v>
      </c>
      <c r="DW134" t="s">
        <v>17</v>
      </c>
      <c r="DX134">
        <v>100</v>
      </c>
      <c r="EE134">
        <v>46035301</v>
      </c>
      <c r="EF134">
        <v>1</v>
      </c>
      <c r="EG134" t="s">
        <v>19</v>
      </c>
      <c r="EH134">
        <v>0</v>
      </c>
      <c r="EI134" t="s">
        <v>3</v>
      </c>
      <c r="EJ134">
        <v>4</v>
      </c>
      <c r="EK134">
        <v>0</v>
      </c>
      <c r="EL134" t="s">
        <v>20</v>
      </c>
      <c r="EM134" t="s">
        <v>21</v>
      </c>
      <c r="EO134" t="s">
        <v>3</v>
      </c>
      <c r="EQ134">
        <v>0</v>
      </c>
      <c r="ER134">
        <v>41951.1</v>
      </c>
      <c r="ES134">
        <v>0</v>
      </c>
      <c r="ET134">
        <v>0</v>
      </c>
      <c r="EU134">
        <v>0</v>
      </c>
      <c r="EV134">
        <v>41951.1</v>
      </c>
      <c r="EW134">
        <v>221.6</v>
      </c>
      <c r="EX134">
        <v>0</v>
      </c>
      <c r="EY134">
        <v>0</v>
      </c>
      <c r="FQ134">
        <v>0</v>
      </c>
      <c r="FR134">
        <f t="shared" si="147"/>
        <v>0</v>
      </c>
      <c r="FS134">
        <v>0</v>
      </c>
      <c r="FX134">
        <v>70</v>
      </c>
      <c r="FY134">
        <v>10</v>
      </c>
      <c r="GA134" t="s">
        <v>3</v>
      </c>
      <c r="GD134">
        <v>0</v>
      </c>
      <c r="GF134">
        <v>1383297733</v>
      </c>
      <c r="GG134">
        <v>2</v>
      </c>
      <c r="GH134">
        <v>1</v>
      </c>
      <c r="GI134">
        <v>-2</v>
      </c>
      <c r="GJ134">
        <v>0</v>
      </c>
      <c r="GK134">
        <f>ROUND(R134*(R12)/100,2)</f>
        <v>0</v>
      </c>
      <c r="GL134">
        <f t="shared" si="148"/>
        <v>0</v>
      </c>
      <c r="GM134">
        <f>ROUND(O134+X134+Y134+GK134,2)+GX134</f>
        <v>1736.79</v>
      </c>
      <c r="GN134">
        <f>IF(OR(BI134=0,BI134=1),ROUND(O134+X134+Y134+GK134,2),0)</f>
        <v>0</v>
      </c>
      <c r="GO134">
        <f>IF(BI134=2,ROUND(O134+X134+Y134+GK134,2),0)</f>
        <v>0</v>
      </c>
      <c r="GP134">
        <f>IF(BI134=4,ROUND(O134+X134+Y134+GK134,2)+GX134,0)</f>
        <v>1736.79</v>
      </c>
      <c r="GR134">
        <v>0</v>
      </c>
      <c r="GS134">
        <v>3</v>
      </c>
      <c r="GT134">
        <v>0</v>
      </c>
      <c r="GU134" t="s">
        <v>3</v>
      </c>
      <c r="GV134">
        <f t="shared" si="149"/>
        <v>0</v>
      </c>
      <c r="GW134">
        <v>1</v>
      </c>
      <c r="GX134">
        <f t="shared" si="150"/>
        <v>0</v>
      </c>
      <c r="HA134">
        <v>0</v>
      </c>
      <c r="HB134">
        <v>0</v>
      </c>
      <c r="HC134">
        <f t="shared" si="151"/>
        <v>0</v>
      </c>
      <c r="IK134">
        <v>0</v>
      </c>
    </row>
    <row r="135" spans="1:245" x14ac:dyDescent="0.2">
      <c r="A135">
        <v>17</v>
      </c>
      <c r="B135">
        <v>1</v>
      </c>
      <c r="C135">
        <f>ROW(SmtRes!A114)</f>
        <v>114</v>
      </c>
      <c r="D135">
        <f>ROW(EtalonRes!A102)</f>
        <v>102</v>
      </c>
      <c r="E135" t="s">
        <v>181</v>
      </c>
      <c r="F135" t="s">
        <v>182</v>
      </c>
      <c r="G135" t="s">
        <v>183</v>
      </c>
      <c r="H135" t="s">
        <v>17</v>
      </c>
      <c r="I135">
        <v>8.9999999999999993E-3</v>
      </c>
      <c r="J135">
        <v>0</v>
      </c>
      <c r="O135">
        <f t="shared" si="123"/>
        <v>167.96</v>
      </c>
      <c r="P135">
        <f t="shared" si="124"/>
        <v>0</v>
      </c>
      <c r="Q135">
        <f t="shared" si="125"/>
        <v>0</v>
      </c>
      <c r="R135">
        <f t="shared" si="126"/>
        <v>0</v>
      </c>
      <c r="S135">
        <f t="shared" si="127"/>
        <v>167.96</v>
      </c>
      <c r="T135">
        <f t="shared" si="128"/>
        <v>0</v>
      </c>
      <c r="U135">
        <f t="shared" si="129"/>
        <v>1.1078999999999999</v>
      </c>
      <c r="V135">
        <f t="shared" si="130"/>
        <v>0</v>
      </c>
      <c r="W135">
        <f t="shared" si="131"/>
        <v>0</v>
      </c>
      <c r="X135">
        <f t="shared" si="132"/>
        <v>117.57</v>
      </c>
      <c r="Y135">
        <f t="shared" si="133"/>
        <v>16.8</v>
      </c>
      <c r="AA135">
        <v>46561299</v>
      </c>
      <c r="AB135">
        <f t="shared" si="134"/>
        <v>18661.96</v>
      </c>
      <c r="AC135">
        <f>ROUND((ES135),6)</f>
        <v>0</v>
      </c>
      <c r="AD135">
        <f>ROUND((((ET135)-(EU135))+AE135),6)</f>
        <v>0</v>
      </c>
      <c r="AE135">
        <f t="shared" si="152"/>
        <v>0</v>
      </c>
      <c r="AF135">
        <f t="shared" si="152"/>
        <v>18661.96</v>
      </c>
      <c r="AG135">
        <f t="shared" si="135"/>
        <v>0</v>
      </c>
      <c r="AH135">
        <f t="shared" si="153"/>
        <v>123.1</v>
      </c>
      <c r="AI135">
        <f t="shared" si="153"/>
        <v>0</v>
      </c>
      <c r="AJ135">
        <f t="shared" si="136"/>
        <v>0</v>
      </c>
      <c r="AK135">
        <v>18661.96</v>
      </c>
      <c r="AL135">
        <v>0</v>
      </c>
      <c r="AM135">
        <v>0</v>
      </c>
      <c r="AN135">
        <v>0</v>
      </c>
      <c r="AO135">
        <v>18661.96</v>
      </c>
      <c r="AP135">
        <v>0</v>
      </c>
      <c r="AQ135">
        <v>123.1</v>
      </c>
      <c r="AR135">
        <v>0</v>
      </c>
      <c r="AS135">
        <v>0</v>
      </c>
      <c r="AT135">
        <v>70</v>
      </c>
      <c r="AU135">
        <v>10</v>
      </c>
      <c r="AV135">
        <v>1</v>
      </c>
      <c r="AW135">
        <v>1</v>
      </c>
      <c r="AZ135">
        <v>1</v>
      </c>
      <c r="BA135">
        <v>1</v>
      </c>
      <c r="BB135">
        <v>1</v>
      </c>
      <c r="BC135">
        <v>1</v>
      </c>
      <c r="BD135" t="s">
        <v>3</v>
      </c>
      <c r="BE135" t="s">
        <v>3</v>
      </c>
      <c r="BF135" t="s">
        <v>3</v>
      </c>
      <c r="BG135" t="s">
        <v>3</v>
      </c>
      <c r="BH135">
        <v>0</v>
      </c>
      <c r="BI135">
        <v>4</v>
      </c>
      <c r="BJ135" t="s">
        <v>184</v>
      </c>
      <c r="BM135">
        <v>0</v>
      </c>
      <c r="BN135">
        <v>0</v>
      </c>
      <c r="BO135" t="s">
        <v>3</v>
      </c>
      <c r="BP135">
        <v>0</v>
      </c>
      <c r="BQ135">
        <v>1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 t="s">
        <v>3</v>
      </c>
      <c r="BZ135">
        <v>70</v>
      </c>
      <c r="CA135">
        <v>10</v>
      </c>
      <c r="CE135">
        <v>0</v>
      </c>
      <c r="CF135">
        <v>0</v>
      </c>
      <c r="CG135">
        <v>0</v>
      </c>
      <c r="CM135">
        <v>0</v>
      </c>
      <c r="CN135" t="s">
        <v>3</v>
      </c>
      <c r="CO135">
        <v>0</v>
      </c>
      <c r="CP135">
        <f t="shared" si="137"/>
        <v>167.96</v>
      </c>
      <c r="CQ135">
        <f t="shared" si="138"/>
        <v>0</v>
      </c>
      <c r="CR135">
        <f>((((ET135)*BB135-(EU135)*BS135)+AE135*BS135)*AV135)</f>
        <v>0</v>
      </c>
      <c r="CS135">
        <f t="shared" si="139"/>
        <v>0</v>
      </c>
      <c r="CT135">
        <f t="shared" si="140"/>
        <v>18661.96</v>
      </c>
      <c r="CU135">
        <f t="shared" si="141"/>
        <v>0</v>
      </c>
      <c r="CV135">
        <f t="shared" si="142"/>
        <v>123.1</v>
      </c>
      <c r="CW135">
        <f t="shared" si="143"/>
        <v>0</v>
      </c>
      <c r="CX135">
        <f t="shared" si="144"/>
        <v>0</v>
      </c>
      <c r="CY135">
        <f t="shared" si="145"/>
        <v>117.572</v>
      </c>
      <c r="CZ135">
        <f t="shared" si="146"/>
        <v>16.796000000000003</v>
      </c>
      <c r="DC135" t="s">
        <v>3</v>
      </c>
      <c r="DD135" t="s">
        <v>3</v>
      </c>
      <c r="DE135" t="s">
        <v>3</v>
      </c>
      <c r="DF135" t="s">
        <v>3</v>
      </c>
      <c r="DG135" t="s">
        <v>3</v>
      </c>
      <c r="DH135" t="s">
        <v>3</v>
      </c>
      <c r="DI135" t="s">
        <v>3</v>
      </c>
      <c r="DJ135" t="s">
        <v>3</v>
      </c>
      <c r="DK135" t="s">
        <v>3</v>
      </c>
      <c r="DL135" t="s">
        <v>3</v>
      </c>
      <c r="DM135" t="s">
        <v>3</v>
      </c>
      <c r="DN135">
        <v>0</v>
      </c>
      <c r="DO135">
        <v>0</v>
      </c>
      <c r="DP135">
        <v>1</v>
      </c>
      <c r="DQ135">
        <v>1</v>
      </c>
      <c r="DU135">
        <v>1007</v>
      </c>
      <c r="DV135" t="s">
        <v>17</v>
      </c>
      <c r="DW135" t="s">
        <v>17</v>
      </c>
      <c r="DX135">
        <v>100</v>
      </c>
      <c r="EE135">
        <v>46035301</v>
      </c>
      <c r="EF135">
        <v>1</v>
      </c>
      <c r="EG135" t="s">
        <v>19</v>
      </c>
      <c r="EH135">
        <v>0</v>
      </c>
      <c r="EI135" t="s">
        <v>3</v>
      </c>
      <c r="EJ135">
        <v>4</v>
      </c>
      <c r="EK135">
        <v>0</v>
      </c>
      <c r="EL135" t="s">
        <v>20</v>
      </c>
      <c r="EM135" t="s">
        <v>21</v>
      </c>
      <c r="EO135" t="s">
        <v>3</v>
      </c>
      <c r="EQ135">
        <v>0</v>
      </c>
      <c r="ER135">
        <v>18661.96</v>
      </c>
      <c r="ES135">
        <v>0</v>
      </c>
      <c r="ET135">
        <v>0</v>
      </c>
      <c r="EU135">
        <v>0</v>
      </c>
      <c r="EV135">
        <v>18661.96</v>
      </c>
      <c r="EW135">
        <v>123.1</v>
      </c>
      <c r="EX135">
        <v>0</v>
      </c>
      <c r="EY135">
        <v>0</v>
      </c>
      <c r="FQ135">
        <v>0</v>
      </c>
      <c r="FR135">
        <f t="shared" si="147"/>
        <v>0</v>
      </c>
      <c r="FS135">
        <v>0</v>
      </c>
      <c r="FX135">
        <v>70</v>
      </c>
      <c r="FY135">
        <v>10</v>
      </c>
      <c r="GA135" t="s">
        <v>3</v>
      </c>
      <c r="GD135">
        <v>0</v>
      </c>
      <c r="GF135">
        <v>-563140299</v>
      </c>
      <c r="GG135">
        <v>2</v>
      </c>
      <c r="GH135">
        <v>1</v>
      </c>
      <c r="GI135">
        <v>-2</v>
      </c>
      <c r="GJ135">
        <v>0</v>
      </c>
      <c r="GK135">
        <f>ROUND(R135*(R12)/100,2)</f>
        <v>0</v>
      </c>
      <c r="GL135">
        <f t="shared" si="148"/>
        <v>0</v>
      </c>
      <c r="GM135">
        <f>ROUND(O135+X135+Y135+GK135,2)+GX135</f>
        <v>302.33</v>
      </c>
      <c r="GN135">
        <f>IF(OR(BI135=0,BI135=1),ROUND(O135+X135+Y135+GK135,2),0)</f>
        <v>0</v>
      </c>
      <c r="GO135">
        <f>IF(BI135=2,ROUND(O135+X135+Y135+GK135,2),0)</f>
        <v>0</v>
      </c>
      <c r="GP135">
        <f>IF(BI135=4,ROUND(O135+X135+Y135+GK135,2)+GX135,0)</f>
        <v>302.33</v>
      </c>
      <c r="GR135">
        <v>0</v>
      </c>
      <c r="GS135">
        <v>3</v>
      </c>
      <c r="GT135">
        <v>0</v>
      </c>
      <c r="GU135" t="s">
        <v>3</v>
      </c>
      <c r="GV135">
        <f t="shared" si="149"/>
        <v>0</v>
      </c>
      <c r="GW135">
        <v>1</v>
      </c>
      <c r="GX135">
        <f t="shared" si="150"/>
        <v>0</v>
      </c>
      <c r="HA135">
        <v>0</v>
      </c>
      <c r="HB135">
        <v>0</v>
      </c>
      <c r="HC135">
        <f t="shared" si="151"/>
        <v>0</v>
      </c>
      <c r="IK135">
        <v>0</v>
      </c>
    </row>
    <row r="136" spans="1:245" x14ac:dyDescent="0.2">
      <c r="A136">
        <v>17</v>
      </c>
      <c r="B136">
        <v>1</v>
      </c>
      <c r="C136">
        <f>ROW(SmtRes!A115)</f>
        <v>115</v>
      </c>
      <c r="D136">
        <f>ROW(EtalonRes!A103)</f>
        <v>103</v>
      </c>
      <c r="E136" t="s">
        <v>185</v>
      </c>
      <c r="F136" t="s">
        <v>23</v>
      </c>
      <c r="G136" t="s">
        <v>24</v>
      </c>
      <c r="H136" t="s">
        <v>17</v>
      </c>
      <c r="I136">
        <v>1.4E-2</v>
      </c>
      <c r="J136">
        <v>0</v>
      </c>
      <c r="O136">
        <f t="shared" si="123"/>
        <v>155.82</v>
      </c>
      <c r="P136">
        <f t="shared" si="124"/>
        <v>0</v>
      </c>
      <c r="Q136">
        <f t="shared" si="125"/>
        <v>0</v>
      </c>
      <c r="R136">
        <f t="shared" si="126"/>
        <v>0</v>
      </c>
      <c r="S136">
        <f t="shared" si="127"/>
        <v>155.82</v>
      </c>
      <c r="T136">
        <f t="shared" si="128"/>
        <v>0</v>
      </c>
      <c r="U136">
        <f t="shared" si="129"/>
        <v>1.1619999999999999</v>
      </c>
      <c r="V136">
        <f t="shared" si="130"/>
        <v>0</v>
      </c>
      <c r="W136">
        <f t="shared" si="131"/>
        <v>0</v>
      </c>
      <c r="X136">
        <f t="shared" si="132"/>
        <v>109.07</v>
      </c>
      <c r="Y136">
        <f t="shared" si="133"/>
        <v>15.58</v>
      </c>
      <c r="AA136">
        <v>46561299</v>
      </c>
      <c r="AB136">
        <f t="shared" si="134"/>
        <v>11130.3</v>
      </c>
      <c r="AC136">
        <f>ROUND((ES136),6)</f>
        <v>0</v>
      </c>
      <c r="AD136">
        <f>ROUND((((ET136)-(EU136))+AE136),6)</f>
        <v>0</v>
      </c>
      <c r="AE136">
        <f t="shared" si="152"/>
        <v>0</v>
      </c>
      <c r="AF136">
        <f t="shared" si="152"/>
        <v>11130.3</v>
      </c>
      <c r="AG136">
        <f t="shared" si="135"/>
        <v>0</v>
      </c>
      <c r="AH136">
        <f t="shared" si="153"/>
        <v>83</v>
      </c>
      <c r="AI136">
        <f t="shared" si="153"/>
        <v>0</v>
      </c>
      <c r="AJ136">
        <f t="shared" si="136"/>
        <v>0</v>
      </c>
      <c r="AK136">
        <v>11130.3</v>
      </c>
      <c r="AL136">
        <v>0</v>
      </c>
      <c r="AM136">
        <v>0</v>
      </c>
      <c r="AN136">
        <v>0</v>
      </c>
      <c r="AO136">
        <v>11130.3</v>
      </c>
      <c r="AP136">
        <v>0</v>
      </c>
      <c r="AQ136">
        <v>83</v>
      </c>
      <c r="AR136">
        <v>0</v>
      </c>
      <c r="AS136">
        <v>0</v>
      </c>
      <c r="AT136">
        <v>70</v>
      </c>
      <c r="AU136">
        <v>10</v>
      </c>
      <c r="AV136">
        <v>1</v>
      </c>
      <c r="AW136">
        <v>1</v>
      </c>
      <c r="AZ136">
        <v>1</v>
      </c>
      <c r="BA136">
        <v>1</v>
      </c>
      <c r="BB136">
        <v>1</v>
      </c>
      <c r="BC136">
        <v>1</v>
      </c>
      <c r="BD136" t="s">
        <v>3</v>
      </c>
      <c r="BE136" t="s">
        <v>3</v>
      </c>
      <c r="BF136" t="s">
        <v>3</v>
      </c>
      <c r="BG136" t="s">
        <v>3</v>
      </c>
      <c r="BH136">
        <v>0</v>
      </c>
      <c r="BI136">
        <v>4</v>
      </c>
      <c r="BJ136" t="s">
        <v>25</v>
      </c>
      <c r="BM136">
        <v>0</v>
      </c>
      <c r="BN136">
        <v>0</v>
      </c>
      <c r="BO136" t="s">
        <v>3</v>
      </c>
      <c r="BP136">
        <v>0</v>
      </c>
      <c r="BQ136">
        <v>1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 t="s">
        <v>3</v>
      </c>
      <c r="BZ136">
        <v>70</v>
      </c>
      <c r="CA136">
        <v>10</v>
      </c>
      <c r="CE136">
        <v>0</v>
      </c>
      <c r="CF136">
        <v>0</v>
      </c>
      <c r="CG136">
        <v>0</v>
      </c>
      <c r="CM136">
        <v>0</v>
      </c>
      <c r="CN136" t="s">
        <v>3</v>
      </c>
      <c r="CO136">
        <v>0</v>
      </c>
      <c r="CP136">
        <f t="shared" si="137"/>
        <v>155.82</v>
      </c>
      <c r="CQ136">
        <f t="shared" si="138"/>
        <v>0</v>
      </c>
      <c r="CR136">
        <f>((((ET136)*BB136-(EU136)*BS136)+AE136*BS136)*AV136)</f>
        <v>0</v>
      </c>
      <c r="CS136">
        <f t="shared" si="139"/>
        <v>0</v>
      </c>
      <c r="CT136">
        <f t="shared" si="140"/>
        <v>11130.3</v>
      </c>
      <c r="CU136">
        <f t="shared" si="141"/>
        <v>0</v>
      </c>
      <c r="CV136">
        <f t="shared" si="142"/>
        <v>83</v>
      </c>
      <c r="CW136">
        <f t="shared" si="143"/>
        <v>0</v>
      </c>
      <c r="CX136">
        <f t="shared" si="144"/>
        <v>0</v>
      </c>
      <c r="CY136">
        <f t="shared" si="145"/>
        <v>109.074</v>
      </c>
      <c r="CZ136">
        <f t="shared" si="146"/>
        <v>15.581999999999999</v>
      </c>
      <c r="DC136" t="s">
        <v>3</v>
      </c>
      <c r="DD136" t="s">
        <v>3</v>
      </c>
      <c r="DE136" t="s">
        <v>3</v>
      </c>
      <c r="DF136" t="s">
        <v>3</v>
      </c>
      <c r="DG136" t="s">
        <v>3</v>
      </c>
      <c r="DH136" t="s">
        <v>3</v>
      </c>
      <c r="DI136" t="s">
        <v>3</v>
      </c>
      <c r="DJ136" t="s">
        <v>3</v>
      </c>
      <c r="DK136" t="s">
        <v>3</v>
      </c>
      <c r="DL136" t="s">
        <v>3</v>
      </c>
      <c r="DM136" t="s">
        <v>3</v>
      </c>
      <c r="DN136">
        <v>0</v>
      </c>
      <c r="DO136">
        <v>0</v>
      </c>
      <c r="DP136">
        <v>1</v>
      </c>
      <c r="DQ136">
        <v>1</v>
      </c>
      <c r="DU136">
        <v>1007</v>
      </c>
      <c r="DV136" t="s">
        <v>17</v>
      </c>
      <c r="DW136" t="s">
        <v>17</v>
      </c>
      <c r="DX136">
        <v>100</v>
      </c>
      <c r="EE136">
        <v>46035301</v>
      </c>
      <c r="EF136">
        <v>1</v>
      </c>
      <c r="EG136" t="s">
        <v>19</v>
      </c>
      <c r="EH136">
        <v>0</v>
      </c>
      <c r="EI136" t="s">
        <v>3</v>
      </c>
      <c r="EJ136">
        <v>4</v>
      </c>
      <c r="EK136">
        <v>0</v>
      </c>
      <c r="EL136" t="s">
        <v>20</v>
      </c>
      <c r="EM136" t="s">
        <v>21</v>
      </c>
      <c r="EO136" t="s">
        <v>3</v>
      </c>
      <c r="EQ136">
        <v>0</v>
      </c>
      <c r="ER136">
        <v>11130.3</v>
      </c>
      <c r="ES136">
        <v>0</v>
      </c>
      <c r="ET136">
        <v>0</v>
      </c>
      <c r="EU136">
        <v>0</v>
      </c>
      <c r="EV136">
        <v>11130.3</v>
      </c>
      <c r="EW136">
        <v>83</v>
      </c>
      <c r="EX136">
        <v>0</v>
      </c>
      <c r="EY136">
        <v>0</v>
      </c>
      <c r="FQ136">
        <v>0</v>
      </c>
      <c r="FR136">
        <f t="shared" si="147"/>
        <v>0</v>
      </c>
      <c r="FS136">
        <v>0</v>
      </c>
      <c r="FX136">
        <v>70</v>
      </c>
      <c r="FY136">
        <v>10</v>
      </c>
      <c r="GA136" t="s">
        <v>3</v>
      </c>
      <c r="GD136">
        <v>0</v>
      </c>
      <c r="GF136">
        <v>-1624416853</v>
      </c>
      <c r="GG136">
        <v>2</v>
      </c>
      <c r="GH136">
        <v>1</v>
      </c>
      <c r="GI136">
        <v>-2</v>
      </c>
      <c r="GJ136">
        <v>0</v>
      </c>
      <c r="GK136">
        <f>ROUND(R136*(R12)/100,2)</f>
        <v>0</v>
      </c>
      <c r="GL136">
        <f t="shared" si="148"/>
        <v>0</v>
      </c>
      <c r="GM136">
        <f>ROUND(O136+X136+Y136+GK136,2)+GX136</f>
        <v>280.47000000000003</v>
      </c>
      <c r="GN136">
        <f>IF(OR(BI136=0,BI136=1),ROUND(O136+X136+Y136+GK136,2),0)</f>
        <v>0</v>
      </c>
      <c r="GO136">
        <f>IF(BI136=2,ROUND(O136+X136+Y136+GK136,2),0)</f>
        <v>0</v>
      </c>
      <c r="GP136">
        <f>IF(BI136=4,ROUND(O136+X136+Y136+GK136,2)+GX136,0)</f>
        <v>280.47000000000003</v>
      </c>
      <c r="GR136">
        <v>0</v>
      </c>
      <c r="GS136">
        <v>3</v>
      </c>
      <c r="GT136">
        <v>0</v>
      </c>
      <c r="GU136" t="s">
        <v>3</v>
      </c>
      <c r="GV136">
        <f t="shared" si="149"/>
        <v>0</v>
      </c>
      <c r="GW136">
        <v>1</v>
      </c>
      <c r="GX136">
        <f t="shared" si="150"/>
        <v>0</v>
      </c>
      <c r="HA136">
        <v>0</v>
      </c>
      <c r="HB136">
        <v>0</v>
      </c>
      <c r="HC136">
        <f t="shared" si="151"/>
        <v>0</v>
      </c>
      <c r="IK136">
        <v>0</v>
      </c>
    </row>
    <row r="137" spans="1:245" x14ac:dyDescent="0.2">
      <c r="A137">
        <v>17</v>
      </c>
      <c r="B137">
        <v>1</v>
      </c>
      <c r="C137">
        <f>ROW(SmtRes!A116)</f>
        <v>116</v>
      </c>
      <c r="D137">
        <f>ROW(EtalonRes!A104)</f>
        <v>104</v>
      </c>
      <c r="E137" t="s">
        <v>186</v>
      </c>
      <c r="F137" t="s">
        <v>27</v>
      </c>
      <c r="G137" t="s">
        <v>28</v>
      </c>
      <c r="H137" t="s">
        <v>29</v>
      </c>
      <c r="I137">
        <v>1.4</v>
      </c>
      <c r="J137">
        <v>0</v>
      </c>
      <c r="O137">
        <f t="shared" si="123"/>
        <v>66.180000000000007</v>
      </c>
      <c r="P137">
        <f t="shared" si="124"/>
        <v>0</v>
      </c>
      <c r="Q137">
        <f t="shared" si="125"/>
        <v>66.180000000000007</v>
      </c>
      <c r="R137">
        <f t="shared" si="126"/>
        <v>35.92</v>
      </c>
      <c r="S137">
        <f t="shared" si="127"/>
        <v>0</v>
      </c>
      <c r="T137">
        <f t="shared" si="128"/>
        <v>0</v>
      </c>
      <c r="U137">
        <f t="shared" si="129"/>
        <v>0</v>
      </c>
      <c r="V137">
        <f t="shared" si="130"/>
        <v>0</v>
      </c>
      <c r="W137">
        <f t="shared" si="131"/>
        <v>0</v>
      </c>
      <c r="X137">
        <f t="shared" si="132"/>
        <v>0</v>
      </c>
      <c r="Y137">
        <f t="shared" si="133"/>
        <v>0</v>
      </c>
      <c r="AA137">
        <v>46561299</v>
      </c>
      <c r="AB137">
        <f t="shared" si="134"/>
        <v>47.27</v>
      </c>
      <c r="AC137">
        <f>ROUND((ES137),6)</f>
        <v>0</v>
      </c>
      <c r="AD137">
        <f>ROUND((((ET137)-(EU137))+AE137),6)</f>
        <v>47.27</v>
      </c>
      <c r="AE137">
        <f t="shared" si="152"/>
        <v>25.66</v>
      </c>
      <c r="AF137">
        <f t="shared" si="152"/>
        <v>0</v>
      </c>
      <c r="AG137">
        <f t="shared" si="135"/>
        <v>0</v>
      </c>
      <c r="AH137">
        <f t="shared" si="153"/>
        <v>0</v>
      </c>
      <c r="AI137">
        <f t="shared" si="153"/>
        <v>0</v>
      </c>
      <c r="AJ137">
        <f t="shared" si="136"/>
        <v>0</v>
      </c>
      <c r="AK137">
        <v>47.27</v>
      </c>
      <c r="AL137">
        <v>0</v>
      </c>
      <c r="AM137">
        <v>47.27</v>
      </c>
      <c r="AN137">
        <v>25.66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Z137">
        <v>1</v>
      </c>
      <c r="BA137">
        <v>1</v>
      </c>
      <c r="BB137">
        <v>1</v>
      </c>
      <c r="BC137">
        <v>1</v>
      </c>
      <c r="BD137" t="s">
        <v>3</v>
      </c>
      <c r="BE137" t="s">
        <v>3</v>
      </c>
      <c r="BF137" t="s">
        <v>3</v>
      </c>
      <c r="BG137" t="s">
        <v>3</v>
      </c>
      <c r="BH137">
        <v>0</v>
      </c>
      <c r="BI137">
        <v>4</v>
      </c>
      <c r="BJ137" t="s">
        <v>30</v>
      </c>
      <c r="BM137">
        <v>1</v>
      </c>
      <c r="BN137">
        <v>0</v>
      </c>
      <c r="BO137" t="s">
        <v>3</v>
      </c>
      <c r="BP137">
        <v>0</v>
      </c>
      <c r="BQ137">
        <v>1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 t="s">
        <v>3</v>
      </c>
      <c r="BZ137">
        <v>0</v>
      </c>
      <c r="CA137">
        <v>0</v>
      </c>
      <c r="CE137">
        <v>0</v>
      </c>
      <c r="CF137">
        <v>0</v>
      </c>
      <c r="CG137">
        <v>0</v>
      </c>
      <c r="CM137">
        <v>0</v>
      </c>
      <c r="CN137" t="s">
        <v>3</v>
      </c>
      <c r="CO137">
        <v>0</v>
      </c>
      <c r="CP137">
        <f t="shared" si="137"/>
        <v>66.180000000000007</v>
      </c>
      <c r="CQ137">
        <f t="shared" si="138"/>
        <v>0</v>
      </c>
      <c r="CR137">
        <f>((((ET137)*BB137-(EU137)*BS137)+AE137*BS137)*AV137)</f>
        <v>47.27</v>
      </c>
      <c r="CS137">
        <f t="shared" si="139"/>
        <v>25.66</v>
      </c>
      <c r="CT137">
        <f t="shared" si="140"/>
        <v>0</v>
      </c>
      <c r="CU137">
        <f t="shared" si="141"/>
        <v>0</v>
      </c>
      <c r="CV137">
        <f t="shared" si="142"/>
        <v>0</v>
      </c>
      <c r="CW137">
        <f t="shared" si="143"/>
        <v>0</v>
      </c>
      <c r="CX137">
        <f t="shared" si="144"/>
        <v>0</v>
      </c>
      <c r="CY137">
        <f t="shared" si="145"/>
        <v>0</v>
      </c>
      <c r="CZ137">
        <f t="shared" si="146"/>
        <v>0</v>
      </c>
      <c r="DC137" t="s">
        <v>3</v>
      </c>
      <c r="DD137" t="s">
        <v>3</v>
      </c>
      <c r="DE137" t="s">
        <v>3</v>
      </c>
      <c r="DF137" t="s">
        <v>3</v>
      </c>
      <c r="DG137" t="s">
        <v>3</v>
      </c>
      <c r="DH137" t="s">
        <v>3</v>
      </c>
      <c r="DI137" t="s">
        <v>3</v>
      </c>
      <c r="DJ137" t="s">
        <v>3</v>
      </c>
      <c r="DK137" t="s">
        <v>3</v>
      </c>
      <c r="DL137" t="s">
        <v>3</v>
      </c>
      <c r="DM137" t="s">
        <v>3</v>
      </c>
      <c r="DN137">
        <v>0</v>
      </c>
      <c r="DO137">
        <v>0</v>
      </c>
      <c r="DP137">
        <v>1</v>
      </c>
      <c r="DQ137">
        <v>1</v>
      </c>
      <c r="DU137">
        <v>1007</v>
      </c>
      <c r="DV137" t="s">
        <v>29</v>
      </c>
      <c r="DW137" t="s">
        <v>29</v>
      </c>
      <c r="DX137">
        <v>1</v>
      </c>
      <c r="EE137">
        <v>46035303</v>
      </c>
      <c r="EF137">
        <v>1</v>
      </c>
      <c r="EG137" t="s">
        <v>19</v>
      </c>
      <c r="EH137">
        <v>0</v>
      </c>
      <c r="EI137" t="s">
        <v>3</v>
      </c>
      <c r="EJ137">
        <v>4</v>
      </c>
      <c r="EK137">
        <v>1</v>
      </c>
      <c r="EL137" t="s">
        <v>31</v>
      </c>
      <c r="EM137" t="s">
        <v>21</v>
      </c>
      <c r="EO137" t="s">
        <v>3</v>
      </c>
      <c r="EQ137">
        <v>0</v>
      </c>
      <c r="ER137">
        <v>47.27</v>
      </c>
      <c r="ES137">
        <v>0</v>
      </c>
      <c r="ET137">
        <v>47.27</v>
      </c>
      <c r="EU137">
        <v>25.66</v>
      </c>
      <c r="EV137">
        <v>0</v>
      </c>
      <c r="EW137">
        <v>0</v>
      </c>
      <c r="EX137">
        <v>0</v>
      </c>
      <c r="EY137">
        <v>0</v>
      </c>
      <c r="FQ137">
        <v>0</v>
      </c>
      <c r="FR137">
        <f t="shared" si="147"/>
        <v>0</v>
      </c>
      <c r="FS137">
        <v>0</v>
      </c>
      <c r="FX137">
        <v>0</v>
      </c>
      <c r="FY137">
        <v>0</v>
      </c>
      <c r="GA137" t="s">
        <v>3</v>
      </c>
      <c r="GD137">
        <v>1</v>
      </c>
      <c r="GF137">
        <v>-1023303705</v>
      </c>
      <c r="GG137">
        <v>2</v>
      </c>
      <c r="GH137">
        <v>1</v>
      </c>
      <c r="GI137">
        <v>-2</v>
      </c>
      <c r="GJ137">
        <v>0</v>
      </c>
      <c r="GK137">
        <v>0</v>
      </c>
      <c r="GL137">
        <f t="shared" si="148"/>
        <v>0</v>
      </c>
      <c r="GM137">
        <f>ROUND(O137+X137+Y137,2)+GX137</f>
        <v>66.180000000000007</v>
      </c>
      <c r="GN137">
        <f>IF(OR(BI137=0,BI137=1),ROUND(O137+X137+Y137,2),0)</f>
        <v>0</v>
      </c>
      <c r="GO137">
        <f>IF(BI137=2,ROUND(O137+X137+Y137,2),0)</f>
        <v>0</v>
      </c>
      <c r="GP137">
        <f>IF(BI137=4,ROUND(O137+X137+Y137,2)+GX137,0)</f>
        <v>66.180000000000007</v>
      </c>
      <c r="GR137">
        <v>0</v>
      </c>
      <c r="GS137">
        <v>3</v>
      </c>
      <c r="GT137">
        <v>0</v>
      </c>
      <c r="GU137" t="s">
        <v>3</v>
      </c>
      <c r="GV137">
        <f t="shared" si="149"/>
        <v>0</v>
      </c>
      <c r="GW137">
        <v>1</v>
      </c>
      <c r="GX137">
        <f t="shared" si="150"/>
        <v>0</v>
      </c>
      <c r="HA137">
        <v>0</v>
      </c>
      <c r="HB137">
        <v>0</v>
      </c>
      <c r="HC137">
        <f t="shared" si="151"/>
        <v>0</v>
      </c>
      <c r="IK137">
        <v>0</v>
      </c>
    </row>
    <row r="138" spans="1:245" x14ac:dyDescent="0.2">
      <c r="A138">
        <v>17</v>
      </c>
      <c r="B138">
        <v>1</v>
      </c>
      <c r="C138">
        <f>ROW(SmtRes!A117)</f>
        <v>117</v>
      </c>
      <c r="D138">
        <f>ROW(EtalonRes!A105)</f>
        <v>105</v>
      </c>
      <c r="E138" t="s">
        <v>187</v>
      </c>
      <c r="F138" t="s">
        <v>33</v>
      </c>
      <c r="G138" t="s">
        <v>34</v>
      </c>
      <c r="H138" t="s">
        <v>29</v>
      </c>
      <c r="I138">
        <v>1.4</v>
      </c>
      <c r="J138">
        <v>0</v>
      </c>
      <c r="O138">
        <f t="shared" si="123"/>
        <v>683.2</v>
      </c>
      <c r="P138">
        <f t="shared" si="124"/>
        <v>0</v>
      </c>
      <c r="Q138">
        <f t="shared" si="125"/>
        <v>683.2</v>
      </c>
      <c r="R138">
        <f t="shared" si="126"/>
        <v>370.94</v>
      </c>
      <c r="S138">
        <f t="shared" si="127"/>
        <v>0</v>
      </c>
      <c r="T138">
        <f t="shared" si="128"/>
        <v>0</v>
      </c>
      <c r="U138">
        <f t="shared" si="129"/>
        <v>0</v>
      </c>
      <c r="V138">
        <f t="shared" si="130"/>
        <v>0</v>
      </c>
      <c r="W138">
        <f t="shared" si="131"/>
        <v>0</v>
      </c>
      <c r="X138">
        <f t="shared" si="132"/>
        <v>0</v>
      </c>
      <c r="Y138">
        <f t="shared" si="133"/>
        <v>0</v>
      </c>
      <c r="AA138">
        <v>46561299</v>
      </c>
      <c r="AB138">
        <f t="shared" si="134"/>
        <v>488</v>
      </c>
      <c r="AC138">
        <f>ROUND(((ES138*32)),6)</f>
        <v>0</v>
      </c>
      <c r="AD138">
        <f>ROUND(((((ET138*32))-((EU138*32)))+AE138),6)</f>
        <v>488</v>
      </c>
      <c r="AE138">
        <f>ROUND(((EU138*32)),6)</f>
        <v>264.95999999999998</v>
      </c>
      <c r="AF138">
        <f>ROUND(((EV138*32)),6)</f>
        <v>0</v>
      </c>
      <c r="AG138">
        <f t="shared" si="135"/>
        <v>0</v>
      </c>
      <c r="AH138">
        <f>((EW138*32))</f>
        <v>0</v>
      </c>
      <c r="AI138">
        <f>((EX138*32))</f>
        <v>0</v>
      </c>
      <c r="AJ138">
        <f t="shared" si="136"/>
        <v>0</v>
      </c>
      <c r="AK138">
        <v>15.25</v>
      </c>
      <c r="AL138">
        <v>0</v>
      </c>
      <c r="AM138">
        <v>15.25</v>
      </c>
      <c r="AN138">
        <v>8.2799999999999994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Z138">
        <v>1</v>
      </c>
      <c r="BA138">
        <v>1</v>
      </c>
      <c r="BB138">
        <v>1</v>
      </c>
      <c r="BC138">
        <v>1</v>
      </c>
      <c r="BD138" t="s">
        <v>3</v>
      </c>
      <c r="BE138" t="s">
        <v>3</v>
      </c>
      <c r="BF138" t="s">
        <v>3</v>
      </c>
      <c r="BG138" t="s">
        <v>3</v>
      </c>
      <c r="BH138">
        <v>0</v>
      </c>
      <c r="BI138">
        <v>4</v>
      </c>
      <c r="BJ138" t="s">
        <v>35</v>
      </c>
      <c r="BM138">
        <v>1</v>
      </c>
      <c r="BN138">
        <v>0</v>
      </c>
      <c r="BO138" t="s">
        <v>3</v>
      </c>
      <c r="BP138">
        <v>0</v>
      </c>
      <c r="BQ138">
        <v>1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 t="s">
        <v>3</v>
      </c>
      <c r="BZ138">
        <v>0</v>
      </c>
      <c r="CA138">
        <v>0</v>
      </c>
      <c r="CE138">
        <v>0</v>
      </c>
      <c r="CF138">
        <v>0</v>
      </c>
      <c r="CG138">
        <v>0</v>
      </c>
      <c r="CM138">
        <v>0</v>
      </c>
      <c r="CN138" t="s">
        <v>3</v>
      </c>
      <c r="CO138">
        <v>0</v>
      </c>
      <c r="CP138">
        <f t="shared" si="137"/>
        <v>683.2</v>
      </c>
      <c r="CQ138">
        <f t="shared" si="138"/>
        <v>0</v>
      </c>
      <c r="CR138">
        <f>(((((ET138*32))*BB138-((EU138*32))*BS138)+AE138*BS138)*AV138)</f>
        <v>488</v>
      </c>
      <c r="CS138">
        <f t="shared" si="139"/>
        <v>264.95999999999998</v>
      </c>
      <c r="CT138">
        <f t="shared" si="140"/>
        <v>0</v>
      </c>
      <c r="CU138">
        <f t="shared" si="141"/>
        <v>0</v>
      </c>
      <c r="CV138">
        <f t="shared" si="142"/>
        <v>0</v>
      </c>
      <c r="CW138">
        <f t="shared" si="143"/>
        <v>0</v>
      </c>
      <c r="CX138">
        <f t="shared" si="144"/>
        <v>0</v>
      </c>
      <c r="CY138">
        <f t="shared" si="145"/>
        <v>0</v>
      </c>
      <c r="CZ138">
        <f t="shared" si="146"/>
        <v>0</v>
      </c>
      <c r="DC138" t="s">
        <v>3</v>
      </c>
      <c r="DD138" t="s">
        <v>36</v>
      </c>
      <c r="DE138" t="s">
        <v>36</v>
      </c>
      <c r="DF138" t="s">
        <v>36</v>
      </c>
      <c r="DG138" t="s">
        <v>36</v>
      </c>
      <c r="DH138" t="s">
        <v>3</v>
      </c>
      <c r="DI138" t="s">
        <v>36</v>
      </c>
      <c r="DJ138" t="s">
        <v>36</v>
      </c>
      <c r="DK138" t="s">
        <v>3</v>
      </c>
      <c r="DL138" t="s">
        <v>3</v>
      </c>
      <c r="DM138" t="s">
        <v>3</v>
      </c>
      <c r="DN138">
        <v>0</v>
      </c>
      <c r="DO138">
        <v>0</v>
      </c>
      <c r="DP138">
        <v>1</v>
      </c>
      <c r="DQ138">
        <v>1</v>
      </c>
      <c r="DU138">
        <v>1007</v>
      </c>
      <c r="DV138" t="s">
        <v>29</v>
      </c>
      <c r="DW138" t="s">
        <v>29</v>
      </c>
      <c r="DX138">
        <v>1</v>
      </c>
      <c r="EE138">
        <v>46035303</v>
      </c>
      <c r="EF138">
        <v>1</v>
      </c>
      <c r="EG138" t="s">
        <v>19</v>
      </c>
      <c r="EH138">
        <v>0</v>
      </c>
      <c r="EI138" t="s">
        <v>3</v>
      </c>
      <c r="EJ138">
        <v>4</v>
      </c>
      <c r="EK138">
        <v>1</v>
      </c>
      <c r="EL138" t="s">
        <v>31</v>
      </c>
      <c r="EM138" t="s">
        <v>21</v>
      </c>
      <c r="EO138" t="s">
        <v>3</v>
      </c>
      <c r="EQ138">
        <v>0</v>
      </c>
      <c r="ER138">
        <v>15.25</v>
      </c>
      <c r="ES138">
        <v>0</v>
      </c>
      <c r="ET138">
        <v>15.25</v>
      </c>
      <c r="EU138">
        <v>8.2799999999999994</v>
      </c>
      <c r="EV138">
        <v>0</v>
      </c>
      <c r="EW138">
        <v>0</v>
      </c>
      <c r="EX138">
        <v>0</v>
      </c>
      <c r="EY138">
        <v>0</v>
      </c>
      <c r="FQ138">
        <v>0</v>
      </c>
      <c r="FR138">
        <f t="shared" si="147"/>
        <v>0</v>
      </c>
      <c r="FS138">
        <v>0</v>
      </c>
      <c r="FX138">
        <v>0</v>
      </c>
      <c r="FY138">
        <v>0</v>
      </c>
      <c r="GA138" t="s">
        <v>3</v>
      </c>
      <c r="GD138">
        <v>1</v>
      </c>
      <c r="GF138">
        <v>-103757531</v>
      </c>
      <c r="GG138">
        <v>2</v>
      </c>
      <c r="GH138">
        <v>1</v>
      </c>
      <c r="GI138">
        <v>-2</v>
      </c>
      <c r="GJ138">
        <v>0</v>
      </c>
      <c r="GK138">
        <v>0</v>
      </c>
      <c r="GL138">
        <f t="shared" si="148"/>
        <v>0</v>
      </c>
      <c r="GM138">
        <f>ROUND(O138+X138+Y138,2)+GX138</f>
        <v>683.2</v>
      </c>
      <c r="GN138">
        <f>IF(OR(BI138=0,BI138=1),ROUND(O138+X138+Y138,2),0)</f>
        <v>0</v>
      </c>
      <c r="GO138">
        <f>IF(BI138=2,ROUND(O138+X138+Y138,2),0)</f>
        <v>0</v>
      </c>
      <c r="GP138">
        <f>IF(BI138=4,ROUND(O138+X138+Y138,2)+GX138,0)</f>
        <v>683.2</v>
      </c>
      <c r="GR138">
        <v>0</v>
      </c>
      <c r="GS138">
        <v>3</v>
      </c>
      <c r="GT138">
        <v>0</v>
      </c>
      <c r="GU138" t="s">
        <v>3</v>
      </c>
      <c r="GV138">
        <f t="shared" si="149"/>
        <v>0</v>
      </c>
      <c r="GW138">
        <v>1</v>
      </c>
      <c r="GX138">
        <f t="shared" si="150"/>
        <v>0</v>
      </c>
      <c r="HA138">
        <v>0</v>
      </c>
      <c r="HB138">
        <v>0</v>
      </c>
      <c r="HC138">
        <f t="shared" si="151"/>
        <v>0</v>
      </c>
      <c r="IK138">
        <v>0</v>
      </c>
    </row>
    <row r="139" spans="1:245" x14ac:dyDescent="0.2">
      <c r="A139">
        <v>17</v>
      </c>
      <c r="B139">
        <v>1</v>
      </c>
      <c r="C139">
        <f>ROW(SmtRes!A121)</f>
        <v>121</v>
      </c>
      <c r="D139">
        <f>ROW(EtalonRes!A109)</f>
        <v>109</v>
      </c>
      <c r="E139" t="s">
        <v>188</v>
      </c>
      <c r="F139" t="s">
        <v>38</v>
      </c>
      <c r="G139" t="s">
        <v>39</v>
      </c>
      <c r="H139" t="s">
        <v>40</v>
      </c>
      <c r="I139">
        <v>1.9</v>
      </c>
      <c r="J139">
        <v>0</v>
      </c>
      <c r="O139">
        <f t="shared" si="123"/>
        <v>1541.05</v>
      </c>
      <c r="P139">
        <f t="shared" si="124"/>
        <v>1018.97</v>
      </c>
      <c r="Q139">
        <f t="shared" si="125"/>
        <v>0</v>
      </c>
      <c r="R139">
        <f t="shared" si="126"/>
        <v>0</v>
      </c>
      <c r="S139">
        <f t="shared" si="127"/>
        <v>522.08000000000004</v>
      </c>
      <c r="T139">
        <f t="shared" si="128"/>
        <v>0</v>
      </c>
      <c r="U139">
        <f t="shared" si="129"/>
        <v>2.375</v>
      </c>
      <c r="V139">
        <f t="shared" si="130"/>
        <v>0</v>
      </c>
      <c r="W139">
        <f t="shared" si="131"/>
        <v>0</v>
      </c>
      <c r="X139">
        <f t="shared" si="132"/>
        <v>365.46</v>
      </c>
      <c r="Y139">
        <f t="shared" si="133"/>
        <v>52.21</v>
      </c>
      <c r="AA139">
        <v>46561299</v>
      </c>
      <c r="AB139">
        <f t="shared" si="134"/>
        <v>811.08</v>
      </c>
      <c r="AC139">
        <f t="shared" ref="AC139:AC160" si="154">ROUND((ES139),6)</f>
        <v>536.29999999999995</v>
      </c>
      <c r="AD139">
        <f t="shared" ref="AD139:AD160" si="155">ROUND((((ET139)-(EU139))+AE139),6)</f>
        <v>0</v>
      </c>
      <c r="AE139">
        <f t="shared" ref="AE139:AE160" si="156">ROUND((EU139),6)</f>
        <v>0</v>
      </c>
      <c r="AF139">
        <f t="shared" ref="AF139:AF160" si="157">ROUND((EV139),6)</f>
        <v>274.77999999999997</v>
      </c>
      <c r="AG139">
        <f t="shared" si="135"/>
        <v>0</v>
      </c>
      <c r="AH139">
        <f t="shared" ref="AH139:AH160" si="158">(EW139)</f>
        <v>1.25</v>
      </c>
      <c r="AI139">
        <f t="shared" ref="AI139:AI160" si="159">(EX139)</f>
        <v>0</v>
      </c>
      <c r="AJ139">
        <f t="shared" si="136"/>
        <v>0</v>
      </c>
      <c r="AK139">
        <v>811.08</v>
      </c>
      <c r="AL139">
        <v>536.29999999999995</v>
      </c>
      <c r="AM139">
        <v>0</v>
      </c>
      <c r="AN139">
        <v>0</v>
      </c>
      <c r="AO139">
        <v>274.77999999999997</v>
      </c>
      <c r="AP139">
        <v>0</v>
      </c>
      <c r="AQ139">
        <v>1.25</v>
      </c>
      <c r="AR139">
        <v>0</v>
      </c>
      <c r="AS139">
        <v>0</v>
      </c>
      <c r="AT139">
        <v>70</v>
      </c>
      <c r="AU139">
        <v>10</v>
      </c>
      <c r="AV139">
        <v>1</v>
      </c>
      <c r="AW139">
        <v>1</v>
      </c>
      <c r="AZ139">
        <v>1</v>
      </c>
      <c r="BA139">
        <v>1</v>
      </c>
      <c r="BB139">
        <v>1</v>
      </c>
      <c r="BC139">
        <v>1</v>
      </c>
      <c r="BD139" t="s">
        <v>3</v>
      </c>
      <c r="BE139" t="s">
        <v>3</v>
      </c>
      <c r="BF139" t="s">
        <v>3</v>
      </c>
      <c r="BG139" t="s">
        <v>3</v>
      </c>
      <c r="BH139">
        <v>0</v>
      </c>
      <c r="BI139">
        <v>4</v>
      </c>
      <c r="BJ139" t="s">
        <v>41</v>
      </c>
      <c r="BM139">
        <v>0</v>
      </c>
      <c r="BN139">
        <v>0</v>
      </c>
      <c r="BO139" t="s">
        <v>3</v>
      </c>
      <c r="BP139">
        <v>0</v>
      </c>
      <c r="BQ139">
        <v>1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 t="s">
        <v>3</v>
      </c>
      <c r="BZ139">
        <v>70</v>
      </c>
      <c r="CA139">
        <v>10</v>
      </c>
      <c r="CE139">
        <v>0</v>
      </c>
      <c r="CF139">
        <v>0</v>
      </c>
      <c r="CG139">
        <v>0</v>
      </c>
      <c r="CM139">
        <v>0</v>
      </c>
      <c r="CN139" t="s">
        <v>3</v>
      </c>
      <c r="CO139">
        <v>0</v>
      </c>
      <c r="CP139">
        <f t="shared" si="137"/>
        <v>1541.0500000000002</v>
      </c>
      <c r="CQ139">
        <f t="shared" si="138"/>
        <v>536.29999999999995</v>
      </c>
      <c r="CR139">
        <f t="shared" ref="CR139:CR160" si="160">((((ET139)*BB139-(EU139)*BS139)+AE139*BS139)*AV139)</f>
        <v>0</v>
      </c>
      <c r="CS139">
        <f t="shared" si="139"/>
        <v>0</v>
      </c>
      <c r="CT139">
        <f t="shared" si="140"/>
        <v>274.77999999999997</v>
      </c>
      <c r="CU139">
        <f t="shared" si="141"/>
        <v>0</v>
      </c>
      <c r="CV139">
        <f t="shared" si="142"/>
        <v>1.25</v>
      </c>
      <c r="CW139">
        <f t="shared" si="143"/>
        <v>0</v>
      </c>
      <c r="CX139">
        <f t="shared" si="144"/>
        <v>0</v>
      </c>
      <c r="CY139">
        <f t="shared" si="145"/>
        <v>365.45600000000007</v>
      </c>
      <c r="CZ139">
        <f t="shared" si="146"/>
        <v>52.207999999999998</v>
      </c>
      <c r="DC139" t="s">
        <v>3</v>
      </c>
      <c r="DD139" t="s">
        <v>3</v>
      </c>
      <c r="DE139" t="s">
        <v>3</v>
      </c>
      <c r="DF139" t="s">
        <v>3</v>
      </c>
      <c r="DG139" t="s">
        <v>3</v>
      </c>
      <c r="DH139" t="s">
        <v>3</v>
      </c>
      <c r="DI139" t="s">
        <v>3</v>
      </c>
      <c r="DJ139" t="s">
        <v>3</v>
      </c>
      <c r="DK139" t="s">
        <v>3</v>
      </c>
      <c r="DL139" t="s">
        <v>3</v>
      </c>
      <c r="DM139" t="s">
        <v>3</v>
      </c>
      <c r="DN139">
        <v>0</v>
      </c>
      <c r="DO139">
        <v>0</v>
      </c>
      <c r="DP139">
        <v>1</v>
      </c>
      <c r="DQ139">
        <v>1</v>
      </c>
      <c r="DU139">
        <v>1005</v>
      </c>
      <c r="DV139" t="s">
        <v>40</v>
      </c>
      <c r="DW139" t="s">
        <v>40</v>
      </c>
      <c r="DX139">
        <v>1</v>
      </c>
      <c r="EE139">
        <v>46035301</v>
      </c>
      <c r="EF139">
        <v>1</v>
      </c>
      <c r="EG139" t="s">
        <v>19</v>
      </c>
      <c r="EH139">
        <v>0</v>
      </c>
      <c r="EI139" t="s">
        <v>3</v>
      </c>
      <c r="EJ139">
        <v>4</v>
      </c>
      <c r="EK139">
        <v>0</v>
      </c>
      <c r="EL139" t="s">
        <v>20</v>
      </c>
      <c r="EM139" t="s">
        <v>21</v>
      </c>
      <c r="EO139" t="s">
        <v>3</v>
      </c>
      <c r="EQ139">
        <v>0</v>
      </c>
      <c r="ER139">
        <v>811.08</v>
      </c>
      <c r="ES139">
        <v>536.29999999999995</v>
      </c>
      <c r="ET139">
        <v>0</v>
      </c>
      <c r="EU139">
        <v>0</v>
      </c>
      <c r="EV139">
        <v>274.77999999999997</v>
      </c>
      <c r="EW139">
        <v>1.25</v>
      </c>
      <c r="EX139">
        <v>0</v>
      </c>
      <c r="EY139">
        <v>0</v>
      </c>
      <c r="FQ139">
        <v>0</v>
      </c>
      <c r="FR139">
        <f t="shared" si="147"/>
        <v>0</v>
      </c>
      <c r="FS139">
        <v>0</v>
      </c>
      <c r="FX139">
        <v>70</v>
      </c>
      <c r="FY139">
        <v>10</v>
      </c>
      <c r="GA139" t="s">
        <v>3</v>
      </c>
      <c r="GD139">
        <v>0</v>
      </c>
      <c r="GF139">
        <v>1029220427</v>
      </c>
      <c r="GG139">
        <v>2</v>
      </c>
      <c r="GH139">
        <v>1</v>
      </c>
      <c r="GI139">
        <v>-2</v>
      </c>
      <c r="GJ139">
        <v>0</v>
      </c>
      <c r="GK139">
        <f>ROUND(R139*(R12)/100,2)</f>
        <v>0</v>
      </c>
      <c r="GL139">
        <f t="shared" si="148"/>
        <v>0</v>
      </c>
      <c r="GM139">
        <f t="shared" ref="GM139:GM160" si="161">ROUND(O139+X139+Y139+GK139,2)+GX139</f>
        <v>1958.72</v>
      </c>
      <c r="GN139">
        <f t="shared" ref="GN139:GN160" si="162">IF(OR(BI139=0,BI139=1),ROUND(O139+X139+Y139+GK139,2),0)</f>
        <v>0</v>
      </c>
      <c r="GO139">
        <f t="shared" ref="GO139:GO160" si="163">IF(BI139=2,ROUND(O139+X139+Y139+GK139,2),0)</f>
        <v>0</v>
      </c>
      <c r="GP139">
        <f t="shared" ref="GP139:GP160" si="164">IF(BI139=4,ROUND(O139+X139+Y139+GK139,2)+GX139,0)</f>
        <v>1958.72</v>
      </c>
      <c r="GR139">
        <v>0</v>
      </c>
      <c r="GS139">
        <v>3</v>
      </c>
      <c r="GT139">
        <v>0</v>
      </c>
      <c r="GU139" t="s">
        <v>3</v>
      </c>
      <c r="GV139">
        <f t="shared" si="149"/>
        <v>0</v>
      </c>
      <c r="GW139">
        <v>1</v>
      </c>
      <c r="GX139">
        <f t="shared" si="150"/>
        <v>0</v>
      </c>
      <c r="HA139">
        <v>0</v>
      </c>
      <c r="HB139">
        <v>0</v>
      </c>
      <c r="HC139">
        <f t="shared" si="151"/>
        <v>0</v>
      </c>
      <c r="IK139">
        <v>0</v>
      </c>
    </row>
    <row r="140" spans="1:245" x14ac:dyDescent="0.2">
      <c r="A140">
        <v>17</v>
      </c>
      <c r="B140">
        <v>1</v>
      </c>
      <c r="C140">
        <f>ROW(SmtRes!A125)</f>
        <v>125</v>
      </c>
      <c r="D140">
        <f>ROW(EtalonRes!A113)</f>
        <v>113</v>
      </c>
      <c r="E140" t="s">
        <v>189</v>
      </c>
      <c r="F140" t="s">
        <v>43</v>
      </c>
      <c r="G140" t="s">
        <v>44</v>
      </c>
      <c r="H140" t="s">
        <v>40</v>
      </c>
      <c r="I140">
        <v>1.9</v>
      </c>
      <c r="J140">
        <v>0</v>
      </c>
      <c r="O140">
        <f t="shared" si="123"/>
        <v>274.08999999999997</v>
      </c>
      <c r="P140">
        <f t="shared" si="124"/>
        <v>118.52</v>
      </c>
      <c r="Q140">
        <f t="shared" si="125"/>
        <v>7.24</v>
      </c>
      <c r="R140">
        <f t="shared" si="126"/>
        <v>2.81</v>
      </c>
      <c r="S140">
        <f t="shared" si="127"/>
        <v>148.33000000000001</v>
      </c>
      <c r="T140">
        <f t="shared" si="128"/>
        <v>0</v>
      </c>
      <c r="U140">
        <f t="shared" si="129"/>
        <v>0.70299999999999996</v>
      </c>
      <c r="V140">
        <f t="shared" si="130"/>
        <v>0</v>
      </c>
      <c r="W140">
        <f t="shared" si="131"/>
        <v>0</v>
      </c>
      <c r="X140">
        <f t="shared" si="132"/>
        <v>103.83</v>
      </c>
      <c r="Y140">
        <f t="shared" si="133"/>
        <v>14.83</v>
      </c>
      <c r="AA140">
        <v>46561299</v>
      </c>
      <c r="AB140">
        <f t="shared" si="134"/>
        <v>144.26</v>
      </c>
      <c r="AC140">
        <f t="shared" si="154"/>
        <v>62.38</v>
      </c>
      <c r="AD140">
        <f t="shared" si="155"/>
        <v>3.81</v>
      </c>
      <c r="AE140">
        <f t="shared" si="156"/>
        <v>1.48</v>
      </c>
      <c r="AF140">
        <f t="shared" si="157"/>
        <v>78.069999999999993</v>
      </c>
      <c r="AG140">
        <f t="shared" si="135"/>
        <v>0</v>
      </c>
      <c r="AH140">
        <f t="shared" si="158"/>
        <v>0.37</v>
      </c>
      <c r="AI140">
        <f t="shared" si="159"/>
        <v>0</v>
      </c>
      <c r="AJ140">
        <f t="shared" si="136"/>
        <v>0</v>
      </c>
      <c r="AK140">
        <v>144.26</v>
      </c>
      <c r="AL140">
        <v>62.38</v>
      </c>
      <c r="AM140">
        <v>3.81</v>
      </c>
      <c r="AN140">
        <v>1.48</v>
      </c>
      <c r="AO140">
        <v>78.069999999999993</v>
      </c>
      <c r="AP140">
        <v>0</v>
      </c>
      <c r="AQ140">
        <v>0.37</v>
      </c>
      <c r="AR140">
        <v>0</v>
      </c>
      <c r="AS140">
        <v>0</v>
      </c>
      <c r="AT140">
        <v>70</v>
      </c>
      <c r="AU140">
        <v>10</v>
      </c>
      <c r="AV140">
        <v>1</v>
      </c>
      <c r="AW140">
        <v>1</v>
      </c>
      <c r="AZ140">
        <v>1</v>
      </c>
      <c r="BA140">
        <v>1</v>
      </c>
      <c r="BB140">
        <v>1</v>
      </c>
      <c r="BC140">
        <v>1</v>
      </c>
      <c r="BD140" t="s">
        <v>3</v>
      </c>
      <c r="BE140" t="s">
        <v>3</v>
      </c>
      <c r="BF140" t="s">
        <v>3</v>
      </c>
      <c r="BG140" t="s">
        <v>3</v>
      </c>
      <c r="BH140">
        <v>0</v>
      </c>
      <c r="BI140">
        <v>4</v>
      </c>
      <c r="BJ140" t="s">
        <v>45</v>
      </c>
      <c r="BM140">
        <v>0</v>
      </c>
      <c r="BN140">
        <v>0</v>
      </c>
      <c r="BO140" t="s">
        <v>3</v>
      </c>
      <c r="BP140">
        <v>0</v>
      </c>
      <c r="BQ140">
        <v>1</v>
      </c>
      <c r="BR140">
        <v>0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 t="s">
        <v>3</v>
      </c>
      <c r="BZ140">
        <v>70</v>
      </c>
      <c r="CA140">
        <v>10</v>
      </c>
      <c r="CE140">
        <v>0</v>
      </c>
      <c r="CF140">
        <v>0</v>
      </c>
      <c r="CG140">
        <v>0</v>
      </c>
      <c r="CM140">
        <v>0</v>
      </c>
      <c r="CN140" t="s">
        <v>3</v>
      </c>
      <c r="CO140">
        <v>0</v>
      </c>
      <c r="CP140">
        <f t="shared" si="137"/>
        <v>274.09000000000003</v>
      </c>
      <c r="CQ140">
        <f t="shared" si="138"/>
        <v>62.38</v>
      </c>
      <c r="CR140">
        <f t="shared" si="160"/>
        <v>3.81</v>
      </c>
      <c r="CS140">
        <f t="shared" si="139"/>
        <v>1.48</v>
      </c>
      <c r="CT140">
        <f t="shared" si="140"/>
        <v>78.069999999999993</v>
      </c>
      <c r="CU140">
        <f t="shared" si="141"/>
        <v>0</v>
      </c>
      <c r="CV140">
        <f t="shared" si="142"/>
        <v>0.37</v>
      </c>
      <c r="CW140">
        <f t="shared" si="143"/>
        <v>0</v>
      </c>
      <c r="CX140">
        <f t="shared" si="144"/>
        <v>0</v>
      </c>
      <c r="CY140">
        <f t="shared" si="145"/>
        <v>103.831</v>
      </c>
      <c r="CZ140">
        <f t="shared" si="146"/>
        <v>14.833000000000002</v>
      </c>
      <c r="DC140" t="s">
        <v>3</v>
      </c>
      <c r="DD140" t="s">
        <v>3</v>
      </c>
      <c r="DE140" t="s">
        <v>3</v>
      </c>
      <c r="DF140" t="s">
        <v>3</v>
      </c>
      <c r="DG140" t="s">
        <v>3</v>
      </c>
      <c r="DH140" t="s">
        <v>3</v>
      </c>
      <c r="DI140" t="s">
        <v>3</v>
      </c>
      <c r="DJ140" t="s">
        <v>3</v>
      </c>
      <c r="DK140" t="s">
        <v>3</v>
      </c>
      <c r="DL140" t="s">
        <v>3</v>
      </c>
      <c r="DM140" t="s">
        <v>3</v>
      </c>
      <c r="DN140">
        <v>0</v>
      </c>
      <c r="DO140">
        <v>0</v>
      </c>
      <c r="DP140">
        <v>1</v>
      </c>
      <c r="DQ140">
        <v>1</v>
      </c>
      <c r="DU140">
        <v>1005</v>
      </c>
      <c r="DV140" t="s">
        <v>40</v>
      </c>
      <c r="DW140" t="s">
        <v>40</v>
      </c>
      <c r="DX140">
        <v>1</v>
      </c>
      <c r="EE140">
        <v>46035301</v>
      </c>
      <c r="EF140">
        <v>1</v>
      </c>
      <c r="EG140" t="s">
        <v>19</v>
      </c>
      <c r="EH140">
        <v>0</v>
      </c>
      <c r="EI140" t="s">
        <v>3</v>
      </c>
      <c r="EJ140">
        <v>4</v>
      </c>
      <c r="EK140">
        <v>0</v>
      </c>
      <c r="EL140" t="s">
        <v>20</v>
      </c>
      <c r="EM140" t="s">
        <v>21</v>
      </c>
      <c r="EO140" t="s">
        <v>3</v>
      </c>
      <c r="EQ140">
        <v>0</v>
      </c>
      <c r="ER140">
        <v>144.26</v>
      </c>
      <c r="ES140">
        <v>62.38</v>
      </c>
      <c r="ET140">
        <v>3.81</v>
      </c>
      <c r="EU140">
        <v>1.48</v>
      </c>
      <c r="EV140">
        <v>78.069999999999993</v>
      </c>
      <c r="EW140">
        <v>0.37</v>
      </c>
      <c r="EX140">
        <v>0</v>
      </c>
      <c r="EY140">
        <v>0</v>
      </c>
      <c r="FQ140">
        <v>0</v>
      </c>
      <c r="FR140">
        <f t="shared" si="147"/>
        <v>0</v>
      </c>
      <c r="FS140">
        <v>0</v>
      </c>
      <c r="FX140">
        <v>70</v>
      </c>
      <c r="FY140">
        <v>10</v>
      </c>
      <c r="GA140" t="s">
        <v>3</v>
      </c>
      <c r="GD140">
        <v>0</v>
      </c>
      <c r="GF140">
        <v>319965723</v>
      </c>
      <c r="GG140">
        <v>2</v>
      </c>
      <c r="GH140">
        <v>1</v>
      </c>
      <c r="GI140">
        <v>-2</v>
      </c>
      <c r="GJ140">
        <v>0</v>
      </c>
      <c r="GK140">
        <f>ROUND(R140*(R12)/100,2)</f>
        <v>3.03</v>
      </c>
      <c r="GL140">
        <f t="shared" si="148"/>
        <v>0</v>
      </c>
      <c r="GM140">
        <f t="shared" si="161"/>
        <v>395.78</v>
      </c>
      <c r="GN140">
        <f t="shared" si="162"/>
        <v>0</v>
      </c>
      <c r="GO140">
        <f t="shared" si="163"/>
        <v>0</v>
      </c>
      <c r="GP140">
        <f t="shared" si="164"/>
        <v>395.78</v>
      </c>
      <c r="GR140">
        <v>0</v>
      </c>
      <c r="GS140">
        <v>3</v>
      </c>
      <c r="GT140">
        <v>0</v>
      </c>
      <c r="GU140" t="s">
        <v>3</v>
      </c>
      <c r="GV140">
        <f t="shared" si="149"/>
        <v>0</v>
      </c>
      <c r="GW140">
        <v>1</v>
      </c>
      <c r="GX140">
        <f t="shared" si="150"/>
        <v>0</v>
      </c>
      <c r="HA140">
        <v>0</v>
      </c>
      <c r="HB140">
        <v>0</v>
      </c>
      <c r="HC140">
        <f t="shared" si="151"/>
        <v>0</v>
      </c>
      <c r="IK140">
        <v>0</v>
      </c>
    </row>
    <row r="141" spans="1:245" x14ac:dyDescent="0.2">
      <c r="A141">
        <v>17</v>
      </c>
      <c r="B141">
        <v>1</v>
      </c>
      <c r="C141">
        <f>ROW(SmtRes!A140)</f>
        <v>140</v>
      </c>
      <c r="D141">
        <f>ROW(EtalonRes!A127)</f>
        <v>127</v>
      </c>
      <c r="E141" t="s">
        <v>190</v>
      </c>
      <c r="F141" t="s">
        <v>47</v>
      </c>
      <c r="G141" t="s">
        <v>48</v>
      </c>
      <c r="H141" t="s">
        <v>17</v>
      </c>
      <c r="I141">
        <v>1.89E-2</v>
      </c>
      <c r="J141">
        <v>0</v>
      </c>
      <c r="O141">
        <f t="shared" si="123"/>
        <v>13726.28</v>
      </c>
      <c r="P141">
        <f t="shared" si="124"/>
        <v>12856.3</v>
      </c>
      <c r="Q141">
        <f t="shared" si="125"/>
        <v>83.46</v>
      </c>
      <c r="R141">
        <f t="shared" si="126"/>
        <v>3.18</v>
      </c>
      <c r="S141">
        <f t="shared" si="127"/>
        <v>786.52</v>
      </c>
      <c r="T141">
        <f t="shared" si="128"/>
        <v>0</v>
      </c>
      <c r="U141">
        <f t="shared" si="129"/>
        <v>3.8905650000000001</v>
      </c>
      <c r="V141">
        <f t="shared" si="130"/>
        <v>0</v>
      </c>
      <c r="W141">
        <f t="shared" si="131"/>
        <v>0</v>
      </c>
      <c r="X141">
        <f t="shared" si="132"/>
        <v>550.55999999999995</v>
      </c>
      <c r="Y141">
        <f t="shared" si="133"/>
        <v>78.650000000000006</v>
      </c>
      <c r="AA141">
        <v>46561299</v>
      </c>
      <c r="AB141">
        <f t="shared" si="134"/>
        <v>726258.01</v>
      </c>
      <c r="AC141">
        <f t="shared" si="154"/>
        <v>680227.7</v>
      </c>
      <c r="AD141">
        <f t="shared" si="155"/>
        <v>4415.67</v>
      </c>
      <c r="AE141">
        <f t="shared" si="156"/>
        <v>168.01</v>
      </c>
      <c r="AF141">
        <f t="shared" si="157"/>
        <v>41614.639999999999</v>
      </c>
      <c r="AG141">
        <f t="shared" si="135"/>
        <v>0</v>
      </c>
      <c r="AH141">
        <f t="shared" si="158"/>
        <v>205.85</v>
      </c>
      <c r="AI141">
        <f t="shared" si="159"/>
        <v>0</v>
      </c>
      <c r="AJ141">
        <f t="shared" si="136"/>
        <v>0</v>
      </c>
      <c r="AK141">
        <v>726258.01</v>
      </c>
      <c r="AL141">
        <v>680227.7</v>
      </c>
      <c r="AM141">
        <v>4415.67</v>
      </c>
      <c r="AN141">
        <v>168.01</v>
      </c>
      <c r="AO141">
        <v>41614.639999999999</v>
      </c>
      <c r="AP141">
        <v>0</v>
      </c>
      <c r="AQ141">
        <v>205.85</v>
      </c>
      <c r="AR141">
        <v>0</v>
      </c>
      <c r="AS141">
        <v>0</v>
      </c>
      <c r="AT141">
        <v>70</v>
      </c>
      <c r="AU141">
        <v>10</v>
      </c>
      <c r="AV141">
        <v>1</v>
      </c>
      <c r="AW141">
        <v>1</v>
      </c>
      <c r="AZ141">
        <v>1</v>
      </c>
      <c r="BA141">
        <v>1</v>
      </c>
      <c r="BB141">
        <v>1</v>
      </c>
      <c r="BC141">
        <v>1</v>
      </c>
      <c r="BD141" t="s">
        <v>3</v>
      </c>
      <c r="BE141" t="s">
        <v>3</v>
      </c>
      <c r="BF141" t="s">
        <v>3</v>
      </c>
      <c r="BG141" t="s">
        <v>3</v>
      </c>
      <c r="BH141">
        <v>0</v>
      </c>
      <c r="BI141">
        <v>4</v>
      </c>
      <c r="BJ141" t="s">
        <v>49</v>
      </c>
      <c r="BM141">
        <v>0</v>
      </c>
      <c r="BN141">
        <v>0</v>
      </c>
      <c r="BO141" t="s">
        <v>3</v>
      </c>
      <c r="BP141">
        <v>0</v>
      </c>
      <c r="BQ141">
        <v>1</v>
      </c>
      <c r="BR141">
        <v>0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 t="s">
        <v>3</v>
      </c>
      <c r="BZ141">
        <v>70</v>
      </c>
      <c r="CA141">
        <v>10</v>
      </c>
      <c r="CE141">
        <v>0</v>
      </c>
      <c r="CF141">
        <v>0</v>
      </c>
      <c r="CG141">
        <v>0</v>
      </c>
      <c r="CM141">
        <v>0</v>
      </c>
      <c r="CN141" t="s">
        <v>3</v>
      </c>
      <c r="CO141">
        <v>0</v>
      </c>
      <c r="CP141">
        <f t="shared" si="137"/>
        <v>13726.279999999999</v>
      </c>
      <c r="CQ141">
        <f t="shared" si="138"/>
        <v>680227.7</v>
      </c>
      <c r="CR141">
        <f t="shared" si="160"/>
        <v>4415.67</v>
      </c>
      <c r="CS141">
        <f t="shared" si="139"/>
        <v>168.01</v>
      </c>
      <c r="CT141">
        <f t="shared" si="140"/>
        <v>41614.639999999999</v>
      </c>
      <c r="CU141">
        <f t="shared" si="141"/>
        <v>0</v>
      </c>
      <c r="CV141">
        <f t="shared" si="142"/>
        <v>205.85</v>
      </c>
      <c r="CW141">
        <f t="shared" si="143"/>
        <v>0</v>
      </c>
      <c r="CX141">
        <f t="shared" si="144"/>
        <v>0</v>
      </c>
      <c r="CY141">
        <f t="shared" si="145"/>
        <v>550.56399999999996</v>
      </c>
      <c r="CZ141">
        <f t="shared" si="146"/>
        <v>78.652000000000001</v>
      </c>
      <c r="DC141" t="s">
        <v>3</v>
      </c>
      <c r="DD141" t="s">
        <v>3</v>
      </c>
      <c r="DE141" t="s">
        <v>3</v>
      </c>
      <c r="DF141" t="s">
        <v>3</v>
      </c>
      <c r="DG141" t="s">
        <v>3</v>
      </c>
      <c r="DH141" t="s">
        <v>3</v>
      </c>
      <c r="DI141" t="s">
        <v>3</v>
      </c>
      <c r="DJ141" t="s">
        <v>3</v>
      </c>
      <c r="DK141" t="s">
        <v>3</v>
      </c>
      <c r="DL141" t="s">
        <v>3</v>
      </c>
      <c r="DM141" t="s">
        <v>3</v>
      </c>
      <c r="DN141">
        <v>0</v>
      </c>
      <c r="DO141">
        <v>0</v>
      </c>
      <c r="DP141">
        <v>1</v>
      </c>
      <c r="DQ141">
        <v>1</v>
      </c>
      <c r="DU141">
        <v>1007</v>
      </c>
      <c r="DV141" t="s">
        <v>17</v>
      </c>
      <c r="DW141" t="s">
        <v>17</v>
      </c>
      <c r="DX141">
        <v>100</v>
      </c>
      <c r="EE141">
        <v>46035301</v>
      </c>
      <c r="EF141">
        <v>1</v>
      </c>
      <c r="EG141" t="s">
        <v>19</v>
      </c>
      <c r="EH141">
        <v>0</v>
      </c>
      <c r="EI141" t="s">
        <v>3</v>
      </c>
      <c r="EJ141">
        <v>4</v>
      </c>
      <c r="EK141">
        <v>0</v>
      </c>
      <c r="EL141" t="s">
        <v>20</v>
      </c>
      <c r="EM141" t="s">
        <v>21</v>
      </c>
      <c r="EO141" t="s">
        <v>3</v>
      </c>
      <c r="EQ141">
        <v>0</v>
      </c>
      <c r="ER141">
        <v>726258.01</v>
      </c>
      <c r="ES141">
        <v>680227.7</v>
      </c>
      <c r="ET141">
        <v>4415.67</v>
      </c>
      <c r="EU141">
        <v>168.01</v>
      </c>
      <c r="EV141">
        <v>41614.639999999999</v>
      </c>
      <c r="EW141">
        <v>205.85</v>
      </c>
      <c r="EX141">
        <v>0</v>
      </c>
      <c r="EY141">
        <v>0</v>
      </c>
      <c r="FQ141">
        <v>0</v>
      </c>
      <c r="FR141">
        <f t="shared" si="147"/>
        <v>0</v>
      </c>
      <c r="FS141">
        <v>0</v>
      </c>
      <c r="FX141">
        <v>70</v>
      </c>
      <c r="FY141">
        <v>10</v>
      </c>
      <c r="GA141" t="s">
        <v>3</v>
      </c>
      <c r="GD141">
        <v>0</v>
      </c>
      <c r="GF141">
        <v>1233045882</v>
      </c>
      <c r="GG141">
        <v>2</v>
      </c>
      <c r="GH141">
        <v>1</v>
      </c>
      <c r="GI141">
        <v>-2</v>
      </c>
      <c r="GJ141">
        <v>0</v>
      </c>
      <c r="GK141">
        <f>ROUND(R141*(R12)/100,2)</f>
        <v>3.43</v>
      </c>
      <c r="GL141">
        <f t="shared" si="148"/>
        <v>0</v>
      </c>
      <c r="GM141">
        <f t="shared" si="161"/>
        <v>14358.92</v>
      </c>
      <c r="GN141">
        <f t="shared" si="162"/>
        <v>0</v>
      </c>
      <c r="GO141">
        <f t="shared" si="163"/>
        <v>0</v>
      </c>
      <c r="GP141">
        <f t="shared" si="164"/>
        <v>14358.92</v>
      </c>
      <c r="GR141">
        <v>0</v>
      </c>
      <c r="GS141">
        <v>3</v>
      </c>
      <c r="GT141">
        <v>0</v>
      </c>
      <c r="GU141" t="s">
        <v>3</v>
      </c>
      <c r="GV141">
        <f t="shared" si="149"/>
        <v>0</v>
      </c>
      <c r="GW141">
        <v>1</v>
      </c>
      <c r="GX141">
        <f t="shared" si="150"/>
        <v>0</v>
      </c>
      <c r="HA141">
        <v>0</v>
      </c>
      <c r="HB141">
        <v>0</v>
      </c>
      <c r="HC141">
        <f t="shared" si="151"/>
        <v>0</v>
      </c>
      <c r="IK141">
        <v>0</v>
      </c>
    </row>
    <row r="142" spans="1:245" x14ac:dyDescent="0.2">
      <c r="A142">
        <v>18</v>
      </c>
      <c r="B142">
        <v>1</v>
      </c>
      <c r="C142">
        <v>138</v>
      </c>
      <c r="E142" t="s">
        <v>191</v>
      </c>
      <c r="F142" t="s">
        <v>51</v>
      </c>
      <c r="G142" t="s">
        <v>52</v>
      </c>
      <c r="H142" t="s">
        <v>29</v>
      </c>
      <c r="I142">
        <f>I141*J142</f>
        <v>1.91835</v>
      </c>
      <c r="J142">
        <v>101.5</v>
      </c>
      <c r="O142">
        <f t="shared" si="123"/>
        <v>7452.27</v>
      </c>
      <c r="P142">
        <f t="shared" si="124"/>
        <v>7452.27</v>
      </c>
      <c r="Q142">
        <f t="shared" si="125"/>
        <v>0</v>
      </c>
      <c r="R142">
        <f t="shared" si="126"/>
        <v>0</v>
      </c>
      <c r="S142">
        <f t="shared" si="127"/>
        <v>0</v>
      </c>
      <c r="T142">
        <f t="shared" si="128"/>
        <v>0</v>
      </c>
      <c r="U142">
        <f t="shared" si="129"/>
        <v>0</v>
      </c>
      <c r="V142">
        <f t="shared" si="130"/>
        <v>0</v>
      </c>
      <c r="W142">
        <f t="shared" si="131"/>
        <v>0</v>
      </c>
      <c r="X142">
        <f t="shared" si="132"/>
        <v>0</v>
      </c>
      <c r="Y142">
        <f t="shared" si="133"/>
        <v>0</v>
      </c>
      <c r="AA142">
        <v>46561299</v>
      </c>
      <c r="AB142">
        <f t="shared" si="134"/>
        <v>3884.73</v>
      </c>
      <c r="AC142">
        <f t="shared" si="154"/>
        <v>3884.73</v>
      </c>
      <c r="AD142">
        <f t="shared" si="155"/>
        <v>0</v>
      </c>
      <c r="AE142">
        <f t="shared" si="156"/>
        <v>0</v>
      </c>
      <c r="AF142">
        <f t="shared" si="157"/>
        <v>0</v>
      </c>
      <c r="AG142">
        <f t="shared" si="135"/>
        <v>0</v>
      </c>
      <c r="AH142">
        <f t="shared" si="158"/>
        <v>0</v>
      </c>
      <c r="AI142">
        <f t="shared" si="159"/>
        <v>0</v>
      </c>
      <c r="AJ142">
        <f t="shared" si="136"/>
        <v>0</v>
      </c>
      <c r="AK142">
        <v>3884.73</v>
      </c>
      <c r="AL142">
        <v>3884.73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70</v>
      </c>
      <c r="AU142">
        <v>10</v>
      </c>
      <c r="AV142">
        <v>1</v>
      </c>
      <c r="AW142">
        <v>1</v>
      </c>
      <c r="AZ142">
        <v>1</v>
      </c>
      <c r="BA142">
        <v>1</v>
      </c>
      <c r="BB142">
        <v>1</v>
      </c>
      <c r="BC142">
        <v>1</v>
      </c>
      <c r="BD142" t="s">
        <v>3</v>
      </c>
      <c r="BE142" t="s">
        <v>3</v>
      </c>
      <c r="BF142" t="s">
        <v>3</v>
      </c>
      <c r="BG142" t="s">
        <v>3</v>
      </c>
      <c r="BH142">
        <v>3</v>
      </c>
      <c r="BI142">
        <v>4</v>
      </c>
      <c r="BJ142" t="s">
        <v>53</v>
      </c>
      <c r="BM142">
        <v>0</v>
      </c>
      <c r="BN142">
        <v>0</v>
      </c>
      <c r="BO142" t="s">
        <v>3</v>
      </c>
      <c r="BP142">
        <v>0</v>
      </c>
      <c r="BQ142">
        <v>1</v>
      </c>
      <c r="BR142">
        <v>0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 t="s">
        <v>3</v>
      </c>
      <c r="BZ142">
        <v>70</v>
      </c>
      <c r="CA142">
        <v>10</v>
      </c>
      <c r="CE142">
        <v>0</v>
      </c>
      <c r="CF142">
        <v>0</v>
      </c>
      <c r="CG142">
        <v>0</v>
      </c>
      <c r="CM142">
        <v>0</v>
      </c>
      <c r="CN142" t="s">
        <v>3</v>
      </c>
      <c r="CO142">
        <v>0</v>
      </c>
      <c r="CP142">
        <f t="shared" si="137"/>
        <v>7452.27</v>
      </c>
      <c r="CQ142">
        <f t="shared" si="138"/>
        <v>3884.73</v>
      </c>
      <c r="CR142">
        <f t="shared" si="160"/>
        <v>0</v>
      </c>
      <c r="CS142">
        <f t="shared" si="139"/>
        <v>0</v>
      </c>
      <c r="CT142">
        <f t="shared" si="140"/>
        <v>0</v>
      </c>
      <c r="CU142">
        <f t="shared" si="141"/>
        <v>0</v>
      </c>
      <c r="CV142">
        <f t="shared" si="142"/>
        <v>0</v>
      </c>
      <c r="CW142">
        <f t="shared" si="143"/>
        <v>0</v>
      </c>
      <c r="CX142">
        <f t="shared" si="144"/>
        <v>0</v>
      </c>
      <c r="CY142">
        <f t="shared" si="145"/>
        <v>0</v>
      </c>
      <c r="CZ142">
        <f t="shared" si="146"/>
        <v>0</v>
      </c>
      <c r="DC142" t="s">
        <v>3</v>
      </c>
      <c r="DD142" t="s">
        <v>3</v>
      </c>
      <c r="DE142" t="s">
        <v>3</v>
      </c>
      <c r="DF142" t="s">
        <v>3</v>
      </c>
      <c r="DG142" t="s">
        <v>3</v>
      </c>
      <c r="DH142" t="s">
        <v>3</v>
      </c>
      <c r="DI142" t="s">
        <v>3</v>
      </c>
      <c r="DJ142" t="s">
        <v>3</v>
      </c>
      <c r="DK142" t="s">
        <v>3</v>
      </c>
      <c r="DL142" t="s">
        <v>3</v>
      </c>
      <c r="DM142" t="s">
        <v>3</v>
      </c>
      <c r="DN142">
        <v>0</v>
      </c>
      <c r="DO142">
        <v>0</v>
      </c>
      <c r="DP142">
        <v>1</v>
      </c>
      <c r="DQ142">
        <v>1</v>
      </c>
      <c r="DU142">
        <v>1007</v>
      </c>
      <c r="DV142" t="s">
        <v>29</v>
      </c>
      <c r="DW142" t="s">
        <v>29</v>
      </c>
      <c r="DX142">
        <v>1</v>
      </c>
      <c r="EE142">
        <v>46035301</v>
      </c>
      <c r="EF142">
        <v>1</v>
      </c>
      <c r="EG142" t="s">
        <v>19</v>
      </c>
      <c r="EH142">
        <v>0</v>
      </c>
      <c r="EI142" t="s">
        <v>3</v>
      </c>
      <c r="EJ142">
        <v>4</v>
      </c>
      <c r="EK142">
        <v>0</v>
      </c>
      <c r="EL142" t="s">
        <v>20</v>
      </c>
      <c r="EM142" t="s">
        <v>21</v>
      </c>
      <c r="EO142" t="s">
        <v>3</v>
      </c>
      <c r="EQ142">
        <v>0</v>
      </c>
      <c r="ER142">
        <v>3884.73</v>
      </c>
      <c r="ES142">
        <v>3884.73</v>
      </c>
      <c r="ET142">
        <v>0</v>
      </c>
      <c r="EU142">
        <v>0</v>
      </c>
      <c r="EV142">
        <v>0</v>
      </c>
      <c r="EW142">
        <v>0</v>
      </c>
      <c r="EX142">
        <v>0</v>
      </c>
      <c r="FQ142">
        <v>0</v>
      </c>
      <c r="FR142">
        <f t="shared" si="147"/>
        <v>0</v>
      </c>
      <c r="FS142">
        <v>0</v>
      </c>
      <c r="FX142">
        <v>70</v>
      </c>
      <c r="FY142">
        <v>10</v>
      </c>
      <c r="GA142" t="s">
        <v>3</v>
      </c>
      <c r="GD142">
        <v>0</v>
      </c>
      <c r="GF142">
        <v>-793492541</v>
      </c>
      <c r="GG142">
        <v>2</v>
      </c>
      <c r="GH142">
        <v>1</v>
      </c>
      <c r="GI142">
        <v>-2</v>
      </c>
      <c r="GJ142">
        <v>0</v>
      </c>
      <c r="GK142">
        <f>ROUND(R142*(R12)/100,2)</f>
        <v>0</v>
      </c>
      <c r="GL142">
        <f t="shared" si="148"/>
        <v>0</v>
      </c>
      <c r="GM142">
        <f t="shared" si="161"/>
        <v>7452.27</v>
      </c>
      <c r="GN142">
        <f t="shared" si="162"/>
        <v>0</v>
      </c>
      <c r="GO142">
        <f t="shared" si="163"/>
        <v>0</v>
      </c>
      <c r="GP142">
        <f t="shared" si="164"/>
        <v>7452.27</v>
      </c>
      <c r="GR142">
        <v>0</v>
      </c>
      <c r="GS142">
        <v>3</v>
      </c>
      <c r="GT142">
        <v>0</v>
      </c>
      <c r="GU142" t="s">
        <v>3</v>
      </c>
      <c r="GV142">
        <f t="shared" si="149"/>
        <v>0</v>
      </c>
      <c r="GW142">
        <v>1</v>
      </c>
      <c r="GX142">
        <f t="shared" si="150"/>
        <v>0</v>
      </c>
      <c r="HA142">
        <v>0</v>
      </c>
      <c r="HB142">
        <v>0</v>
      </c>
      <c r="HC142">
        <f t="shared" si="151"/>
        <v>0</v>
      </c>
      <c r="IK142">
        <v>0</v>
      </c>
    </row>
    <row r="143" spans="1:245" x14ac:dyDescent="0.2">
      <c r="A143">
        <v>18</v>
      </c>
      <c r="B143">
        <v>1</v>
      </c>
      <c r="C143">
        <v>137</v>
      </c>
      <c r="E143" t="s">
        <v>192</v>
      </c>
      <c r="F143" t="s">
        <v>55</v>
      </c>
      <c r="G143" t="s">
        <v>56</v>
      </c>
      <c r="H143" t="s">
        <v>29</v>
      </c>
      <c r="I143">
        <f>I141*J143</f>
        <v>-1.91835</v>
      </c>
      <c r="J143">
        <v>-101.5</v>
      </c>
      <c r="O143">
        <f t="shared" si="123"/>
        <v>-7126.15</v>
      </c>
      <c r="P143">
        <f t="shared" si="124"/>
        <v>-7126.15</v>
      </c>
      <c r="Q143">
        <f t="shared" si="125"/>
        <v>0</v>
      </c>
      <c r="R143">
        <f t="shared" si="126"/>
        <v>0</v>
      </c>
      <c r="S143">
        <f t="shared" si="127"/>
        <v>0</v>
      </c>
      <c r="T143">
        <f t="shared" si="128"/>
        <v>0</v>
      </c>
      <c r="U143">
        <f t="shared" si="129"/>
        <v>0</v>
      </c>
      <c r="V143">
        <f t="shared" si="130"/>
        <v>0</v>
      </c>
      <c r="W143">
        <f t="shared" si="131"/>
        <v>0</v>
      </c>
      <c r="X143">
        <f t="shared" si="132"/>
        <v>0</v>
      </c>
      <c r="Y143">
        <f t="shared" si="133"/>
        <v>0</v>
      </c>
      <c r="AA143">
        <v>46561299</v>
      </c>
      <c r="AB143">
        <f t="shared" si="134"/>
        <v>3714.73</v>
      </c>
      <c r="AC143">
        <f t="shared" si="154"/>
        <v>3714.73</v>
      </c>
      <c r="AD143">
        <f t="shared" si="155"/>
        <v>0</v>
      </c>
      <c r="AE143">
        <f t="shared" si="156"/>
        <v>0</v>
      </c>
      <c r="AF143">
        <f t="shared" si="157"/>
        <v>0</v>
      </c>
      <c r="AG143">
        <f t="shared" si="135"/>
        <v>0</v>
      </c>
      <c r="AH143">
        <f t="shared" si="158"/>
        <v>0</v>
      </c>
      <c r="AI143">
        <f t="shared" si="159"/>
        <v>0</v>
      </c>
      <c r="AJ143">
        <f t="shared" si="136"/>
        <v>0</v>
      </c>
      <c r="AK143">
        <v>3714.73</v>
      </c>
      <c r="AL143">
        <v>3714.73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70</v>
      </c>
      <c r="AU143">
        <v>10</v>
      </c>
      <c r="AV143">
        <v>1</v>
      </c>
      <c r="AW143">
        <v>1</v>
      </c>
      <c r="AZ143">
        <v>1</v>
      </c>
      <c r="BA143">
        <v>1</v>
      </c>
      <c r="BB143">
        <v>1</v>
      </c>
      <c r="BC143">
        <v>1</v>
      </c>
      <c r="BD143" t="s">
        <v>3</v>
      </c>
      <c r="BE143" t="s">
        <v>3</v>
      </c>
      <c r="BF143" t="s">
        <v>3</v>
      </c>
      <c r="BG143" t="s">
        <v>3</v>
      </c>
      <c r="BH143">
        <v>3</v>
      </c>
      <c r="BI143">
        <v>4</v>
      </c>
      <c r="BJ143" t="s">
        <v>57</v>
      </c>
      <c r="BM143">
        <v>0</v>
      </c>
      <c r="BN143">
        <v>0</v>
      </c>
      <c r="BO143" t="s">
        <v>3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 t="s">
        <v>3</v>
      </c>
      <c r="BZ143">
        <v>70</v>
      </c>
      <c r="CA143">
        <v>10</v>
      </c>
      <c r="CE143">
        <v>0</v>
      </c>
      <c r="CF143">
        <v>0</v>
      </c>
      <c r="CG143">
        <v>0</v>
      </c>
      <c r="CM143">
        <v>0</v>
      </c>
      <c r="CN143" t="s">
        <v>3</v>
      </c>
      <c r="CO143">
        <v>0</v>
      </c>
      <c r="CP143">
        <f t="shared" si="137"/>
        <v>-7126.15</v>
      </c>
      <c r="CQ143">
        <f t="shared" si="138"/>
        <v>3714.73</v>
      </c>
      <c r="CR143">
        <f t="shared" si="160"/>
        <v>0</v>
      </c>
      <c r="CS143">
        <f t="shared" si="139"/>
        <v>0</v>
      </c>
      <c r="CT143">
        <f t="shared" si="140"/>
        <v>0</v>
      </c>
      <c r="CU143">
        <f t="shared" si="141"/>
        <v>0</v>
      </c>
      <c r="CV143">
        <f t="shared" si="142"/>
        <v>0</v>
      </c>
      <c r="CW143">
        <f t="shared" si="143"/>
        <v>0</v>
      </c>
      <c r="CX143">
        <f t="shared" si="144"/>
        <v>0</v>
      </c>
      <c r="CY143">
        <f t="shared" si="145"/>
        <v>0</v>
      </c>
      <c r="CZ143">
        <f t="shared" si="146"/>
        <v>0</v>
      </c>
      <c r="DC143" t="s">
        <v>3</v>
      </c>
      <c r="DD143" t="s">
        <v>3</v>
      </c>
      <c r="DE143" t="s">
        <v>3</v>
      </c>
      <c r="DF143" t="s">
        <v>3</v>
      </c>
      <c r="DG143" t="s">
        <v>3</v>
      </c>
      <c r="DH143" t="s">
        <v>3</v>
      </c>
      <c r="DI143" t="s">
        <v>3</v>
      </c>
      <c r="DJ143" t="s">
        <v>3</v>
      </c>
      <c r="DK143" t="s">
        <v>3</v>
      </c>
      <c r="DL143" t="s">
        <v>3</v>
      </c>
      <c r="DM143" t="s">
        <v>3</v>
      </c>
      <c r="DN143">
        <v>0</v>
      </c>
      <c r="DO143">
        <v>0</v>
      </c>
      <c r="DP143">
        <v>1</v>
      </c>
      <c r="DQ143">
        <v>1</v>
      </c>
      <c r="DU143">
        <v>1007</v>
      </c>
      <c r="DV143" t="s">
        <v>29</v>
      </c>
      <c r="DW143" t="s">
        <v>29</v>
      </c>
      <c r="DX143">
        <v>1</v>
      </c>
      <c r="EE143">
        <v>46035301</v>
      </c>
      <c r="EF143">
        <v>1</v>
      </c>
      <c r="EG143" t="s">
        <v>19</v>
      </c>
      <c r="EH143">
        <v>0</v>
      </c>
      <c r="EI143" t="s">
        <v>3</v>
      </c>
      <c r="EJ143">
        <v>4</v>
      </c>
      <c r="EK143">
        <v>0</v>
      </c>
      <c r="EL143" t="s">
        <v>20</v>
      </c>
      <c r="EM143" t="s">
        <v>21</v>
      </c>
      <c r="EO143" t="s">
        <v>3</v>
      </c>
      <c r="EQ143">
        <v>32768</v>
      </c>
      <c r="ER143">
        <v>3714.73</v>
      </c>
      <c r="ES143">
        <v>3714.73</v>
      </c>
      <c r="ET143">
        <v>0</v>
      </c>
      <c r="EU143">
        <v>0</v>
      </c>
      <c r="EV143">
        <v>0</v>
      </c>
      <c r="EW143">
        <v>0</v>
      </c>
      <c r="EX143">
        <v>0</v>
      </c>
      <c r="FQ143">
        <v>0</v>
      </c>
      <c r="FR143">
        <f t="shared" si="147"/>
        <v>0</v>
      </c>
      <c r="FS143">
        <v>0</v>
      </c>
      <c r="FX143">
        <v>70</v>
      </c>
      <c r="FY143">
        <v>10</v>
      </c>
      <c r="GA143" t="s">
        <v>3</v>
      </c>
      <c r="GD143">
        <v>0</v>
      </c>
      <c r="GF143">
        <v>426331755</v>
      </c>
      <c r="GG143">
        <v>2</v>
      </c>
      <c r="GH143">
        <v>1</v>
      </c>
      <c r="GI143">
        <v>-2</v>
      </c>
      <c r="GJ143">
        <v>0</v>
      </c>
      <c r="GK143">
        <f>ROUND(R143*(R12)/100,2)</f>
        <v>0</v>
      </c>
      <c r="GL143">
        <f t="shared" si="148"/>
        <v>0</v>
      </c>
      <c r="GM143">
        <f t="shared" si="161"/>
        <v>-7126.15</v>
      </c>
      <c r="GN143">
        <f t="shared" si="162"/>
        <v>0</v>
      </c>
      <c r="GO143">
        <f t="shared" si="163"/>
        <v>0</v>
      </c>
      <c r="GP143">
        <f t="shared" si="164"/>
        <v>-7126.15</v>
      </c>
      <c r="GR143">
        <v>0</v>
      </c>
      <c r="GS143">
        <v>3</v>
      </c>
      <c r="GT143">
        <v>0</v>
      </c>
      <c r="GU143" t="s">
        <v>3</v>
      </c>
      <c r="GV143">
        <f t="shared" si="149"/>
        <v>0</v>
      </c>
      <c r="GW143">
        <v>1</v>
      </c>
      <c r="GX143">
        <f t="shared" si="150"/>
        <v>0</v>
      </c>
      <c r="HA143">
        <v>0</v>
      </c>
      <c r="HB143">
        <v>0</v>
      </c>
      <c r="HC143">
        <f t="shared" si="151"/>
        <v>0</v>
      </c>
      <c r="IK143">
        <v>0</v>
      </c>
    </row>
    <row r="144" spans="1:245" x14ac:dyDescent="0.2">
      <c r="A144">
        <v>17</v>
      </c>
      <c r="B144">
        <v>1</v>
      </c>
      <c r="C144">
        <f>ROW(SmtRes!A141)</f>
        <v>141</v>
      </c>
      <c r="D144">
        <f>ROW(EtalonRes!A128)</f>
        <v>128</v>
      </c>
      <c r="E144" t="s">
        <v>193</v>
      </c>
      <c r="F144" t="s">
        <v>194</v>
      </c>
      <c r="G144" t="s">
        <v>195</v>
      </c>
      <c r="H144" t="s">
        <v>40</v>
      </c>
      <c r="I144">
        <v>17.5</v>
      </c>
      <c r="J144">
        <v>0</v>
      </c>
      <c r="O144">
        <f t="shared" si="123"/>
        <v>1897.7</v>
      </c>
      <c r="P144">
        <f t="shared" si="124"/>
        <v>0</v>
      </c>
      <c r="Q144">
        <f t="shared" si="125"/>
        <v>0</v>
      </c>
      <c r="R144">
        <f t="shared" si="126"/>
        <v>0</v>
      </c>
      <c r="S144">
        <f t="shared" si="127"/>
        <v>1897.7</v>
      </c>
      <c r="T144">
        <f t="shared" si="128"/>
        <v>0</v>
      </c>
      <c r="U144">
        <f t="shared" si="129"/>
        <v>10.5</v>
      </c>
      <c r="V144">
        <f t="shared" si="130"/>
        <v>0</v>
      </c>
      <c r="W144">
        <f t="shared" si="131"/>
        <v>0</v>
      </c>
      <c r="X144">
        <f t="shared" si="132"/>
        <v>1328.39</v>
      </c>
      <c r="Y144">
        <f t="shared" si="133"/>
        <v>189.77</v>
      </c>
      <c r="AA144">
        <v>46561299</v>
      </c>
      <c r="AB144">
        <f t="shared" si="134"/>
        <v>108.44</v>
      </c>
      <c r="AC144">
        <f t="shared" si="154"/>
        <v>0</v>
      </c>
      <c r="AD144">
        <f t="shared" si="155"/>
        <v>0</v>
      </c>
      <c r="AE144">
        <f t="shared" si="156"/>
        <v>0</v>
      </c>
      <c r="AF144">
        <f t="shared" si="157"/>
        <v>108.44</v>
      </c>
      <c r="AG144">
        <f t="shared" si="135"/>
        <v>0</v>
      </c>
      <c r="AH144">
        <f t="shared" si="158"/>
        <v>0.6</v>
      </c>
      <c r="AI144">
        <f t="shared" si="159"/>
        <v>0</v>
      </c>
      <c r="AJ144">
        <f t="shared" si="136"/>
        <v>0</v>
      </c>
      <c r="AK144">
        <v>108.44</v>
      </c>
      <c r="AL144">
        <v>0</v>
      </c>
      <c r="AM144">
        <v>0</v>
      </c>
      <c r="AN144">
        <v>0</v>
      </c>
      <c r="AO144">
        <v>108.44</v>
      </c>
      <c r="AP144">
        <v>0</v>
      </c>
      <c r="AQ144">
        <v>0.6</v>
      </c>
      <c r="AR144">
        <v>0</v>
      </c>
      <c r="AS144">
        <v>0</v>
      </c>
      <c r="AT144">
        <v>70</v>
      </c>
      <c r="AU144">
        <v>10</v>
      </c>
      <c r="AV144">
        <v>1</v>
      </c>
      <c r="AW144">
        <v>1</v>
      </c>
      <c r="AZ144">
        <v>1</v>
      </c>
      <c r="BA144">
        <v>1</v>
      </c>
      <c r="BB144">
        <v>1</v>
      </c>
      <c r="BC144">
        <v>1</v>
      </c>
      <c r="BD144" t="s">
        <v>3</v>
      </c>
      <c r="BE144" t="s">
        <v>3</v>
      </c>
      <c r="BF144" t="s">
        <v>3</v>
      </c>
      <c r="BG144" t="s">
        <v>3</v>
      </c>
      <c r="BH144">
        <v>0</v>
      </c>
      <c r="BI144">
        <v>4</v>
      </c>
      <c r="BJ144" t="s">
        <v>196</v>
      </c>
      <c r="BM144">
        <v>0</v>
      </c>
      <c r="BN144">
        <v>0</v>
      </c>
      <c r="BO144" t="s">
        <v>3</v>
      </c>
      <c r="BP144">
        <v>0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 t="s">
        <v>3</v>
      </c>
      <c r="BZ144">
        <v>70</v>
      </c>
      <c r="CA144">
        <v>10</v>
      </c>
      <c r="CE144">
        <v>0</v>
      </c>
      <c r="CF144">
        <v>0</v>
      </c>
      <c r="CG144">
        <v>0</v>
      </c>
      <c r="CM144">
        <v>0</v>
      </c>
      <c r="CN144" t="s">
        <v>3</v>
      </c>
      <c r="CO144">
        <v>0</v>
      </c>
      <c r="CP144">
        <f t="shared" si="137"/>
        <v>1897.7</v>
      </c>
      <c r="CQ144">
        <f t="shared" si="138"/>
        <v>0</v>
      </c>
      <c r="CR144">
        <f t="shared" si="160"/>
        <v>0</v>
      </c>
      <c r="CS144">
        <f t="shared" si="139"/>
        <v>0</v>
      </c>
      <c r="CT144">
        <f t="shared" si="140"/>
        <v>108.44</v>
      </c>
      <c r="CU144">
        <f t="shared" si="141"/>
        <v>0</v>
      </c>
      <c r="CV144">
        <f t="shared" si="142"/>
        <v>0.6</v>
      </c>
      <c r="CW144">
        <f t="shared" si="143"/>
        <v>0</v>
      </c>
      <c r="CX144">
        <f t="shared" si="144"/>
        <v>0</v>
      </c>
      <c r="CY144">
        <f t="shared" si="145"/>
        <v>1328.39</v>
      </c>
      <c r="CZ144">
        <f t="shared" si="146"/>
        <v>189.77</v>
      </c>
      <c r="DC144" t="s">
        <v>3</v>
      </c>
      <c r="DD144" t="s">
        <v>3</v>
      </c>
      <c r="DE144" t="s">
        <v>3</v>
      </c>
      <c r="DF144" t="s">
        <v>3</v>
      </c>
      <c r="DG144" t="s">
        <v>3</v>
      </c>
      <c r="DH144" t="s">
        <v>3</v>
      </c>
      <c r="DI144" t="s">
        <v>3</v>
      </c>
      <c r="DJ144" t="s">
        <v>3</v>
      </c>
      <c r="DK144" t="s">
        <v>3</v>
      </c>
      <c r="DL144" t="s">
        <v>3</v>
      </c>
      <c r="DM144" t="s">
        <v>3</v>
      </c>
      <c r="DN144">
        <v>0</v>
      </c>
      <c r="DO144">
        <v>0</v>
      </c>
      <c r="DP144">
        <v>1</v>
      </c>
      <c r="DQ144">
        <v>1</v>
      </c>
      <c r="DU144">
        <v>1005</v>
      </c>
      <c r="DV144" t="s">
        <v>40</v>
      </c>
      <c r="DW144" t="s">
        <v>40</v>
      </c>
      <c r="DX144">
        <v>1</v>
      </c>
      <c r="EE144">
        <v>46035301</v>
      </c>
      <c r="EF144">
        <v>1</v>
      </c>
      <c r="EG144" t="s">
        <v>19</v>
      </c>
      <c r="EH144">
        <v>0</v>
      </c>
      <c r="EI144" t="s">
        <v>3</v>
      </c>
      <c r="EJ144">
        <v>4</v>
      </c>
      <c r="EK144">
        <v>0</v>
      </c>
      <c r="EL144" t="s">
        <v>20</v>
      </c>
      <c r="EM144" t="s">
        <v>21</v>
      </c>
      <c r="EO144" t="s">
        <v>3</v>
      </c>
      <c r="EQ144">
        <v>0</v>
      </c>
      <c r="ER144">
        <v>108.44</v>
      </c>
      <c r="ES144">
        <v>0</v>
      </c>
      <c r="ET144">
        <v>0</v>
      </c>
      <c r="EU144">
        <v>0</v>
      </c>
      <c r="EV144">
        <v>108.44</v>
      </c>
      <c r="EW144">
        <v>0.6</v>
      </c>
      <c r="EX144">
        <v>0</v>
      </c>
      <c r="EY144">
        <v>0</v>
      </c>
      <c r="FQ144">
        <v>0</v>
      </c>
      <c r="FR144">
        <f t="shared" si="147"/>
        <v>0</v>
      </c>
      <c r="FS144">
        <v>0</v>
      </c>
      <c r="FX144">
        <v>70</v>
      </c>
      <c r="FY144">
        <v>10</v>
      </c>
      <c r="GA144" t="s">
        <v>3</v>
      </c>
      <c r="GD144">
        <v>0</v>
      </c>
      <c r="GF144">
        <v>346145110</v>
      </c>
      <c r="GG144">
        <v>2</v>
      </c>
      <c r="GH144">
        <v>1</v>
      </c>
      <c r="GI144">
        <v>-2</v>
      </c>
      <c r="GJ144">
        <v>0</v>
      </c>
      <c r="GK144">
        <f>ROUND(R144*(R12)/100,2)</f>
        <v>0</v>
      </c>
      <c r="GL144">
        <f t="shared" si="148"/>
        <v>0</v>
      </c>
      <c r="GM144">
        <f t="shared" si="161"/>
        <v>3415.86</v>
      </c>
      <c r="GN144">
        <f t="shared" si="162"/>
        <v>0</v>
      </c>
      <c r="GO144">
        <f t="shared" si="163"/>
        <v>0</v>
      </c>
      <c r="GP144">
        <f t="shared" si="164"/>
        <v>3415.86</v>
      </c>
      <c r="GR144">
        <v>0</v>
      </c>
      <c r="GS144">
        <v>3</v>
      </c>
      <c r="GT144">
        <v>0</v>
      </c>
      <c r="GU144" t="s">
        <v>3</v>
      </c>
      <c r="GV144">
        <f t="shared" si="149"/>
        <v>0</v>
      </c>
      <c r="GW144">
        <v>1</v>
      </c>
      <c r="GX144">
        <f t="shared" si="150"/>
        <v>0</v>
      </c>
      <c r="HA144">
        <v>0</v>
      </c>
      <c r="HB144">
        <v>0</v>
      </c>
      <c r="HC144">
        <f t="shared" si="151"/>
        <v>0</v>
      </c>
      <c r="IK144">
        <v>0</v>
      </c>
    </row>
    <row r="145" spans="1:245" x14ac:dyDescent="0.2">
      <c r="A145">
        <v>17</v>
      </c>
      <c r="B145">
        <v>1</v>
      </c>
      <c r="C145">
        <f>ROW(SmtRes!A143)</f>
        <v>143</v>
      </c>
      <c r="D145">
        <f>ROW(EtalonRes!A130)</f>
        <v>130</v>
      </c>
      <c r="E145" t="s">
        <v>197</v>
      </c>
      <c r="F145" t="s">
        <v>198</v>
      </c>
      <c r="G145" t="s">
        <v>199</v>
      </c>
      <c r="H145" t="s">
        <v>90</v>
      </c>
      <c r="I145">
        <v>7.4999999999999997E-2</v>
      </c>
      <c r="J145">
        <v>0</v>
      </c>
      <c r="O145">
        <f t="shared" si="123"/>
        <v>3657.82</v>
      </c>
      <c r="P145">
        <f t="shared" si="124"/>
        <v>558.84</v>
      </c>
      <c r="Q145">
        <f t="shared" si="125"/>
        <v>0</v>
      </c>
      <c r="R145">
        <f t="shared" si="126"/>
        <v>0</v>
      </c>
      <c r="S145">
        <f t="shared" si="127"/>
        <v>3098.98</v>
      </c>
      <c r="T145">
        <f t="shared" si="128"/>
        <v>0</v>
      </c>
      <c r="U145">
        <f t="shared" si="129"/>
        <v>13.049999999999999</v>
      </c>
      <c r="V145">
        <f t="shared" si="130"/>
        <v>0</v>
      </c>
      <c r="W145">
        <f t="shared" si="131"/>
        <v>0</v>
      </c>
      <c r="X145">
        <f t="shared" si="132"/>
        <v>2169.29</v>
      </c>
      <c r="Y145">
        <f t="shared" si="133"/>
        <v>309.89999999999998</v>
      </c>
      <c r="AA145">
        <v>46561299</v>
      </c>
      <c r="AB145">
        <f t="shared" si="134"/>
        <v>48770.96</v>
      </c>
      <c r="AC145">
        <f t="shared" si="154"/>
        <v>7451.18</v>
      </c>
      <c r="AD145">
        <f t="shared" si="155"/>
        <v>0</v>
      </c>
      <c r="AE145">
        <f t="shared" si="156"/>
        <v>0</v>
      </c>
      <c r="AF145">
        <f t="shared" si="157"/>
        <v>41319.78</v>
      </c>
      <c r="AG145">
        <f t="shared" si="135"/>
        <v>0</v>
      </c>
      <c r="AH145">
        <f t="shared" si="158"/>
        <v>174</v>
      </c>
      <c r="AI145">
        <f t="shared" si="159"/>
        <v>0</v>
      </c>
      <c r="AJ145">
        <f t="shared" si="136"/>
        <v>0</v>
      </c>
      <c r="AK145">
        <v>48770.96</v>
      </c>
      <c r="AL145">
        <v>7451.18</v>
      </c>
      <c r="AM145">
        <v>0</v>
      </c>
      <c r="AN145">
        <v>0</v>
      </c>
      <c r="AO145">
        <v>41319.78</v>
      </c>
      <c r="AP145">
        <v>0</v>
      </c>
      <c r="AQ145">
        <v>174</v>
      </c>
      <c r="AR145">
        <v>0</v>
      </c>
      <c r="AS145">
        <v>0</v>
      </c>
      <c r="AT145">
        <v>70</v>
      </c>
      <c r="AU145">
        <v>10</v>
      </c>
      <c r="AV145">
        <v>1</v>
      </c>
      <c r="AW145">
        <v>1</v>
      </c>
      <c r="AZ145">
        <v>1</v>
      </c>
      <c r="BA145">
        <v>1</v>
      </c>
      <c r="BB145">
        <v>1</v>
      </c>
      <c r="BC145">
        <v>1</v>
      </c>
      <c r="BD145" t="s">
        <v>3</v>
      </c>
      <c r="BE145" t="s">
        <v>3</v>
      </c>
      <c r="BF145" t="s">
        <v>3</v>
      </c>
      <c r="BG145" t="s">
        <v>3</v>
      </c>
      <c r="BH145">
        <v>0</v>
      </c>
      <c r="BI145">
        <v>4</v>
      </c>
      <c r="BJ145" t="s">
        <v>200</v>
      </c>
      <c r="BM145">
        <v>0</v>
      </c>
      <c r="BN145">
        <v>0</v>
      </c>
      <c r="BO145" t="s">
        <v>3</v>
      </c>
      <c r="BP145">
        <v>0</v>
      </c>
      <c r="BQ145">
        <v>1</v>
      </c>
      <c r="BR145">
        <v>0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 t="s">
        <v>3</v>
      </c>
      <c r="BZ145">
        <v>70</v>
      </c>
      <c r="CA145">
        <v>10</v>
      </c>
      <c r="CE145">
        <v>0</v>
      </c>
      <c r="CF145">
        <v>0</v>
      </c>
      <c r="CG145">
        <v>0</v>
      </c>
      <c r="CM145">
        <v>0</v>
      </c>
      <c r="CN145" t="s">
        <v>3</v>
      </c>
      <c r="CO145">
        <v>0</v>
      </c>
      <c r="CP145">
        <f t="shared" si="137"/>
        <v>3657.82</v>
      </c>
      <c r="CQ145">
        <f t="shared" si="138"/>
        <v>7451.18</v>
      </c>
      <c r="CR145">
        <f t="shared" si="160"/>
        <v>0</v>
      </c>
      <c r="CS145">
        <f t="shared" si="139"/>
        <v>0</v>
      </c>
      <c r="CT145">
        <f t="shared" si="140"/>
        <v>41319.78</v>
      </c>
      <c r="CU145">
        <f t="shared" si="141"/>
        <v>0</v>
      </c>
      <c r="CV145">
        <f t="shared" si="142"/>
        <v>174</v>
      </c>
      <c r="CW145">
        <f t="shared" si="143"/>
        <v>0</v>
      </c>
      <c r="CX145">
        <f t="shared" si="144"/>
        <v>0</v>
      </c>
      <c r="CY145">
        <f t="shared" si="145"/>
        <v>2169.2860000000001</v>
      </c>
      <c r="CZ145">
        <f t="shared" si="146"/>
        <v>309.89799999999997</v>
      </c>
      <c r="DC145" t="s">
        <v>3</v>
      </c>
      <c r="DD145" t="s">
        <v>3</v>
      </c>
      <c r="DE145" t="s">
        <v>3</v>
      </c>
      <c r="DF145" t="s">
        <v>3</v>
      </c>
      <c r="DG145" t="s">
        <v>3</v>
      </c>
      <c r="DH145" t="s">
        <v>3</v>
      </c>
      <c r="DI145" t="s">
        <v>3</v>
      </c>
      <c r="DJ145" t="s">
        <v>3</v>
      </c>
      <c r="DK145" t="s">
        <v>3</v>
      </c>
      <c r="DL145" t="s">
        <v>3</v>
      </c>
      <c r="DM145" t="s">
        <v>3</v>
      </c>
      <c r="DN145">
        <v>0</v>
      </c>
      <c r="DO145">
        <v>0</v>
      </c>
      <c r="DP145">
        <v>1</v>
      </c>
      <c r="DQ145">
        <v>1</v>
      </c>
      <c r="DU145">
        <v>1005</v>
      </c>
      <c r="DV145" t="s">
        <v>90</v>
      </c>
      <c r="DW145" t="s">
        <v>90</v>
      </c>
      <c r="DX145">
        <v>100</v>
      </c>
      <c r="EE145">
        <v>46035301</v>
      </c>
      <c r="EF145">
        <v>1</v>
      </c>
      <c r="EG145" t="s">
        <v>19</v>
      </c>
      <c r="EH145">
        <v>0</v>
      </c>
      <c r="EI145" t="s">
        <v>3</v>
      </c>
      <c r="EJ145">
        <v>4</v>
      </c>
      <c r="EK145">
        <v>0</v>
      </c>
      <c r="EL145" t="s">
        <v>20</v>
      </c>
      <c r="EM145" t="s">
        <v>21</v>
      </c>
      <c r="EO145" t="s">
        <v>3</v>
      </c>
      <c r="EQ145">
        <v>0</v>
      </c>
      <c r="ER145">
        <v>48770.96</v>
      </c>
      <c r="ES145">
        <v>7451.18</v>
      </c>
      <c r="ET145">
        <v>0</v>
      </c>
      <c r="EU145">
        <v>0</v>
      </c>
      <c r="EV145">
        <v>41319.78</v>
      </c>
      <c r="EW145">
        <v>174</v>
      </c>
      <c r="EX145">
        <v>0</v>
      </c>
      <c r="EY145">
        <v>0</v>
      </c>
      <c r="FQ145">
        <v>0</v>
      </c>
      <c r="FR145">
        <f t="shared" si="147"/>
        <v>0</v>
      </c>
      <c r="FS145">
        <v>0</v>
      </c>
      <c r="FX145">
        <v>70</v>
      </c>
      <c r="FY145">
        <v>10</v>
      </c>
      <c r="GA145" t="s">
        <v>3</v>
      </c>
      <c r="GD145">
        <v>0</v>
      </c>
      <c r="GF145">
        <v>675297402</v>
      </c>
      <c r="GG145">
        <v>2</v>
      </c>
      <c r="GH145">
        <v>1</v>
      </c>
      <c r="GI145">
        <v>-2</v>
      </c>
      <c r="GJ145">
        <v>0</v>
      </c>
      <c r="GK145">
        <f>ROUND(R145*(R12)/100,2)</f>
        <v>0</v>
      </c>
      <c r="GL145">
        <f t="shared" si="148"/>
        <v>0</v>
      </c>
      <c r="GM145">
        <f t="shared" si="161"/>
        <v>6137.01</v>
      </c>
      <c r="GN145">
        <f t="shared" si="162"/>
        <v>0</v>
      </c>
      <c r="GO145">
        <f t="shared" si="163"/>
        <v>0</v>
      </c>
      <c r="GP145">
        <f t="shared" si="164"/>
        <v>6137.01</v>
      </c>
      <c r="GR145">
        <v>0</v>
      </c>
      <c r="GS145">
        <v>3</v>
      </c>
      <c r="GT145">
        <v>0</v>
      </c>
      <c r="GU145" t="s">
        <v>3</v>
      </c>
      <c r="GV145">
        <f t="shared" si="149"/>
        <v>0</v>
      </c>
      <c r="GW145">
        <v>1</v>
      </c>
      <c r="GX145">
        <f t="shared" si="150"/>
        <v>0</v>
      </c>
      <c r="HA145">
        <v>0</v>
      </c>
      <c r="HB145">
        <v>0</v>
      </c>
      <c r="HC145">
        <f t="shared" si="151"/>
        <v>0</v>
      </c>
      <c r="IK145">
        <v>0</v>
      </c>
    </row>
    <row r="146" spans="1:245" x14ac:dyDescent="0.2">
      <c r="A146">
        <v>17</v>
      </c>
      <c r="B146">
        <v>1</v>
      </c>
      <c r="C146">
        <f>ROW(SmtRes!A151)</f>
        <v>151</v>
      </c>
      <c r="D146">
        <f>ROW(EtalonRes!A137)</f>
        <v>137</v>
      </c>
      <c r="E146" t="s">
        <v>201</v>
      </c>
      <c r="F146" t="s">
        <v>202</v>
      </c>
      <c r="G146" t="s">
        <v>203</v>
      </c>
      <c r="H146" t="s">
        <v>90</v>
      </c>
      <c r="I146">
        <v>0.25</v>
      </c>
      <c r="J146">
        <v>0</v>
      </c>
      <c r="O146">
        <f t="shared" si="123"/>
        <v>2382.59</v>
      </c>
      <c r="P146">
        <f t="shared" si="124"/>
        <v>1422.25</v>
      </c>
      <c r="Q146">
        <f t="shared" si="125"/>
        <v>246.07</v>
      </c>
      <c r="R146">
        <f t="shared" si="126"/>
        <v>109.28</v>
      </c>
      <c r="S146">
        <f t="shared" si="127"/>
        <v>714.27</v>
      </c>
      <c r="T146">
        <f t="shared" si="128"/>
        <v>0</v>
      </c>
      <c r="U146">
        <f t="shared" si="129"/>
        <v>2.9</v>
      </c>
      <c r="V146">
        <f t="shared" si="130"/>
        <v>0</v>
      </c>
      <c r="W146">
        <f t="shared" si="131"/>
        <v>0</v>
      </c>
      <c r="X146">
        <f t="shared" si="132"/>
        <v>499.99</v>
      </c>
      <c r="Y146">
        <f t="shared" si="133"/>
        <v>71.430000000000007</v>
      </c>
      <c r="AA146">
        <v>46561299</v>
      </c>
      <c r="AB146">
        <f t="shared" si="134"/>
        <v>9530.35</v>
      </c>
      <c r="AC146">
        <f t="shared" si="154"/>
        <v>5689</v>
      </c>
      <c r="AD146">
        <f t="shared" si="155"/>
        <v>984.27</v>
      </c>
      <c r="AE146">
        <f t="shared" si="156"/>
        <v>437.12</v>
      </c>
      <c r="AF146">
        <f t="shared" si="157"/>
        <v>2857.08</v>
      </c>
      <c r="AG146">
        <f t="shared" si="135"/>
        <v>0</v>
      </c>
      <c r="AH146">
        <f t="shared" si="158"/>
        <v>11.6</v>
      </c>
      <c r="AI146">
        <f t="shared" si="159"/>
        <v>0</v>
      </c>
      <c r="AJ146">
        <f t="shared" si="136"/>
        <v>0</v>
      </c>
      <c r="AK146">
        <v>9530.35</v>
      </c>
      <c r="AL146">
        <v>5689</v>
      </c>
      <c r="AM146">
        <v>984.27</v>
      </c>
      <c r="AN146">
        <v>437.12</v>
      </c>
      <c r="AO146">
        <v>2857.08</v>
      </c>
      <c r="AP146">
        <v>0</v>
      </c>
      <c r="AQ146">
        <v>11.6</v>
      </c>
      <c r="AR146">
        <v>0</v>
      </c>
      <c r="AS146">
        <v>0</v>
      </c>
      <c r="AT146">
        <v>70</v>
      </c>
      <c r="AU146">
        <v>10</v>
      </c>
      <c r="AV146">
        <v>1</v>
      </c>
      <c r="AW146">
        <v>1</v>
      </c>
      <c r="AZ146">
        <v>1</v>
      </c>
      <c r="BA146">
        <v>1</v>
      </c>
      <c r="BB146">
        <v>1</v>
      </c>
      <c r="BC146">
        <v>1</v>
      </c>
      <c r="BD146" t="s">
        <v>3</v>
      </c>
      <c r="BE146" t="s">
        <v>3</v>
      </c>
      <c r="BF146" t="s">
        <v>3</v>
      </c>
      <c r="BG146" t="s">
        <v>3</v>
      </c>
      <c r="BH146">
        <v>0</v>
      </c>
      <c r="BI146">
        <v>4</v>
      </c>
      <c r="BJ146" t="s">
        <v>204</v>
      </c>
      <c r="BM146">
        <v>0</v>
      </c>
      <c r="BN146">
        <v>0</v>
      </c>
      <c r="BO146" t="s">
        <v>3</v>
      </c>
      <c r="BP146">
        <v>0</v>
      </c>
      <c r="BQ146">
        <v>1</v>
      </c>
      <c r="BR146">
        <v>0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 t="s">
        <v>3</v>
      </c>
      <c r="BZ146">
        <v>70</v>
      </c>
      <c r="CA146">
        <v>10</v>
      </c>
      <c r="CE146">
        <v>0</v>
      </c>
      <c r="CF146">
        <v>0</v>
      </c>
      <c r="CG146">
        <v>0</v>
      </c>
      <c r="CM146">
        <v>0</v>
      </c>
      <c r="CN146" t="s">
        <v>3</v>
      </c>
      <c r="CO146">
        <v>0</v>
      </c>
      <c r="CP146">
        <f t="shared" si="137"/>
        <v>2382.59</v>
      </c>
      <c r="CQ146">
        <f t="shared" si="138"/>
        <v>5689</v>
      </c>
      <c r="CR146">
        <f t="shared" si="160"/>
        <v>984.27</v>
      </c>
      <c r="CS146">
        <f t="shared" si="139"/>
        <v>437.12</v>
      </c>
      <c r="CT146">
        <f t="shared" si="140"/>
        <v>2857.08</v>
      </c>
      <c r="CU146">
        <f t="shared" si="141"/>
        <v>0</v>
      </c>
      <c r="CV146">
        <f t="shared" si="142"/>
        <v>11.6</v>
      </c>
      <c r="CW146">
        <f t="shared" si="143"/>
        <v>0</v>
      </c>
      <c r="CX146">
        <f t="shared" si="144"/>
        <v>0</v>
      </c>
      <c r="CY146">
        <f t="shared" si="145"/>
        <v>499.98900000000003</v>
      </c>
      <c r="CZ146">
        <f t="shared" si="146"/>
        <v>71.426999999999992</v>
      </c>
      <c r="DC146" t="s">
        <v>3</v>
      </c>
      <c r="DD146" t="s">
        <v>3</v>
      </c>
      <c r="DE146" t="s">
        <v>3</v>
      </c>
      <c r="DF146" t="s">
        <v>3</v>
      </c>
      <c r="DG146" t="s">
        <v>3</v>
      </c>
      <c r="DH146" t="s">
        <v>3</v>
      </c>
      <c r="DI146" t="s">
        <v>3</v>
      </c>
      <c r="DJ146" t="s">
        <v>3</v>
      </c>
      <c r="DK146" t="s">
        <v>3</v>
      </c>
      <c r="DL146" t="s">
        <v>3</v>
      </c>
      <c r="DM146" t="s">
        <v>3</v>
      </c>
      <c r="DN146">
        <v>0</v>
      </c>
      <c r="DO146">
        <v>0</v>
      </c>
      <c r="DP146">
        <v>1</v>
      </c>
      <c r="DQ146">
        <v>1</v>
      </c>
      <c r="DU146">
        <v>1005</v>
      </c>
      <c r="DV146" t="s">
        <v>90</v>
      </c>
      <c r="DW146" t="s">
        <v>90</v>
      </c>
      <c r="DX146">
        <v>100</v>
      </c>
      <c r="EE146">
        <v>46035301</v>
      </c>
      <c r="EF146">
        <v>1</v>
      </c>
      <c r="EG146" t="s">
        <v>19</v>
      </c>
      <c r="EH146">
        <v>0</v>
      </c>
      <c r="EI146" t="s">
        <v>3</v>
      </c>
      <c r="EJ146">
        <v>4</v>
      </c>
      <c r="EK146">
        <v>0</v>
      </c>
      <c r="EL146" t="s">
        <v>20</v>
      </c>
      <c r="EM146" t="s">
        <v>21</v>
      </c>
      <c r="EO146" t="s">
        <v>3</v>
      </c>
      <c r="EQ146">
        <v>0</v>
      </c>
      <c r="ER146">
        <v>9530.35</v>
      </c>
      <c r="ES146">
        <v>5689</v>
      </c>
      <c r="ET146">
        <v>984.27</v>
      </c>
      <c r="EU146">
        <v>437.12</v>
      </c>
      <c r="EV146">
        <v>2857.08</v>
      </c>
      <c r="EW146">
        <v>11.6</v>
      </c>
      <c r="EX146">
        <v>0</v>
      </c>
      <c r="EY146">
        <v>0</v>
      </c>
      <c r="FQ146">
        <v>0</v>
      </c>
      <c r="FR146">
        <f t="shared" si="147"/>
        <v>0</v>
      </c>
      <c r="FS146">
        <v>0</v>
      </c>
      <c r="FX146">
        <v>70</v>
      </c>
      <c r="FY146">
        <v>10</v>
      </c>
      <c r="GA146" t="s">
        <v>3</v>
      </c>
      <c r="GD146">
        <v>0</v>
      </c>
      <c r="GF146">
        <v>-2135688612</v>
      </c>
      <c r="GG146">
        <v>2</v>
      </c>
      <c r="GH146">
        <v>1</v>
      </c>
      <c r="GI146">
        <v>-2</v>
      </c>
      <c r="GJ146">
        <v>0</v>
      </c>
      <c r="GK146">
        <f>ROUND(R146*(R12)/100,2)</f>
        <v>118.02</v>
      </c>
      <c r="GL146">
        <f t="shared" si="148"/>
        <v>0</v>
      </c>
      <c r="GM146">
        <f t="shared" si="161"/>
        <v>3072.03</v>
      </c>
      <c r="GN146">
        <f t="shared" si="162"/>
        <v>0</v>
      </c>
      <c r="GO146">
        <f t="shared" si="163"/>
        <v>0</v>
      </c>
      <c r="GP146">
        <f t="shared" si="164"/>
        <v>3072.03</v>
      </c>
      <c r="GR146">
        <v>0</v>
      </c>
      <c r="GS146">
        <v>3</v>
      </c>
      <c r="GT146">
        <v>0</v>
      </c>
      <c r="GU146" t="s">
        <v>3</v>
      </c>
      <c r="GV146">
        <f t="shared" si="149"/>
        <v>0</v>
      </c>
      <c r="GW146">
        <v>1</v>
      </c>
      <c r="GX146">
        <f t="shared" si="150"/>
        <v>0</v>
      </c>
      <c r="HA146">
        <v>0</v>
      </c>
      <c r="HB146">
        <v>0</v>
      </c>
      <c r="HC146">
        <f t="shared" si="151"/>
        <v>0</v>
      </c>
      <c r="IK146">
        <v>0</v>
      </c>
    </row>
    <row r="147" spans="1:245" x14ac:dyDescent="0.2">
      <c r="A147">
        <v>18</v>
      </c>
      <c r="B147">
        <v>1</v>
      </c>
      <c r="C147">
        <v>151</v>
      </c>
      <c r="E147" t="s">
        <v>205</v>
      </c>
      <c r="F147" t="s">
        <v>206</v>
      </c>
      <c r="G147" t="s">
        <v>207</v>
      </c>
      <c r="H147" t="s">
        <v>65</v>
      </c>
      <c r="I147">
        <f>I146*J147</f>
        <v>1.345E-2</v>
      </c>
      <c r="J147">
        <v>5.3800000000000001E-2</v>
      </c>
      <c r="O147">
        <f t="shared" si="123"/>
        <v>1485.52</v>
      </c>
      <c r="P147">
        <f t="shared" si="124"/>
        <v>1485.52</v>
      </c>
      <c r="Q147">
        <f t="shared" si="125"/>
        <v>0</v>
      </c>
      <c r="R147">
        <f t="shared" si="126"/>
        <v>0</v>
      </c>
      <c r="S147">
        <f t="shared" si="127"/>
        <v>0</v>
      </c>
      <c r="T147">
        <f t="shared" si="128"/>
        <v>0</v>
      </c>
      <c r="U147">
        <f t="shared" si="129"/>
        <v>0</v>
      </c>
      <c r="V147">
        <f t="shared" si="130"/>
        <v>0</v>
      </c>
      <c r="W147">
        <f t="shared" si="131"/>
        <v>0</v>
      </c>
      <c r="X147">
        <f t="shared" si="132"/>
        <v>0</v>
      </c>
      <c r="Y147">
        <f t="shared" si="133"/>
        <v>0</v>
      </c>
      <c r="AA147">
        <v>46561299</v>
      </c>
      <c r="AB147">
        <f t="shared" si="134"/>
        <v>110447.55</v>
      </c>
      <c r="AC147">
        <f t="shared" si="154"/>
        <v>110447.55</v>
      </c>
      <c r="AD147">
        <f t="shared" si="155"/>
        <v>0</v>
      </c>
      <c r="AE147">
        <f t="shared" si="156"/>
        <v>0</v>
      </c>
      <c r="AF147">
        <f t="shared" si="157"/>
        <v>0</v>
      </c>
      <c r="AG147">
        <f t="shared" si="135"/>
        <v>0</v>
      </c>
      <c r="AH147">
        <f t="shared" si="158"/>
        <v>0</v>
      </c>
      <c r="AI147">
        <f t="shared" si="159"/>
        <v>0</v>
      </c>
      <c r="AJ147">
        <f t="shared" si="136"/>
        <v>0</v>
      </c>
      <c r="AK147">
        <v>110447.55</v>
      </c>
      <c r="AL147">
        <v>110447.55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70</v>
      </c>
      <c r="AU147">
        <v>10</v>
      </c>
      <c r="AV147">
        <v>1</v>
      </c>
      <c r="AW147">
        <v>1</v>
      </c>
      <c r="AZ147">
        <v>1</v>
      </c>
      <c r="BA147">
        <v>1</v>
      </c>
      <c r="BB147">
        <v>1</v>
      </c>
      <c r="BC147">
        <v>1</v>
      </c>
      <c r="BD147" t="s">
        <v>3</v>
      </c>
      <c r="BE147" t="s">
        <v>3</v>
      </c>
      <c r="BF147" t="s">
        <v>3</v>
      </c>
      <c r="BG147" t="s">
        <v>3</v>
      </c>
      <c r="BH147">
        <v>3</v>
      </c>
      <c r="BI147">
        <v>4</v>
      </c>
      <c r="BJ147" t="s">
        <v>208</v>
      </c>
      <c r="BM147">
        <v>0</v>
      </c>
      <c r="BN147">
        <v>0</v>
      </c>
      <c r="BO147" t="s">
        <v>3</v>
      </c>
      <c r="BP147">
        <v>0</v>
      </c>
      <c r="BQ147">
        <v>1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 t="s">
        <v>3</v>
      </c>
      <c r="BZ147">
        <v>70</v>
      </c>
      <c r="CA147">
        <v>10</v>
      </c>
      <c r="CE147">
        <v>0</v>
      </c>
      <c r="CF147">
        <v>0</v>
      </c>
      <c r="CG147">
        <v>0</v>
      </c>
      <c r="CM147">
        <v>0</v>
      </c>
      <c r="CN147" t="s">
        <v>3</v>
      </c>
      <c r="CO147">
        <v>0</v>
      </c>
      <c r="CP147">
        <f t="shared" si="137"/>
        <v>1485.52</v>
      </c>
      <c r="CQ147">
        <f t="shared" si="138"/>
        <v>110447.55</v>
      </c>
      <c r="CR147">
        <f t="shared" si="160"/>
        <v>0</v>
      </c>
      <c r="CS147">
        <f t="shared" si="139"/>
        <v>0</v>
      </c>
      <c r="CT147">
        <f t="shared" si="140"/>
        <v>0</v>
      </c>
      <c r="CU147">
        <f t="shared" si="141"/>
        <v>0</v>
      </c>
      <c r="CV147">
        <f t="shared" si="142"/>
        <v>0</v>
      </c>
      <c r="CW147">
        <f t="shared" si="143"/>
        <v>0</v>
      </c>
      <c r="CX147">
        <f t="shared" si="144"/>
        <v>0</v>
      </c>
      <c r="CY147">
        <f t="shared" si="145"/>
        <v>0</v>
      </c>
      <c r="CZ147">
        <f t="shared" si="146"/>
        <v>0</v>
      </c>
      <c r="DC147" t="s">
        <v>3</v>
      </c>
      <c r="DD147" t="s">
        <v>3</v>
      </c>
      <c r="DE147" t="s">
        <v>3</v>
      </c>
      <c r="DF147" t="s">
        <v>3</v>
      </c>
      <c r="DG147" t="s">
        <v>3</v>
      </c>
      <c r="DH147" t="s">
        <v>3</v>
      </c>
      <c r="DI147" t="s">
        <v>3</v>
      </c>
      <c r="DJ147" t="s">
        <v>3</v>
      </c>
      <c r="DK147" t="s">
        <v>3</v>
      </c>
      <c r="DL147" t="s">
        <v>3</v>
      </c>
      <c r="DM147" t="s">
        <v>3</v>
      </c>
      <c r="DN147">
        <v>0</v>
      </c>
      <c r="DO147">
        <v>0</v>
      </c>
      <c r="DP147">
        <v>1</v>
      </c>
      <c r="DQ147">
        <v>1</v>
      </c>
      <c r="DU147">
        <v>1009</v>
      </c>
      <c r="DV147" t="s">
        <v>65</v>
      </c>
      <c r="DW147" t="s">
        <v>65</v>
      </c>
      <c r="DX147">
        <v>1000</v>
      </c>
      <c r="EE147">
        <v>46035301</v>
      </c>
      <c r="EF147">
        <v>1</v>
      </c>
      <c r="EG147" t="s">
        <v>19</v>
      </c>
      <c r="EH147">
        <v>0</v>
      </c>
      <c r="EI147" t="s">
        <v>3</v>
      </c>
      <c r="EJ147">
        <v>4</v>
      </c>
      <c r="EK147">
        <v>0</v>
      </c>
      <c r="EL147" t="s">
        <v>20</v>
      </c>
      <c r="EM147" t="s">
        <v>21</v>
      </c>
      <c r="EO147" t="s">
        <v>3</v>
      </c>
      <c r="EQ147">
        <v>0</v>
      </c>
      <c r="ER147">
        <v>110447.55</v>
      </c>
      <c r="ES147">
        <v>110447.55</v>
      </c>
      <c r="ET147">
        <v>0</v>
      </c>
      <c r="EU147">
        <v>0</v>
      </c>
      <c r="EV147">
        <v>0</v>
      </c>
      <c r="EW147">
        <v>0</v>
      </c>
      <c r="EX147">
        <v>0</v>
      </c>
      <c r="FQ147">
        <v>0</v>
      </c>
      <c r="FR147">
        <f t="shared" si="147"/>
        <v>0</v>
      </c>
      <c r="FS147">
        <v>0</v>
      </c>
      <c r="FX147">
        <v>70</v>
      </c>
      <c r="FY147">
        <v>10</v>
      </c>
      <c r="GA147" t="s">
        <v>3</v>
      </c>
      <c r="GD147">
        <v>0</v>
      </c>
      <c r="GF147">
        <v>302977583</v>
      </c>
      <c r="GG147">
        <v>2</v>
      </c>
      <c r="GH147">
        <v>1</v>
      </c>
      <c r="GI147">
        <v>-2</v>
      </c>
      <c r="GJ147">
        <v>0</v>
      </c>
      <c r="GK147">
        <f>ROUND(R147*(R12)/100,2)</f>
        <v>0</v>
      </c>
      <c r="GL147">
        <f t="shared" si="148"/>
        <v>0</v>
      </c>
      <c r="GM147">
        <f t="shared" si="161"/>
        <v>1485.52</v>
      </c>
      <c r="GN147">
        <f t="shared" si="162"/>
        <v>0</v>
      </c>
      <c r="GO147">
        <f t="shared" si="163"/>
        <v>0</v>
      </c>
      <c r="GP147">
        <f t="shared" si="164"/>
        <v>1485.52</v>
      </c>
      <c r="GR147">
        <v>0</v>
      </c>
      <c r="GS147">
        <v>3</v>
      </c>
      <c r="GT147">
        <v>0</v>
      </c>
      <c r="GU147" t="s">
        <v>3</v>
      </c>
      <c r="GV147">
        <f t="shared" si="149"/>
        <v>0</v>
      </c>
      <c r="GW147">
        <v>1</v>
      </c>
      <c r="GX147">
        <f t="shared" si="150"/>
        <v>0</v>
      </c>
      <c r="HA147">
        <v>0</v>
      </c>
      <c r="HB147">
        <v>0</v>
      </c>
      <c r="HC147">
        <f t="shared" si="151"/>
        <v>0</v>
      </c>
      <c r="IK147">
        <v>0</v>
      </c>
    </row>
    <row r="148" spans="1:245" x14ac:dyDescent="0.2">
      <c r="A148">
        <v>18</v>
      </c>
      <c r="B148">
        <v>1</v>
      </c>
      <c r="C148">
        <v>150</v>
      </c>
      <c r="E148" t="s">
        <v>209</v>
      </c>
      <c r="F148" t="s">
        <v>210</v>
      </c>
      <c r="G148" t="s">
        <v>211</v>
      </c>
      <c r="H148" t="s">
        <v>65</v>
      </c>
      <c r="I148">
        <f>I146*J148</f>
        <v>-1.345E-2</v>
      </c>
      <c r="J148">
        <v>-5.3800000000000001E-2</v>
      </c>
      <c r="O148">
        <f t="shared" si="123"/>
        <v>-1394.06</v>
      </c>
      <c r="P148">
        <f t="shared" si="124"/>
        <v>-1394.06</v>
      </c>
      <c r="Q148">
        <f t="shared" si="125"/>
        <v>0</v>
      </c>
      <c r="R148">
        <f t="shared" si="126"/>
        <v>0</v>
      </c>
      <c r="S148">
        <f t="shared" si="127"/>
        <v>0</v>
      </c>
      <c r="T148">
        <f t="shared" si="128"/>
        <v>0</v>
      </c>
      <c r="U148">
        <f t="shared" si="129"/>
        <v>0</v>
      </c>
      <c r="V148">
        <f t="shared" si="130"/>
        <v>0</v>
      </c>
      <c r="W148">
        <f t="shared" si="131"/>
        <v>0</v>
      </c>
      <c r="X148">
        <f t="shared" si="132"/>
        <v>0</v>
      </c>
      <c r="Y148">
        <f t="shared" si="133"/>
        <v>0</v>
      </c>
      <c r="AA148">
        <v>46561299</v>
      </c>
      <c r="AB148">
        <f t="shared" si="134"/>
        <v>103647.55</v>
      </c>
      <c r="AC148">
        <f t="shared" si="154"/>
        <v>103647.55</v>
      </c>
      <c r="AD148">
        <f t="shared" si="155"/>
        <v>0</v>
      </c>
      <c r="AE148">
        <f t="shared" si="156"/>
        <v>0</v>
      </c>
      <c r="AF148">
        <f t="shared" si="157"/>
        <v>0</v>
      </c>
      <c r="AG148">
        <f t="shared" si="135"/>
        <v>0</v>
      </c>
      <c r="AH148">
        <f t="shared" si="158"/>
        <v>0</v>
      </c>
      <c r="AI148">
        <f t="shared" si="159"/>
        <v>0</v>
      </c>
      <c r="AJ148">
        <f t="shared" si="136"/>
        <v>0</v>
      </c>
      <c r="AK148">
        <v>103647.55</v>
      </c>
      <c r="AL148">
        <v>103647.55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70</v>
      </c>
      <c r="AU148">
        <v>10</v>
      </c>
      <c r="AV148">
        <v>1</v>
      </c>
      <c r="AW148">
        <v>1</v>
      </c>
      <c r="AZ148">
        <v>1</v>
      </c>
      <c r="BA148">
        <v>1</v>
      </c>
      <c r="BB148">
        <v>1</v>
      </c>
      <c r="BC148">
        <v>1</v>
      </c>
      <c r="BD148" t="s">
        <v>3</v>
      </c>
      <c r="BE148" t="s">
        <v>3</v>
      </c>
      <c r="BF148" t="s">
        <v>3</v>
      </c>
      <c r="BG148" t="s">
        <v>3</v>
      </c>
      <c r="BH148">
        <v>3</v>
      </c>
      <c r="BI148">
        <v>4</v>
      </c>
      <c r="BJ148" t="s">
        <v>212</v>
      </c>
      <c r="BM148">
        <v>0</v>
      </c>
      <c r="BN148">
        <v>0</v>
      </c>
      <c r="BO148" t="s">
        <v>3</v>
      </c>
      <c r="BP148">
        <v>0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 t="s">
        <v>3</v>
      </c>
      <c r="BZ148">
        <v>70</v>
      </c>
      <c r="CA148">
        <v>10</v>
      </c>
      <c r="CE148">
        <v>0</v>
      </c>
      <c r="CF148">
        <v>0</v>
      </c>
      <c r="CG148">
        <v>0</v>
      </c>
      <c r="CM148">
        <v>0</v>
      </c>
      <c r="CN148" t="s">
        <v>3</v>
      </c>
      <c r="CO148">
        <v>0</v>
      </c>
      <c r="CP148">
        <f t="shared" si="137"/>
        <v>-1394.06</v>
      </c>
      <c r="CQ148">
        <f t="shared" si="138"/>
        <v>103647.55</v>
      </c>
      <c r="CR148">
        <f t="shared" si="160"/>
        <v>0</v>
      </c>
      <c r="CS148">
        <f t="shared" si="139"/>
        <v>0</v>
      </c>
      <c r="CT148">
        <f t="shared" si="140"/>
        <v>0</v>
      </c>
      <c r="CU148">
        <f t="shared" si="141"/>
        <v>0</v>
      </c>
      <c r="CV148">
        <f t="shared" si="142"/>
        <v>0</v>
      </c>
      <c r="CW148">
        <f t="shared" si="143"/>
        <v>0</v>
      </c>
      <c r="CX148">
        <f t="shared" si="144"/>
        <v>0</v>
      </c>
      <c r="CY148">
        <f t="shared" si="145"/>
        <v>0</v>
      </c>
      <c r="CZ148">
        <f t="shared" si="146"/>
        <v>0</v>
      </c>
      <c r="DC148" t="s">
        <v>3</v>
      </c>
      <c r="DD148" t="s">
        <v>3</v>
      </c>
      <c r="DE148" t="s">
        <v>3</v>
      </c>
      <c r="DF148" t="s">
        <v>3</v>
      </c>
      <c r="DG148" t="s">
        <v>3</v>
      </c>
      <c r="DH148" t="s">
        <v>3</v>
      </c>
      <c r="DI148" t="s">
        <v>3</v>
      </c>
      <c r="DJ148" t="s">
        <v>3</v>
      </c>
      <c r="DK148" t="s">
        <v>3</v>
      </c>
      <c r="DL148" t="s">
        <v>3</v>
      </c>
      <c r="DM148" t="s">
        <v>3</v>
      </c>
      <c r="DN148">
        <v>0</v>
      </c>
      <c r="DO148">
        <v>0</v>
      </c>
      <c r="DP148">
        <v>1</v>
      </c>
      <c r="DQ148">
        <v>1</v>
      </c>
      <c r="DU148">
        <v>1009</v>
      </c>
      <c r="DV148" t="s">
        <v>65</v>
      </c>
      <c r="DW148" t="s">
        <v>65</v>
      </c>
      <c r="DX148">
        <v>1000</v>
      </c>
      <c r="EE148">
        <v>46035301</v>
      </c>
      <c r="EF148">
        <v>1</v>
      </c>
      <c r="EG148" t="s">
        <v>19</v>
      </c>
      <c r="EH148">
        <v>0</v>
      </c>
      <c r="EI148" t="s">
        <v>3</v>
      </c>
      <c r="EJ148">
        <v>4</v>
      </c>
      <c r="EK148">
        <v>0</v>
      </c>
      <c r="EL148" t="s">
        <v>20</v>
      </c>
      <c r="EM148" t="s">
        <v>21</v>
      </c>
      <c r="EO148" t="s">
        <v>3</v>
      </c>
      <c r="EQ148">
        <v>32768</v>
      </c>
      <c r="ER148">
        <v>103647.55</v>
      </c>
      <c r="ES148">
        <v>103647.55</v>
      </c>
      <c r="ET148">
        <v>0</v>
      </c>
      <c r="EU148">
        <v>0</v>
      </c>
      <c r="EV148">
        <v>0</v>
      </c>
      <c r="EW148">
        <v>0</v>
      </c>
      <c r="EX148">
        <v>0</v>
      </c>
      <c r="FQ148">
        <v>0</v>
      </c>
      <c r="FR148">
        <f t="shared" si="147"/>
        <v>0</v>
      </c>
      <c r="FS148">
        <v>0</v>
      </c>
      <c r="FX148">
        <v>70</v>
      </c>
      <c r="FY148">
        <v>10</v>
      </c>
      <c r="GA148" t="s">
        <v>3</v>
      </c>
      <c r="GD148">
        <v>0</v>
      </c>
      <c r="GF148">
        <v>1042308594</v>
      </c>
      <c r="GG148">
        <v>2</v>
      </c>
      <c r="GH148">
        <v>1</v>
      </c>
      <c r="GI148">
        <v>-2</v>
      </c>
      <c r="GJ148">
        <v>0</v>
      </c>
      <c r="GK148">
        <f>ROUND(R148*(R12)/100,2)</f>
        <v>0</v>
      </c>
      <c r="GL148">
        <f t="shared" si="148"/>
        <v>0</v>
      </c>
      <c r="GM148">
        <f t="shared" si="161"/>
        <v>-1394.06</v>
      </c>
      <c r="GN148">
        <f t="shared" si="162"/>
        <v>0</v>
      </c>
      <c r="GO148">
        <f t="shared" si="163"/>
        <v>0</v>
      </c>
      <c r="GP148">
        <f t="shared" si="164"/>
        <v>-1394.06</v>
      </c>
      <c r="GR148">
        <v>0</v>
      </c>
      <c r="GS148">
        <v>3</v>
      </c>
      <c r="GT148">
        <v>0</v>
      </c>
      <c r="GU148" t="s">
        <v>3</v>
      </c>
      <c r="GV148">
        <f t="shared" si="149"/>
        <v>0</v>
      </c>
      <c r="GW148">
        <v>1</v>
      </c>
      <c r="GX148">
        <f t="shared" si="150"/>
        <v>0</v>
      </c>
      <c r="HA148">
        <v>0</v>
      </c>
      <c r="HB148">
        <v>0</v>
      </c>
      <c r="HC148">
        <f t="shared" si="151"/>
        <v>0</v>
      </c>
      <c r="IK148">
        <v>0</v>
      </c>
    </row>
    <row r="149" spans="1:245" x14ac:dyDescent="0.2">
      <c r="A149">
        <v>17</v>
      </c>
      <c r="B149">
        <v>1</v>
      </c>
      <c r="C149">
        <f>ROW(SmtRes!A153)</f>
        <v>153</v>
      </c>
      <c r="D149">
        <f>ROW(EtalonRes!A139)</f>
        <v>139</v>
      </c>
      <c r="E149" t="s">
        <v>213</v>
      </c>
      <c r="F149" t="s">
        <v>214</v>
      </c>
      <c r="G149" t="s">
        <v>215</v>
      </c>
      <c r="H149" t="s">
        <v>90</v>
      </c>
      <c r="I149">
        <v>2.8000000000000001E-2</v>
      </c>
      <c r="J149">
        <v>0</v>
      </c>
      <c r="O149">
        <f t="shared" si="123"/>
        <v>1464.49</v>
      </c>
      <c r="P149">
        <f t="shared" si="124"/>
        <v>831.76</v>
      </c>
      <c r="Q149">
        <f t="shared" si="125"/>
        <v>0</v>
      </c>
      <c r="R149">
        <f t="shared" si="126"/>
        <v>0</v>
      </c>
      <c r="S149">
        <f t="shared" si="127"/>
        <v>632.73</v>
      </c>
      <c r="T149">
        <f t="shared" si="128"/>
        <v>0</v>
      </c>
      <c r="U149">
        <f t="shared" si="129"/>
        <v>3.1298400000000002</v>
      </c>
      <c r="V149">
        <f t="shared" si="130"/>
        <v>0</v>
      </c>
      <c r="W149">
        <f t="shared" si="131"/>
        <v>0</v>
      </c>
      <c r="X149">
        <f t="shared" si="132"/>
        <v>442.91</v>
      </c>
      <c r="Y149">
        <f t="shared" si="133"/>
        <v>63.27</v>
      </c>
      <c r="AA149">
        <v>46561299</v>
      </c>
      <c r="AB149">
        <f t="shared" si="134"/>
        <v>52303.02</v>
      </c>
      <c r="AC149">
        <f t="shared" si="154"/>
        <v>29705.57</v>
      </c>
      <c r="AD149">
        <f t="shared" si="155"/>
        <v>0</v>
      </c>
      <c r="AE149">
        <f t="shared" si="156"/>
        <v>0</v>
      </c>
      <c r="AF149">
        <f t="shared" si="157"/>
        <v>22597.45</v>
      </c>
      <c r="AG149">
        <f t="shared" si="135"/>
        <v>0</v>
      </c>
      <c r="AH149">
        <f t="shared" si="158"/>
        <v>111.78</v>
      </c>
      <c r="AI149">
        <f t="shared" si="159"/>
        <v>0</v>
      </c>
      <c r="AJ149">
        <f t="shared" si="136"/>
        <v>0</v>
      </c>
      <c r="AK149">
        <v>52303.02</v>
      </c>
      <c r="AL149">
        <v>29705.57</v>
      </c>
      <c r="AM149">
        <v>0</v>
      </c>
      <c r="AN149">
        <v>0</v>
      </c>
      <c r="AO149">
        <v>22597.45</v>
      </c>
      <c r="AP149">
        <v>0</v>
      </c>
      <c r="AQ149">
        <v>111.78</v>
      </c>
      <c r="AR149">
        <v>0</v>
      </c>
      <c r="AS149">
        <v>0</v>
      </c>
      <c r="AT149">
        <v>70</v>
      </c>
      <c r="AU149">
        <v>10</v>
      </c>
      <c r="AV149">
        <v>1</v>
      </c>
      <c r="AW149">
        <v>1</v>
      </c>
      <c r="AZ149">
        <v>1</v>
      </c>
      <c r="BA149">
        <v>1</v>
      </c>
      <c r="BB149">
        <v>1</v>
      </c>
      <c r="BC149">
        <v>1</v>
      </c>
      <c r="BD149" t="s">
        <v>3</v>
      </c>
      <c r="BE149" t="s">
        <v>3</v>
      </c>
      <c r="BF149" t="s">
        <v>3</v>
      </c>
      <c r="BG149" t="s">
        <v>3</v>
      </c>
      <c r="BH149">
        <v>0</v>
      </c>
      <c r="BI149">
        <v>4</v>
      </c>
      <c r="BJ149" t="s">
        <v>216</v>
      </c>
      <c r="BM149">
        <v>0</v>
      </c>
      <c r="BN149">
        <v>0</v>
      </c>
      <c r="BO149" t="s">
        <v>3</v>
      </c>
      <c r="BP149">
        <v>0</v>
      </c>
      <c r="BQ149">
        <v>1</v>
      </c>
      <c r="BR149">
        <v>0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 t="s">
        <v>3</v>
      </c>
      <c r="BZ149">
        <v>70</v>
      </c>
      <c r="CA149">
        <v>10</v>
      </c>
      <c r="CE149">
        <v>0</v>
      </c>
      <c r="CF149">
        <v>0</v>
      </c>
      <c r="CG149">
        <v>0</v>
      </c>
      <c r="CM149">
        <v>0</v>
      </c>
      <c r="CN149" t="s">
        <v>3</v>
      </c>
      <c r="CO149">
        <v>0</v>
      </c>
      <c r="CP149">
        <f t="shared" si="137"/>
        <v>1464.49</v>
      </c>
      <c r="CQ149">
        <f t="shared" si="138"/>
        <v>29705.57</v>
      </c>
      <c r="CR149">
        <f t="shared" si="160"/>
        <v>0</v>
      </c>
      <c r="CS149">
        <f t="shared" si="139"/>
        <v>0</v>
      </c>
      <c r="CT149">
        <f t="shared" si="140"/>
        <v>22597.45</v>
      </c>
      <c r="CU149">
        <f t="shared" si="141"/>
        <v>0</v>
      </c>
      <c r="CV149">
        <f t="shared" si="142"/>
        <v>111.78</v>
      </c>
      <c r="CW149">
        <f t="shared" si="143"/>
        <v>0</v>
      </c>
      <c r="CX149">
        <f t="shared" si="144"/>
        <v>0</v>
      </c>
      <c r="CY149">
        <f t="shared" si="145"/>
        <v>442.911</v>
      </c>
      <c r="CZ149">
        <f t="shared" si="146"/>
        <v>63.273000000000003</v>
      </c>
      <c r="DC149" t="s">
        <v>3</v>
      </c>
      <c r="DD149" t="s">
        <v>3</v>
      </c>
      <c r="DE149" t="s">
        <v>3</v>
      </c>
      <c r="DF149" t="s">
        <v>3</v>
      </c>
      <c r="DG149" t="s">
        <v>3</v>
      </c>
      <c r="DH149" t="s">
        <v>3</v>
      </c>
      <c r="DI149" t="s">
        <v>3</v>
      </c>
      <c r="DJ149" t="s">
        <v>3</v>
      </c>
      <c r="DK149" t="s">
        <v>3</v>
      </c>
      <c r="DL149" t="s">
        <v>3</v>
      </c>
      <c r="DM149" t="s">
        <v>3</v>
      </c>
      <c r="DN149">
        <v>0</v>
      </c>
      <c r="DO149">
        <v>0</v>
      </c>
      <c r="DP149">
        <v>1</v>
      </c>
      <c r="DQ149">
        <v>1</v>
      </c>
      <c r="DU149">
        <v>1005</v>
      </c>
      <c r="DV149" t="s">
        <v>90</v>
      </c>
      <c r="DW149" t="s">
        <v>90</v>
      </c>
      <c r="DX149">
        <v>100</v>
      </c>
      <c r="EE149">
        <v>46035301</v>
      </c>
      <c r="EF149">
        <v>1</v>
      </c>
      <c r="EG149" t="s">
        <v>19</v>
      </c>
      <c r="EH149">
        <v>0</v>
      </c>
      <c r="EI149" t="s">
        <v>3</v>
      </c>
      <c r="EJ149">
        <v>4</v>
      </c>
      <c r="EK149">
        <v>0</v>
      </c>
      <c r="EL149" t="s">
        <v>20</v>
      </c>
      <c r="EM149" t="s">
        <v>21</v>
      </c>
      <c r="EO149" t="s">
        <v>3</v>
      </c>
      <c r="EQ149">
        <v>0</v>
      </c>
      <c r="ER149">
        <v>52303.02</v>
      </c>
      <c r="ES149">
        <v>29705.57</v>
      </c>
      <c r="ET149">
        <v>0</v>
      </c>
      <c r="EU149">
        <v>0</v>
      </c>
      <c r="EV149">
        <v>22597.45</v>
      </c>
      <c r="EW149">
        <v>111.78</v>
      </c>
      <c r="EX149">
        <v>0</v>
      </c>
      <c r="EY149">
        <v>0</v>
      </c>
      <c r="FQ149">
        <v>0</v>
      </c>
      <c r="FR149">
        <f t="shared" si="147"/>
        <v>0</v>
      </c>
      <c r="FS149">
        <v>0</v>
      </c>
      <c r="FX149">
        <v>70</v>
      </c>
      <c r="FY149">
        <v>10</v>
      </c>
      <c r="GA149" t="s">
        <v>3</v>
      </c>
      <c r="GD149">
        <v>0</v>
      </c>
      <c r="GF149">
        <v>2115684625</v>
      </c>
      <c r="GG149">
        <v>2</v>
      </c>
      <c r="GH149">
        <v>1</v>
      </c>
      <c r="GI149">
        <v>-2</v>
      </c>
      <c r="GJ149">
        <v>0</v>
      </c>
      <c r="GK149">
        <f>ROUND(R149*(R12)/100,2)</f>
        <v>0</v>
      </c>
      <c r="GL149">
        <f t="shared" si="148"/>
        <v>0</v>
      </c>
      <c r="GM149">
        <f t="shared" si="161"/>
        <v>1970.67</v>
      </c>
      <c r="GN149">
        <f t="shared" si="162"/>
        <v>0</v>
      </c>
      <c r="GO149">
        <f t="shared" si="163"/>
        <v>0</v>
      </c>
      <c r="GP149">
        <f t="shared" si="164"/>
        <v>1970.67</v>
      </c>
      <c r="GR149">
        <v>0</v>
      </c>
      <c r="GS149">
        <v>3</v>
      </c>
      <c r="GT149">
        <v>0</v>
      </c>
      <c r="GU149" t="s">
        <v>3</v>
      </c>
      <c r="GV149">
        <f t="shared" si="149"/>
        <v>0</v>
      </c>
      <c r="GW149">
        <v>1</v>
      </c>
      <c r="GX149">
        <f t="shared" si="150"/>
        <v>0</v>
      </c>
      <c r="HA149">
        <v>0</v>
      </c>
      <c r="HB149">
        <v>0</v>
      </c>
      <c r="HC149">
        <f t="shared" si="151"/>
        <v>0</v>
      </c>
      <c r="IK149">
        <v>0</v>
      </c>
    </row>
    <row r="150" spans="1:245" x14ac:dyDescent="0.2">
      <c r="A150">
        <v>17</v>
      </c>
      <c r="B150">
        <v>1</v>
      </c>
      <c r="C150">
        <f>ROW(SmtRes!A168)</f>
        <v>168</v>
      </c>
      <c r="D150">
        <f>ROW(EtalonRes!A147)</f>
        <v>147</v>
      </c>
      <c r="E150" t="s">
        <v>217</v>
      </c>
      <c r="F150" t="s">
        <v>59</v>
      </c>
      <c r="G150" t="s">
        <v>60</v>
      </c>
      <c r="H150" t="s">
        <v>40</v>
      </c>
      <c r="I150">
        <v>108.2</v>
      </c>
      <c r="J150">
        <v>0</v>
      </c>
      <c r="O150">
        <f t="shared" si="123"/>
        <v>751637.26</v>
      </c>
      <c r="P150">
        <f t="shared" si="124"/>
        <v>615373.43000000005</v>
      </c>
      <c r="Q150">
        <f t="shared" si="125"/>
        <v>50234.01</v>
      </c>
      <c r="R150">
        <f t="shared" si="126"/>
        <v>32025.040000000001</v>
      </c>
      <c r="S150">
        <f t="shared" si="127"/>
        <v>86029.82</v>
      </c>
      <c r="T150">
        <f t="shared" si="128"/>
        <v>0</v>
      </c>
      <c r="U150">
        <f t="shared" si="129"/>
        <v>321.35400000000004</v>
      </c>
      <c r="V150">
        <f t="shared" si="130"/>
        <v>0</v>
      </c>
      <c r="W150">
        <f t="shared" si="131"/>
        <v>0</v>
      </c>
      <c r="X150">
        <f t="shared" si="132"/>
        <v>60220.87</v>
      </c>
      <c r="Y150">
        <f t="shared" si="133"/>
        <v>8602.98</v>
      </c>
      <c r="AA150">
        <v>46561299</v>
      </c>
      <c r="AB150">
        <f t="shared" si="134"/>
        <v>6946.74</v>
      </c>
      <c r="AC150">
        <f t="shared" si="154"/>
        <v>5687.37</v>
      </c>
      <c r="AD150">
        <f t="shared" si="155"/>
        <v>464.27</v>
      </c>
      <c r="AE150">
        <f t="shared" si="156"/>
        <v>295.98</v>
      </c>
      <c r="AF150">
        <f t="shared" si="157"/>
        <v>795.1</v>
      </c>
      <c r="AG150">
        <f t="shared" si="135"/>
        <v>0</v>
      </c>
      <c r="AH150">
        <f t="shared" si="158"/>
        <v>2.97</v>
      </c>
      <c r="AI150">
        <f t="shared" si="159"/>
        <v>0</v>
      </c>
      <c r="AJ150">
        <f t="shared" si="136"/>
        <v>0</v>
      </c>
      <c r="AK150">
        <v>6946.74</v>
      </c>
      <c r="AL150">
        <v>5687.37</v>
      </c>
      <c r="AM150">
        <v>464.27</v>
      </c>
      <c r="AN150">
        <v>295.98</v>
      </c>
      <c r="AO150">
        <v>795.1</v>
      </c>
      <c r="AP150">
        <v>0</v>
      </c>
      <c r="AQ150">
        <v>2.97</v>
      </c>
      <c r="AR150">
        <v>0</v>
      </c>
      <c r="AS150">
        <v>0</v>
      </c>
      <c r="AT150">
        <v>70</v>
      </c>
      <c r="AU150">
        <v>10</v>
      </c>
      <c r="AV150">
        <v>1</v>
      </c>
      <c r="AW150">
        <v>1</v>
      </c>
      <c r="AZ150">
        <v>1</v>
      </c>
      <c r="BA150">
        <v>1</v>
      </c>
      <c r="BB150">
        <v>1</v>
      </c>
      <c r="BC150">
        <v>1</v>
      </c>
      <c r="BD150" t="s">
        <v>3</v>
      </c>
      <c r="BE150" t="s">
        <v>3</v>
      </c>
      <c r="BF150" t="s">
        <v>3</v>
      </c>
      <c r="BG150" t="s">
        <v>3</v>
      </c>
      <c r="BH150">
        <v>0</v>
      </c>
      <c r="BI150">
        <v>4</v>
      </c>
      <c r="BJ150" t="s">
        <v>61</v>
      </c>
      <c r="BM150">
        <v>0</v>
      </c>
      <c r="BN150">
        <v>0</v>
      </c>
      <c r="BO150" t="s">
        <v>3</v>
      </c>
      <c r="BP150">
        <v>0</v>
      </c>
      <c r="BQ150">
        <v>1</v>
      </c>
      <c r="BR150">
        <v>0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 t="s">
        <v>3</v>
      </c>
      <c r="BZ150">
        <v>70</v>
      </c>
      <c r="CA150">
        <v>10</v>
      </c>
      <c r="CE150">
        <v>0</v>
      </c>
      <c r="CF150">
        <v>0</v>
      </c>
      <c r="CG150">
        <v>0</v>
      </c>
      <c r="CM150">
        <v>0</v>
      </c>
      <c r="CN150" t="s">
        <v>3</v>
      </c>
      <c r="CO150">
        <v>0</v>
      </c>
      <c r="CP150">
        <f t="shared" si="137"/>
        <v>751637.26</v>
      </c>
      <c r="CQ150">
        <f t="shared" si="138"/>
        <v>5687.37</v>
      </c>
      <c r="CR150">
        <f t="shared" si="160"/>
        <v>464.27</v>
      </c>
      <c r="CS150">
        <f t="shared" si="139"/>
        <v>295.98</v>
      </c>
      <c r="CT150">
        <f t="shared" si="140"/>
        <v>795.1</v>
      </c>
      <c r="CU150">
        <f t="shared" si="141"/>
        <v>0</v>
      </c>
      <c r="CV150">
        <f t="shared" si="142"/>
        <v>2.97</v>
      </c>
      <c r="CW150">
        <f t="shared" si="143"/>
        <v>0</v>
      </c>
      <c r="CX150">
        <f t="shared" si="144"/>
        <v>0</v>
      </c>
      <c r="CY150">
        <f t="shared" si="145"/>
        <v>60220.874000000003</v>
      </c>
      <c r="CZ150">
        <f t="shared" si="146"/>
        <v>8602.982</v>
      </c>
      <c r="DC150" t="s">
        <v>3</v>
      </c>
      <c r="DD150" t="s">
        <v>3</v>
      </c>
      <c r="DE150" t="s">
        <v>3</v>
      </c>
      <c r="DF150" t="s">
        <v>3</v>
      </c>
      <c r="DG150" t="s">
        <v>3</v>
      </c>
      <c r="DH150" t="s">
        <v>3</v>
      </c>
      <c r="DI150" t="s">
        <v>3</v>
      </c>
      <c r="DJ150" t="s">
        <v>3</v>
      </c>
      <c r="DK150" t="s">
        <v>3</v>
      </c>
      <c r="DL150" t="s">
        <v>3</v>
      </c>
      <c r="DM150" t="s">
        <v>3</v>
      </c>
      <c r="DN150">
        <v>0</v>
      </c>
      <c r="DO150">
        <v>0</v>
      </c>
      <c r="DP150">
        <v>1</v>
      </c>
      <c r="DQ150">
        <v>1</v>
      </c>
      <c r="DU150">
        <v>1005</v>
      </c>
      <c r="DV150" t="s">
        <v>40</v>
      </c>
      <c r="DW150" t="s">
        <v>40</v>
      </c>
      <c r="DX150">
        <v>1</v>
      </c>
      <c r="EE150">
        <v>46035301</v>
      </c>
      <c r="EF150">
        <v>1</v>
      </c>
      <c r="EG150" t="s">
        <v>19</v>
      </c>
      <c r="EH150">
        <v>0</v>
      </c>
      <c r="EI150" t="s">
        <v>3</v>
      </c>
      <c r="EJ150">
        <v>4</v>
      </c>
      <c r="EK150">
        <v>0</v>
      </c>
      <c r="EL150" t="s">
        <v>20</v>
      </c>
      <c r="EM150" t="s">
        <v>21</v>
      </c>
      <c r="EO150" t="s">
        <v>3</v>
      </c>
      <c r="EQ150">
        <v>0</v>
      </c>
      <c r="ER150">
        <v>6946.74</v>
      </c>
      <c r="ES150">
        <v>5687.37</v>
      </c>
      <c r="ET150">
        <v>464.27</v>
      </c>
      <c r="EU150">
        <v>295.98</v>
      </c>
      <c r="EV150">
        <v>795.1</v>
      </c>
      <c r="EW150">
        <v>2.97</v>
      </c>
      <c r="EX150">
        <v>0</v>
      </c>
      <c r="EY150">
        <v>0</v>
      </c>
      <c r="FQ150">
        <v>0</v>
      </c>
      <c r="FR150">
        <f t="shared" si="147"/>
        <v>0</v>
      </c>
      <c r="FS150">
        <v>0</v>
      </c>
      <c r="FX150">
        <v>70</v>
      </c>
      <c r="FY150">
        <v>10</v>
      </c>
      <c r="GA150" t="s">
        <v>3</v>
      </c>
      <c r="GD150">
        <v>0</v>
      </c>
      <c r="GF150">
        <v>1549732714</v>
      </c>
      <c r="GG150">
        <v>2</v>
      </c>
      <c r="GH150">
        <v>1</v>
      </c>
      <c r="GI150">
        <v>-2</v>
      </c>
      <c r="GJ150">
        <v>0</v>
      </c>
      <c r="GK150">
        <f>ROUND(R150*(R12)/100,2)</f>
        <v>34587.040000000001</v>
      </c>
      <c r="GL150">
        <f t="shared" si="148"/>
        <v>0</v>
      </c>
      <c r="GM150">
        <f t="shared" si="161"/>
        <v>855048.15</v>
      </c>
      <c r="GN150">
        <f t="shared" si="162"/>
        <v>0</v>
      </c>
      <c r="GO150">
        <f t="shared" si="163"/>
        <v>0</v>
      </c>
      <c r="GP150">
        <f t="shared" si="164"/>
        <v>855048.15</v>
      </c>
      <c r="GR150">
        <v>0</v>
      </c>
      <c r="GS150">
        <v>3</v>
      </c>
      <c r="GT150">
        <v>0</v>
      </c>
      <c r="GU150" t="s">
        <v>3</v>
      </c>
      <c r="GV150">
        <f t="shared" si="149"/>
        <v>0</v>
      </c>
      <c r="GW150">
        <v>1</v>
      </c>
      <c r="GX150">
        <f t="shared" si="150"/>
        <v>0</v>
      </c>
      <c r="HA150">
        <v>0</v>
      </c>
      <c r="HB150">
        <v>0</v>
      </c>
      <c r="HC150">
        <f t="shared" si="151"/>
        <v>0</v>
      </c>
      <c r="IK150">
        <v>0</v>
      </c>
    </row>
    <row r="151" spans="1:245" x14ac:dyDescent="0.2">
      <c r="A151">
        <v>18</v>
      </c>
      <c r="B151">
        <v>1</v>
      </c>
      <c r="C151">
        <v>162</v>
      </c>
      <c r="E151" t="s">
        <v>218</v>
      </c>
      <c r="F151" t="s">
        <v>63</v>
      </c>
      <c r="G151" t="s">
        <v>219</v>
      </c>
      <c r="H151" t="s">
        <v>65</v>
      </c>
      <c r="I151">
        <f>I150*J151</f>
        <v>0.64376999999999995</v>
      </c>
      <c r="J151">
        <v>5.9498151571164507E-3</v>
      </c>
      <c r="O151">
        <f t="shared" si="123"/>
        <v>24031.48</v>
      </c>
      <c r="P151">
        <f t="shared" si="124"/>
        <v>24031.48</v>
      </c>
      <c r="Q151">
        <f t="shared" si="125"/>
        <v>0</v>
      </c>
      <c r="R151">
        <f t="shared" si="126"/>
        <v>0</v>
      </c>
      <c r="S151">
        <f t="shared" si="127"/>
        <v>0</v>
      </c>
      <c r="T151">
        <f t="shared" si="128"/>
        <v>0</v>
      </c>
      <c r="U151">
        <f t="shared" si="129"/>
        <v>0</v>
      </c>
      <c r="V151">
        <f t="shared" si="130"/>
        <v>0</v>
      </c>
      <c r="W151">
        <f t="shared" si="131"/>
        <v>0</v>
      </c>
      <c r="X151">
        <f t="shared" si="132"/>
        <v>0</v>
      </c>
      <c r="Y151">
        <f t="shared" si="133"/>
        <v>0</v>
      </c>
      <c r="AA151">
        <v>46561299</v>
      </c>
      <c r="AB151">
        <f t="shared" si="134"/>
        <v>37329.29</v>
      </c>
      <c r="AC151">
        <f t="shared" si="154"/>
        <v>37329.29</v>
      </c>
      <c r="AD151">
        <f t="shared" si="155"/>
        <v>0</v>
      </c>
      <c r="AE151">
        <f t="shared" si="156"/>
        <v>0</v>
      </c>
      <c r="AF151">
        <f t="shared" si="157"/>
        <v>0</v>
      </c>
      <c r="AG151">
        <f t="shared" si="135"/>
        <v>0</v>
      </c>
      <c r="AH151">
        <f t="shared" si="158"/>
        <v>0</v>
      </c>
      <c r="AI151">
        <f t="shared" si="159"/>
        <v>0</v>
      </c>
      <c r="AJ151">
        <f t="shared" si="136"/>
        <v>0</v>
      </c>
      <c r="AK151">
        <v>37329.29</v>
      </c>
      <c r="AL151">
        <v>37329.29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70</v>
      </c>
      <c r="AU151">
        <v>10</v>
      </c>
      <c r="AV151">
        <v>1</v>
      </c>
      <c r="AW151">
        <v>1</v>
      </c>
      <c r="AZ151">
        <v>1</v>
      </c>
      <c r="BA151">
        <v>1</v>
      </c>
      <c r="BB151">
        <v>1</v>
      </c>
      <c r="BC151">
        <v>1</v>
      </c>
      <c r="BD151" t="s">
        <v>3</v>
      </c>
      <c r="BE151" t="s">
        <v>3</v>
      </c>
      <c r="BF151" t="s">
        <v>3</v>
      </c>
      <c r="BG151" t="s">
        <v>3</v>
      </c>
      <c r="BH151">
        <v>3</v>
      </c>
      <c r="BI151">
        <v>4</v>
      </c>
      <c r="BJ151" t="s">
        <v>66</v>
      </c>
      <c r="BM151">
        <v>0</v>
      </c>
      <c r="BN151">
        <v>0</v>
      </c>
      <c r="BO151" t="s">
        <v>3</v>
      </c>
      <c r="BP151">
        <v>0</v>
      </c>
      <c r="BQ151">
        <v>1</v>
      </c>
      <c r="BR151">
        <v>0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 t="s">
        <v>3</v>
      </c>
      <c r="BZ151">
        <v>70</v>
      </c>
      <c r="CA151">
        <v>10</v>
      </c>
      <c r="CE151">
        <v>0</v>
      </c>
      <c r="CF151">
        <v>0</v>
      </c>
      <c r="CG151">
        <v>0</v>
      </c>
      <c r="CM151">
        <v>0</v>
      </c>
      <c r="CN151" t="s">
        <v>3</v>
      </c>
      <c r="CO151">
        <v>0</v>
      </c>
      <c r="CP151">
        <f t="shared" si="137"/>
        <v>24031.48</v>
      </c>
      <c r="CQ151">
        <f t="shared" si="138"/>
        <v>37329.29</v>
      </c>
      <c r="CR151">
        <f t="shared" si="160"/>
        <v>0</v>
      </c>
      <c r="CS151">
        <f t="shared" si="139"/>
        <v>0</v>
      </c>
      <c r="CT151">
        <f t="shared" si="140"/>
        <v>0</v>
      </c>
      <c r="CU151">
        <f t="shared" si="141"/>
        <v>0</v>
      </c>
      <c r="CV151">
        <f t="shared" si="142"/>
        <v>0</v>
      </c>
      <c r="CW151">
        <f t="shared" si="143"/>
        <v>0</v>
      </c>
      <c r="CX151">
        <f t="shared" si="144"/>
        <v>0</v>
      </c>
      <c r="CY151">
        <f t="shared" si="145"/>
        <v>0</v>
      </c>
      <c r="CZ151">
        <f t="shared" si="146"/>
        <v>0</v>
      </c>
      <c r="DC151" t="s">
        <v>3</v>
      </c>
      <c r="DD151" t="s">
        <v>3</v>
      </c>
      <c r="DE151" t="s">
        <v>3</v>
      </c>
      <c r="DF151" t="s">
        <v>3</v>
      </c>
      <c r="DG151" t="s">
        <v>3</v>
      </c>
      <c r="DH151" t="s">
        <v>3</v>
      </c>
      <c r="DI151" t="s">
        <v>3</v>
      </c>
      <c r="DJ151" t="s">
        <v>3</v>
      </c>
      <c r="DK151" t="s">
        <v>3</v>
      </c>
      <c r="DL151" t="s">
        <v>3</v>
      </c>
      <c r="DM151" t="s">
        <v>3</v>
      </c>
      <c r="DN151">
        <v>0</v>
      </c>
      <c r="DO151">
        <v>0</v>
      </c>
      <c r="DP151">
        <v>1</v>
      </c>
      <c r="DQ151">
        <v>1</v>
      </c>
      <c r="DU151">
        <v>1009</v>
      </c>
      <c r="DV151" t="s">
        <v>65</v>
      </c>
      <c r="DW151" t="s">
        <v>65</v>
      </c>
      <c r="DX151">
        <v>1000</v>
      </c>
      <c r="EE151">
        <v>46035301</v>
      </c>
      <c r="EF151">
        <v>1</v>
      </c>
      <c r="EG151" t="s">
        <v>19</v>
      </c>
      <c r="EH151">
        <v>0</v>
      </c>
      <c r="EI151" t="s">
        <v>3</v>
      </c>
      <c r="EJ151">
        <v>4</v>
      </c>
      <c r="EK151">
        <v>0</v>
      </c>
      <c r="EL151" t="s">
        <v>20</v>
      </c>
      <c r="EM151" t="s">
        <v>21</v>
      </c>
      <c r="EO151" t="s">
        <v>3</v>
      </c>
      <c r="EQ151">
        <v>0</v>
      </c>
      <c r="ER151">
        <v>37329.29</v>
      </c>
      <c r="ES151">
        <v>37329.29</v>
      </c>
      <c r="ET151">
        <v>0</v>
      </c>
      <c r="EU151">
        <v>0</v>
      </c>
      <c r="EV151">
        <v>0</v>
      </c>
      <c r="EW151">
        <v>0</v>
      </c>
      <c r="EX151">
        <v>0</v>
      </c>
      <c r="FQ151">
        <v>0</v>
      </c>
      <c r="FR151">
        <f t="shared" si="147"/>
        <v>0</v>
      </c>
      <c r="FS151">
        <v>0</v>
      </c>
      <c r="FX151">
        <v>70</v>
      </c>
      <c r="FY151">
        <v>10</v>
      </c>
      <c r="GA151" t="s">
        <v>3</v>
      </c>
      <c r="GD151">
        <v>0</v>
      </c>
      <c r="GF151">
        <v>351161841</v>
      </c>
      <c r="GG151">
        <v>2</v>
      </c>
      <c r="GH151">
        <v>1</v>
      </c>
      <c r="GI151">
        <v>-2</v>
      </c>
      <c r="GJ151">
        <v>0</v>
      </c>
      <c r="GK151">
        <f>ROUND(R151*(R12)/100,2)</f>
        <v>0</v>
      </c>
      <c r="GL151">
        <f t="shared" si="148"/>
        <v>0</v>
      </c>
      <c r="GM151">
        <f t="shared" si="161"/>
        <v>24031.48</v>
      </c>
      <c r="GN151">
        <f t="shared" si="162"/>
        <v>0</v>
      </c>
      <c r="GO151">
        <f t="shared" si="163"/>
        <v>0</v>
      </c>
      <c r="GP151">
        <f t="shared" si="164"/>
        <v>24031.48</v>
      </c>
      <c r="GR151">
        <v>0</v>
      </c>
      <c r="GS151">
        <v>3</v>
      </c>
      <c r="GT151">
        <v>0</v>
      </c>
      <c r="GU151" t="s">
        <v>3</v>
      </c>
      <c r="GV151">
        <f t="shared" si="149"/>
        <v>0</v>
      </c>
      <c r="GW151">
        <v>1</v>
      </c>
      <c r="GX151">
        <f t="shared" si="150"/>
        <v>0</v>
      </c>
      <c r="HA151">
        <v>0</v>
      </c>
      <c r="HB151">
        <v>0</v>
      </c>
      <c r="HC151">
        <f t="shared" si="151"/>
        <v>0</v>
      </c>
      <c r="IK151">
        <v>0</v>
      </c>
    </row>
    <row r="152" spans="1:245" x14ac:dyDescent="0.2">
      <c r="A152">
        <v>18</v>
      </c>
      <c r="B152">
        <v>1</v>
      </c>
      <c r="C152">
        <v>158</v>
      </c>
      <c r="E152" t="s">
        <v>220</v>
      </c>
      <c r="F152" t="s">
        <v>68</v>
      </c>
      <c r="G152" t="s">
        <v>221</v>
      </c>
      <c r="H152" t="s">
        <v>65</v>
      </c>
      <c r="I152">
        <f>I150*J152</f>
        <v>0.82818000000000003</v>
      </c>
      <c r="J152">
        <v>7.6541589648798525E-3</v>
      </c>
      <c r="O152">
        <f t="shared" si="123"/>
        <v>27180.77</v>
      </c>
      <c r="P152">
        <f t="shared" si="124"/>
        <v>27180.77</v>
      </c>
      <c r="Q152">
        <f t="shared" si="125"/>
        <v>0</v>
      </c>
      <c r="R152">
        <f t="shared" si="126"/>
        <v>0</v>
      </c>
      <c r="S152">
        <f t="shared" si="127"/>
        <v>0</v>
      </c>
      <c r="T152">
        <f t="shared" si="128"/>
        <v>0</v>
      </c>
      <c r="U152">
        <f t="shared" si="129"/>
        <v>0</v>
      </c>
      <c r="V152">
        <f t="shared" si="130"/>
        <v>0</v>
      </c>
      <c r="W152">
        <f t="shared" si="131"/>
        <v>0</v>
      </c>
      <c r="X152">
        <f t="shared" si="132"/>
        <v>0</v>
      </c>
      <c r="Y152">
        <f t="shared" si="133"/>
        <v>0</v>
      </c>
      <c r="AA152">
        <v>46561299</v>
      </c>
      <c r="AB152">
        <f t="shared" si="134"/>
        <v>32819.879999999997</v>
      </c>
      <c r="AC152">
        <f t="shared" si="154"/>
        <v>32819.879999999997</v>
      </c>
      <c r="AD152">
        <f t="shared" si="155"/>
        <v>0</v>
      </c>
      <c r="AE152">
        <f t="shared" si="156"/>
        <v>0</v>
      </c>
      <c r="AF152">
        <f t="shared" si="157"/>
        <v>0</v>
      </c>
      <c r="AG152">
        <f t="shared" si="135"/>
        <v>0</v>
      </c>
      <c r="AH152">
        <f t="shared" si="158"/>
        <v>0</v>
      </c>
      <c r="AI152">
        <f t="shared" si="159"/>
        <v>0</v>
      </c>
      <c r="AJ152">
        <f t="shared" si="136"/>
        <v>0</v>
      </c>
      <c r="AK152">
        <v>32819.879999999997</v>
      </c>
      <c r="AL152">
        <v>32819.879999999997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70</v>
      </c>
      <c r="AU152">
        <v>10</v>
      </c>
      <c r="AV152">
        <v>1</v>
      </c>
      <c r="AW152">
        <v>1</v>
      </c>
      <c r="AZ152">
        <v>1</v>
      </c>
      <c r="BA152">
        <v>1</v>
      </c>
      <c r="BB152">
        <v>1</v>
      </c>
      <c r="BC152">
        <v>1</v>
      </c>
      <c r="BD152" t="s">
        <v>3</v>
      </c>
      <c r="BE152" t="s">
        <v>3</v>
      </c>
      <c r="BF152" t="s">
        <v>3</v>
      </c>
      <c r="BG152" t="s">
        <v>3</v>
      </c>
      <c r="BH152">
        <v>3</v>
      </c>
      <c r="BI152">
        <v>4</v>
      </c>
      <c r="BJ152" t="s">
        <v>70</v>
      </c>
      <c r="BM152">
        <v>0</v>
      </c>
      <c r="BN152">
        <v>0</v>
      </c>
      <c r="BO152" t="s">
        <v>3</v>
      </c>
      <c r="BP152">
        <v>0</v>
      </c>
      <c r="BQ152">
        <v>1</v>
      </c>
      <c r="BR152">
        <v>0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 t="s">
        <v>3</v>
      </c>
      <c r="BZ152">
        <v>70</v>
      </c>
      <c r="CA152">
        <v>10</v>
      </c>
      <c r="CE152">
        <v>0</v>
      </c>
      <c r="CF152">
        <v>0</v>
      </c>
      <c r="CG152">
        <v>0</v>
      </c>
      <c r="CM152">
        <v>0</v>
      </c>
      <c r="CN152" t="s">
        <v>3</v>
      </c>
      <c r="CO152">
        <v>0</v>
      </c>
      <c r="CP152">
        <f t="shared" si="137"/>
        <v>27180.77</v>
      </c>
      <c r="CQ152">
        <f t="shared" si="138"/>
        <v>32819.879999999997</v>
      </c>
      <c r="CR152">
        <f t="shared" si="160"/>
        <v>0</v>
      </c>
      <c r="CS152">
        <f t="shared" si="139"/>
        <v>0</v>
      </c>
      <c r="CT152">
        <f t="shared" si="140"/>
        <v>0</v>
      </c>
      <c r="CU152">
        <f t="shared" si="141"/>
        <v>0</v>
      </c>
      <c r="CV152">
        <f t="shared" si="142"/>
        <v>0</v>
      </c>
      <c r="CW152">
        <f t="shared" si="143"/>
        <v>0</v>
      </c>
      <c r="CX152">
        <f t="shared" si="144"/>
        <v>0</v>
      </c>
      <c r="CY152">
        <f t="shared" si="145"/>
        <v>0</v>
      </c>
      <c r="CZ152">
        <f t="shared" si="146"/>
        <v>0</v>
      </c>
      <c r="DC152" t="s">
        <v>3</v>
      </c>
      <c r="DD152" t="s">
        <v>3</v>
      </c>
      <c r="DE152" t="s">
        <v>3</v>
      </c>
      <c r="DF152" t="s">
        <v>3</v>
      </c>
      <c r="DG152" t="s">
        <v>3</v>
      </c>
      <c r="DH152" t="s">
        <v>3</v>
      </c>
      <c r="DI152" t="s">
        <v>3</v>
      </c>
      <c r="DJ152" t="s">
        <v>3</v>
      </c>
      <c r="DK152" t="s">
        <v>3</v>
      </c>
      <c r="DL152" t="s">
        <v>3</v>
      </c>
      <c r="DM152" t="s">
        <v>3</v>
      </c>
      <c r="DN152">
        <v>0</v>
      </c>
      <c r="DO152">
        <v>0</v>
      </c>
      <c r="DP152">
        <v>1</v>
      </c>
      <c r="DQ152">
        <v>1</v>
      </c>
      <c r="DU152">
        <v>1009</v>
      </c>
      <c r="DV152" t="s">
        <v>65</v>
      </c>
      <c r="DW152" t="s">
        <v>65</v>
      </c>
      <c r="DX152">
        <v>1000</v>
      </c>
      <c r="EE152">
        <v>46035301</v>
      </c>
      <c r="EF152">
        <v>1</v>
      </c>
      <c r="EG152" t="s">
        <v>19</v>
      </c>
      <c r="EH152">
        <v>0</v>
      </c>
      <c r="EI152" t="s">
        <v>3</v>
      </c>
      <c r="EJ152">
        <v>4</v>
      </c>
      <c r="EK152">
        <v>0</v>
      </c>
      <c r="EL152" t="s">
        <v>20</v>
      </c>
      <c r="EM152" t="s">
        <v>21</v>
      </c>
      <c r="EO152" t="s">
        <v>3</v>
      </c>
      <c r="EQ152">
        <v>0</v>
      </c>
      <c r="ER152">
        <v>32819.879999999997</v>
      </c>
      <c r="ES152">
        <v>32819.879999999997</v>
      </c>
      <c r="ET152">
        <v>0</v>
      </c>
      <c r="EU152">
        <v>0</v>
      </c>
      <c r="EV152">
        <v>0</v>
      </c>
      <c r="EW152">
        <v>0</v>
      </c>
      <c r="EX152">
        <v>0</v>
      </c>
      <c r="FQ152">
        <v>0</v>
      </c>
      <c r="FR152">
        <f t="shared" si="147"/>
        <v>0</v>
      </c>
      <c r="FS152">
        <v>0</v>
      </c>
      <c r="FX152">
        <v>70</v>
      </c>
      <c r="FY152">
        <v>10</v>
      </c>
      <c r="GA152" t="s">
        <v>3</v>
      </c>
      <c r="GD152">
        <v>0</v>
      </c>
      <c r="GF152">
        <v>1148419560</v>
      </c>
      <c r="GG152">
        <v>2</v>
      </c>
      <c r="GH152">
        <v>1</v>
      </c>
      <c r="GI152">
        <v>-2</v>
      </c>
      <c r="GJ152">
        <v>0</v>
      </c>
      <c r="GK152">
        <f>ROUND(R152*(R12)/100,2)</f>
        <v>0</v>
      </c>
      <c r="GL152">
        <f t="shared" si="148"/>
        <v>0</v>
      </c>
      <c r="GM152">
        <f t="shared" si="161"/>
        <v>27180.77</v>
      </c>
      <c r="GN152">
        <f t="shared" si="162"/>
        <v>0</v>
      </c>
      <c r="GO152">
        <f t="shared" si="163"/>
        <v>0</v>
      </c>
      <c r="GP152">
        <f t="shared" si="164"/>
        <v>27180.77</v>
      </c>
      <c r="GR152">
        <v>0</v>
      </c>
      <c r="GS152">
        <v>3</v>
      </c>
      <c r="GT152">
        <v>0</v>
      </c>
      <c r="GU152" t="s">
        <v>3</v>
      </c>
      <c r="GV152">
        <f t="shared" si="149"/>
        <v>0</v>
      </c>
      <c r="GW152">
        <v>1</v>
      </c>
      <c r="GX152">
        <f t="shared" si="150"/>
        <v>0</v>
      </c>
      <c r="HA152">
        <v>0</v>
      </c>
      <c r="HB152">
        <v>0</v>
      </c>
      <c r="HC152">
        <f t="shared" si="151"/>
        <v>0</v>
      </c>
      <c r="IK152">
        <v>0</v>
      </c>
    </row>
    <row r="153" spans="1:245" x14ac:dyDescent="0.2">
      <c r="A153">
        <v>18</v>
      </c>
      <c r="B153">
        <v>1</v>
      </c>
      <c r="C153">
        <v>161</v>
      </c>
      <c r="E153" t="s">
        <v>222</v>
      </c>
      <c r="F153" t="s">
        <v>72</v>
      </c>
      <c r="G153" t="s">
        <v>223</v>
      </c>
      <c r="H153" t="s">
        <v>65</v>
      </c>
      <c r="I153">
        <f>I150*J153</f>
        <v>1.7918099999999999</v>
      </c>
      <c r="J153">
        <v>1.6560166358595193E-2</v>
      </c>
      <c r="O153">
        <f t="shared" si="123"/>
        <v>72743.100000000006</v>
      </c>
      <c r="P153">
        <f t="shared" si="124"/>
        <v>72743.100000000006</v>
      </c>
      <c r="Q153">
        <f t="shared" si="125"/>
        <v>0</v>
      </c>
      <c r="R153">
        <f t="shared" si="126"/>
        <v>0</v>
      </c>
      <c r="S153">
        <f t="shared" si="127"/>
        <v>0</v>
      </c>
      <c r="T153">
        <f t="shared" si="128"/>
        <v>0</v>
      </c>
      <c r="U153">
        <f t="shared" si="129"/>
        <v>0</v>
      </c>
      <c r="V153">
        <f t="shared" si="130"/>
        <v>0</v>
      </c>
      <c r="W153">
        <f t="shared" si="131"/>
        <v>0</v>
      </c>
      <c r="X153">
        <f t="shared" si="132"/>
        <v>0</v>
      </c>
      <c r="Y153">
        <f t="shared" si="133"/>
        <v>0</v>
      </c>
      <c r="AA153">
        <v>46561299</v>
      </c>
      <c r="AB153">
        <f t="shared" si="134"/>
        <v>40597.550000000003</v>
      </c>
      <c r="AC153">
        <f t="shared" si="154"/>
        <v>40597.550000000003</v>
      </c>
      <c r="AD153">
        <f t="shared" si="155"/>
        <v>0</v>
      </c>
      <c r="AE153">
        <f t="shared" si="156"/>
        <v>0</v>
      </c>
      <c r="AF153">
        <f t="shared" si="157"/>
        <v>0</v>
      </c>
      <c r="AG153">
        <f t="shared" si="135"/>
        <v>0</v>
      </c>
      <c r="AH153">
        <f t="shared" si="158"/>
        <v>0</v>
      </c>
      <c r="AI153">
        <f t="shared" si="159"/>
        <v>0</v>
      </c>
      <c r="AJ153">
        <f t="shared" si="136"/>
        <v>0</v>
      </c>
      <c r="AK153">
        <v>40597.550000000003</v>
      </c>
      <c r="AL153">
        <v>40597.550000000003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70</v>
      </c>
      <c r="AU153">
        <v>10</v>
      </c>
      <c r="AV153">
        <v>1</v>
      </c>
      <c r="AW153">
        <v>1</v>
      </c>
      <c r="AZ153">
        <v>1</v>
      </c>
      <c r="BA153">
        <v>1</v>
      </c>
      <c r="BB153">
        <v>1</v>
      </c>
      <c r="BC153">
        <v>1</v>
      </c>
      <c r="BD153" t="s">
        <v>3</v>
      </c>
      <c r="BE153" t="s">
        <v>3</v>
      </c>
      <c r="BF153" t="s">
        <v>3</v>
      </c>
      <c r="BG153" t="s">
        <v>3</v>
      </c>
      <c r="BH153">
        <v>3</v>
      </c>
      <c r="BI153">
        <v>4</v>
      </c>
      <c r="BJ153" t="s">
        <v>74</v>
      </c>
      <c r="BM153">
        <v>0</v>
      </c>
      <c r="BN153">
        <v>0</v>
      </c>
      <c r="BO153" t="s">
        <v>3</v>
      </c>
      <c r="BP153">
        <v>0</v>
      </c>
      <c r="BQ153">
        <v>1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 t="s">
        <v>3</v>
      </c>
      <c r="BZ153">
        <v>70</v>
      </c>
      <c r="CA153">
        <v>10</v>
      </c>
      <c r="CE153">
        <v>0</v>
      </c>
      <c r="CF153">
        <v>0</v>
      </c>
      <c r="CG153">
        <v>0</v>
      </c>
      <c r="CM153">
        <v>0</v>
      </c>
      <c r="CN153" t="s">
        <v>3</v>
      </c>
      <c r="CO153">
        <v>0</v>
      </c>
      <c r="CP153">
        <f t="shared" si="137"/>
        <v>72743.100000000006</v>
      </c>
      <c r="CQ153">
        <f t="shared" si="138"/>
        <v>40597.550000000003</v>
      </c>
      <c r="CR153">
        <f t="shared" si="160"/>
        <v>0</v>
      </c>
      <c r="CS153">
        <f t="shared" si="139"/>
        <v>0</v>
      </c>
      <c r="CT153">
        <f t="shared" si="140"/>
        <v>0</v>
      </c>
      <c r="CU153">
        <f t="shared" si="141"/>
        <v>0</v>
      </c>
      <c r="CV153">
        <f t="shared" si="142"/>
        <v>0</v>
      </c>
      <c r="CW153">
        <f t="shared" si="143"/>
        <v>0</v>
      </c>
      <c r="CX153">
        <f t="shared" si="144"/>
        <v>0</v>
      </c>
      <c r="CY153">
        <f t="shared" si="145"/>
        <v>0</v>
      </c>
      <c r="CZ153">
        <f t="shared" si="146"/>
        <v>0</v>
      </c>
      <c r="DC153" t="s">
        <v>3</v>
      </c>
      <c r="DD153" t="s">
        <v>3</v>
      </c>
      <c r="DE153" t="s">
        <v>3</v>
      </c>
      <c r="DF153" t="s">
        <v>3</v>
      </c>
      <c r="DG153" t="s">
        <v>3</v>
      </c>
      <c r="DH153" t="s">
        <v>3</v>
      </c>
      <c r="DI153" t="s">
        <v>3</v>
      </c>
      <c r="DJ153" t="s">
        <v>3</v>
      </c>
      <c r="DK153" t="s">
        <v>3</v>
      </c>
      <c r="DL153" t="s">
        <v>3</v>
      </c>
      <c r="DM153" t="s">
        <v>3</v>
      </c>
      <c r="DN153">
        <v>0</v>
      </c>
      <c r="DO153">
        <v>0</v>
      </c>
      <c r="DP153">
        <v>1</v>
      </c>
      <c r="DQ153">
        <v>1</v>
      </c>
      <c r="DU153">
        <v>1009</v>
      </c>
      <c r="DV153" t="s">
        <v>65</v>
      </c>
      <c r="DW153" t="s">
        <v>65</v>
      </c>
      <c r="DX153">
        <v>1000</v>
      </c>
      <c r="EE153">
        <v>46035301</v>
      </c>
      <c r="EF153">
        <v>1</v>
      </c>
      <c r="EG153" t="s">
        <v>19</v>
      </c>
      <c r="EH153">
        <v>0</v>
      </c>
      <c r="EI153" t="s">
        <v>3</v>
      </c>
      <c r="EJ153">
        <v>4</v>
      </c>
      <c r="EK153">
        <v>0</v>
      </c>
      <c r="EL153" t="s">
        <v>20</v>
      </c>
      <c r="EM153" t="s">
        <v>21</v>
      </c>
      <c r="EO153" t="s">
        <v>3</v>
      </c>
      <c r="EQ153">
        <v>0</v>
      </c>
      <c r="ER153">
        <v>40597.550000000003</v>
      </c>
      <c r="ES153">
        <v>40597.550000000003</v>
      </c>
      <c r="ET153">
        <v>0</v>
      </c>
      <c r="EU153">
        <v>0</v>
      </c>
      <c r="EV153">
        <v>0</v>
      </c>
      <c r="EW153">
        <v>0</v>
      </c>
      <c r="EX153">
        <v>0</v>
      </c>
      <c r="FQ153">
        <v>0</v>
      </c>
      <c r="FR153">
        <f t="shared" si="147"/>
        <v>0</v>
      </c>
      <c r="FS153">
        <v>0</v>
      </c>
      <c r="FX153">
        <v>70</v>
      </c>
      <c r="FY153">
        <v>10</v>
      </c>
      <c r="GA153" t="s">
        <v>3</v>
      </c>
      <c r="GD153">
        <v>0</v>
      </c>
      <c r="GF153">
        <v>-532271667</v>
      </c>
      <c r="GG153">
        <v>2</v>
      </c>
      <c r="GH153">
        <v>1</v>
      </c>
      <c r="GI153">
        <v>-2</v>
      </c>
      <c r="GJ153">
        <v>0</v>
      </c>
      <c r="GK153">
        <f>ROUND(R153*(R12)/100,2)</f>
        <v>0</v>
      </c>
      <c r="GL153">
        <f t="shared" si="148"/>
        <v>0</v>
      </c>
      <c r="GM153">
        <f t="shared" si="161"/>
        <v>72743.100000000006</v>
      </c>
      <c r="GN153">
        <f t="shared" si="162"/>
        <v>0</v>
      </c>
      <c r="GO153">
        <f t="shared" si="163"/>
        <v>0</v>
      </c>
      <c r="GP153">
        <f t="shared" si="164"/>
        <v>72743.100000000006</v>
      </c>
      <c r="GR153">
        <v>0</v>
      </c>
      <c r="GS153">
        <v>3</v>
      </c>
      <c r="GT153">
        <v>0</v>
      </c>
      <c r="GU153" t="s">
        <v>3</v>
      </c>
      <c r="GV153">
        <f t="shared" si="149"/>
        <v>0</v>
      </c>
      <c r="GW153">
        <v>1</v>
      </c>
      <c r="GX153">
        <f t="shared" si="150"/>
        <v>0</v>
      </c>
      <c r="HA153">
        <v>0</v>
      </c>
      <c r="HB153">
        <v>0</v>
      </c>
      <c r="HC153">
        <f t="shared" si="151"/>
        <v>0</v>
      </c>
      <c r="IK153">
        <v>0</v>
      </c>
    </row>
    <row r="154" spans="1:245" x14ac:dyDescent="0.2">
      <c r="A154">
        <v>18</v>
      </c>
      <c r="B154">
        <v>1</v>
      </c>
      <c r="C154">
        <v>165</v>
      </c>
      <c r="E154" t="s">
        <v>224</v>
      </c>
      <c r="F154" t="s">
        <v>76</v>
      </c>
      <c r="G154" t="s">
        <v>77</v>
      </c>
      <c r="H154" t="s">
        <v>78</v>
      </c>
      <c r="I154">
        <f>I150*J154</f>
        <v>23</v>
      </c>
      <c r="J154">
        <v>0.21256931608133087</v>
      </c>
      <c r="O154">
        <f t="shared" si="123"/>
        <v>862.5</v>
      </c>
      <c r="P154">
        <f t="shared" si="124"/>
        <v>862.5</v>
      </c>
      <c r="Q154">
        <f t="shared" si="125"/>
        <v>0</v>
      </c>
      <c r="R154">
        <f t="shared" si="126"/>
        <v>0</v>
      </c>
      <c r="S154">
        <f t="shared" si="127"/>
        <v>0</v>
      </c>
      <c r="T154">
        <f t="shared" si="128"/>
        <v>0</v>
      </c>
      <c r="U154">
        <f t="shared" si="129"/>
        <v>0</v>
      </c>
      <c r="V154">
        <f t="shared" si="130"/>
        <v>0</v>
      </c>
      <c r="W154">
        <f t="shared" si="131"/>
        <v>0</v>
      </c>
      <c r="X154">
        <f t="shared" si="132"/>
        <v>0</v>
      </c>
      <c r="Y154">
        <f t="shared" si="133"/>
        <v>0</v>
      </c>
      <c r="AA154">
        <v>46561299</v>
      </c>
      <c r="AB154">
        <f t="shared" si="134"/>
        <v>37.5</v>
      </c>
      <c r="AC154">
        <f t="shared" si="154"/>
        <v>37.5</v>
      </c>
      <c r="AD154">
        <f t="shared" si="155"/>
        <v>0</v>
      </c>
      <c r="AE154">
        <f t="shared" si="156"/>
        <v>0</v>
      </c>
      <c r="AF154">
        <f t="shared" si="157"/>
        <v>0</v>
      </c>
      <c r="AG154">
        <f t="shared" si="135"/>
        <v>0</v>
      </c>
      <c r="AH154">
        <f t="shared" si="158"/>
        <v>0</v>
      </c>
      <c r="AI154">
        <f t="shared" si="159"/>
        <v>0</v>
      </c>
      <c r="AJ154">
        <f t="shared" si="136"/>
        <v>0</v>
      </c>
      <c r="AK154">
        <v>37.5</v>
      </c>
      <c r="AL154">
        <v>37.5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70</v>
      </c>
      <c r="AU154">
        <v>10</v>
      </c>
      <c r="AV154">
        <v>1</v>
      </c>
      <c r="AW154">
        <v>1</v>
      </c>
      <c r="AZ154">
        <v>1</v>
      </c>
      <c r="BA154">
        <v>1</v>
      </c>
      <c r="BB154">
        <v>1</v>
      </c>
      <c r="BC154">
        <v>1</v>
      </c>
      <c r="BD154" t="s">
        <v>3</v>
      </c>
      <c r="BE154" t="s">
        <v>3</v>
      </c>
      <c r="BF154" t="s">
        <v>3</v>
      </c>
      <c r="BG154" t="s">
        <v>3</v>
      </c>
      <c r="BH154">
        <v>3</v>
      </c>
      <c r="BI154">
        <v>4</v>
      </c>
      <c r="BJ154" t="s">
        <v>3</v>
      </c>
      <c r="BM154">
        <v>0</v>
      </c>
      <c r="BN154">
        <v>0</v>
      </c>
      <c r="BO154" t="s">
        <v>3</v>
      </c>
      <c r="BP154">
        <v>0</v>
      </c>
      <c r="BQ154">
        <v>1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 t="s">
        <v>3</v>
      </c>
      <c r="BZ154">
        <v>70</v>
      </c>
      <c r="CA154">
        <v>10</v>
      </c>
      <c r="CE154">
        <v>0</v>
      </c>
      <c r="CF154">
        <v>0</v>
      </c>
      <c r="CG154">
        <v>0</v>
      </c>
      <c r="CM154">
        <v>0</v>
      </c>
      <c r="CN154" t="s">
        <v>3</v>
      </c>
      <c r="CO154">
        <v>0</v>
      </c>
      <c r="CP154">
        <f t="shared" si="137"/>
        <v>862.5</v>
      </c>
      <c r="CQ154">
        <f t="shared" si="138"/>
        <v>37.5</v>
      </c>
      <c r="CR154">
        <f t="shared" si="160"/>
        <v>0</v>
      </c>
      <c r="CS154">
        <f t="shared" si="139"/>
        <v>0</v>
      </c>
      <c r="CT154">
        <f t="shared" si="140"/>
        <v>0</v>
      </c>
      <c r="CU154">
        <f t="shared" si="141"/>
        <v>0</v>
      </c>
      <c r="CV154">
        <f t="shared" si="142"/>
        <v>0</v>
      </c>
      <c r="CW154">
        <f t="shared" si="143"/>
        <v>0</v>
      </c>
      <c r="CX154">
        <f t="shared" si="144"/>
        <v>0</v>
      </c>
      <c r="CY154">
        <f t="shared" si="145"/>
        <v>0</v>
      </c>
      <c r="CZ154">
        <f t="shared" si="146"/>
        <v>0</v>
      </c>
      <c r="DC154" t="s">
        <v>3</v>
      </c>
      <c r="DD154" t="s">
        <v>3</v>
      </c>
      <c r="DE154" t="s">
        <v>3</v>
      </c>
      <c r="DF154" t="s">
        <v>3</v>
      </c>
      <c r="DG154" t="s">
        <v>3</v>
      </c>
      <c r="DH154" t="s">
        <v>3</v>
      </c>
      <c r="DI154" t="s">
        <v>3</v>
      </c>
      <c r="DJ154" t="s">
        <v>3</v>
      </c>
      <c r="DK154" t="s">
        <v>3</v>
      </c>
      <c r="DL154" t="s">
        <v>3</v>
      </c>
      <c r="DM154" t="s">
        <v>3</v>
      </c>
      <c r="DN154">
        <v>0</v>
      </c>
      <c r="DO154">
        <v>0</v>
      </c>
      <c r="DP154">
        <v>1</v>
      </c>
      <c r="DQ154">
        <v>1</v>
      </c>
      <c r="DU154">
        <v>1013</v>
      </c>
      <c r="DV154" t="s">
        <v>78</v>
      </c>
      <c r="DW154" t="s">
        <v>78</v>
      </c>
      <c r="DX154">
        <v>1</v>
      </c>
      <c r="EE154">
        <v>46035301</v>
      </c>
      <c r="EF154">
        <v>1</v>
      </c>
      <c r="EG154" t="s">
        <v>19</v>
      </c>
      <c r="EH154">
        <v>0</v>
      </c>
      <c r="EI154" t="s">
        <v>3</v>
      </c>
      <c r="EJ154">
        <v>4</v>
      </c>
      <c r="EK154">
        <v>0</v>
      </c>
      <c r="EL154" t="s">
        <v>20</v>
      </c>
      <c r="EM154" t="s">
        <v>21</v>
      </c>
      <c r="EO154" t="s">
        <v>3</v>
      </c>
      <c r="EQ154">
        <v>0</v>
      </c>
      <c r="ER154">
        <v>37.5</v>
      </c>
      <c r="ES154">
        <v>37.5</v>
      </c>
      <c r="ET154">
        <v>0</v>
      </c>
      <c r="EU154">
        <v>0</v>
      </c>
      <c r="EV154">
        <v>0</v>
      </c>
      <c r="EW154">
        <v>0</v>
      </c>
      <c r="EX154">
        <v>0</v>
      </c>
      <c r="EZ154">
        <v>5</v>
      </c>
      <c r="FC154">
        <v>1</v>
      </c>
      <c r="FD154">
        <v>18</v>
      </c>
      <c r="FF154">
        <v>45</v>
      </c>
      <c r="FQ154">
        <v>0</v>
      </c>
      <c r="FR154">
        <f t="shared" si="147"/>
        <v>0</v>
      </c>
      <c r="FS154">
        <v>0</v>
      </c>
      <c r="FX154">
        <v>70</v>
      </c>
      <c r="FY154">
        <v>10</v>
      </c>
      <c r="GA154" t="s">
        <v>79</v>
      </c>
      <c r="GD154">
        <v>0</v>
      </c>
      <c r="GF154">
        <v>-1591933177</v>
      </c>
      <c r="GG154">
        <v>2</v>
      </c>
      <c r="GH154">
        <v>3</v>
      </c>
      <c r="GI154">
        <v>-2</v>
      </c>
      <c r="GJ154">
        <v>0</v>
      </c>
      <c r="GK154">
        <f>ROUND(R154*(R12)/100,2)</f>
        <v>0</v>
      </c>
      <c r="GL154">
        <f t="shared" si="148"/>
        <v>0</v>
      </c>
      <c r="GM154">
        <f t="shared" si="161"/>
        <v>862.5</v>
      </c>
      <c r="GN154">
        <f t="shared" si="162"/>
        <v>0</v>
      </c>
      <c r="GO154">
        <f t="shared" si="163"/>
        <v>0</v>
      </c>
      <c r="GP154">
        <f t="shared" si="164"/>
        <v>862.5</v>
      </c>
      <c r="GR154">
        <v>1</v>
      </c>
      <c r="GS154">
        <v>1</v>
      </c>
      <c r="GT154">
        <v>0</v>
      </c>
      <c r="GU154" t="s">
        <v>3</v>
      </c>
      <c r="GV154">
        <f t="shared" si="149"/>
        <v>0</v>
      </c>
      <c r="GW154">
        <v>1</v>
      </c>
      <c r="GX154">
        <f t="shared" si="150"/>
        <v>0</v>
      </c>
      <c r="HA154">
        <v>0</v>
      </c>
      <c r="HB154">
        <v>0</v>
      </c>
      <c r="HC154">
        <f t="shared" si="151"/>
        <v>0</v>
      </c>
      <c r="IK154">
        <v>0</v>
      </c>
    </row>
    <row r="155" spans="1:245" x14ac:dyDescent="0.2">
      <c r="A155">
        <v>18</v>
      </c>
      <c r="B155">
        <v>1</v>
      </c>
      <c r="C155">
        <v>166</v>
      </c>
      <c r="E155" t="s">
        <v>225</v>
      </c>
      <c r="F155" t="s">
        <v>76</v>
      </c>
      <c r="G155" t="s">
        <v>81</v>
      </c>
      <c r="H155" t="s">
        <v>78</v>
      </c>
      <c r="I155">
        <f>I150*J155</f>
        <v>84</v>
      </c>
      <c r="J155">
        <v>0.77634011090573007</v>
      </c>
      <c r="O155">
        <f t="shared" si="123"/>
        <v>1388.52</v>
      </c>
      <c r="P155">
        <f t="shared" si="124"/>
        <v>1388.52</v>
      </c>
      <c r="Q155">
        <f t="shared" si="125"/>
        <v>0</v>
      </c>
      <c r="R155">
        <f t="shared" si="126"/>
        <v>0</v>
      </c>
      <c r="S155">
        <f t="shared" si="127"/>
        <v>0</v>
      </c>
      <c r="T155">
        <f t="shared" si="128"/>
        <v>0</v>
      </c>
      <c r="U155">
        <f t="shared" si="129"/>
        <v>0</v>
      </c>
      <c r="V155">
        <f t="shared" si="130"/>
        <v>0</v>
      </c>
      <c r="W155">
        <f t="shared" si="131"/>
        <v>0</v>
      </c>
      <c r="X155">
        <f t="shared" si="132"/>
        <v>0</v>
      </c>
      <c r="Y155">
        <f t="shared" si="133"/>
        <v>0</v>
      </c>
      <c r="AA155">
        <v>46561299</v>
      </c>
      <c r="AB155">
        <f t="shared" si="134"/>
        <v>16.53</v>
      </c>
      <c r="AC155">
        <f t="shared" si="154"/>
        <v>16.53</v>
      </c>
      <c r="AD155">
        <f t="shared" si="155"/>
        <v>0</v>
      </c>
      <c r="AE155">
        <f t="shared" si="156"/>
        <v>0</v>
      </c>
      <c r="AF155">
        <f t="shared" si="157"/>
        <v>0</v>
      </c>
      <c r="AG155">
        <f t="shared" si="135"/>
        <v>0</v>
      </c>
      <c r="AH155">
        <f t="shared" si="158"/>
        <v>0</v>
      </c>
      <c r="AI155">
        <f t="shared" si="159"/>
        <v>0</v>
      </c>
      <c r="AJ155">
        <f t="shared" si="136"/>
        <v>0</v>
      </c>
      <c r="AK155">
        <v>16.53</v>
      </c>
      <c r="AL155">
        <v>16.53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70</v>
      </c>
      <c r="AU155">
        <v>10</v>
      </c>
      <c r="AV155">
        <v>1</v>
      </c>
      <c r="AW155">
        <v>1</v>
      </c>
      <c r="AZ155">
        <v>1</v>
      </c>
      <c r="BA155">
        <v>1</v>
      </c>
      <c r="BB155">
        <v>1</v>
      </c>
      <c r="BC155">
        <v>1</v>
      </c>
      <c r="BD155" t="s">
        <v>3</v>
      </c>
      <c r="BE155" t="s">
        <v>3</v>
      </c>
      <c r="BF155" t="s">
        <v>3</v>
      </c>
      <c r="BG155" t="s">
        <v>3</v>
      </c>
      <c r="BH155">
        <v>3</v>
      </c>
      <c r="BI155">
        <v>4</v>
      </c>
      <c r="BJ155" t="s">
        <v>3</v>
      </c>
      <c r="BM155">
        <v>0</v>
      </c>
      <c r="BN155">
        <v>0</v>
      </c>
      <c r="BO155" t="s">
        <v>3</v>
      </c>
      <c r="BP155">
        <v>0</v>
      </c>
      <c r="BQ155">
        <v>1</v>
      </c>
      <c r="BR155">
        <v>0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t="s">
        <v>3</v>
      </c>
      <c r="BZ155">
        <v>70</v>
      </c>
      <c r="CA155">
        <v>10</v>
      </c>
      <c r="CE155">
        <v>0</v>
      </c>
      <c r="CF155">
        <v>0</v>
      </c>
      <c r="CG155">
        <v>0</v>
      </c>
      <c r="CM155">
        <v>0</v>
      </c>
      <c r="CN155" t="s">
        <v>3</v>
      </c>
      <c r="CO155">
        <v>0</v>
      </c>
      <c r="CP155">
        <f t="shared" si="137"/>
        <v>1388.52</v>
      </c>
      <c r="CQ155">
        <f t="shared" si="138"/>
        <v>16.53</v>
      </c>
      <c r="CR155">
        <f t="shared" si="160"/>
        <v>0</v>
      </c>
      <c r="CS155">
        <f t="shared" si="139"/>
        <v>0</v>
      </c>
      <c r="CT155">
        <f t="shared" si="140"/>
        <v>0</v>
      </c>
      <c r="CU155">
        <f t="shared" si="141"/>
        <v>0</v>
      </c>
      <c r="CV155">
        <f t="shared" si="142"/>
        <v>0</v>
      </c>
      <c r="CW155">
        <f t="shared" si="143"/>
        <v>0</v>
      </c>
      <c r="CX155">
        <f t="shared" si="144"/>
        <v>0</v>
      </c>
      <c r="CY155">
        <f t="shared" si="145"/>
        <v>0</v>
      </c>
      <c r="CZ155">
        <f t="shared" si="146"/>
        <v>0</v>
      </c>
      <c r="DC155" t="s">
        <v>3</v>
      </c>
      <c r="DD155" t="s">
        <v>3</v>
      </c>
      <c r="DE155" t="s">
        <v>3</v>
      </c>
      <c r="DF155" t="s">
        <v>3</v>
      </c>
      <c r="DG155" t="s">
        <v>3</v>
      </c>
      <c r="DH155" t="s">
        <v>3</v>
      </c>
      <c r="DI155" t="s">
        <v>3</v>
      </c>
      <c r="DJ155" t="s">
        <v>3</v>
      </c>
      <c r="DK155" t="s">
        <v>3</v>
      </c>
      <c r="DL155" t="s">
        <v>3</v>
      </c>
      <c r="DM155" t="s">
        <v>3</v>
      </c>
      <c r="DN155">
        <v>0</v>
      </c>
      <c r="DO155">
        <v>0</v>
      </c>
      <c r="DP155">
        <v>1</v>
      </c>
      <c r="DQ155">
        <v>1</v>
      </c>
      <c r="DU155">
        <v>1013</v>
      </c>
      <c r="DV155" t="s">
        <v>78</v>
      </c>
      <c r="DW155" t="s">
        <v>78</v>
      </c>
      <c r="DX155">
        <v>1</v>
      </c>
      <c r="EE155">
        <v>46035301</v>
      </c>
      <c r="EF155">
        <v>1</v>
      </c>
      <c r="EG155" t="s">
        <v>19</v>
      </c>
      <c r="EH155">
        <v>0</v>
      </c>
      <c r="EI155" t="s">
        <v>3</v>
      </c>
      <c r="EJ155">
        <v>4</v>
      </c>
      <c r="EK155">
        <v>0</v>
      </c>
      <c r="EL155" t="s">
        <v>20</v>
      </c>
      <c r="EM155" t="s">
        <v>21</v>
      </c>
      <c r="EO155" t="s">
        <v>3</v>
      </c>
      <c r="EQ155">
        <v>0</v>
      </c>
      <c r="ER155">
        <v>16.53</v>
      </c>
      <c r="ES155">
        <v>16.53</v>
      </c>
      <c r="ET155">
        <v>0</v>
      </c>
      <c r="EU155">
        <v>0</v>
      </c>
      <c r="EV155">
        <v>0</v>
      </c>
      <c r="EW155">
        <v>0</v>
      </c>
      <c r="EX155">
        <v>0</v>
      </c>
      <c r="EZ155">
        <v>5</v>
      </c>
      <c r="FC155">
        <v>1</v>
      </c>
      <c r="FD155">
        <v>18</v>
      </c>
      <c r="FF155">
        <v>19.829999999999998</v>
      </c>
      <c r="FQ155">
        <v>0</v>
      </c>
      <c r="FR155">
        <f t="shared" si="147"/>
        <v>0</v>
      </c>
      <c r="FS155">
        <v>0</v>
      </c>
      <c r="FX155">
        <v>70</v>
      </c>
      <c r="FY155">
        <v>10</v>
      </c>
      <c r="GA155" t="s">
        <v>82</v>
      </c>
      <c r="GD155">
        <v>0</v>
      </c>
      <c r="GF155">
        <v>-1949902326</v>
      </c>
      <c r="GG155">
        <v>2</v>
      </c>
      <c r="GH155">
        <v>3</v>
      </c>
      <c r="GI155">
        <v>-2</v>
      </c>
      <c r="GJ155">
        <v>0</v>
      </c>
      <c r="GK155">
        <f>ROUND(R155*(R12)/100,2)</f>
        <v>0</v>
      </c>
      <c r="GL155">
        <f t="shared" si="148"/>
        <v>0</v>
      </c>
      <c r="GM155">
        <f t="shared" si="161"/>
        <v>1388.52</v>
      </c>
      <c r="GN155">
        <f t="shared" si="162"/>
        <v>0</v>
      </c>
      <c r="GO155">
        <f t="shared" si="163"/>
        <v>0</v>
      </c>
      <c r="GP155">
        <f t="shared" si="164"/>
        <v>1388.52</v>
      </c>
      <c r="GR155">
        <v>1</v>
      </c>
      <c r="GS155">
        <v>1</v>
      </c>
      <c r="GT155">
        <v>0</v>
      </c>
      <c r="GU155" t="s">
        <v>3</v>
      </c>
      <c r="GV155">
        <f t="shared" si="149"/>
        <v>0</v>
      </c>
      <c r="GW155">
        <v>1</v>
      </c>
      <c r="GX155">
        <f t="shared" si="150"/>
        <v>0</v>
      </c>
      <c r="HA155">
        <v>0</v>
      </c>
      <c r="HB155">
        <v>0</v>
      </c>
      <c r="HC155">
        <f t="shared" si="151"/>
        <v>0</v>
      </c>
      <c r="IK155">
        <v>0</v>
      </c>
    </row>
    <row r="156" spans="1:245" x14ac:dyDescent="0.2">
      <c r="A156">
        <v>18</v>
      </c>
      <c r="B156">
        <v>1</v>
      </c>
      <c r="C156">
        <v>167</v>
      </c>
      <c r="E156" t="s">
        <v>226</v>
      </c>
      <c r="F156" t="s">
        <v>76</v>
      </c>
      <c r="G156" t="s">
        <v>227</v>
      </c>
      <c r="H156" t="s">
        <v>78</v>
      </c>
      <c r="I156">
        <f>I150*J156</f>
        <v>3.9999999999999996</v>
      </c>
      <c r="J156">
        <v>3.6968576709796669E-2</v>
      </c>
      <c r="O156">
        <f t="shared" si="123"/>
        <v>883.12</v>
      </c>
      <c r="P156">
        <f t="shared" si="124"/>
        <v>883.12</v>
      </c>
      <c r="Q156">
        <f t="shared" si="125"/>
        <v>0</v>
      </c>
      <c r="R156">
        <f t="shared" si="126"/>
        <v>0</v>
      </c>
      <c r="S156">
        <f t="shared" si="127"/>
        <v>0</v>
      </c>
      <c r="T156">
        <f t="shared" si="128"/>
        <v>0</v>
      </c>
      <c r="U156">
        <f t="shared" si="129"/>
        <v>0</v>
      </c>
      <c r="V156">
        <f t="shared" si="130"/>
        <v>0</v>
      </c>
      <c r="W156">
        <f t="shared" si="131"/>
        <v>0</v>
      </c>
      <c r="X156">
        <f t="shared" si="132"/>
        <v>0</v>
      </c>
      <c r="Y156">
        <f t="shared" si="133"/>
        <v>0</v>
      </c>
      <c r="AA156">
        <v>46561299</v>
      </c>
      <c r="AB156">
        <f t="shared" si="134"/>
        <v>220.78</v>
      </c>
      <c r="AC156">
        <f t="shared" si="154"/>
        <v>220.78</v>
      </c>
      <c r="AD156">
        <f t="shared" si="155"/>
        <v>0</v>
      </c>
      <c r="AE156">
        <f t="shared" si="156"/>
        <v>0</v>
      </c>
      <c r="AF156">
        <f t="shared" si="157"/>
        <v>0</v>
      </c>
      <c r="AG156">
        <f t="shared" si="135"/>
        <v>0</v>
      </c>
      <c r="AH156">
        <f t="shared" si="158"/>
        <v>0</v>
      </c>
      <c r="AI156">
        <f t="shared" si="159"/>
        <v>0</v>
      </c>
      <c r="AJ156">
        <f t="shared" si="136"/>
        <v>0</v>
      </c>
      <c r="AK156">
        <v>220.78</v>
      </c>
      <c r="AL156">
        <v>220.78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70</v>
      </c>
      <c r="AU156">
        <v>10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1</v>
      </c>
      <c r="BD156" t="s">
        <v>3</v>
      </c>
      <c r="BE156" t="s">
        <v>3</v>
      </c>
      <c r="BF156" t="s">
        <v>3</v>
      </c>
      <c r="BG156" t="s">
        <v>3</v>
      </c>
      <c r="BH156">
        <v>3</v>
      </c>
      <c r="BI156">
        <v>4</v>
      </c>
      <c r="BJ156" t="s">
        <v>3</v>
      </c>
      <c r="BM156">
        <v>0</v>
      </c>
      <c r="BN156">
        <v>0</v>
      </c>
      <c r="BO156" t="s">
        <v>3</v>
      </c>
      <c r="BP156">
        <v>0</v>
      </c>
      <c r="BQ156">
        <v>1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 t="s">
        <v>3</v>
      </c>
      <c r="BZ156">
        <v>70</v>
      </c>
      <c r="CA156">
        <v>10</v>
      </c>
      <c r="CE156">
        <v>0</v>
      </c>
      <c r="CF156">
        <v>0</v>
      </c>
      <c r="CG156">
        <v>0</v>
      </c>
      <c r="CM156">
        <v>0</v>
      </c>
      <c r="CN156" t="s">
        <v>3</v>
      </c>
      <c r="CO156">
        <v>0</v>
      </c>
      <c r="CP156">
        <f t="shared" si="137"/>
        <v>883.12</v>
      </c>
      <c r="CQ156">
        <f t="shared" si="138"/>
        <v>220.78</v>
      </c>
      <c r="CR156">
        <f t="shared" si="160"/>
        <v>0</v>
      </c>
      <c r="CS156">
        <f t="shared" si="139"/>
        <v>0</v>
      </c>
      <c r="CT156">
        <f t="shared" si="140"/>
        <v>0</v>
      </c>
      <c r="CU156">
        <f t="shared" si="141"/>
        <v>0</v>
      </c>
      <c r="CV156">
        <f t="shared" si="142"/>
        <v>0</v>
      </c>
      <c r="CW156">
        <f t="shared" si="143"/>
        <v>0</v>
      </c>
      <c r="CX156">
        <f t="shared" si="144"/>
        <v>0</v>
      </c>
      <c r="CY156">
        <f t="shared" si="145"/>
        <v>0</v>
      </c>
      <c r="CZ156">
        <f t="shared" si="146"/>
        <v>0</v>
      </c>
      <c r="DC156" t="s">
        <v>3</v>
      </c>
      <c r="DD156" t="s">
        <v>3</v>
      </c>
      <c r="DE156" t="s">
        <v>3</v>
      </c>
      <c r="DF156" t="s">
        <v>3</v>
      </c>
      <c r="DG156" t="s">
        <v>3</v>
      </c>
      <c r="DH156" t="s">
        <v>3</v>
      </c>
      <c r="DI156" t="s">
        <v>3</v>
      </c>
      <c r="DJ156" t="s">
        <v>3</v>
      </c>
      <c r="DK156" t="s">
        <v>3</v>
      </c>
      <c r="DL156" t="s">
        <v>3</v>
      </c>
      <c r="DM156" t="s">
        <v>3</v>
      </c>
      <c r="DN156">
        <v>0</v>
      </c>
      <c r="DO156">
        <v>0</v>
      </c>
      <c r="DP156">
        <v>1</v>
      </c>
      <c r="DQ156">
        <v>1</v>
      </c>
      <c r="DU156">
        <v>1013</v>
      </c>
      <c r="DV156" t="s">
        <v>78</v>
      </c>
      <c r="DW156" t="s">
        <v>78</v>
      </c>
      <c r="DX156">
        <v>1</v>
      </c>
      <c r="EE156">
        <v>46035301</v>
      </c>
      <c r="EF156">
        <v>1</v>
      </c>
      <c r="EG156" t="s">
        <v>19</v>
      </c>
      <c r="EH156">
        <v>0</v>
      </c>
      <c r="EI156" t="s">
        <v>3</v>
      </c>
      <c r="EJ156">
        <v>4</v>
      </c>
      <c r="EK156">
        <v>0</v>
      </c>
      <c r="EL156" t="s">
        <v>20</v>
      </c>
      <c r="EM156" t="s">
        <v>21</v>
      </c>
      <c r="EO156" t="s">
        <v>3</v>
      </c>
      <c r="EQ156">
        <v>0</v>
      </c>
      <c r="ER156">
        <v>220.78</v>
      </c>
      <c r="ES156">
        <v>220.78</v>
      </c>
      <c r="ET156">
        <v>0</v>
      </c>
      <c r="EU156">
        <v>0</v>
      </c>
      <c r="EV156">
        <v>0</v>
      </c>
      <c r="EW156">
        <v>0</v>
      </c>
      <c r="EX156">
        <v>0</v>
      </c>
      <c r="EZ156">
        <v>5</v>
      </c>
      <c r="FC156">
        <v>1</v>
      </c>
      <c r="FD156">
        <v>18</v>
      </c>
      <c r="FF156">
        <v>264.94</v>
      </c>
      <c r="FQ156">
        <v>0</v>
      </c>
      <c r="FR156">
        <f t="shared" si="147"/>
        <v>0</v>
      </c>
      <c r="FS156">
        <v>0</v>
      </c>
      <c r="FX156">
        <v>70</v>
      </c>
      <c r="FY156">
        <v>10</v>
      </c>
      <c r="GA156" t="s">
        <v>228</v>
      </c>
      <c r="GD156">
        <v>0</v>
      </c>
      <c r="GF156">
        <v>-632778472</v>
      </c>
      <c r="GG156">
        <v>2</v>
      </c>
      <c r="GH156">
        <v>3</v>
      </c>
      <c r="GI156">
        <v>-2</v>
      </c>
      <c r="GJ156">
        <v>0</v>
      </c>
      <c r="GK156">
        <f>ROUND(R156*(R12)/100,2)</f>
        <v>0</v>
      </c>
      <c r="GL156">
        <f t="shared" si="148"/>
        <v>0</v>
      </c>
      <c r="GM156">
        <f t="shared" si="161"/>
        <v>883.12</v>
      </c>
      <c r="GN156">
        <f t="shared" si="162"/>
        <v>0</v>
      </c>
      <c r="GO156">
        <f t="shared" si="163"/>
        <v>0</v>
      </c>
      <c r="GP156">
        <f t="shared" si="164"/>
        <v>883.12</v>
      </c>
      <c r="GR156">
        <v>1</v>
      </c>
      <c r="GS156">
        <v>1</v>
      </c>
      <c r="GT156">
        <v>0</v>
      </c>
      <c r="GU156" t="s">
        <v>3</v>
      </c>
      <c r="GV156">
        <f t="shared" si="149"/>
        <v>0</v>
      </c>
      <c r="GW156">
        <v>1</v>
      </c>
      <c r="GX156">
        <f t="shared" si="150"/>
        <v>0</v>
      </c>
      <c r="HA156">
        <v>0</v>
      </c>
      <c r="HB156">
        <v>0</v>
      </c>
      <c r="HC156">
        <f t="shared" si="151"/>
        <v>0</v>
      </c>
      <c r="IK156">
        <v>0</v>
      </c>
    </row>
    <row r="157" spans="1:245" x14ac:dyDescent="0.2">
      <c r="A157">
        <v>18</v>
      </c>
      <c r="B157">
        <v>1</v>
      </c>
      <c r="C157">
        <v>168</v>
      </c>
      <c r="E157" t="s">
        <v>229</v>
      </c>
      <c r="F157" t="s">
        <v>76</v>
      </c>
      <c r="G157" t="s">
        <v>230</v>
      </c>
      <c r="H157" t="s">
        <v>78</v>
      </c>
      <c r="I157">
        <f>I150*J157</f>
        <v>0.99999999999999989</v>
      </c>
      <c r="J157">
        <v>9.2421441774491672E-3</v>
      </c>
      <c r="O157">
        <f t="shared" si="123"/>
        <v>674.17</v>
      </c>
      <c r="P157">
        <f t="shared" si="124"/>
        <v>674.17</v>
      </c>
      <c r="Q157">
        <f t="shared" si="125"/>
        <v>0</v>
      </c>
      <c r="R157">
        <f t="shared" si="126"/>
        <v>0</v>
      </c>
      <c r="S157">
        <f t="shared" si="127"/>
        <v>0</v>
      </c>
      <c r="T157">
        <f t="shared" si="128"/>
        <v>0</v>
      </c>
      <c r="U157">
        <f t="shared" si="129"/>
        <v>0</v>
      </c>
      <c r="V157">
        <f t="shared" si="130"/>
        <v>0</v>
      </c>
      <c r="W157">
        <f t="shared" si="131"/>
        <v>0</v>
      </c>
      <c r="X157">
        <f t="shared" si="132"/>
        <v>0</v>
      </c>
      <c r="Y157">
        <f t="shared" si="133"/>
        <v>0</v>
      </c>
      <c r="AA157">
        <v>46561299</v>
      </c>
      <c r="AB157">
        <f t="shared" si="134"/>
        <v>674.17</v>
      </c>
      <c r="AC157">
        <f t="shared" si="154"/>
        <v>674.17</v>
      </c>
      <c r="AD157">
        <f t="shared" si="155"/>
        <v>0</v>
      </c>
      <c r="AE157">
        <f t="shared" si="156"/>
        <v>0</v>
      </c>
      <c r="AF157">
        <f t="shared" si="157"/>
        <v>0</v>
      </c>
      <c r="AG157">
        <f t="shared" si="135"/>
        <v>0</v>
      </c>
      <c r="AH157">
        <f t="shared" si="158"/>
        <v>0</v>
      </c>
      <c r="AI157">
        <f t="shared" si="159"/>
        <v>0</v>
      </c>
      <c r="AJ157">
        <f t="shared" si="136"/>
        <v>0</v>
      </c>
      <c r="AK157">
        <v>674.17</v>
      </c>
      <c r="AL157">
        <v>674.17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70</v>
      </c>
      <c r="AU157">
        <v>10</v>
      </c>
      <c r="AV157">
        <v>1</v>
      </c>
      <c r="AW157">
        <v>1</v>
      </c>
      <c r="AZ157">
        <v>1</v>
      </c>
      <c r="BA157">
        <v>1</v>
      </c>
      <c r="BB157">
        <v>1</v>
      </c>
      <c r="BC157">
        <v>1</v>
      </c>
      <c r="BD157" t="s">
        <v>3</v>
      </c>
      <c r="BE157" t="s">
        <v>3</v>
      </c>
      <c r="BF157" t="s">
        <v>3</v>
      </c>
      <c r="BG157" t="s">
        <v>3</v>
      </c>
      <c r="BH157">
        <v>3</v>
      </c>
      <c r="BI157">
        <v>4</v>
      </c>
      <c r="BJ157" t="s">
        <v>3</v>
      </c>
      <c r="BM157">
        <v>0</v>
      </c>
      <c r="BN157">
        <v>0</v>
      </c>
      <c r="BO157" t="s">
        <v>3</v>
      </c>
      <c r="BP157">
        <v>0</v>
      </c>
      <c r="BQ157">
        <v>1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 t="s">
        <v>3</v>
      </c>
      <c r="BZ157">
        <v>70</v>
      </c>
      <c r="CA157">
        <v>10</v>
      </c>
      <c r="CE157">
        <v>0</v>
      </c>
      <c r="CF157">
        <v>0</v>
      </c>
      <c r="CG157">
        <v>0</v>
      </c>
      <c r="CM157">
        <v>0</v>
      </c>
      <c r="CN157" t="s">
        <v>3</v>
      </c>
      <c r="CO157">
        <v>0</v>
      </c>
      <c r="CP157">
        <f t="shared" si="137"/>
        <v>674.17</v>
      </c>
      <c r="CQ157">
        <f t="shared" si="138"/>
        <v>674.17</v>
      </c>
      <c r="CR157">
        <f t="shared" si="160"/>
        <v>0</v>
      </c>
      <c r="CS157">
        <f t="shared" si="139"/>
        <v>0</v>
      </c>
      <c r="CT157">
        <f t="shared" si="140"/>
        <v>0</v>
      </c>
      <c r="CU157">
        <f t="shared" si="141"/>
        <v>0</v>
      </c>
      <c r="CV157">
        <f t="shared" si="142"/>
        <v>0</v>
      </c>
      <c r="CW157">
        <f t="shared" si="143"/>
        <v>0</v>
      </c>
      <c r="CX157">
        <f t="shared" si="144"/>
        <v>0</v>
      </c>
      <c r="CY157">
        <f t="shared" si="145"/>
        <v>0</v>
      </c>
      <c r="CZ157">
        <f t="shared" si="146"/>
        <v>0</v>
      </c>
      <c r="DC157" t="s">
        <v>3</v>
      </c>
      <c r="DD157" t="s">
        <v>3</v>
      </c>
      <c r="DE157" t="s">
        <v>3</v>
      </c>
      <c r="DF157" t="s">
        <v>3</v>
      </c>
      <c r="DG157" t="s">
        <v>3</v>
      </c>
      <c r="DH157" t="s">
        <v>3</v>
      </c>
      <c r="DI157" t="s">
        <v>3</v>
      </c>
      <c r="DJ157" t="s">
        <v>3</v>
      </c>
      <c r="DK157" t="s">
        <v>3</v>
      </c>
      <c r="DL157" t="s">
        <v>3</v>
      </c>
      <c r="DM157" t="s">
        <v>3</v>
      </c>
      <c r="DN157">
        <v>0</v>
      </c>
      <c r="DO157">
        <v>0</v>
      </c>
      <c r="DP157">
        <v>1</v>
      </c>
      <c r="DQ157">
        <v>1</v>
      </c>
      <c r="DU157">
        <v>1013</v>
      </c>
      <c r="DV157" t="s">
        <v>78</v>
      </c>
      <c r="DW157" t="s">
        <v>78</v>
      </c>
      <c r="DX157">
        <v>1</v>
      </c>
      <c r="EE157">
        <v>46035301</v>
      </c>
      <c r="EF157">
        <v>1</v>
      </c>
      <c r="EG157" t="s">
        <v>19</v>
      </c>
      <c r="EH157">
        <v>0</v>
      </c>
      <c r="EI157" t="s">
        <v>3</v>
      </c>
      <c r="EJ157">
        <v>4</v>
      </c>
      <c r="EK157">
        <v>0</v>
      </c>
      <c r="EL157" t="s">
        <v>20</v>
      </c>
      <c r="EM157" t="s">
        <v>21</v>
      </c>
      <c r="EO157" t="s">
        <v>3</v>
      </c>
      <c r="EQ157">
        <v>0</v>
      </c>
      <c r="ER157">
        <v>674.17</v>
      </c>
      <c r="ES157">
        <v>674.17</v>
      </c>
      <c r="ET157">
        <v>0</v>
      </c>
      <c r="EU157">
        <v>0</v>
      </c>
      <c r="EV157">
        <v>0</v>
      </c>
      <c r="EW157">
        <v>0</v>
      </c>
      <c r="EX157">
        <v>0</v>
      </c>
      <c r="EZ157">
        <v>5</v>
      </c>
      <c r="FC157">
        <v>1</v>
      </c>
      <c r="FD157">
        <v>18</v>
      </c>
      <c r="FF157">
        <v>809</v>
      </c>
      <c r="FQ157">
        <v>0</v>
      </c>
      <c r="FR157">
        <f t="shared" si="147"/>
        <v>0</v>
      </c>
      <c r="FS157">
        <v>0</v>
      </c>
      <c r="FX157">
        <v>70</v>
      </c>
      <c r="FY157">
        <v>10</v>
      </c>
      <c r="GA157" t="s">
        <v>231</v>
      </c>
      <c r="GD157">
        <v>0</v>
      </c>
      <c r="GF157">
        <v>1479756592</v>
      </c>
      <c r="GG157">
        <v>2</v>
      </c>
      <c r="GH157">
        <v>3</v>
      </c>
      <c r="GI157">
        <v>-2</v>
      </c>
      <c r="GJ157">
        <v>0</v>
      </c>
      <c r="GK157">
        <f>ROUND(R157*(R12)/100,2)</f>
        <v>0</v>
      </c>
      <c r="GL157">
        <f t="shared" si="148"/>
        <v>0</v>
      </c>
      <c r="GM157">
        <f t="shared" si="161"/>
        <v>674.17</v>
      </c>
      <c r="GN157">
        <f t="shared" si="162"/>
        <v>0</v>
      </c>
      <c r="GO157">
        <f t="shared" si="163"/>
        <v>0</v>
      </c>
      <c r="GP157">
        <f t="shared" si="164"/>
        <v>674.17</v>
      </c>
      <c r="GR157">
        <v>1</v>
      </c>
      <c r="GS157">
        <v>1</v>
      </c>
      <c r="GT157">
        <v>0</v>
      </c>
      <c r="GU157" t="s">
        <v>3</v>
      </c>
      <c r="GV157">
        <f t="shared" si="149"/>
        <v>0</v>
      </c>
      <c r="GW157">
        <v>1</v>
      </c>
      <c r="GX157">
        <f t="shared" si="150"/>
        <v>0</v>
      </c>
      <c r="HA157">
        <v>0</v>
      </c>
      <c r="HB157">
        <v>0</v>
      </c>
      <c r="HC157">
        <f t="shared" si="151"/>
        <v>0</v>
      </c>
      <c r="IK157">
        <v>0</v>
      </c>
    </row>
    <row r="158" spans="1:245" x14ac:dyDescent="0.2">
      <c r="A158">
        <v>18</v>
      </c>
      <c r="B158">
        <v>1</v>
      </c>
      <c r="C158">
        <v>160</v>
      </c>
      <c r="E158" t="s">
        <v>232</v>
      </c>
      <c r="F158" t="s">
        <v>84</v>
      </c>
      <c r="G158" t="s">
        <v>85</v>
      </c>
      <c r="H158" t="s">
        <v>65</v>
      </c>
      <c r="I158">
        <f>I150*J158</f>
        <v>-16.1218</v>
      </c>
      <c r="J158">
        <v>-0.14899999999999999</v>
      </c>
      <c r="O158">
        <f t="shared" si="123"/>
        <v>-605172.71</v>
      </c>
      <c r="P158">
        <f t="shared" si="124"/>
        <v>-605172.71</v>
      </c>
      <c r="Q158">
        <f t="shared" si="125"/>
        <v>0</v>
      </c>
      <c r="R158">
        <f t="shared" si="126"/>
        <v>0</v>
      </c>
      <c r="S158">
        <f t="shared" si="127"/>
        <v>0</v>
      </c>
      <c r="T158">
        <f t="shared" si="128"/>
        <v>0</v>
      </c>
      <c r="U158">
        <f t="shared" si="129"/>
        <v>0</v>
      </c>
      <c r="V158">
        <f t="shared" si="130"/>
        <v>0</v>
      </c>
      <c r="W158">
        <f t="shared" si="131"/>
        <v>0</v>
      </c>
      <c r="X158">
        <f t="shared" si="132"/>
        <v>0</v>
      </c>
      <c r="Y158">
        <f t="shared" si="133"/>
        <v>0</v>
      </c>
      <c r="AA158">
        <v>46561299</v>
      </c>
      <c r="AB158">
        <f t="shared" si="134"/>
        <v>37537.54</v>
      </c>
      <c r="AC158">
        <f t="shared" si="154"/>
        <v>37537.54</v>
      </c>
      <c r="AD158">
        <f t="shared" si="155"/>
        <v>0</v>
      </c>
      <c r="AE158">
        <f t="shared" si="156"/>
        <v>0</v>
      </c>
      <c r="AF158">
        <f t="shared" si="157"/>
        <v>0</v>
      </c>
      <c r="AG158">
        <f t="shared" si="135"/>
        <v>0</v>
      </c>
      <c r="AH158">
        <f t="shared" si="158"/>
        <v>0</v>
      </c>
      <c r="AI158">
        <f t="shared" si="159"/>
        <v>0</v>
      </c>
      <c r="AJ158">
        <f t="shared" si="136"/>
        <v>0</v>
      </c>
      <c r="AK158">
        <v>37537.54</v>
      </c>
      <c r="AL158">
        <v>37537.54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70</v>
      </c>
      <c r="AU158">
        <v>10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1</v>
      </c>
      <c r="BD158" t="s">
        <v>3</v>
      </c>
      <c r="BE158" t="s">
        <v>3</v>
      </c>
      <c r="BF158" t="s">
        <v>3</v>
      </c>
      <c r="BG158" t="s">
        <v>3</v>
      </c>
      <c r="BH158">
        <v>3</v>
      </c>
      <c r="BI158">
        <v>4</v>
      </c>
      <c r="BJ158" t="s">
        <v>86</v>
      </c>
      <c r="BM158">
        <v>0</v>
      </c>
      <c r="BN158">
        <v>0</v>
      </c>
      <c r="BO158" t="s">
        <v>3</v>
      </c>
      <c r="BP158">
        <v>0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 t="s">
        <v>3</v>
      </c>
      <c r="BZ158">
        <v>70</v>
      </c>
      <c r="CA158">
        <v>10</v>
      </c>
      <c r="CE158">
        <v>0</v>
      </c>
      <c r="CF158">
        <v>0</v>
      </c>
      <c r="CG158">
        <v>0</v>
      </c>
      <c r="CM158">
        <v>0</v>
      </c>
      <c r="CN158" t="s">
        <v>3</v>
      </c>
      <c r="CO158">
        <v>0</v>
      </c>
      <c r="CP158">
        <f t="shared" si="137"/>
        <v>-605172.71</v>
      </c>
      <c r="CQ158">
        <f t="shared" si="138"/>
        <v>37537.54</v>
      </c>
      <c r="CR158">
        <f t="shared" si="160"/>
        <v>0</v>
      </c>
      <c r="CS158">
        <f t="shared" si="139"/>
        <v>0</v>
      </c>
      <c r="CT158">
        <f t="shared" si="140"/>
        <v>0</v>
      </c>
      <c r="CU158">
        <f t="shared" si="141"/>
        <v>0</v>
      </c>
      <c r="CV158">
        <f t="shared" si="142"/>
        <v>0</v>
      </c>
      <c r="CW158">
        <f t="shared" si="143"/>
        <v>0</v>
      </c>
      <c r="CX158">
        <f t="shared" si="144"/>
        <v>0</v>
      </c>
      <c r="CY158">
        <f t="shared" si="145"/>
        <v>0</v>
      </c>
      <c r="CZ158">
        <f t="shared" si="146"/>
        <v>0</v>
      </c>
      <c r="DC158" t="s">
        <v>3</v>
      </c>
      <c r="DD158" t="s">
        <v>3</v>
      </c>
      <c r="DE158" t="s">
        <v>3</v>
      </c>
      <c r="DF158" t="s">
        <v>3</v>
      </c>
      <c r="DG158" t="s">
        <v>3</v>
      </c>
      <c r="DH158" t="s">
        <v>3</v>
      </c>
      <c r="DI158" t="s">
        <v>3</v>
      </c>
      <c r="DJ158" t="s">
        <v>3</v>
      </c>
      <c r="DK158" t="s">
        <v>3</v>
      </c>
      <c r="DL158" t="s">
        <v>3</v>
      </c>
      <c r="DM158" t="s">
        <v>3</v>
      </c>
      <c r="DN158">
        <v>0</v>
      </c>
      <c r="DO158">
        <v>0</v>
      </c>
      <c r="DP158">
        <v>1</v>
      </c>
      <c r="DQ158">
        <v>1</v>
      </c>
      <c r="DU158">
        <v>1009</v>
      </c>
      <c r="DV158" t="s">
        <v>65</v>
      </c>
      <c r="DW158" t="s">
        <v>65</v>
      </c>
      <c r="DX158">
        <v>1000</v>
      </c>
      <c r="EE158">
        <v>46035301</v>
      </c>
      <c r="EF158">
        <v>1</v>
      </c>
      <c r="EG158" t="s">
        <v>19</v>
      </c>
      <c r="EH158">
        <v>0</v>
      </c>
      <c r="EI158" t="s">
        <v>3</v>
      </c>
      <c r="EJ158">
        <v>4</v>
      </c>
      <c r="EK158">
        <v>0</v>
      </c>
      <c r="EL158" t="s">
        <v>20</v>
      </c>
      <c r="EM158" t="s">
        <v>21</v>
      </c>
      <c r="EO158" t="s">
        <v>3</v>
      </c>
      <c r="EQ158">
        <v>32768</v>
      </c>
      <c r="ER158">
        <v>37537.54</v>
      </c>
      <c r="ES158">
        <v>37537.54</v>
      </c>
      <c r="ET158">
        <v>0</v>
      </c>
      <c r="EU158">
        <v>0</v>
      </c>
      <c r="EV158">
        <v>0</v>
      </c>
      <c r="EW158">
        <v>0</v>
      </c>
      <c r="EX158">
        <v>0</v>
      </c>
      <c r="FQ158">
        <v>0</v>
      </c>
      <c r="FR158">
        <f t="shared" si="147"/>
        <v>0</v>
      </c>
      <c r="FS158">
        <v>0</v>
      </c>
      <c r="FX158">
        <v>70</v>
      </c>
      <c r="FY158">
        <v>10</v>
      </c>
      <c r="GA158" t="s">
        <v>3</v>
      </c>
      <c r="GD158">
        <v>0</v>
      </c>
      <c r="GF158">
        <v>-2126876791</v>
      </c>
      <c r="GG158">
        <v>2</v>
      </c>
      <c r="GH158">
        <v>1</v>
      </c>
      <c r="GI158">
        <v>-2</v>
      </c>
      <c r="GJ158">
        <v>0</v>
      </c>
      <c r="GK158">
        <f>ROUND(R158*(R12)/100,2)</f>
        <v>0</v>
      </c>
      <c r="GL158">
        <f t="shared" si="148"/>
        <v>0</v>
      </c>
      <c r="GM158">
        <f t="shared" si="161"/>
        <v>-605172.71</v>
      </c>
      <c r="GN158">
        <f t="shared" si="162"/>
        <v>0</v>
      </c>
      <c r="GO158">
        <f t="shared" si="163"/>
        <v>0</v>
      </c>
      <c r="GP158">
        <f t="shared" si="164"/>
        <v>-605172.71</v>
      </c>
      <c r="GR158">
        <v>0</v>
      </c>
      <c r="GS158">
        <v>3</v>
      </c>
      <c r="GT158">
        <v>0</v>
      </c>
      <c r="GU158" t="s">
        <v>3</v>
      </c>
      <c r="GV158">
        <f t="shared" si="149"/>
        <v>0</v>
      </c>
      <c r="GW158">
        <v>1</v>
      </c>
      <c r="GX158">
        <f t="shared" si="150"/>
        <v>0</v>
      </c>
      <c r="HA158">
        <v>0</v>
      </c>
      <c r="HB158">
        <v>0</v>
      </c>
      <c r="HC158">
        <f t="shared" si="151"/>
        <v>0</v>
      </c>
      <c r="IK158">
        <v>0</v>
      </c>
    </row>
    <row r="159" spans="1:245" x14ac:dyDescent="0.2">
      <c r="A159">
        <v>17</v>
      </c>
      <c r="B159">
        <v>1</v>
      </c>
      <c r="C159">
        <f>ROW(SmtRes!A174)</f>
        <v>174</v>
      </c>
      <c r="D159">
        <f>ROW(EtalonRes!A153)</f>
        <v>153</v>
      </c>
      <c r="E159" t="s">
        <v>233</v>
      </c>
      <c r="F159" t="s">
        <v>88</v>
      </c>
      <c r="G159" t="s">
        <v>89</v>
      </c>
      <c r="H159" t="s">
        <v>90</v>
      </c>
      <c r="I159">
        <v>1.0820000000000001</v>
      </c>
      <c r="J159">
        <v>0</v>
      </c>
      <c r="O159">
        <f t="shared" si="123"/>
        <v>3060.42</v>
      </c>
      <c r="P159">
        <f t="shared" si="124"/>
        <v>1105.92</v>
      </c>
      <c r="Q159">
        <f t="shared" si="125"/>
        <v>156.11000000000001</v>
      </c>
      <c r="R159">
        <f t="shared" si="126"/>
        <v>54.1</v>
      </c>
      <c r="S159">
        <f t="shared" si="127"/>
        <v>1798.39</v>
      </c>
      <c r="T159">
        <f t="shared" si="128"/>
        <v>0</v>
      </c>
      <c r="U159">
        <f t="shared" si="129"/>
        <v>6.6110200000000008</v>
      </c>
      <c r="V159">
        <f t="shared" si="130"/>
        <v>0</v>
      </c>
      <c r="W159">
        <f t="shared" si="131"/>
        <v>0</v>
      </c>
      <c r="X159">
        <f t="shared" si="132"/>
        <v>1258.8699999999999</v>
      </c>
      <c r="Y159">
        <f t="shared" si="133"/>
        <v>179.84</v>
      </c>
      <c r="AA159">
        <v>46561299</v>
      </c>
      <c r="AB159">
        <f t="shared" si="134"/>
        <v>2828.49</v>
      </c>
      <c r="AC159">
        <f t="shared" si="154"/>
        <v>1022.11</v>
      </c>
      <c r="AD159">
        <f t="shared" si="155"/>
        <v>144.28</v>
      </c>
      <c r="AE159">
        <f t="shared" si="156"/>
        <v>50</v>
      </c>
      <c r="AF159">
        <f t="shared" si="157"/>
        <v>1662.1</v>
      </c>
      <c r="AG159">
        <f t="shared" si="135"/>
        <v>0</v>
      </c>
      <c r="AH159">
        <f t="shared" si="158"/>
        <v>6.11</v>
      </c>
      <c r="AI159">
        <f t="shared" si="159"/>
        <v>0</v>
      </c>
      <c r="AJ159">
        <f t="shared" si="136"/>
        <v>0</v>
      </c>
      <c r="AK159">
        <v>2828.49</v>
      </c>
      <c r="AL159">
        <v>1022.11</v>
      </c>
      <c r="AM159">
        <v>144.28</v>
      </c>
      <c r="AN159">
        <v>50</v>
      </c>
      <c r="AO159">
        <v>1662.1</v>
      </c>
      <c r="AP159">
        <v>0</v>
      </c>
      <c r="AQ159">
        <v>6.11</v>
      </c>
      <c r="AR159">
        <v>0</v>
      </c>
      <c r="AS159">
        <v>0</v>
      </c>
      <c r="AT159">
        <v>70</v>
      </c>
      <c r="AU159">
        <v>10</v>
      </c>
      <c r="AV159">
        <v>1</v>
      </c>
      <c r="AW159">
        <v>1</v>
      </c>
      <c r="AZ159">
        <v>1</v>
      </c>
      <c r="BA159">
        <v>1</v>
      </c>
      <c r="BB159">
        <v>1</v>
      </c>
      <c r="BC159">
        <v>1</v>
      </c>
      <c r="BD159" t="s">
        <v>3</v>
      </c>
      <c r="BE159" t="s">
        <v>3</v>
      </c>
      <c r="BF159" t="s">
        <v>3</v>
      </c>
      <c r="BG159" t="s">
        <v>3</v>
      </c>
      <c r="BH159">
        <v>0</v>
      </c>
      <c r="BI159">
        <v>4</v>
      </c>
      <c r="BJ159" t="s">
        <v>91</v>
      </c>
      <c r="BM159">
        <v>0</v>
      </c>
      <c r="BN159">
        <v>0</v>
      </c>
      <c r="BO159" t="s">
        <v>3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 t="s">
        <v>3</v>
      </c>
      <c r="BZ159">
        <v>70</v>
      </c>
      <c r="CA159">
        <v>10</v>
      </c>
      <c r="CE159">
        <v>0</v>
      </c>
      <c r="CF159">
        <v>0</v>
      </c>
      <c r="CG159">
        <v>0</v>
      </c>
      <c r="CM159">
        <v>0</v>
      </c>
      <c r="CN159" t="s">
        <v>3</v>
      </c>
      <c r="CO159">
        <v>0</v>
      </c>
      <c r="CP159">
        <f t="shared" si="137"/>
        <v>3060.42</v>
      </c>
      <c r="CQ159">
        <f t="shared" si="138"/>
        <v>1022.11</v>
      </c>
      <c r="CR159">
        <f t="shared" si="160"/>
        <v>144.28</v>
      </c>
      <c r="CS159">
        <f t="shared" si="139"/>
        <v>50</v>
      </c>
      <c r="CT159">
        <f t="shared" si="140"/>
        <v>1662.1</v>
      </c>
      <c r="CU159">
        <f t="shared" si="141"/>
        <v>0</v>
      </c>
      <c r="CV159">
        <f t="shared" si="142"/>
        <v>6.11</v>
      </c>
      <c r="CW159">
        <f t="shared" si="143"/>
        <v>0</v>
      </c>
      <c r="CX159">
        <f t="shared" si="144"/>
        <v>0</v>
      </c>
      <c r="CY159">
        <f t="shared" si="145"/>
        <v>1258.873</v>
      </c>
      <c r="CZ159">
        <f t="shared" si="146"/>
        <v>179.83900000000003</v>
      </c>
      <c r="DC159" t="s">
        <v>3</v>
      </c>
      <c r="DD159" t="s">
        <v>3</v>
      </c>
      <c r="DE159" t="s">
        <v>3</v>
      </c>
      <c r="DF159" t="s">
        <v>3</v>
      </c>
      <c r="DG159" t="s">
        <v>3</v>
      </c>
      <c r="DH159" t="s">
        <v>3</v>
      </c>
      <c r="DI159" t="s">
        <v>3</v>
      </c>
      <c r="DJ159" t="s">
        <v>3</v>
      </c>
      <c r="DK159" t="s">
        <v>3</v>
      </c>
      <c r="DL159" t="s">
        <v>3</v>
      </c>
      <c r="DM159" t="s">
        <v>3</v>
      </c>
      <c r="DN159">
        <v>0</v>
      </c>
      <c r="DO159">
        <v>0</v>
      </c>
      <c r="DP159">
        <v>1</v>
      </c>
      <c r="DQ159">
        <v>1</v>
      </c>
      <c r="DU159">
        <v>1005</v>
      </c>
      <c r="DV159" t="s">
        <v>90</v>
      </c>
      <c r="DW159" t="s">
        <v>90</v>
      </c>
      <c r="DX159">
        <v>100</v>
      </c>
      <c r="EE159">
        <v>46035301</v>
      </c>
      <c r="EF159">
        <v>1</v>
      </c>
      <c r="EG159" t="s">
        <v>19</v>
      </c>
      <c r="EH159">
        <v>0</v>
      </c>
      <c r="EI159" t="s">
        <v>3</v>
      </c>
      <c r="EJ159">
        <v>4</v>
      </c>
      <c r="EK159">
        <v>0</v>
      </c>
      <c r="EL159" t="s">
        <v>20</v>
      </c>
      <c r="EM159" t="s">
        <v>21</v>
      </c>
      <c r="EO159" t="s">
        <v>3</v>
      </c>
      <c r="EQ159">
        <v>0</v>
      </c>
      <c r="ER159">
        <v>2828.49</v>
      </c>
      <c r="ES159">
        <v>1022.11</v>
      </c>
      <c r="ET159">
        <v>144.28</v>
      </c>
      <c r="EU159">
        <v>50</v>
      </c>
      <c r="EV159">
        <v>1662.1</v>
      </c>
      <c r="EW159">
        <v>6.11</v>
      </c>
      <c r="EX159">
        <v>0</v>
      </c>
      <c r="EY159">
        <v>0</v>
      </c>
      <c r="FQ159">
        <v>0</v>
      </c>
      <c r="FR159">
        <f t="shared" si="147"/>
        <v>0</v>
      </c>
      <c r="FS159">
        <v>0</v>
      </c>
      <c r="FX159">
        <v>70</v>
      </c>
      <c r="FY159">
        <v>10</v>
      </c>
      <c r="GA159" t="s">
        <v>3</v>
      </c>
      <c r="GD159">
        <v>0</v>
      </c>
      <c r="GF159">
        <v>-1014157109</v>
      </c>
      <c r="GG159">
        <v>2</v>
      </c>
      <c r="GH159">
        <v>1</v>
      </c>
      <c r="GI159">
        <v>-2</v>
      </c>
      <c r="GJ159">
        <v>0</v>
      </c>
      <c r="GK159">
        <f>ROUND(R159*(R12)/100,2)</f>
        <v>58.43</v>
      </c>
      <c r="GL159">
        <f t="shared" si="148"/>
        <v>0</v>
      </c>
      <c r="GM159">
        <f t="shared" si="161"/>
        <v>4557.5600000000004</v>
      </c>
      <c r="GN159">
        <f t="shared" si="162"/>
        <v>0</v>
      </c>
      <c r="GO159">
        <f t="shared" si="163"/>
        <v>0</v>
      </c>
      <c r="GP159">
        <f t="shared" si="164"/>
        <v>4557.5600000000004</v>
      </c>
      <c r="GR159">
        <v>0</v>
      </c>
      <c r="GS159">
        <v>3</v>
      </c>
      <c r="GT159">
        <v>0</v>
      </c>
      <c r="GU159" t="s">
        <v>3</v>
      </c>
      <c r="GV159">
        <f t="shared" si="149"/>
        <v>0</v>
      </c>
      <c r="GW159">
        <v>1</v>
      </c>
      <c r="GX159">
        <f t="shared" si="150"/>
        <v>0</v>
      </c>
      <c r="HA159">
        <v>0</v>
      </c>
      <c r="HB159">
        <v>0</v>
      </c>
      <c r="HC159">
        <f t="shared" si="151"/>
        <v>0</v>
      </c>
      <c r="IK159">
        <v>0</v>
      </c>
    </row>
    <row r="160" spans="1:245" x14ac:dyDescent="0.2">
      <c r="A160">
        <v>17</v>
      </c>
      <c r="B160">
        <v>1</v>
      </c>
      <c r="C160">
        <f>ROW(SmtRes!A178)</f>
        <v>178</v>
      </c>
      <c r="D160">
        <f>ROW(EtalonRes!A157)</f>
        <v>157</v>
      </c>
      <c r="E160" t="s">
        <v>234</v>
      </c>
      <c r="F160" t="s">
        <v>93</v>
      </c>
      <c r="G160" t="s">
        <v>94</v>
      </c>
      <c r="H160" t="s">
        <v>90</v>
      </c>
      <c r="I160">
        <v>1.0820000000000001</v>
      </c>
      <c r="J160">
        <v>0</v>
      </c>
      <c r="O160">
        <f t="shared" si="123"/>
        <v>1728.62</v>
      </c>
      <c r="P160">
        <f t="shared" si="124"/>
        <v>1126.81</v>
      </c>
      <c r="Q160">
        <f t="shared" si="125"/>
        <v>7.4</v>
      </c>
      <c r="R160">
        <f t="shared" si="126"/>
        <v>4.01</v>
      </c>
      <c r="S160">
        <f t="shared" si="127"/>
        <v>594.41</v>
      </c>
      <c r="T160">
        <f t="shared" si="128"/>
        <v>0</v>
      </c>
      <c r="U160">
        <f t="shared" si="129"/>
        <v>2.6509000000000005</v>
      </c>
      <c r="V160">
        <f t="shared" si="130"/>
        <v>0</v>
      </c>
      <c r="W160">
        <f t="shared" si="131"/>
        <v>0</v>
      </c>
      <c r="X160">
        <f t="shared" si="132"/>
        <v>416.09</v>
      </c>
      <c r="Y160">
        <f t="shared" si="133"/>
        <v>59.44</v>
      </c>
      <c r="AA160">
        <v>46561299</v>
      </c>
      <c r="AB160">
        <f t="shared" si="134"/>
        <v>1597.61</v>
      </c>
      <c r="AC160">
        <f t="shared" si="154"/>
        <v>1041.4100000000001</v>
      </c>
      <c r="AD160">
        <f t="shared" si="155"/>
        <v>6.84</v>
      </c>
      <c r="AE160">
        <f t="shared" si="156"/>
        <v>3.71</v>
      </c>
      <c r="AF160">
        <f t="shared" si="157"/>
        <v>549.36</v>
      </c>
      <c r="AG160">
        <f t="shared" si="135"/>
        <v>0</v>
      </c>
      <c r="AH160">
        <f t="shared" si="158"/>
        <v>2.4500000000000002</v>
      </c>
      <c r="AI160">
        <f t="shared" si="159"/>
        <v>0</v>
      </c>
      <c r="AJ160">
        <f t="shared" si="136"/>
        <v>0</v>
      </c>
      <c r="AK160">
        <v>1597.61</v>
      </c>
      <c r="AL160">
        <v>1041.4100000000001</v>
      </c>
      <c r="AM160">
        <v>6.84</v>
      </c>
      <c r="AN160">
        <v>3.71</v>
      </c>
      <c r="AO160">
        <v>549.36</v>
      </c>
      <c r="AP160">
        <v>0</v>
      </c>
      <c r="AQ160">
        <v>2.4500000000000002</v>
      </c>
      <c r="AR160">
        <v>0</v>
      </c>
      <c r="AS160">
        <v>0</v>
      </c>
      <c r="AT160">
        <v>70</v>
      </c>
      <c r="AU160">
        <v>10</v>
      </c>
      <c r="AV160">
        <v>1</v>
      </c>
      <c r="AW160">
        <v>1</v>
      </c>
      <c r="AZ160">
        <v>1</v>
      </c>
      <c r="BA160">
        <v>1</v>
      </c>
      <c r="BB160">
        <v>1</v>
      </c>
      <c r="BC160">
        <v>1</v>
      </c>
      <c r="BD160" t="s">
        <v>3</v>
      </c>
      <c r="BE160" t="s">
        <v>3</v>
      </c>
      <c r="BF160" t="s">
        <v>3</v>
      </c>
      <c r="BG160" t="s">
        <v>3</v>
      </c>
      <c r="BH160">
        <v>0</v>
      </c>
      <c r="BI160">
        <v>4</v>
      </c>
      <c r="BJ160" t="s">
        <v>95</v>
      </c>
      <c r="BM160">
        <v>0</v>
      </c>
      <c r="BN160">
        <v>0</v>
      </c>
      <c r="BO160" t="s">
        <v>3</v>
      </c>
      <c r="BP160">
        <v>0</v>
      </c>
      <c r="BQ160">
        <v>1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 t="s">
        <v>3</v>
      </c>
      <c r="BZ160">
        <v>70</v>
      </c>
      <c r="CA160">
        <v>10</v>
      </c>
      <c r="CE160">
        <v>0</v>
      </c>
      <c r="CF160">
        <v>0</v>
      </c>
      <c r="CG160">
        <v>0</v>
      </c>
      <c r="CM160">
        <v>0</v>
      </c>
      <c r="CN160" t="s">
        <v>3</v>
      </c>
      <c r="CO160">
        <v>0</v>
      </c>
      <c r="CP160">
        <f t="shared" si="137"/>
        <v>1728.62</v>
      </c>
      <c r="CQ160">
        <f t="shared" si="138"/>
        <v>1041.4100000000001</v>
      </c>
      <c r="CR160">
        <f t="shared" si="160"/>
        <v>6.84</v>
      </c>
      <c r="CS160">
        <f t="shared" si="139"/>
        <v>3.71</v>
      </c>
      <c r="CT160">
        <f t="shared" si="140"/>
        <v>549.36</v>
      </c>
      <c r="CU160">
        <f t="shared" si="141"/>
        <v>0</v>
      </c>
      <c r="CV160">
        <f t="shared" si="142"/>
        <v>2.4500000000000002</v>
      </c>
      <c r="CW160">
        <f t="shared" si="143"/>
        <v>0</v>
      </c>
      <c r="CX160">
        <f t="shared" si="144"/>
        <v>0</v>
      </c>
      <c r="CY160">
        <f t="shared" si="145"/>
        <v>416.08699999999999</v>
      </c>
      <c r="CZ160">
        <f t="shared" si="146"/>
        <v>59.440999999999995</v>
      </c>
      <c r="DC160" t="s">
        <v>3</v>
      </c>
      <c r="DD160" t="s">
        <v>3</v>
      </c>
      <c r="DE160" t="s">
        <v>3</v>
      </c>
      <c r="DF160" t="s">
        <v>3</v>
      </c>
      <c r="DG160" t="s">
        <v>3</v>
      </c>
      <c r="DH160" t="s">
        <v>3</v>
      </c>
      <c r="DI160" t="s">
        <v>3</v>
      </c>
      <c r="DJ160" t="s">
        <v>3</v>
      </c>
      <c r="DK160" t="s">
        <v>3</v>
      </c>
      <c r="DL160" t="s">
        <v>3</v>
      </c>
      <c r="DM160" t="s">
        <v>3</v>
      </c>
      <c r="DN160">
        <v>0</v>
      </c>
      <c r="DO160">
        <v>0</v>
      </c>
      <c r="DP160">
        <v>1</v>
      </c>
      <c r="DQ160">
        <v>1</v>
      </c>
      <c r="DU160">
        <v>1005</v>
      </c>
      <c r="DV160" t="s">
        <v>90</v>
      </c>
      <c r="DW160" t="s">
        <v>90</v>
      </c>
      <c r="DX160">
        <v>100</v>
      </c>
      <c r="EE160">
        <v>46035301</v>
      </c>
      <c r="EF160">
        <v>1</v>
      </c>
      <c r="EG160" t="s">
        <v>19</v>
      </c>
      <c r="EH160">
        <v>0</v>
      </c>
      <c r="EI160" t="s">
        <v>3</v>
      </c>
      <c r="EJ160">
        <v>4</v>
      </c>
      <c r="EK160">
        <v>0</v>
      </c>
      <c r="EL160" t="s">
        <v>20</v>
      </c>
      <c r="EM160" t="s">
        <v>21</v>
      </c>
      <c r="EO160" t="s">
        <v>3</v>
      </c>
      <c r="EQ160">
        <v>0</v>
      </c>
      <c r="ER160">
        <v>1597.61</v>
      </c>
      <c r="ES160">
        <v>1041.4100000000001</v>
      </c>
      <c r="ET160">
        <v>6.84</v>
      </c>
      <c r="EU160">
        <v>3.71</v>
      </c>
      <c r="EV160">
        <v>549.36</v>
      </c>
      <c r="EW160">
        <v>2.4500000000000002</v>
      </c>
      <c r="EX160">
        <v>0</v>
      </c>
      <c r="EY160">
        <v>0</v>
      </c>
      <c r="FQ160">
        <v>0</v>
      </c>
      <c r="FR160">
        <f t="shared" si="147"/>
        <v>0</v>
      </c>
      <c r="FS160">
        <v>0</v>
      </c>
      <c r="FX160">
        <v>70</v>
      </c>
      <c r="FY160">
        <v>10</v>
      </c>
      <c r="GA160" t="s">
        <v>3</v>
      </c>
      <c r="GD160">
        <v>0</v>
      </c>
      <c r="GF160">
        <v>-1319810598</v>
      </c>
      <c r="GG160">
        <v>2</v>
      </c>
      <c r="GH160">
        <v>1</v>
      </c>
      <c r="GI160">
        <v>-2</v>
      </c>
      <c r="GJ160">
        <v>0</v>
      </c>
      <c r="GK160">
        <f>ROUND(R160*(R12)/100,2)</f>
        <v>4.33</v>
      </c>
      <c r="GL160">
        <f t="shared" si="148"/>
        <v>0</v>
      </c>
      <c r="GM160">
        <f t="shared" si="161"/>
        <v>2208.48</v>
      </c>
      <c r="GN160">
        <f t="shared" si="162"/>
        <v>0</v>
      </c>
      <c r="GO160">
        <f t="shared" si="163"/>
        <v>0</v>
      </c>
      <c r="GP160">
        <f t="shared" si="164"/>
        <v>2208.48</v>
      </c>
      <c r="GR160">
        <v>0</v>
      </c>
      <c r="GS160">
        <v>3</v>
      </c>
      <c r="GT160">
        <v>0</v>
      </c>
      <c r="GU160" t="s">
        <v>3</v>
      </c>
      <c r="GV160">
        <f t="shared" si="149"/>
        <v>0</v>
      </c>
      <c r="GW160">
        <v>1</v>
      </c>
      <c r="GX160">
        <f t="shared" si="150"/>
        <v>0</v>
      </c>
      <c r="HA160">
        <v>0</v>
      </c>
      <c r="HB160">
        <v>0</v>
      </c>
      <c r="HC160">
        <f t="shared" si="151"/>
        <v>0</v>
      </c>
      <c r="IK160">
        <v>0</v>
      </c>
    </row>
    <row r="162" spans="1:206" x14ac:dyDescent="0.2">
      <c r="A162" s="2">
        <v>51</v>
      </c>
      <c r="B162" s="2">
        <f>B128</f>
        <v>1</v>
      </c>
      <c r="C162" s="2">
        <f>A128</f>
        <v>4</v>
      </c>
      <c r="D162" s="2">
        <f>ROW(A128)</f>
        <v>128</v>
      </c>
      <c r="E162" s="2"/>
      <c r="F162" s="2" t="str">
        <f>IF(F128&lt;&gt;"",F128,"")</f>
        <v>Новый раздел</v>
      </c>
      <c r="G162" s="2" t="str">
        <f>IF(G128&lt;&gt;"",G128,"")</f>
        <v>Установка ограждения - Участок 3</v>
      </c>
      <c r="H162" s="2">
        <v>0</v>
      </c>
      <c r="I162" s="2"/>
      <c r="J162" s="2"/>
      <c r="K162" s="2"/>
      <c r="L162" s="2"/>
      <c r="M162" s="2"/>
      <c r="N162" s="2"/>
      <c r="O162" s="2">
        <f t="shared" ref="O162:T162" si="165">ROUND(AB162,2)</f>
        <v>327367.31</v>
      </c>
      <c r="P162" s="2">
        <f t="shared" si="165"/>
        <v>157421.32999999999</v>
      </c>
      <c r="Q162" s="2">
        <f t="shared" si="165"/>
        <v>59107.96</v>
      </c>
      <c r="R162" s="2">
        <f t="shared" si="165"/>
        <v>37564</v>
      </c>
      <c r="S162" s="2">
        <f t="shared" si="165"/>
        <v>110838.02</v>
      </c>
      <c r="T162" s="2">
        <f t="shared" si="165"/>
        <v>0</v>
      </c>
      <c r="U162" s="2">
        <f>AH162</f>
        <v>425.39542500000005</v>
      </c>
      <c r="V162" s="2">
        <f>AI162</f>
        <v>0</v>
      </c>
      <c r="W162" s="2">
        <f>ROUND(AJ162,2)</f>
        <v>0</v>
      </c>
      <c r="X162" s="2">
        <f>ROUND(AK162,2)</f>
        <v>77586.61</v>
      </c>
      <c r="Y162" s="2">
        <f>ROUND(AL162,2)</f>
        <v>11083.81</v>
      </c>
      <c r="Z162" s="2"/>
      <c r="AA162" s="2"/>
      <c r="AB162" s="2">
        <f>ROUND(SUMIF(AA132:AA160,"=46561299",O132:O160),2)</f>
        <v>327367.31</v>
      </c>
      <c r="AC162" s="2">
        <f>ROUND(SUMIF(AA132:AA160,"=46561299",P132:P160),2)</f>
        <v>157421.32999999999</v>
      </c>
      <c r="AD162" s="2">
        <f>ROUND(SUMIF(AA132:AA160,"=46561299",Q132:Q160),2)</f>
        <v>59107.96</v>
      </c>
      <c r="AE162" s="2">
        <f>ROUND(SUMIF(AA132:AA160,"=46561299",R132:R160),2)</f>
        <v>37564</v>
      </c>
      <c r="AF162" s="2">
        <f>ROUND(SUMIF(AA132:AA160,"=46561299",S132:S160),2)</f>
        <v>110838.02</v>
      </c>
      <c r="AG162" s="2">
        <f>ROUND(SUMIF(AA132:AA160,"=46561299",T132:T160),2)</f>
        <v>0</v>
      </c>
      <c r="AH162" s="2">
        <f>SUMIF(AA132:AA160,"=46561299",U132:U160)</f>
        <v>425.39542500000005</v>
      </c>
      <c r="AI162" s="2">
        <f>SUMIF(AA132:AA160,"=46561299",V132:V160)</f>
        <v>0</v>
      </c>
      <c r="AJ162" s="2">
        <f>ROUND(SUMIF(AA132:AA160,"=46561299",W132:W160),2)</f>
        <v>0</v>
      </c>
      <c r="AK162" s="2">
        <f>ROUND(SUMIF(AA132:AA160,"=46561299",X132:X160),2)</f>
        <v>77586.61</v>
      </c>
      <c r="AL162" s="2">
        <f>ROUND(SUMIF(AA132:AA160,"=46561299",Y132:Y160),2)</f>
        <v>11083.81</v>
      </c>
      <c r="AM162" s="2"/>
      <c r="AN162" s="2"/>
      <c r="AO162" s="2">
        <f t="shared" ref="AO162:BC162" si="166">ROUND(BX162,2)</f>
        <v>0</v>
      </c>
      <c r="AP162" s="2">
        <f t="shared" si="166"/>
        <v>0</v>
      </c>
      <c r="AQ162" s="2">
        <f t="shared" si="166"/>
        <v>0</v>
      </c>
      <c r="AR162" s="2">
        <f t="shared" si="166"/>
        <v>456167.43</v>
      </c>
      <c r="AS162" s="2">
        <f t="shared" si="166"/>
        <v>0</v>
      </c>
      <c r="AT162" s="2">
        <f t="shared" si="166"/>
        <v>0</v>
      </c>
      <c r="AU162" s="2">
        <f t="shared" si="166"/>
        <v>456167.43</v>
      </c>
      <c r="AV162" s="2">
        <f t="shared" si="166"/>
        <v>157421.32999999999</v>
      </c>
      <c r="AW162" s="2">
        <f t="shared" si="166"/>
        <v>157421.32999999999</v>
      </c>
      <c r="AX162" s="2">
        <f t="shared" si="166"/>
        <v>0</v>
      </c>
      <c r="AY162" s="2">
        <f t="shared" si="166"/>
        <v>157421.32999999999</v>
      </c>
      <c r="AZ162" s="2">
        <f t="shared" si="166"/>
        <v>0</v>
      </c>
      <c r="BA162" s="2">
        <f t="shared" si="166"/>
        <v>0</v>
      </c>
      <c r="BB162" s="2">
        <f t="shared" si="166"/>
        <v>0</v>
      </c>
      <c r="BC162" s="2">
        <f t="shared" si="166"/>
        <v>0</v>
      </c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>
        <f>ROUND(SUMIF(AA132:AA160,"=46561299",FQ132:FQ160),2)</f>
        <v>0</v>
      </c>
      <c r="BY162" s="2">
        <f>ROUND(SUMIF(AA132:AA160,"=46561299",FR132:FR160),2)</f>
        <v>0</v>
      </c>
      <c r="BZ162" s="2">
        <f>ROUND(SUMIF(AA132:AA160,"=46561299",GL132:GL160),2)</f>
        <v>0</v>
      </c>
      <c r="CA162" s="2">
        <f>ROUND(SUMIF(AA132:AA160,"=46561299",GM132:GM160),2)</f>
        <v>456167.43</v>
      </c>
      <c r="CB162" s="2">
        <f>ROUND(SUMIF(AA132:AA160,"=46561299",GN132:GN160),2)</f>
        <v>0</v>
      </c>
      <c r="CC162" s="2">
        <f>ROUND(SUMIF(AA132:AA160,"=46561299",GO132:GO160),2)</f>
        <v>0</v>
      </c>
      <c r="CD162" s="2">
        <f>ROUND(SUMIF(AA132:AA160,"=46561299",GP132:GP160),2)</f>
        <v>456167.43</v>
      </c>
      <c r="CE162" s="2">
        <f>AC162-BX162</f>
        <v>157421.32999999999</v>
      </c>
      <c r="CF162" s="2">
        <f>AC162-BY162</f>
        <v>157421.32999999999</v>
      </c>
      <c r="CG162" s="2">
        <f>BX162-BZ162</f>
        <v>0</v>
      </c>
      <c r="CH162" s="2">
        <f>AC162-BX162-BY162+BZ162</f>
        <v>157421.32999999999</v>
      </c>
      <c r="CI162" s="2">
        <f>BY162-BZ162</f>
        <v>0</v>
      </c>
      <c r="CJ162" s="2">
        <f>ROUND(SUMIF(AA132:AA160,"=46561299",GX132:GX160),2)</f>
        <v>0</v>
      </c>
      <c r="CK162" s="2">
        <f>ROUND(SUMIF(AA132:AA160,"=46561299",GY132:GY160),2)</f>
        <v>0</v>
      </c>
      <c r="CL162" s="2">
        <f>ROUND(SUMIF(AA132:AA160,"=46561299",GZ132:GZ160),2)</f>
        <v>0</v>
      </c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>
        <v>0</v>
      </c>
    </row>
    <row r="164" spans="1:206" x14ac:dyDescent="0.2">
      <c r="A164" s="4">
        <v>50</v>
      </c>
      <c r="B164" s="4">
        <v>0</v>
      </c>
      <c r="C164" s="4">
        <v>0</v>
      </c>
      <c r="D164" s="4">
        <v>1</v>
      </c>
      <c r="E164" s="4">
        <v>201</v>
      </c>
      <c r="F164" s="4">
        <f>ROUND(Source!O162,O164)</f>
        <v>327367.31</v>
      </c>
      <c r="G164" s="4" t="s">
        <v>96</v>
      </c>
      <c r="H164" s="4" t="s">
        <v>97</v>
      </c>
      <c r="I164" s="4"/>
      <c r="J164" s="4"/>
      <c r="K164" s="4">
        <v>201</v>
      </c>
      <c r="L164" s="4">
        <v>1</v>
      </c>
      <c r="M164" s="4">
        <v>3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206" x14ac:dyDescent="0.2">
      <c r="A165" s="4">
        <v>50</v>
      </c>
      <c r="B165" s="4">
        <v>0</v>
      </c>
      <c r="C165" s="4">
        <v>0</v>
      </c>
      <c r="D165" s="4">
        <v>1</v>
      </c>
      <c r="E165" s="4">
        <v>202</v>
      </c>
      <c r="F165" s="4">
        <f>ROUND(Source!P162,O165)</f>
        <v>157421.32999999999</v>
      </c>
      <c r="G165" s="4" t="s">
        <v>98</v>
      </c>
      <c r="H165" s="4" t="s">
        <v>99</v>
      </c>
      <c r="I165" s="4"/>
      <c r="J165" s="4"/>
      <c r="K165" s="4">
        <v>202</v>
      </c>
      <c r="L165" s="4">
        <v>2</v>
      </c>
      <c r="M165" s="4">
        <v>3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06" x14ac:dyDescent="0.2">
      <c r="A166" s="4">
        <v>50</v>
      </c>
      <c r="B166" s="4">
        <v>0</v>
      </c>
      <c r="C166" s="4">
        <v>0</v>
      </c>
      <c r="D166" s="4">
        <v>1</v>
      </c>
      <c r="E166" s="4">
        <v>222</v>
      </c>
      <c r="F166" s="4">
        <f>ROUND(Source!AO162,O166)</f>
        <v>0</v>
      </c>
      <c r="G166" s="4" t="s">
        <v>100</v>
      </c>
      <c r="H166" s="4" t="s">
        <v>101</v>
      </c>
      <c r="I166" s="4"/>
      <c r="J166" s="4"/>
      <c r="K166" s="4">
        <v>222</v>
      </c>
      <c r="L166" s="4">
        <v>3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06" x14ac:dyDescent="0.2">
      <c r="A167" s="4">
        <v>50</v>
      </c>
      <c r="B167" s="4">
        <v>0</v>
      </c>
      <c r="C167" s="4">
        <v>0</v>
      </c>
      <c r="D167" s="4">
        <v>1</v>
      </c>
      <c r="E167" s="4">
        <v>225</v>
      </c>
      <c r="F167" s="4">
        <f>ROUND(Source!AV162,O167)</f>
        <v>157421.32999999999</v>
      </c>
      <c r="G167" s="4" t="s">
        <v>102</v>
      </c>
      <c r="H167" s="4" t="s">
        <v>103</v>
      </c>
      <c r="I167" s="4"/>
      <c r="J167" s="4"/>
      <c r="K167" s="4">
        <v>225</v>
      </c>
      <c r="L167" s="4">
        <v>4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06" x14ac:dyDescent="0.2">
      <c r="A168" s="4">
        <v>50</v>
      </c>
      <c r="B168" s="4">
        <v>0</v>
      </c>
      <c r="C168" s="4">
        <v>0</v>
      </c>
      <c r="D168" s="4">
        <v>1</v>
      </c>
      <c r="E168" s="4">
        <v>226</v>
      </c>
      <c r="F168" s="4">
        <f>ROUND(Source!AW162,O168)</f>
        <v>157421.32999999999</v>
      </c>
      <c r="G168" s="4" t="s">
        <v>104</v>
      </c>
      <c r="H168" s="4" t="s">
        <v>105</v>
      </c>
      <c r="I168" s="4"/>
      <c r="J168" s="4"/>
      <c r="K168" s="4">
        <v>226</v>
      </c>
      <c r="L168" s="4">
        <v>5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06" x14ac:dyDescent="0.2">
      <c r="A169" s="4">
        <v>50</v>
      </c>
      <c r="B169" s="4">
        <v>0</v>
      </c>
      <c r="C169" s="4">
        <v>0</v>
      </c>
      <c r="D169" s="4">
        <v>1</v>
      </c>
      <c r="E169" s="4">
        <v>227</v>
      </c>
      <c r="F169" s="4">
        <f>ROUND(Source!AX162,O169)</f>
        <v>0</v>
      </c>
      <c r="G169" s="4" t="s">
        <v>106</v>
      </c>
      <c r="H169" s="4" t="s">
        <v>107</v>
      </c>
      <c r="I169" s="4"/>
      <c r="J169" s="4"/>
      <c r="K169" s="4">
        <v>227</v>
      </c>
      <c r="L169" s="4">
        <v>6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06" x14ac:dyDescent="0.2">
      <c r="A170" s="4">
        <v>50</v>
      </c>
      <c r="B170" s="4">
        <v>0</v>
      </c>
      <c r="C170" s="4">
        <v>0</v>
      </c>
      <c r="D170" s="4">
        <v>1</v>
      </c>
      <c r="E170" s="4">
        <v>228</v>
      </c>
      <c r="F170" s="4">
        <f>ROUND(Source!AY162,O170)</f>
        <v>157421.32999999999</v>
      </c>
      <c r="G170" s="4" t="s">
        <v>108</v>
      </c>
      <c r="H170" s="4" t="s">
        <v>109</v>
      </c>
      <c r="I170" s="4"/>
      <c r="J170" s="4"/>
      <c r="K170" s="4">
        <v>228</v>
      </c>
      <c r="L170" s="4">
        <v>7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06" x14ac:dyDescent="0.2">
      <c r="A171" s="4">
        <v>50</v>
      </c>
      <c r="B171" s="4">
        <v>0</v>
      </c>
      <c r="C171" s="4">
        <v>0</v>
      </c>
      <c r="D171" s="4">
        <v>1</v>
      </c>
      <c r="E171" s="4">
        <v>216</v>
      </c>
      <c r="F171" s="4">
        <f>ROUND(Source!AP162,O171)</f>
        <v>0</v>
      </c>
      <c r="G171" s="4" t="s">
        <v>110</v>
      </c>
      <c r="H171" s="4" t="s">
        <v>111</v>
      </c>
      <c r="I171" s="4"/>
      <c r="J171" s="4"/>
      <c r="K171" s="4">
        <v>216</v>
      </c>
      <c r="L171" s="4">
        <v>8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06" x14ac:dyDescent="0.2">
      <c r="A172" s="4">
        <v>50</v>
      </c>
      <c r="B172" s="4">
        <v>0</v>
      </c>
      <c r="C172" s="4">
        <v>0</v>
      </c>
      <c r="D172" s="4">
        <v>1</v>
      </c>
      <c r="E172" s="4">
        <v>223</v>
      </c>
      <c r="F172" s="4">
        <f>ROUND(Source!AQ162,O172)</f>
        <v>0</v>
      </c>
      <c r="G172" s="4" t="s">
        <v>112</v>
      </c>
      <c r="H172" s="4" t="s">
        <v>113</v>
      </c>
      <c r="I172" s="4"/>
      <c r="J172" s="4"/>
      <c r="K172" s="4">
        <v>223</v>
      </c>
      <c r="L172" s="4">
        <v>9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06" x14ac:dyDescent="0.2">
      <c r="A173" s="4">
        <v>50</v>
      </c>
      <c r="B173" s="4">
        <v>0</v>
      </c>
      <c r="C173" s="4">
        <v>0</v>
      </c>
      <c r="D173" s="4">
        <v>1</v>
      </c>
      <c r="E173" s="4">
        <v>229</v>
      </c>
      <c r="F173" s="4">
        <f>ROUND(Source!AZ162,O173)</f>
        <v>0</v>
      </c>
      <c r="G173" s="4" t="s">
        <v>114</v>
      </c>
      <c r="H173" s="4" t="s">
        <v>115</v>
      </c>
      <c r="I173" s="4"/>
      <c r="J173" s="4"/>
      <c r="K173" s="4">
        <v>229</v>
      </c>
      <c r="L173" s="4">
        <v>10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06" x14ac:dyDescent="0.2">
      <c r="A174" s="4">
        <v>50</v>
      </c>
      <c r="B174" s="4">
        <v>0</v>
      </c>
      <c r="C174" s="4">
        <v>0</v>
      </c>
      <c r="D174" s="4">
        <v>1</v>
      </c>
      <c r="E174" s="4">
        <v>203</v>
      </c>
      <c r="F174" s="4">
        <f>ROUND(Source!Q162,O174)</f>
        <v>59107.96</v>
      </c>
      <c r="G174" s="4" t="s">
        <v>116</v>
      </c>
      <c r="H174" s="4" t="s">
        <v>117</v>
      </c>
      <c r="I174" s="4"/>
      <c r="J174" s="4"/>
      <c r="K174" s="4">
        <v>203</v>
      </c>
      <c r="L174" s="4">
        <v>11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06" x14ac:dyDescent="0.2">
      <c r="A175" s="4">
        <v>50</v>
      </c>
      <c r="B175" s="4">
        <v>0</v>
      </c>
      <c r="C175" s="4">
        <v>0</v>
      </c>
      <c r="D175" s="4">
        <v>1</v>
      </c>
      <c r="E175" s="4">
        <v>231</v>
      </c>
      <c r="F175" s="4">
        <f>ROUND(Source!BB162,O175)</f>
        <v>0</v>
      </c>
      <c r="G175" s="4" t="s">
        <v>118</v>
      </c>
      <c r="H175" s="4" t="s">
        <v>119</v>
      </c>
      <c r="I175" s="4"/>
      <c r="J175" s="4"/>
      <c r="K175" s="4">
        <v>231</v>
      </c>
      <c r="L175" s="4">
        <v>12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06" x14ac:dyDescent="0.2">
      <c r="A176" s="4">
        <v>50</v>
      </c>
      <c r="B176" s="4">
        <v>0</v>
      </c>
      <c r="C176" s="4">
        <v>0</v>
      </c>
      <c r="D176" s="4">
        <v>1</v>
      </c>
      <c r="E176" s="4">
        <v>204</v>
      </c>
      <c r="F176" s="4">
        <f>ROUND(Source!R162,O176)</f>
        <v>37564</v>
      </c>
      <c r="G176" s="4" t="s">
        <v>120</v>
      </c>
      <c r="H176" s="4" t="s">
        <v>121</v>
      </c>
      <c r="I176" s="4"/>
      <c r="J176" s="4"/>
      <c r="K176" s="4">
        <v>204</v>
      </c>
      <c r="L176" s="4">
        <v>13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88" x14ac:dyDescent="0.2">
      <c r="A177" s="4">
        <v>50</v>
      </c>
      <c r="B177" s="4">
        <v>0</v>
      </c>
      <c r="C177" s="4">
        <v>0</v>
      </c>
      <c r="D177" s="4">
        <v>1</v>
      </c>
      <c r="E177" s="4">
        <v>205</v>
      </c>
      <c r="F177" s="4">
        <f>ROUND(Source!S162,O177)</f>
        <v>110838.02</v>
      </c>
      <c r="G177" s="4" t="s">
        <v>122</v>
      </c>
      <c r="H177" s="4" t="s">
        <v>123</v>
      </c>
      <c r="I177" s="4"/>
      <c r="J177" s="4"/>
      <c r="K177" s="4">
        <v>205</v>
      </c>
      <c r="L177" s="4">
        <v>14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88" x14ac:dyDescent="0.2">
      <c r="A178" s="4">
        <v>50</v>
      </c>
      <c r="B178" s="4">
        <v>0</v>
      </c>
      <c r="C178" s="4">
        <v>0</v>
      </c>
      <c r="D178" s="4">
        <v>1</v>
      </c>
      <c r="E178" s="4">
        <v>232</v>
      </c>
      <c r="F178" s="4">
        <f>ROUND(Source!BC162,O178)</f>
        <v>0</v>
      </c>
      <c r="G178" s="4" t="s">
        <v>124</v>
      </c>
      <c r="H178" s="4" t="s">
        <v>125</v>
      </c>
      <c r="I178" s="4"/>
      <c r="J178" s="4"/>
      <c r="K178" s="4">
        <v>232</v>
      </c>
      <c r="L178" s="4">
        <v>15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88" x14ac:dyDescent="0.2">
      <c r="A179" s="4">
        <v>50</v>
      </c>
      <c r="B179" s="4">
        <v>0</v>
      </c>
      <c r="C179" s="4">
        <v>0</v>
      </c>
      <c r="D179" s="4">
        <v>1</v>
      </c>
      <c r="E179" s="4">
        <v>214</v>
      </c>
      <c r="F179" s="4">
        <f>ROUND(Source!AS162,O179)</f>
        <v>0</v>
      </c>
      <c r="G179" s="4" t="s">
        <v>126</v>
      </c>
      <c r="H179" s="4" t="s">
        <v>127</v>
      </c>
      <c r="I179" s="4"/>
      <c r="J179" s="4"/>
      <c r="K179" s="4">
        <v>214</v>
      </c>
      <c r="L179" s="4">
        <v>16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88" x14ac:dyDescent="0.2">
      <c r="A180" s="4">
        <v>50</v>
      </c>
      <c r="B180" s="4">
        <v>0</v>
      </c>
      <c r="C180" s="4">
        <v>0</v>
      </c>
      <c r="D180" s="4">
        <v>1</v>
      </c>
      <c r="E180" s="4">
        <v>215</v>
      </c>
      <c r="F180" s="4">
        <f>ROUND(Source!AT162,O180)</f>
        <v>0</v>
      </c>
      <c r="G180" s="4" t="s">
        <v>128</v>
      </c>
      <c r="H180" s="4" t="s">
        <v>129</v>
      </c>
      <c r="I180" s="4"/>
      <c r="J180" s="4"/>
      <c r="K180" s="4">
        <v>215</v>
      </c>
      <c r="L180" s="4">
        <v>17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88" x14ac:dyDescent="0.2">
      <c r="A181" s="4">
        <v>50</v>
      </c>
      <c r="B181" s="4">
        <v>0</v>
      </c>
      <c r="C181" s="4">
        <v>0</v>
      </c>
      <c r="D181" s="4">
        <v>1</v>
      </c>
      <c r="E181" s="4">
        <v>217</v>
      </c>
      <c r="F181" s="4">
        <f>ROUND(Source!AU162,O181)</f>
        <v>456167.43</v>
      </c>
      <c r="G181" s="4" t="s">
        <v>130</v>
      </c>
      <c r="H181" s="4" t="s">
        <v>131</v>
      </c>
      <c r="I181" s="4"/>
      <c r="J181" s="4"/>
      <c r="K181" s="4">
        <v>217</v>
      </c>
      <c r="L181" s="4">
        <v>18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88" x14ac:dyDescent="0.2">
      <c r="A182" s="4">
        <v>50</v>
      </c>
      <c r="B182" s="4">
        <v>0</v>
      </c>
      <c r="C182" s="4">
        <v>0</v>
      </c>
      <c r="D182" s="4">
        <v>1</v>
      </c>
      <c r="E182" s="4">
        <v>230</v>
      </c>
      <c r="F182" s="4">
        <f>ROUND(Source!BA162,O182)</f>
        <v>0</v>
      </c>
      <c r="G182" s="4" t="s">
        <v>132</v>
      </c>
      <c r="H182" s="4" t="s">
        <v>133</v>
      </c>
      <c r="I182" s="4"/>
      <c r="J182" s="4"/>
      <c r="K182" s="4">
        <v>230</v>
      </c>
      <c r="L182" s="4">
        <v>19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88" x14ac:dyDescent="0.2">
      <c r="A183" s="4">
        <v>50</v>
      </c>
      <c r="B183" s="4">
        <v>0</v>
      </c>
      <c r="C183" s="4">
        <v>0</v>
      </c>
      <c r="D183" s="4">
        <v>1</v>
      </c>
      <c r="E183" s="4">
        <v>206</v>
      </c>
      <c r="F183" s="4">
        <f>ROUND(Source!T162,O183)</f>
        <v>0</v>
      </c>
      <c r="G183" s="4" t="s">
        <v>134</v>
      </c>
      <c r="H183" s="4" t="s">
        <v>135</v>
      </c>
      <c r="I183" s="4"/>
      <c r="J183" s="4"/>
      <c r="K183" s="4">
        <v>206</v>
      </c>
      <c r="L183" s="4">
        <v>20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88" x14ac:dyDescent="0.2">
      <c r="A184" s="4">
        <v>50</v>
      </c>
      <c r="B184" s="4">
        <v>0</v>
      </c>
      <c r="C184" s="4">
        <v>0</v>
      </c>
      <c r="D184" s="4">
        <v>1</v>
      </c>
      <c r="E184" s="4">
        <v>207</v>
      </c>
      <c r="F184" s="4">
        <f>Source!U162</f>
        <v>425.39542500000005</v>
      </c>
      <c r="G184" s="4" t="s">
        <v>136</v>
      </c>
      <c r="H184" s="4" t="s">
        <v>137</v>
      </c>
      <c r="I184" s="4"/>
      <c r="J184" s="4"/>
      <c r="K184" s="4">
        <v>207</v>
      </c>
      <c r="L184" s="4">
        <v>21</v>
      </c>
      <c r="M184" s="4">
        <v>3</v>
      </c>
      <c r="N184" s="4" t="s">
        <v>3</v>
      </c>
      <c r="O184" s="4">
        <v>-1</v>
      </c>
      <c r="P184" s="4"/>
      <c r="Q184" s="4"/>
      <c r="R184" s="4"/>
      <c r="S184" s="4"/>
      <c r="T184" s="4"/>
      <c r="U184" s="4"/>
      <c r="V184" s="4"/>
      <c r="W184" s="4"/>
    </row>
    <row r="185" spans="1:88" x14ac:dyDescent="0.2">
      <c r="A185" s="4">
        <v>50</v>
      </c>
      <c r="B185" s="4">
        <v>0</v>
      </c>
      <c r="C185" s="4">
        <v>0</v>
      </c>
      <c r="D185" s="4">
        <v>1</v>
      </c>
      <c r="E185" s="4">
        <v>208</v>
      </c>
      <c r="F185" s="4">
        <f>Source!V162</f>
        <v>0</v>
      </c>
      <c r="G185" s="4" t="s">
        <v>138</v>
      </c>
      <c r="H185" s="4" t="s">
        <v>139</v>
      </c>
      <c r="I185" s="4"/>
      <c r="J185" s="4"/>
      <c r="K185" s="4">
        <v>208</v>
      </c>
      <c r="L185" s="4">
        <v>22</v>
      </c>
      <c r="M185" s="4">
        <v>3</v>
      </c>
      <c r="N185" s="4" t="s">
        <v>3</v>
      </c>
      <c r="O185" s="4">
        <v>-1</v>
      </c>
      <c r="P185" s="4"/>
      <c r="Q185" s="4"/>
      <c r="R185" s="4"/>
      <c r="S185" s="4"/>
      <c r="T185" s="4"/>
      <c r="U185" s="4"/>
      <c r="V185" s="4"/>
      <c r="W185" s="4"/>
    </row>
    <row r="186" spans="1:88" x14ac:dyDescent="0.2">
      <c r="A186" s="4">
        <v>50</v>
      </c>
      <c r="B186" s="4">
        <v>0</v>
      </c>
      <c r="C186" s="4">
        <v>0</v>
      </c>
      <c r="D186" s="4">
        <v>1</v>
      </c>
      <c r="E186" s="4">
        <v>209</v>
      </c>
      <c r="F186" s="4">
        <f>ROUND(Source!W162,O186)</f>
        <v>0</v>
      </c>
      <c r="G186" s="4" t="s">
        <v>140</v>
      </c>
      <c r="H186" s="4" t="s">
        <v>141</v>
      </c>
      <c r="I186" s="4"/>
      <c r="J186" s="4"/>
      <c r="K186" s="4">
        <v>209</v>
      </c>
      <c r="L186" s="4">
        <v>23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88" x14ac:dyDescent="0.2">
      <c r="A187" s="4">
        <v>50</v>
      </c>
      <c r="B187" s="4">
        <v>0</v>
      </c>
      <c r="C187" s="4">
        <v>0</v>
      </c>
      <c r="D187" s="4">
        <v>1</v>
      </c>
      <c r="E187" s="4">
        <v>210</v>
      </c>
      <c r="F187" s="4">
        <f>ROUND(Source!X162,O187)</f>
        <v>77586.61</v>
      </c>
      <c r="G187" s="4" t="s">
        <v>142</v>
      </c>
      <c r="H187" s="4" t="s">
        <v>143</v>
      </c>
      <c r="I187" s="4"/>
      <c r="J187" s="4"/>
      <c r="K187" s="4">
        <v>210</v>
      </c>
      <c r="L187" s="4">
        <v>24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88" x14ac:dyDescent="0.2">
      <c r="A188" s="4">
        <v>50</v>
      </c>
      <c r="B188" s="4">
        <v>0</v>
      </c>
      <c r="C188" s="4">
        <v>0</v>
      </c>
      <c r="D188" s="4">
        <v>1</v>
      </c>
      <c r="E188" s="4">
        <v>211</v>
      </c>
      <c r="F188" s="4">
        <f>ROUND(Source!Y162,O188)</f>
        <v>11083.81</v>
      </c>
      <c r="G188" s="4" t="s">
        <v>144</v>
      </c>
      <c r="H188" s="4" t="s">
        <v>145</v>
      </c>
      <c r="I188" s="4"/>
      <c r="J188" s="4"/>
      <c r="K188" s="4">
        <v>211</v>
      </c>
      <c r="L188" s="4">
        <v>25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88" x14ac:dyDescent="0.2">
      <c r="A189" s="4">
        <v>50</v>
      </c>
      <c r="B189" s="4">
        <v>0</v>
      </c>
      <c r="C189" s="4">
        <v>0</v>
      </c>
      <c r="D189" s="4">
        <v>1</v>
      </c>
      <c r="E189" s="4">
        <v>224</v>
      </c>
      <c r="F189" s="4">
        <f>ROUND(Source!AR162,O189)</f>
        <v>456167.43</v>
      </c>
      <c r="G189" s="4" t="s">
        <v>146</v>
      </c>
      <c r="H189" s="4" t="s">
        <v>147</v>
      </c>
      <c r="I189" s="4"/>
      <c r="J189" s="4"/>
      <c r="K189" s="4">
        <v>224</v>
      </c>
      <c r="L189" s="4">
        <v>26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1" spans="1:88" x14ac:dyDescent="0.2">
      <c r="A191" s="1">
        <v>4</v>
      </c>
      <c r="B191" s="1">
        <v>1</v>
      </c>
      <c r="C191" s="1"/>
      <c r="D191" s="1">
        <f>ROW(A217)</f>
        <v>217</v>
      </c>
      <c r="E191" s="1"/>
      <c r="F191" s="1" t="s">
        <v>12</v>
      </c>
      <c r="G191" s="1" t="s">
        <v>235</v>
      </c>
      <c r="H191" s="1" t="s">
        <v>3</v>
      </c>
      <c r="I191" s="1">
        <v>0</v>
      </c>
      <c r="J191" s="1"/>
      <c r="K191" s="1">
        <v>0</v>
      </c>
      <c r="L191" s="1"/>
      <c r="M191" s="1"/>
      <c r="N191" s="1"/>
      <c r="O191" s="1"/>
      <c r="P191" s="1"/>
      <c r="Q191" s="1"/>
      <c r="R191" s="1"/>
      <c r="S191" s="1"/>
      <c r="T191" s="1"/>
      <c r="U191" s="1" t="s">
        <v>3</v>
      </c>
      <c r="V191" s="1">
        <v>0</v>
      </c>
      <c r="W191" s="1"/>
      <c r="X191" s="1"/>
      <c r="Y191" s="1"/>
      <c r="Z191" s="1"/>
      <c r="AA191" s="1"/>
      <c r="AB191" s="1" t="s">
        <v>3</v>
      </c>
      <c r="AC191" s="1" t="s">
        <v>3</v>
      </c>
      <c r="AD191" s="1" t="s">
        <v>3</v>
      </c>
      <c r="AE191" s="1" t="s">
        <v>3</v>
      </c>
      <c r="AF191" s="1" t="s">
        <v>3</v>
      </c>
      <c r="AG191" s="1" t="s">
        <v>3</v>
      </c>
      <c r="AH191" s="1"/>
      <c r="AI191" s="1"/>
      <c r="AJ191" s="1"/>
      <c r="AK191" s="1"/>
      <c r="AL191" s="1"/>
      <c r="AM191" s="1"/>
      <c r="AN191" s="1"/>
      <c r="AO191" s="1"/>
      <c r="AP191" s="1" t="s">
        <v>3</v>
      </c>
      <c r="AQ191" s="1" t="s">
        <v>3</v>
      </c>
      <c r="AR191" s="1" t="s">
        <v>3</v>
      </c>
      <c r="AS191" s="1"/>
      <c r="AT191" s="1"/>
      <c r="AU191" s="1"/>
      <c r="AV191" s="1"/>
      <c r="AW191" s="1"/>
      <c r="AX191" s="1"/>
      <c r="AY191" s="1"/>
      <c r="AZ191" s="1" t="s">
        <v>3</v>
      </c>
      <c r="BA191" s="1"/>
      <c r="BB191" s="1" t="s">
        <v>3</v>
      </c>
      <c r="BC191" s="1" t="s">
        <v>3</v>
      </c>
      <c r="BD191" s="1" t="s">
        <v>3</v>
      </c>
      <c r="BE191" s="1" t="s">
        <v>3</v>
      </c>
      <c r="BF191" s="1" t="s">
        <v>3</v>
      </c>
      <c r="BG191" s="1" t="s">
        <v>3</v>
      </c>
      <c r="BH191" s="1" t="s">
        <v>3</v>
      </c>
      <c r="BI191" s="1" t="s">
        <v>3</v>
      </c>
      <c r="BJ191" s="1" t="s">
        <v>3</v>
      </c>
      <c r="BK191" s="1" t="s">
        <v>3</v>
      </c>
      <c r="BL191" s="1" t="s">
        <v>3</v>
      </c>
      <c r="BM191" s="1" t="s">
        <v>3</v>
      </c>
      <c r="BN191" s="1" t="s">
        <v>3</v>
      </c>
      <c r="BO191" s="1" t="s">
        <v>3</v>
      </c>
      <c r="BP191" s="1" t="s">
        <v>3</v>
      </c>
      <c r="BQ191" s="1"/>
      <c r="BR191" s="1"/>
      <c r="BS191" s="1"/>
      <c r="BT191" s="1"/>
      <c r="BU191" s="1"/>
      <c r="BV191" s="1"/>
      <c r="BW191" s="1"/>
      <c r="BX191" s="1">
        <v>0</v>
      </c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>
        <v>0</v>
      </c>
    </row>
    <row r="193" spans="1:245" x14ac:dyDescent="0.2">
      <c r="A193" s="2">
        <v>52</v>
      </c>
      <c r="B193" s="2">
        <f t="shared" ref="B193:G193" si="167">B217</f>
        <v>1</v>
      </c>
      <c r="C193" s="2">
        <f t="shared" si="167"/>
        <v>4</v>
      </c>
      <c r="D193" s="2">
        <f t="shared" si="167"/>
        <v>191</v>
      </c>
      <c r="E193" s="2">
        <f t="shared" si="167"/>
        <v>0</v>
      </c>
      <c r="F193" s="2" t="str">
        <f t="shared" si="167"/>
        <v>Новый раздел</v>
      </c>
      <c r="G193" s="2" t="str">
        <f t="shared" si="167"/>
        <v>Установка ограждения - Участок 4</v>
      </c>
      <c r="H193" s="2"/>
      <c r="I193" s="2"/>
      <c r="J193" s="2"/>
      <c r="K193" s="2"/>
      <c r="L193" s="2"/>
      <c r="M193" s="2"/>
      <c r="N193" s="2"/>
      <c r="O193" s="2">
        <f t="shared" ref="O193:AT193" si="168">O217</f>
        <v>345874.87</v>
      </c>
      <c r="P193" s="2">
        <f t="shared" si="168"/>
        <v>160697.97</v>
      </c>
      <c r="Q193" s="2">
        <f t="shared" si="168"/>
        <v>66208.259999999995</v>
      </c>
      <c r="R193" s="2">
        <f t="shared" si="168"/>
        <v>42359.76</v>
      </c>
      <c r="S193" s="2">
        <f t="shared" si="168"/>
        <v>118968.64</v>
      </c>
      <c r="T193" s="2">
        <f t="shared" si="168"/>
        <v>0</v>
      </c>
      <c r="U193" s="2">
        <f t="shared" si="168"/>
        <v>451.75302500000004</v>
      </c>
      <c r="V193" s="2">
        <f t="shared" si="168"/>
        <v>0</v>
      </c>
      <c r="W193" s="2">
        <f t="shared" si="168"/>
        <v>0</v>
      </c>
      <c r="X193" s="2">
        <f t="shared" si="168"/>
        <v>83278.05</v>
      </c>
      <c r="Y193" s="2">
        <f t="shared" si="168"/>
        <v>11896.87</v>
      </c>
      <c r="Z193" s="2">
        <f t="shared" si="168"/>
        <v>0</v>
      </c>
      <c r="AA193" s="2">
        <f t="shared" si="168"/>
        <v>0</v>
      </c>
      <c r="AB193" s="2">
        <f t="shared" si="168"/>
        <v>345874.87</v>
      </c>
      <c r="AC193" s="2">
        <f t="shared" si="168"/>
        <v>160697.97</v>
      </c>
      <c r="AD193" s="2">
        <f t="shared" si="168"/>
        <v>66208.259999999995</v>
      </c>
      <c r="AE193" s="2">
        <f t="shared" si="168"/>
        <v>42359.76</v>
      </c>
      <c r="AF193" s="2">
        <f t="shared" si="168"/>
        <v>118968.64</v>
      </c>
      <c r="AG193" s="2">
        <f t="shared" si="168"/>
        <v>0</v>
      </c>
      <c r="AH193" s="2">
        <f t="shared" si="168"/>
        <v>451.75302500000004</v>
      </c>
      <c r="AI193" s="2">
        <f t="shared" si="168"/>
        <v>0</v>
      </c>
      <c r="AJ193" s="2">
        <f t="shared" si="168"/>
        <v>0</v>
      </c>
      <c r="AK193" s="2">
        <f t="shared" si="168"/>
        <v>83278.05</v>
      </c>
      <c r="AL193" s="2">
        <f t="shared" si="168"/>
        <v>11896.87</v>
      </c>
      <c r="AM193" s="2">
        <f t="shared" si="168"/>
        <v>0</v>
      </c>
      <c r="AN193" s="2">
        <f t="shared" si="168"/>
        <v>0</v>
      </c>
      <c r="AO193" s="2">
        <f t="shared" si="168"/>
        <v>0</v>
      </c>
      <c r="AP193" s="2">
        <f t="shared" si="168"/>
        <v>0</v>
      </c>
      <c r="AQ193" s="2">
        <f t="shared" si="168"/>
        <v>0</v>
      </c>
      <c r="AR193" s="2">
        <f t="shared" si="168"/>
        <v>486798.31</v>
      </c>
      <c r="AS193" s="2">
        <f t="shared" si="168"/>
        <v>0</v>
      </c>
      <c r="AT193" s="2">
        <f t="shared" si="168"/>
        <v>0</v>
      </c>
      <c r="AU193" s="2">
        <f t="shared" ref="AU193:BZ193" si="169">AU217</f>
        <v>486798.31</v>
      </c>
      <c r="AV193" s="2">
        <f t="shared" si="169"/>
        <v>160697.97</v>
      </c>
      <c r="AW193" s="2">
        <f t="shared" si="169"/>
        <v>160697.97</v>
      </c>
      <c r="AX193" s="2">
        <f t="shared" si="169"/>
        <v>0</v>
      </c>
      <c r="AY193" s="2">
        <f t="shared" si="169"/>
        <v>160697.97</v>
      </c>
      <c r="AZ193" s="2">
        <f t="shared" si="169"/>
        <v>0</v>
      </c>
      <c r="BA193" s="2">
        <f t="shared" si="169"/>
        <v>0</v>
      </c>
      <c r="BB193" s="2">
        <f t="shared" si="169"/>
        <v>0</v>
      </c>
      <c r="BC193" s="2">
        <f t="shared" si="169"/>
        <v>0</v>
      </c>
      <c r="BD193" s="2">
        <f t="shared" si="169"/>
        <v>0</v>
      </c>
      <c r="BE193" s="2">
        <f t="shared" si="169"/>
        <v>0</v>
      </c>
      <c r="BF193" s="2">
        <f t="shared" si="169"/>
        <v>0</v>
      </c>
      <c r="BG193" s="2">
        <f t="shared" si="169"/>
        <v>0</v>
      </c>
      <c r="BH193" s="2">
        <f t="shared" si="169"/>
        <v>0</v>
      </c>
      <c r="BI193" s="2">
        <f t="shared" si="169"/>
        <v>0</v>
      </c>
      <c r="BJ193" s="2">
        <f t="shared" si="169"/>
        <v>0</v>
      </c>
      <c r="BK193" s="2">
        <f t="shared" si="169"/>
        <v>0</v>
      </c>
      <c r="BL193" s="2">
        <f t="shared" si="169"/>
        <v>0</v>
      </c>
      <c r="BM193" s="2">
        <f t="shared" si="169"/>
        <v>0</v>
      </c>
      <c r="BN193" s="2">
        <f t="shared" si="169"/>
        <v>0</v>
      </c>
      <c r="BO193" s="2">
        <f t="shared" si="169"/>
        <v>0</v>
      </c>
      <c r="BP193" s="2">
        <f t="shared" si="169"/>
        <v>0</v>
      </c>
      <c r="BQ193" s="2">
        <f t="shared" si="169"/>
        <v>0</v>
      </c>
      <c r="BR193" s="2">
        <f t="shared" si="169"/>
        <v>0</v>
      </c>
      <c r="BS193" s="2">
        <f t="shared" si="169"/>
        <v>0</v>
      </c>
      <c r="BT193" s="2">
        <f t="shared" si="169"/>
        <v>0</v>
      </c>
      <c r="BU193" s="2">
        <f t="shared" si="169"/>
        <v>0</v>
      </c>
      <c r="BV193" s="2">
        <f t="shared" si="169"/>
        <v>0</v>
      </c>
      <c r="BW193" s="2">
        <f t="shared" si="169"/>
        <v>0</v>
      </c>
      <c r="BX193" s="2">
        <f t="shared" si="169"/>
        <v>0</v>
      </c>
      <c r="BY193" s="2">
        <f t="shared" si="169"/>
        <v>0</v>
      </c>
      <c r="BZ193" s="2">
        <f t="shared" si="169"/>
        <v>0</v>
      </c>
      <c r="CA193" s="2">
        <f t="shared" ref="CA193:DF193" si="170">CA217</f>
        <v>486798.31</v>
      </c>
      <c r="CB193" s="2">
        <f t="shared" si="170"/>
        <v>0</v>
      </c>
      <c r="CC193" s="2">
        <f t="shared" si="170"/>
        <v>0</v>
      </c>
      <c r="CD193" s="2">
        <f t="shared" si="170"/>
        <v>486798.31</v>
      </c>
      <c r="CE193" s="2">
        <f t="shared" si="170"/>
        <v>160697.97</v>
      </c>
      <c r="CF193" s="2">
        <f t="shared" si="170"/>
        <v>160697.97</v>
      </c>
      <c r="CG193" s="2">
        <f t="shared" si="170"/>
        <v>0</v>
      </c>
      <c r="CH193" s="2">
        <f t="shared" si="170"/>
        <v>160697.97</v>
      </c>
      <c r="CI193" s="2">
        <f t="shared" si="170"/>
        <v>0</v>
      </c>
      <c r="CJ193" s="2">
        <f t="shared" si="170"/>
        <v>0</v>
      </c>
      <c r="CK193" s="2">
        <f t="shared" si="170"/>
        <v>0</v>
      </c>
      <c r="CL193" s="2">
        <f t="shared" si="170"/>
        <v>0</v>
      </c>
      <c r="CM193" s="2">
        <f t="shared" si="170"/>
        <v>0</v>
      </c>
      <c r="CN193" s="2">
        <f t="shared" si="170"/>
        <v>0</v>
      </c>
      <c r="CO193" s="2">
        <f t="shared" si="170"/>
        <v>0</v>
      </c>
      <c r="CP193" s="2">
        <f t="shared" si="170"/>
        <v>0</v>
      </c>
      <c r="CQ193" s="2">
        <f t="shared" si="170"/>
        <v>0</v>
      </c>
      <c r="CR193" s="2">
        <f t="shared" si="170"/>
        <v>0</v>
      </c>
      <c r="CS193" s="2">
        <f t="shared" si="170"/>
        <v>0</v>
      </c>
      <c r="CT193" s="2">
        <f t="shared" si="170"/>
        <v>0</v>
      </c>
      <c r="CU193" s="2">
        <f t="shared" si="170"/>
        <v>0</v>
      </c>
      <c r="CV193" s="2">
        <f t="shared" si="170"/>
        <v>0</v>
      </c>
      <c r="CW193" s="2">
        <f t="shared" si="170"/>
        <v>0</v>
      </c>
      <c r="CX193" s="2">
        <f t="shared" si="170"/>
        <v>0</v>
      </c>
      <c r="CY193" s="2">
        <f t="shared" si="170"/>
        <v>0</v>
      </c>
      <c r="CZ193" s="2">
        <f t="shared" si="170"/>
        <v>0</v>
      </c>
      <c r="DA193" s="2">
        <f t="shared" si="170"/>
        <v>0</v>
      </c>
      <c r="DB193" s="2">
        <f t="shared" si="170"/>
        <v>0</v>
      </c>
      <c r="DC193" s="2">
        <f t="shared" si="170"/>
        <v>0</v>
      </c>
      <c r="DD193" s="2">
        <f t="shared" si="170"/>
        <v>0</v>
      </c>
      <c r="DE193" s="2">
        <f t="shared" si="170"/>
        <v>0</v>
      </c>
      <c r="DF193" s="2">
        <f t="shared" si="170"/>
        <v>0</v>
      </c>
      <c r="DG193" s="3">
        <f t="shared" ref="DG193:EL193" si="171">DG217</f>
        <v>0</v>
      </c>
      <c r="DH193" s="3">
        <f t="shared" si="171"/>
        <v>0</v>
      </c>
      <c r="DI193" s="3">
        <f t="shared" si="171"/>
        <v>0</v>
      </c>
      <c r="DJ193" s="3">
        <f t="shared" si="171"/>
        <v>0</v>
      </c>
      <c r="DK193" s="3">
        <f t="shared" si="171"/>
        <v>0</v>
      </c>
      <c r="DL193" s="3">
        <f t="shared" si="171"/>
        <v>0</v>
      </c>
      <c r="DM193" s="3">
        <f t="shared" si="171"/>
        <v>0</v>
      </c>
      <c r="DN193" s="3">
        <f t="shared" si="171"/>
        <v>0</v>
      </c>
      <c r="DO193" s="3">
        <f t="shared" si="171"/>
        <v>0</v>
      </c>
      <c r="DP193" s="3">
        <f t="shared" si="171"/>
        <v>0</v>
      </c>
      <c r="DQ193" s="3">
        <f t="shared" si="171"/>
        <v>0</v>
      </c>
      <c r="DR193" s="3">
        <f t="shared" si="171"/>
        <v>0</v>
      </c>
      <c r="DS193" s="3">
        <f t="shared" si="171"/>
        <v>0</v>
      </c>
      <c r="DT193" s="3">
        <f t="shared" si="171"/>
        <v>0</v>
      </c>
      <c r="DU193" s="3">
        <f t="shared" si="171"/>
        <v>0</v>
      </c>
      <c r="DV193" s="3">
        <f t="shared" si="171"/>
        <v>0</v>
      </c>
      <c r="DW193" s="3">
        <f t="shared" si="171"/>
        <v>0</v>
      </c>
      <c r="DX193" s="3">
        <f t="shared" si="171"/>
        <v>0</v>
      </c>
      <c r="DY193" s="3">
        <f t="shared" si="171"/>
        <v>0</v>
      </c>
      <c r="DZ193" s="3">
        <f t="shared" si="171"/>
        <v>0</v>
      </c>
      <c r="EA193" s="3">
        <f t="shared" si="171"/>
        <v>0</v>
      </c>
      <c r="EB193" s="3">
        <f t="shared" si="171"/>
        <v>0</v>
      </c>
      <c r="EC193" s="3">
        <f t="shared" si="171"/>
        <v>0</v>
      </c>
      <c r="ED193" s="3">
        <f t="shared" si="171"/>
        <v>0</v>
      </c>
      <c r="EE193" s="3">
        <f t="shared" si="171"/>
        <v>0</v>
      </c>
      <c r="EF193" s="3">
        <f t="shared" si="171"/>
        <v>0</v>
      </c>
      <c r="EG193" s="3">
        <f t="shared" si="171"/>
        <v>0</v>
      </c>
      <c r="EH193" s="3">
        <f t="shared" si="171"/>
        <v>0</v>
      </c>
      <c r="EI193" s="3">
        <f t="shared" si="171"/>
        <v>0</v>
      </c>
      <c r="EJ193" s="3">
        <f t="shared" si="171"/>
        <v>0</v>
      </c>
      <c r="EK193" s="3">
        <f t="shared" si="171"/>
        <v>0</v>
      </c>
      <c r="EL193" s="3">
        <f t="shared" si="171"/>
        <v>0</v>
      </c>
      <c r="EM193" s="3">
        <f t="shared" ref="EM193:FR193" si="172">EM217</f>
        <v>0</v>
      </c>
      <c r="EN193" s="3">
        <f t="shared" si="172"/>
        <v>0</v>
      </c>
      <c r="EO193" s="3">
        <f t="shared" si="172"/>
        <v>0</v>
      </c>
      <c r="EP193" s="3">
        <f t="shared" si="172"/>
        <v>0</v>
      </c>
      <c r="EQ193" s="3">
        <f t="shared" si="172"/>
        <v>0</v>
      </c>
      <c r="ER193" s="3">
        <f t="shared" si="172"/>
        <v>0</v>
      </c>
      <c r="ES193" s="3">
        <f t="shared" si="172"/>
        <v>0</v>
      </c>
      <c r="ET193" s="3">
        <f t="shared" si="172"/>
        <v>0</v>
      </c>
      <c r="EU193" s="3">
        <f t="shared" si="172"/>
        <v>0</v>
      </c>
      <c r="EV193" s="3">
        <f t="shared" si="172"/>
        <v>0</v>
      </c>
      <c r="EW193" s="3">
        <f t="shared" si="172"/>
        <v>0</v>
      </c>
      <c r="EX193" s="3">
        <f t="shared" si="172"/>
        <v>0</v>
      </c>
      <c r="EY193" s="3">
        <f t="shared" si="172"/>
        <v>0</v>
      </c>
      <c r="EZ193" s="3">
        <f t="shared" si="172"/>
        <v>0</v>
      </c>
      <c r="FA193" s="3">
        <f t="shared" si="172"/>
        <v>0</v>
      </c>
      <c r="FB193" s="3">
        <f t="shared" si="172"/>
        <v>0</v>
      </c>
      <c r="FC193" s="3">
        <f t="shared" si="172"/>
        <v>0</v>
      </c>
      <c r="FD193" s="3">
        <f t="shared" si="172"/>
        <v>0</v>
      </c>
      <c r="FE193" s="3">
        <f t="shared" si="172"/>
        <v>0</v>
      </c>
      <c r="FF193" s="3">
        <f t="shared" si="172"/>
        <v>0</v>
      </c>
      <c r="FG193" s="3">
        <f t="shared" si="172"/>
        <v>0</v>
      </c>
      <c r="FH193" s="3">
        <f t="shared" si="172"/>
        <v>0</v>
      </c>
      <c r="FI193" s="3">
        <f t="shared" si="172"/>
        <v>0</v>
      </c>
      <c r="FJ193" s="3">
        <f t="shared" si="172"/>
        <v>0</v>
      </c>
      <c r="FK193" s="3">
        <f t="shared" si="172"/>
        <v>0</v>
      </c>
      <c r="FL193" s="3">
        <f t="shared" si="172"/>
        <v>0</v>
      </c>
      <c r="FM193" s="3">
        <f t="shared" si="172"/>
        <v>0</v>
      </c>
      <c r="FN193" s="3">
        <f t="shared" si="172"/>
        <v>0</v>
      </c>
      <c r="FO193" s="3">
        <f t="shared" si="172"/>
        <v>0</v>
      </c>
      <c r="FP193" s="3">
        <f t="shared" si="172"/>
        <v>0</v>
      </c>
      <c r="FQ193" s="3">
        <f t="shared" si="172"/>
        <v>0</v>
      </c>
      <c r="FR193" s="3">
        <f t="shared" si="172"/>
        <v>0</v>
      </c>
      <c r="FS193" s="3">
        <f t="shared" ref="FS193:GX193" si="173">FS217</f>
        <v>0</v>
      </c>
      <c r="FT193" s="3">
        <f t="shared" si="173"/>
        <v>0</v>
      </c>
      <c r="FU193" s="3">
        <f t="shared" si="173"/>
        <v>0</v>
      </c>
      <c r="FV193" s="3">
        <f t="shared" si="173"/>
        <v>0</v>
      </c>
      <c r="FW193" s="3">
        <f t="shared" si="173"/>
        <v>0</v>
      </c>
      <c r="FX193" s="3">
        <f t="shared" si="173"/>
        <v>0</v>
      </c>
      <c r="FY193" s="3">
        <f t="shared" si="173"/>
        <v>0</v>
      </c>
      <c r="FZ193" s="3">
        <f t="shared" si="173"/>
        <v>0</v>
      </c>
      <c r="GA193" s="3">
        <f t="shared" si="173"/>
        <v>0</v>
      </c>
      <c r="GB193" s="3">
        <f t="shared" si="173"/>
        <v>0</v>
      </c>
      <c r="GC193" s="3">
        <f t="shared" si="173"/>
        <v>0</v>
      </c>
      <c r="GD193" s="3">
        <f t="shared" si="173"/>
        <v>0</v>
      </c>
      <c r="GE193" s="3">
        <f t="shared" si="173"/>
        <v>0</v>
      </c>
      <c r="GF193" s="3">
        <f t="shared" si="173"/>
        <v>0</v>
      </c>
      <c r="GG193" s="3">
        <f t="shared" si="173"/>
        <v>0</v>
      </c>
      <c r="GH193" s="3">
        <f t="shared" si="173"/>
        <v>0</v>
      </c>
      <c r="GI193" s="3">
        <f t="shared" si="173"/>
        <v>0</v>
      </c>
      <c r="GJ193" s="3">
        <f t="shared" si="173"/>
        <v>0</v>
      </c>
      <c r="GK193" s="3">
        <f t="shared" si="173"/>
        <v>0</v>
      </c>
      <c r="GL193" s="3">
        <f t="shared" si="173"/>
        <v>0</v>
      </c>
      <c r="GM193" s="3">
        <f t="shared" si="173"/>
        <v>0</v>
      </c>
      <c r="GN193" s="3">
        <f t="shared" si="173"/>
        <v>0</v>
      </c>
      <c r="GO193" s="3">
        <f t="shared" si="173"/>
        <v>0</v>
      </c>
      <c r="GP193" s="3">
        <f t="shared" si="173"/>
        <v>0</v>
      </c>
      <c r="GQ193" s="3">
        <f t="shared" si="173"/>
        <v>0</v>
      </c>
      <c r="GR193" s="3">
        <f t="shared" si="173"/>
        <v>0</v>
      </c>
      <c r="GS193" s="3">
        <f t="shared" si="173"/>
        <v>0</v>
      </c>
      <c r="GT193" s="3">
        <f t="shared" si="173"/>
        <v>0</v>
      </c>
      <c r="GU193" s="3">
        <f t="shared" si="173"/>
        <v>0</v>
      </c>
      <c r="GV193" s="3">
        <f t="shared" si="173"/>
        <v>0</v>
      </c>
      <c r="GW193" s="3">
        <f t="shared" si="173"/>
        <v>0</v>
      </c>
      <c r="GX193" s="3">
        <f t="shared" si="173"/>
        <v>0</v>
      </c>
    </row>
    <row r="195" spans="1:245" x14ac:dyDescent="0.2">
      <c r="A195">
        <v>17</v>
      </c>
      <c r="B195">
        <v>1</v>
      </c>
      <c r="C195">
        <f>ROW(SmtRes!A186)</f>
        <v>186</v>
      </c>
      <c r="D195">
        <f>ROW(EtalonRes!A165)</f>
        <v>165</v>
      </c>
      <c r="E195" t="s">
        <v>236</v>
      </c>
      <c r="F195" t="s">
        <v>59</v>
      </c>
      <c r="G195" t="s">
        <v>172</v>
      </c>
      <c r="H195" t="s">
        <v>40</v>
      </c>
      <c r="I195">
        <v>124.2</v>
      </c>
      <c r="J195">
        <v>0</v>
      </c>
      <c r="O195">
        <f t="shared" ref="O195:O215" si="174">ROUND(CP195,2)</f>
        <v>31282.75</v>
      </c>
      <c r="P195">
        <f t="shared" ref="P195:P215" si="175">ROUND(CQ195*I195,2)</f>
        <v>0</v>
      </c>
      <c r="Q195">
        <f t="shared" ref="Q195:Q215" si="176">ROUND(CR195*I195,2)</f>
        <v>11532.47</v>
      </c>
      <c r="R195">
        <f t="shared" ref="R195:R215" si="177">ROUND(CS195*I195,2)</f>
        <v>7352.14</v>
      </c>
      <c r="S195">
        <f t="shared" ref="S195:S215" si="178">ROUND(CT195*I195,2)</f>
        <v>19750.28</v>
      </c>
      <c r="T195">
        <f t="shared" ref="T195:T215" si="179">ROUND(CU195*I195,2)</f>
        <v>0</v>
      </c>
      <c r="U195">
        <f t="shared" ref="U195:U215" si="180">CV195*I195</f>
        <v>73.774800000000013</v>
      </c>
      <c r="V195">
        <f t="shared" ref="V195:V215" si="181">CW195*I195</f>
        <v>0</v>
      </c>
      <c r="W195">
        <f t="shared" ref="W195:W215" si="182">ROUND(CX195*I195,2)</f>
        <v>0</v>
      </c>
      <c r="X195">
        <f t="shared" ref="X195:X215" si="183">ROUND(CY195,2)</f>
        <v>13825.2</v>
      </c>
      <c r="Y195">
        <f t="shared" ref="Y195:Y215" si="184">ROUND(CZ195,2)</f>
        <v>1975.03</v>
      </c>
      <c r="AA195">
        <v>46561299</v>
      </c>
      <c r="AB195">
        <f t="shared" ref="AB195:AB215" si="185">ROUND((AC195+AD195+AF195),6)</f>
        <v>251.874</v>
      </c>
      <c r="AC195">
        <f>ROUND(((ES195*0)),6)</f>
        <v>0</v>
      </c>
      <c r="AD195">
        <f>ROUND(((((ET195*0.2))-((EU195*0.2)))+AE195),6)</f>
        <v>92.853999999999999</v>
      </c>
      <c r="AE195">
        <f>ROUND(((EU195*0.2)),6)</f>
        <v>59.195999999999998</v>
      </c>
      <c r="AF195">
        <f>ROUND(((EV195*0.2)),6)</f>
        <v>159.02000000000001</v>
      </c>
      <c r="AG195">
        <f t="shared" ref="AG195:AG215" si="186">ROUND((AP195),6)</f>
        <v>0</v>
      </c>
      <c r="AH195">
        <f>((EW195*0.2))</f>
        <v>0.59400000000000008</v>
      </c>
      <c r="AI195">
        <f>((EX195*0.2))</f>
        <v>0</v>
      </c>
      <c r="AJ195">
        <f t="shared" ref="AJ195:AJ215" si="187">(AS195)</f>
        <v>0</v>
      </c>
      <c r="AK195">
        <v>6946.74</v>
      </c>
      <c r="AL195">
        <v>5687.37</v>
      </c>
      <c r="AM195">
        <v>464.27</v>
      </c>
      <c r="AN195">
        <v>295.98</v>
      </c>
      <c r="AO195">
        <v>795.1</v>
      </c>
      <c r="AP195">
        <v>0</v>
      </c>
      <c r="AQ195">
        <v>2.97</v>
      </c>
      <c r="AR195">
        <v>0</v>
      </c>
      <c r="AS195">
        <v>0</v>
      </c>
      <c r="AT195">
        <v>70</v>
      </c>
      <c r="AU195">
        <v>10</v>
      </c>
      <c r="AV195">
        <v>1</v>
      </c>
      <c r="AW195">
        <v>1</v>
      </c>
      <c r="AZ195">
        <v>1</v>
      </c>
      <c r="BA195">
        <v>1</v>
      </c>
      <c r="BB195">
        <v>1</v>
      </c>
      <c r="BC195">
        <v>1</v>
      </c>
      <c r="BD195" t="s">
        <v>3</v>
      </c>
      <c r="BE195" t="s">
        <v>3</v>
      </c>
      <c r="BF195" t="s">
        <v>3</v>
      </c>
      <c r="BG195" t="s">
        <v>3</v>
      </c>
      <c r="BH195">
        <v>0</v>
      </c>
      <c r="BI195">
        <v>4</v>
      </c>
      <c r="BJ195" t="s">
        <v>61</v>
      </c>
      <c r="BM195">
        <v>0</v>
      </c>
      <c r="BN195">
        <v>0</v>
      </c>
      <c r="BO195" t="s">
        <v>3</v>
      </c>
      <c r="BP195">
        <v>0</v>
      </c>
      <c r="BQ195">
        <v>1</v>
      </c>
      <c r="BR195">
        <v>0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 t="s">
        <v>3</v>
      </c>
      <c r="BZ195">
        <v>70</v>
      </c>
      <c r="CA195">
        <v>10</v>
      </c>
      <c r="CE195">
        <v>0</v>
      </c>
      <c r="CF195">
        <v>0</v>
      </c>
      <c r="CG195">
        <v>0</v>
      </c>
      <c r="CM195">
        <v>0</v>
      </c>
      <c r="CN195" t="s">
        <v>395</v>
      </c>
      <c r="CO195">
        <v>0</v>
      </c>
      <c r="CP195">
        <f t="shared" ref="CP195:CP215" si="188">(P195+Q195+S195)</f>
        <v>31282.75</v>
      </c>
      <c r="CQ195">
        <f t="shared" ref="CQ195:CQ215" si="189">(AC195*BC195*AW195)</f>
        <v>0</v>
      </c>
      <c r="CR195">
        <f>(((((ET195*0.2))*BB195-((EU195*0.2))*BS195)+AE195*BS195)*AV195)</f>
        <v>92.853999999999985</v>
      </c>
      <c r="CS195">
        <f t="shared" ref="CS195:CS215" si="190">(AE195*BS195*AV195)</f>
        <v>59.195999999999998</v>
      </c>
      <c r="CT195">
        <f t="shared" ref="CT195:CT215" si="191">(AF195*BA195*AV195)</f>
        <v>159.02000000000001</v>
      </c>
      <c r="CU195">
        <f t="shared" ref="CU195:CU215" si="192">AG195</f>
        <v>0</v>
      </c>
      <c r="CV195">
        <f t="shared" ref="CV195:CV215" si="193">(AH195*AV195)</f>
        <v>0.59400000000000008</v>
      </c>
      <c r="CW195">
        <f t="shared" ref="CW195:CW215" si="194">AI195</f>
        <v>0</v>
      </c>
      <c r="CX195">
        <f t="shared" ref="CX195:CX215" si="195">AJ195</f>
        <v>0</v>
      </c>
      <c r="CY195">
        <f t="shared" ref="CY195:CY215" si="196">((S195*BZ195)/100)</f>
        <v>13825.195999999998</v>
      </c>
      <c r="CZ195">
        <f t="shared" ref="CZ195:CZ215" si="197">((S195*CA195)/100)</f>
        <v>1975.0279999999998</v>
      </c>
      <c r="DC195" t="s">
        <v>3</v>
      </c>
      <c r="DD195" t="s">
        <v>173</v>
      </c>
      <c r="DE195" t="s">
        <v>174</v>
      </c>
      <c r="DF195" t="s">
        <v>174</v>
      </c>
      <c r="DG195" t="s">
        <v>174</v>
      </c>
      <c r="DH195" t="s">
        <v>3</v>
      </c>
      <c r="DI195" t="s">
        <v>174</v>
      </c>
      <c r="DJ195" t="s">
        <v>174</v>
      </c>
      <c r="DK195" t="s">
        <v>3</v>
      </c>
      <c r="DL195" t="s">
        <v>3</v>
      </c>
      <c r="DM195" t="s">
        <v>3</v>
      </c>
      <c r="DN195">
        <v>0</v>
      </c>
      <c r="DO195">
        <v>0</v>
      </c>
      <c r="DP195">
        <v>1</v>
      </c>
      <c r="DQ195">
        <v>1</v>
      </c>
      <c r="DU195">
        <v>1005</v>
      </c>
      <c r="DV195" t="s">
        <v>40</v>
      </c>
      <c r="DW195" t="s">
        <v>40</v>
      </c>
      <c r="DX195">
        <v>1</v>
      </c>
      <c r="EE195">
        <v>46035301</v>
      </c>
      <c r="EF195">
        <v>1</v>
      </c>
      <c r="EG195" t="s">
        <v>19</v>
      </c>
      <c r="EH195">
        <v>0</v>
      </c>
      <c r="EI195" t="s">
        <v>3</v>
      </c>
      <c r="EJ195">
        <v>4</v>
      </c>
      <c r="EK195">
        <v>0</v>
      </c>
      <c r="EL195" t="s">
        <v>20</v>
      </c>
      <c r="EM195" t="s">
        <v>21</v>
      </c>
      <c r="EO195" t="s">
        <v>175</v>
      </c>
      <c r="EQ195">
        <v>0</v>
      </c>
      <c r="ER195">
        <v>6946.74</v>
      </c>
      <c r="ES195">
        <v>5687.37</v>
      </c>
      <c r="ET195">
        <v>464.27</v>
      </c>
      <c r="EU195">
        <v>295.98</v>
      </c>
      <c r="EV195">
        <v>795.1</v>
      </c>
      <c r="EW195">
        <v>2.97</v>
      </c>
      <c r="EX195">
        <v>0</v>
      </c>
      <c r="EY195">
        <v>0</v>
      </c>
      <c r="FQ195">
        <v>0</v>
      </c>
      <c r="FR195">
        <f t="shared" ref="FR195:FR215" si="198">ROUND(IF(AND(BH195=3,BI195=3),P195,0),2)</f>
        <v>0</v>
      </c>
      <c r="FS195">
        <v>0</v>
      </c>
      <c r="FX195">
        <v>70</v>
      </c>
      <c r="FY195">
        <v>10</v>
      </c>
      <c r="GA195" t="s">
        <v>3</v>
      </c>
      <c r="GD195">
        <v>0</v>
      </c>
      <c r="GF195">
        <v>-928577046</v>
      </c>
      <c r="GG195">
        <v>2</v>
      </c>
      <c r="GH195">
        <v>1</v>
      </c>
      <c r="GI195">
        <v>-2</v>
      </c>
      <c r="GJ195">
        <v>0</v>
      </c>
      <c r="GK195">
        <f>ROUND(R195*(R12)/100,2)</f>
        <v>7940.31</v>
      </c>
      <c r="GL195">
        <f t="shared" ref="GL195:GL215" si="199">ROUND(IF(AND(BH195=3,BI195=3,FS195&lt;&gt;0),P195,0),2)</f>
        <v>0</v>
      </c>
      <c r="GM195">
        <f t="shared" ref="GM195:GM215" si="200">ROUND(O195+X195+Y195+GK195,2)+GX195</f>
        <v>55023.29</v>
      </c>
      <c r="GN195">
        <f t="shared" ref="GN195:GN215" si="201">IF(OR(BI195=0,BI195=1),ROUND(O195+X195+Y195+GK195,2),0)</f>
        <v>0</v>
      </c>
      <c r="GO195">
        <f t="shared" ref="GO195:GO215" si="202">IF(BI195=2,ROUND(O195+X195+Y195+GK195,2),0)</f>
        <v>0</v>
      </c>
      <c r="GP195">
        <f t="shared" ref="GP195:GP215" si="203">IF(BI195=4,ROUND(O195+X195+Y195+GK195,2)+GX195,0)</f>
        <v>55023.29</v>
      </c>
      <c r="GR195">
        <v>0</v>
      </c>
      <c r="GS195">
        <v>3</v>
      </c>
      <c r="GT195">
        <v>0</v>
      </c>
      <c r="GU195" t="s">
        <v>3</v>
      </c>
      <c r="GV195">
        <f t="shared" ref="GV195:GV215" si="204">ROUND((GT195),6)</f>
        <v>0</v>
      </c>
      <c r="GW195">
        <v>1</v>
      </c>
      <c r="GX195">
        <f t="shared" ref="GX195:GX215" si="205">ROUND(HC195*I195,2)</f>
        <v>0</v>
      </c>
      <c r="HA195">
        <v>0</v>
      </c>
      <c r="HB195">
        <v>0</v>
      </c>
      <c r="HC195">
        <f t="shared" ref="HC195:HC215" si="206">GV195*GW195</f>
        <v>0</v>
      </c>
      <c r="IK195">
        <v>0</v>
      </c>
    </row>
    <row r="196" spans="1:245" x14ac:dyDescent="0.2">
      <c r="A196">
        <v>17</v>
      </c>
      <c r="B196">
        <v>1</v>
      </c>
      <c r="C196">
        <f>ROW(SmtRes!A190)</f>
        <v>190</v>
      </c>
      <c r="D196">
        <f>ROW(EtalonRes!A169)</f>
        <v>169</v>
      </c>
      <c r="E196" t="s">
        <v>237</v>
      </c>
      <c r="F196" t="s">
        <v>177</v>
      </c>
      <c r="G196" t="s">
        <v>178</v>
      </c>
      <c r="H196" t="s">
        <v>29</v>
      </c>
      <c r="I196">
        <v>2.2999999999999998</v>
      </c>
      <c r="J196">
        <v>0</v>
      </c>
      <c r="O196">
        <f t="shared" si="174"/>
        <v>6487.09</v>
      </c>
      <c r="P196">
        <f t="shared" si="175"/>
        <v>0</v>
      </c>
      <c r="Q196">
        <f t="shared" si="176"/>
        <v>2138.13</v>
      </c>
      <c r="R196">
        <f t="shared" si="177"/>
        <v>1613.8</v>
      </c>
      <c r="S196">
        <f t="shared" si="178"/>
        <v>4348.96</v>
      </c>
      <c r="T196">
        <f t="shared" si="179"/>
        <v>0</v>
      </c>
      <c r="U196">
        <f t="shared" si="180"/>
        <v>19.020999999999997</v>
      </c>
      <c r="V196">
        <f t="shared" si="181"/>
        <v>0</v>
      </c>
      <c r="W196">
        <f t="shared" si="182"/>
        <v>0</v>
      </c>
      <c r="X196">
        <f t="shared" si="183"/>
        <v>3044.27</v>
      </c>
      <c r="Y196">
        <f t="shared" si="184"/>
        <v>434.9</v>
      </c>
      <c r="AA196">
        <v>46561299</v>
      </c>
      <c r="AB196">
        <f t="shared" si="185"/>
        <v>2820.47</v>
      </c>
      <c r="AC196">
        <f t="shared" ref="AC196:AC215" si="207">ROUND((ES196),6)</f>
        <v>0</v>
      </c>
      <c r="AD196">
        <f t="shared" ref="AD196:AD215" si="208">ROUND((((ET196)-(EU196))+AE196),6)</f>
        <v>929.62</v>
      </c>
      <c r="AE196">
        <f t="shared" ref="AE196:AE215" si="209">ROUND((EU196),6)</f>
        <v>701.65</v>
      </c>
      <c r="AF196">
        <f t="shared" ref="AF196:AF215" si="210">ROUND((EV196),6)</f>
        <v>1890.85</v>
      </c>
      <c r="AG196">
        <f t="shared" si="186"/>
        <v>0</v>
      </c>
      <c r="AH196">
        <f t="shared" ref="AH196:AH215" si="211">(EW196)</f>
        <v>8.27</v>
      </c>
      <c r="AI196">
        <f t="shared" ref="AI196:AI215" si="212">(EX196)</f>
        <v>0</v>
      </c>
      <c r="AJ196">
        <f t="shared" si="187"/>
        <v>0</v>
      </c>
      <c r="AK196">
        <v>2820.47</v>
      </c>
      <c r="AL196">
        <v>0</v>
      </c>
      <c r="AM196">
        <v>929.62</v>
      </c>
      <c r="AN196">
        <v>701.65</v>
      </c>
      <c r="AO196">
        <v>1890.85</v>
      </c>
      <c r="AP196">
        <v>0</v>
      </c>
      <c r="AQ196">
        <v>8.27</v>
      </c>
      <c r="AR196">
        <v>0</v>
      </c>
      <c r="AS196">
        <v>0</v>
      </c>
      <c r="AT196">
        <v>70</v>
      </c>
      <c r="AU196">
        <v>10</v>
      </c>
      <c r="AV196">
        <v>1</v>
      </c>
      <c r="AW196">
        <v>1</v>
      </c>
      <c r="AZ196">
        <v>1</v>
      </c>
      <c r="BA196">
        <v>1</v>
      </c>
      <c r="BB196">
        <v>1</v>
      </c>
      <c r="BC196">
        <v>1</v>
      </c>
      <c r="BD196" t="s">
        <v>3</v>
      </c>
      <c r="BE196" t="s">
        <v>3</v>
      </c>
      <c r="BF196" t="s">
        <v>3</v>
      </c>
      <c r="BG196" t="s">
        <v>3</v>
      </c>
      <c r="BH196">
        <v>0</v>
      </c>
      <c r="BI196">
        <v>4</v>
      </c>
      <c r="BJ196" t="s">
        <v>179</v>
      </c>
      <c r="BM196">
        <v>0</v>
      </c>
      <c r="BN196">
        <v>0</v>
      </c>
      <c r="BO196" t="s">
        <v>3</v>
      </c>
      <c r="BP196">
        <v>0</v>
      </c>
      <c r="BQ196">
        <v>1</v>
      </c>
      <c r="BR196">
        <v>0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 t="s">
        <v>3</v>
      </c>
      <c r="BZ196">
        <v>70</v>
      </c>
      <c r="CA196">
        <v>10</v>
      </c>
      <c r="CE196">
        <v>0</v>
      </c>
      <c r="CF196">
        <v>0</v>
      </c>
      <c r="CG196">
        <v>0</v>
      </c>
      <c r="CM196">
        <v>0</v>
      </c>
      <c r="CN196" t="s">
        <v>3</v>
      </c>
      <c r="CO196">
        <v>0</v>
      </c>
      <c r="CP196">
        <f t="shared" si="188"/>
        <v>6487.09</v>
      </c>
      <c r="CQ196">
        <f t="shared" si="189"/>
        <v>0</v>
      </c>
      <c r="CR196">
        <f t="shared" ref="CR196:CR215" si="213">((((ET196)*BB196-(EU196)*BS196)+AE196*BS196)*AV196)</f>
        <v>929.62</v>
      </c>
      <c r="CS196">
        <f t="shared" si="190"/>
        <v>701.65</v>
      </c>
      <c r="CT196">
        <f t="shared" si="191"/>
        <v>1890.85</v>
      </c>
      <c r="CU196">
        <f t="shared" si="192"/>
        <v>0</v>
      </c>
      <c r="CV196">
        <f t="shared" si="193"/>
        <v>8.27</v>
      </c>
      <c r="CW196">
        <f t="shared" si="194"/>
        <v>0</v>
      </c>
      <c r="CX196">
        <f t="shared" si="195"/>
        <v>0</v>
      </c>
      <c r="CY196">
        <f t="shared" si="196"/>
        <v>3044.2719999999999</v>
      </c>
      <c r="CZ196">
        <f t="shared" si="197"/>
        <v>434.89599999999996</v>
      </c>
      <c r="DC196" t="s">
        <v>3</v>
      </c>
      <c r="DD196" t="s">
        <v>3</v>
      </c>
      <c r="DE196" t="s">
        <v>3</v>
      </c>
      <c r="DF196" t="s">
        <v>3</v>
      </c>
      <c r="DG196" t="s">
        <v>3</v>
      </c>
      <c r="DH196" t="s">
        <v>3</v>
      </c>
      <c r="DI196" t="s">
        <v>3</v>
      </c>
      <c r="DJ196" t="s">
        <v>3</v>
      </c>
      <c r="DK196" t="s">
        <v>3</v>
      </c>
      <c r="DL196" t="s">
        <v>3</v>
      </c>
      <c r="DM196" t="s">
        <v>3</v>
      </c>
      <c r="DN196">
        <v>0</v>
      </c>
      <c r="DO196">
        <v>0</v>
      </c>
      <c r="DP196">
        <v>1</v>
      </c>
      <c r="DQ196">
        <v>1</v>
      </c>
      <c r="DU196">
        <v>1007</v>
      </c>
      <c r="DV196" t="s">
        <v>29</v>
      </c>
      <c r="DW196" t="s">
        <v>29</v>
      </c>
      <c r="DX196">
        <v>1</v>
      </c>
      <c r="EE196">
        <v>46035301</v>
      </c>
      <c r="EF196">
        <v>1</v>
      </c>
      <c r="EG196" t="s">
        <v>19</v>
      </c>
      <c r="EH196">
        <v>0</v>
      </c>
      <c r="EI196" t="s">
        <v>3</v>
      </c>
      <c r="EJ196">
        <v>4</v>
      </c>
      <c r="EK196">
        <v>0</v>
      </c>
      <c r="EL196" t="s">
        <v>20</v>
      </c>
      <c r="EM196" t="s">
        <v>21</v>
      </c>
      <c r="EO196" t="s">
        <v>3</v>
      </c>
      <c r="EQ196">
        <v>0</v>
      </c>
      <c r="ER196">
        <v>2820.47</v>
      </c>
      <c r="ES196">
        <v>0</v>
      </c>
      <c r="ET196">
        <v>929.62</v>
      </c>
      <c r="EU196">
        <v>701.65</v>
      </c>
      <c r="EV196">
        <v>1890.85</v>
      </c>
      <c r="EW196">
        <v>8.27</v>
      </c>
      <c r="EX196">
        <v>0</v>
      </c>
      <c r="EY196">
        <v>0</v>
      </c>
      <c r="FQ196">
        <v>0</v>
      </c>
      <c r="FR196">
        <f t="shared" si="198"/>
        <v>0</v>
      </c>
      <c r="FS196">
        <v>0</v>
      </c>
      <c r="FX196">
        <v>70</v>
      </c>
      <c r="FY196">
        <v>10</v>
      </c>
      <c r="GA196" t="s">
        <v>3</v>
      </c>
      <c r="GD196">
        <v>0</v>
      </c>
      <c r="GF196">
        <v>-1898011121</v>
      </c>
      <c r="GG196">
        <v>2</v>
      </c>
      <c r="GH196">
        <v>1</v>
      </c>
      <c r="GI196">
        <v>-2</v>
      </c>
      <c r="GJ196">
        <v>0</v>
      </c>
      <c r="GK196">
        <f>ROUND(R196*(R12)/100,2)</f>
        <v>1742.9</v>
      </c>
      <c r="GL196">
        <f t="shared" si="199"/>
        <v>0</v>
      </c>
      <c r="GM196">
        <f t="shared" si="200"/>
        <v>11709.16</v>
      </c>
      <c r="GN196">
        <f t="shared" si="201"/>
        <v>0</v>
      </c>
      <c r="GO196">
        <f t="shared" si="202"/>
        <v>0</v>
      </c>
      <c r="GP196">
        <f t="shared" si="203"/>
        <v>11709.16</v>
      </c>
      <c r="GR196">
        <v>0</v>
      </c>
      <c r="GS196">
        <v>3</v>
      </c>
      <c r="GT196">
        <v>0</v>
      </c>
      <c r="GU196" t="s">
        <v>3</v>
      </c>
      <c r="GV196">
        <f t="shared" si="204"/>
        <v>0</v>
      </c>
      <c r="GW196">
        <v>1</v>
      </c>
      <c r="GX196">
        <f t="shared" si="205"/>
        <v>0</v>
      </c>
      <c r="HA196">
        <v>0</v>
      </c>
      <c r="HB196">
        <v>0</v>
      </c>
      <c r="HC196">
        <f t="shared" si="206"/>
        <v>0</v>
      </c>
      <c r="IK196">
        <v>0</v>
      </c>
    </row>
    <row r="197" spans="1:245" x14ac:dyDescent="0.2">
      <c r="A197">
        <v>17</v>
      </c>
      <c r="B197">
        <v>1</v>
      </c>
      <c r="C197">
        <f>ROW(SmtRes!A191)</f>
        <v>191</v>
      </c>
      <c r="D197">
        <f>ROW(EtalonRes!A170)</f>
        <v>170</v>
      </c>
      <c r="E197" t="s">
        <v>238</v>
      </c>
      <c r="F197" t="s">
        <v>15</v>
      </c>
      <c r="G197" t="s">
        <v>16</v>
      </c>
      <c r="H197" t="s">
        <v>17</v>
      </c>
      <c r="I197">
        <v>2.3E-2</v>
      </c>
      <c r="J197">
        <v>0</v>
      </c>
      <c r="O197">
        <f t="shared" si="174"/>
        <v>964.88</v>
      </c>
      <c r="P197">
        <f t="shared" si="175"/>
        <v>0</v>
      </c>
      <c r="Q197">
        <f t="shared" si="176"/>
        <v>0</v>
      </c>
      <c r="R197">
        <f t="shared" si="177"/>
        <v>0</v>
      </c>
      <c r="S197">
        <f t="shared" si="178"/>
        <v>964.88</v>
      </c>
      <c r="T197">
        <f t="shared" si="179"/>
        <v>0</v>
      </c>
      <c r="U197">
        <f t="shared" si="180"/>
        <v>5.0968</v>
      </c>
      <c r="V197">
        <f t="shared" si="181"/>
        <v>0</v>
      </c>
      <c r="W197">
        <f t="shared" si="182"/>
        <v>0</v>
      </c>
      <c r="X197">
        <f t="shared" si="183"/>
        <v>675.42</v>
      </c>
      <c r="Y197">
        <f t="shared" si="184"/>
        <v>96.49</v>
      </c>
      <c r="AA197">
        <v>46561299</v>
      </c>
      <c r="AB197">
        <f t="shared" si="185"/>
        <v>41951.1</v>
      </c>
      <c r="AC197">
        <f t="shared" si="207"/>
        <v>0</v>
      </c>
      <c r="AD197">
        <f t="shared" si="208"/>
        <v>0</v>
      </c>
      <c r="AE197">
        <f t="shared" si="209"/>
        <v>0</v>
      </c>
      <c r="AF197">
        <f t="shared" si="210"/>
        <v>41951.1</v>
      </c>
      <c r="AG197">
        <f t="shared" si="186"/>
        <v>0</v>
      </c>
      <c r="AH197">
        <f t="shared" si="211"/>
        <v>221.6</v>
      </c>
      <c r="AI197">
        <f t="shared" si="212"/>
        <v>0</v>
      </c>
      <c r="AJ197">
        <f t="shared" si="187"/>
        <v>0</v>
      </c>
      <c r="AK197">
        <v>41951.1</v>
      </c>
      <c r="AL197">
        <v>0</v>
      </c>
      <c r="AM197">
        <v>0</v>
      </c>
      <c r="AN197">
        <v>0</v>
      </c>
      <c r="AO197">
        <v>41951.1</v>
      </c>
      <c r="AP197">
        <v>0</v>
      </c>
      <c r="AQ197">
        <v>221.6</v>
      </c>
      <c r="AR197">
        <v>0</v>
      </c>
      <c r="AS197">
        <v>0</v>
      </c>
      <c r="AT197">
        <v>70</v>
      </c>
      <c r="AU197">
        <v>10</v>
      </c>
      <c r="AV197">
        <v>1</v>
      </c>
      <c r="AW197">
        <v>1</v>
      </c>
      <c r="AZ197">
        <v>1</v>
      </c>
      <c r="BA197">
        <v>1</v>
      </c>
      <c r="BB197">
        <v>1</v>
      </c>
      <c r="BC197">
        <v>1</v>
      </c>
      <c r="BD197" t="s">
        <v>3</v>
      </c>
      <c r="BE197" t="s">
        <v>3</v>
      </c>
      <c r="BF197" t="s">
        <v>3</v>
      </c>
      <c r="BG197" t="s">
        <v>3</v>
      </c>
      <c r="BH197">
        <v>0</v>
      </c>
      <c r="BI197">
        <v>4</v>
      </c>
      <c r="BJ197" t="s">
        <v>18</v>
      </c>
      <c r="BM197">
        <v>0</v>
      </c>
      <c r="BN197">
        <v>0</v>
      </c>
      <c r="BO197" t="s">
        <v>3</v>
      </c>
      <c r="BP197">
        <v>0</v>
      </c>
      <c r="BQ197">
        <v>1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 t="s">
        <v>3</v>
      </c>
      <c r="BZ197">
        <v>70</v>
      </c>
      <c r="CA197">
        <v>10</v>
      </c>
      <c r="CE197">
        <v>0</v>
      </c>
      <c r="CF197">
        <v>0</v>
      </c>
      <c r="CG197">
        <v>0</v>
      </c>
      <c r="CM197">
        <v>0</v>
      </c>
      <c r="CN197" t="s">
        <v>3</v>
      </c>
      <c r="CO197">
        <v>0</v>
      </c>
      <c r="CP197">
        <f t="shared" si="188"/>
        <v>964.88</v>
      </c>
      <c r="CQ197">
        <f t="shared" si="189"/>
        <v>0</v>
      </c>
      <c r="CR197">
        <f t="shared" si="213"/>
        <v>0</v>
      </c>
      <c r="CS197">
        <f t="shared" si="190"/>
        <v>0</v>
      </c>
      <c r="CT197">
        <f t="shared" si="191"/>
        <v>41951.1</v>
      </c>
      <c r="CU197">
        <f t="shared" si="192"/>
        <v>0</v>
      </c>
      <c r="CV197">
        <f t="shared" si="193"/>
        <v>221.6</v>
      </c>
      <c r="CW197">
        <f t="shared" si="194"/>
        <v>0</v>
      </c>
      <c r="CX197">
        <f t="shared" si="195"/>
        <v>0</v>
      </c>
      <c r="CY197">
        <f t="shared" si="196"/>
        <v>675.41600000000005</v>
      </c>
      <c r="CZ197">
        <f t="shared" si="197"/>
        <v>96.488</v>
      </c>
      <c r="DC197" t="s">
        <v>3</v>
      </c>
      <c r="DD197" t="s">
        <v>3</v>
      </c>
      <c r="DE197" t="s">
        <v>3</v>
      </c>
      <c r="DF197" t="s">
        <v>3</v>
      </c>
      <c r="DG197" t="s">
        <v>3</v>
      </c>
      <c r="DH197" t="s">
        <v>3</v>
      </c>
      <c r="DI197" t="s">
        <v>3</v>
      </c>
      <c r="DJ197" t="s">
        <v>3</v>
      </c>
      <c r="DK197" t="s">
        <v>3</v>
      </c>
      <c r="DL197" t="s">
        <v>3</v>
      </c>
      <c r="DM197" t="s">
        <v>3</v>
      </c>
      <c r="DN197">
        <v>0</v>
      </c>
      <c r="DO197">
        <v>0</v>
      </c>
      <c r="DP197">
        <v>1</v>
      </c>
      <c r="DQ197">
        <v>1</v>
      </c>
      <c r="DU197">
        <v>1007</v>
      </c>
      <c r="DV197" t="s">
        <v>17</v>
      </c>
      <c r="DW197" t="s">
        <v>17</v>
      </c>
      <c r="DX197">
        <v>100</v>
      </c>
      <c r="EE197">
        <v>46035301</v>
      </c>
      <c r="EF197">
        <v>1</v>
      </c>
      <c r="EG197" t="s">
        <v>19</v>
      </c>
      <c r="EH197">
        <v>0</v>
      </c>
      <c r="EI197" t="s">
        <v>3</v>
      </c>
      <c r="EJ197">
        <v>4</v>
      </c>
      <c r="EK197">
        <v>0</v>
      </c>
      <c r="EL197" t="s">
        <v>20</v>
      </c>
      <c r="EM197" t="s">
        <v>21</v>
      </c>
      <c r="EO197" t="s">
        <v>3</v>
      </c>
      <c r="EQ197">
        <v>0</v>
      </c>
      <c r="ER197">
        <v>41951.1</v>
      </c>
      <c r="ES197">
        <v>0</v>
      </c>
      <c r="ET197">
        <v>0</v>
      </c>
      <c r="EU197">
        <v>0</v>
      </c>
      <c r="EV197">
        <v>41951.1</v>
      </c>
      <c r="EW197">
        <v>221.6</v>
      </c>
      <c r="EX197">
        <v>0</v>
      </c>
      <c r="EY197">
        <v>0</v>
      </c>
      <c r="FQ197">
        <v>0</v>
      </c>
      <c r="FR197">
        <f t="shared" si="198"/>
        <v>0</v>
      </c>
      <c r="FS197">
        <v>0</v>
      </c>
      <c r="FX197">
        <v>70</v>
      </c>
      <c r="FY197">
        <v>10</v>
      </c>
      <c r="GA197" t="s">
        <v>3</v>
      </c>
      <c r="GD197">
        <v>0</v>
      </c>
      <c r="GF197">
        <v>1383297733</v>
      </c>
      <c r="GG197">
        <v>2</v>
      </c>
      <c r="GH197">
        <v>1</v>
      </c>
      <c r="GI197">
        <v>-2</v>
      </c>
      <c r="GJ197">
        <v>0</v>
      </c>
      <c r="GK197">
        <f>ROUND(R197*(R12)/100,2)</f>
        <v>0</v>
      </c>
      <c r="GL197">
        <f t="shared" si="199"/>
        <v>0</v>
      </c>
      <c r="GM197">
        <f t="shared" si="200"/>
        <v>1736.79</v>
      </c>
      <c r="GN197">
        <f t="shared" si="201"/>
        <v>0</v>
      </c>
      <c r="GO197">
        <f t="shared" si="202"/>
        <v>0</v>
      </c>
      <c r="GP197">
        <f t="shared" si="203"/>
        <v>1736.79</v>
      </c>
      <c r="GR197">
        <v>0</v>
      </c>
      <c r="GS197">
        <v>3</v>
      </c>
      <c r="GT197">
        <v>0</v>
      </c>
      <c r="GU197" t="s">
        <v>3</v>
      </c>
      <c r="GV197">
        <f t="shared" si="204"/>
        <v>0</v>
      </c>
      <c r="GW197">
        <v>1</v>
      </c>
      <c r="GX197">
        <f t="shared" si="205"/>
        <v>0</v>
      </c>
      <c r="HA197">
        <v>0</v>
      </c>
      <c r="HB197">
        <v>0</v>
      </c>
      <c r="HC197">
        <f t="shared" si="206"/>
        <v>0</v>
      </c>
      <c r="IK197">
        <v>0</v>
      </c>
    </row>
    <row r="198" spans="1:245" x14ac:dyDescent="0.2">
      <c r="A198">
        <v>17</v>
      </c>
      <c r="B198">
        <v>1</v>
      </c>
      <c r="C198">
        <f>ROW(SmtRes!A192)</f>
        <v>192</v>
      </c>
      <c r="D198">
        <f>ROW(EtalonRes!A171)</f>
        <v>171</v>
      </c>
      <c r="E198" t="s">
        <v>239</v>
      </c>
      <c r="F198" t="s">
        <v>182</v>
      </c>
      <c r="G198" t="s">
        <v>183</v>
      </c>
      <c r="H198" t="s">
        <v>17</v>
      </c>
      <c r="I198">
        <v>2.3E-2</v>
      </c>
      <c r="J198">
        <v>0</v>
      </c>
      <c r="O198">
        <f t="shared" si="174"/>
        <v>429.23</v>
      </c>
      <c r="P198">
        <f t="shared" si="175"/>
        <v>0</v>
      </c>
      <c r="Q198">
        <f t="shared" si="176"/>
        <v>0</v>
      </c>
      <c r="R198">
        <f t="shared" si="177"/>
        <v>0</v>
      </c>
      <c r="S198">
        <f t="shared" si="178"/>
        <v>429.23</v>
      </c>
      <c r="T198">
        <f t="shared" si="179"/>
        <v>0</v>
      </c>
      <c r="U198">
        <f t="shared" si="180"/>
        <v>2.8312999999999997</v>
      </c>
      <c r="V198">
        <f t="shared" si="181"/>
        <v>0</v>
      </c>
      <c r="W198">
        <f t="shared" si="182"/>
        <v>0</v>
      </c>
      <c r="X198">
        <f t="shared" si="183"/>
        <v>300.45999999999998</v>
      </c>
      <c r="Y198">
        <f t="shared" si="184"/>
        <v>42.92</v>
      </c>
      <c r="AA198">
        <v>46561299</v>
      </c>
      <c r="AB198">
        <f t="shared" si="185"/>
        <v>18661.96</v>
      </c>
      <c r="AC198">
        <f t="shared" si="207"/>
        <v>0</v>
      </c>
      <c r="AD198">
        <f t="shared" si="208"/>
        <v>0</v>
      </c>
      <c r="AE198">
        <f t="shared" si="209"/>
        <v>0</v>
      </c>
      <c r="AF198">
        <f t="shared" si="210"/>
        <v>18661.96</v>
      </c>
      <c r="AG198">
        <f t="shared" si="186"/>
        <v>0</v>
      </c>
      <c r="AH198">
        <f t="shared" si="211"/>
        <v>123.1</v>
      </c>
      <c r="AI198">
        <f t="shared" si="212"/>
        <v>0</v>
      </c>
      <c r="AJ198">
        <f t="shared" si="187"/>
        <v>0</v>
      </c>
      <c r="AK198">
        <v>18661.96</v>
      </c>
      <c r="AL198">
        <v>0</v>
      </c>
      <c r="AM198">
        <v>0</v>
      </c>
      <c r="AN198">
        <v>0</v>
      </c>
      <c r="AO198">
        <v>18661.96</v>
      </c>
      <c r="AP198">
        <v>0</v>
      </c>
      <c r="AQ198">
        <v>123.1</v>
      </c>
      <c r="AR198">
        <v>0</v>
      </c>
      <c r="AS198">
        <v>0</v>
      </c>
      <c r="AT198">
        <v>70</v>
      </c>
      <c r="AU198">
        <v>10</v>
      </c>
      <c r="AV198">
        <v>1</v>
      </c>
      <c r="AW198">
        <v>1</v>
      </c>
      <c r="AZ198">
        <v>1</v>
      </c>
      <c r="BA198">
        <v>1</v>
      </c>
      <c r="BB198">
        <v>1</v>
      </c>
      <c r="BC198">
        <v>1</v>
      </c>
      <c r="BD198" t="s">
        <v>3</v>
      </c>
      <c r="BE198" t="s">
        <v>3</v>
      </c>
      <c r="BF198" t="s">
        <v>3</v>
      </c>
      <c r="BG198" t="s">
        <v>3</v>
      </c>
      <c r="BH198">
        <v>0</v>
      </c>
      <c r="BI198">
        <v>4</v>
      </c>
      <c r="BJ198" t="s">
        <v>184</v>
      </c>
      <c r="BM198">
        <v>0</v>
      </c>
      <c r="BN198">
        <v>0</v>
      </c>
      <c r="BO198" t="s">
        <v>3</v>
      </c>
      <c r="BP198">
        <v>0</v>
      </c>
      <c r="BQ198">
        <v>1</v>
      </c>
      <c r="BR198">
        <v>0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 t="s">
        <v>3</v>
      </c>
      <c r="BZ198">
        <v>70</v>
      </c>
      <c r="CA198">
        <v>10</v>
      </c>
      <c r="CE198">
        <v>0</v>
      </c>
      <c r="CF198">
        <v>0</v>
      </c>
      <c r="CG198">
        <v>0</v>
      </c>
      <c r="CM198">
        <v>0</v>
      </c>
      <c r="CN198" t="s">
        <v>3</v>
      </c>
      <c r="CO198">
        <v>0</v>
      </c>
      <c r="CP198">
        <f t="shared" si="188"/>
        <v>429.23</v>
      </c>
      <c r="CQ198">
        <f t="shared" si="189"/>
        <v>0</v>
      </c>
      <c r="CR198">
        <f t="shared" si="213"/>
        <v>0</v>
      </c>
      <c r="CS198">
        <f t="shared" si="190"/>
        <v>0</v>
      </c>
      <c r="CT198">
        <f t="shared" si="191"/>
        <v>18661.96</v>
      </c>
      <c r="CU198">
        <f t="shared" si="192"/>
        <v>0</v>
      </c>
      <c r="CV198">
        <f t="shared" si="193"/>
        <v>123.1</v>
      </c>
      <c r="CW198">
        <f t="shared" si="194"/>
        <v>0</v>
      </c>
      <c r="CX198">
        <f t="shared" si="195"/>
        <v>0</v>
      </c>
      <c r="CY198">
        <f t="shared" si="196"/>
        <v>300.46100000000001</v>
      </c>
      <c r="CZ198">
        <f t="shared" si="197"/>
        <v>42.923000000000002</v>
      </c>
      <c r="DC198" t="s">
        <v>3</v>
      </c>
      <c r="DD198" t="s">
        <v>3</v>
      </c>
      <c r="DE198" t="s">
        <v>3</v>
      </c>
      <c r="DF198" t="s">
        <v>3</v>
      </c>
      <c r="DG198" t="s">
        <v>3</v>
      </c>
      <c r="DH198" t="s">
        <v>3</v>
      </c>
      <c r="DI198" t="s">
        <v>3</v>
      </c>
      <c r="DJ198" t="s">
        <v>3</v>
      </c>
      <c r="DK198" t="s">
        <v>3</v>
      </c>
      <c r="DL198" t="s">
        <v>3</v>
      </c>
      <c r="DM198" t="s">
        <v>3</v>
      </c>
      <c r="DN198">
        <v>0</v>
      </c>
      <c r="DO198">
        <v>0</v>
      </c>
      <c r="DP198">
        <v>1</v>
      </c>
      <c r="DQ198">
        <v>1</v>
      </c>
      <c r="DU198">
        <v>1007</v>
      </c>
      <c r="DV198" t="s">
        <v>17</v>
      </c>
      <c r="DW198" t="s">
        <v>17</v>
      </c>
      <c r="DX198">
        <v>100</v>
      </c>
      <c r="EE198">
        <v>46035301</v>
      </c>
      <c r="EF198">
        <v>1</v>
      </c>
      <c r="EG198" t="s">
        <v>19</v>
      </c>
      <c r="EH198">
        <v>0</v>
      </c>
      <c r="EI198" t="s">
        <v>3</v>
      </c>
      <c r="EJ198">
        <v>4</v>
      </c>
      <c r="EK198">
        <v>0</v>
      </c>
      <c r="EL198" t="s">
        <v>20</v>
      </c>
      <c r="EM198" t="s">
        <v>21</v>
      </c>
      <c r="EO198" t="s">
        <v>3</v>
      </c>
      <c r="EQ198">
        <v>0</v>
      </c>
      <c r="ER198">
        <v>18661.96</v>
      </c>
      <c r="ES198">
        <v>0</v>
      </c>
      <c r="ET198">
        <v>0</v>
      </c>
      <c r="EU198">
        <v>0</v>
      </c>
      <c r="EV198">
        <v>18661.96</v>
      </c>
      <c r="EW198">
        <v>123.1</v>
      </c>
      <c r="EX198">
        <v>0</v>
      </c>
      <c r="EY198">
        <v>0</v>
      </c>
      <c r="FQ198">
        <v>0</v>
      </c>
      <c r="FR198">
        <f t="shared" si="198"/>
        <v>0</v>
      </c>
      <c r="FS198">
        <v>0</v>
      </c>
      <c r="FX198">
        <v>70</v>
      </c>
      <c r="FY198">
        <v>10</v>
      </c>
      <c r="GA198" t="s">
        <v>3</v>
      </c>
      <c r="GD198">
        <v>0</v>
      </c>
      <c r="GF198">
        <v>-563140299</v>
      </c>
      <c r="GG198">
        <v>2</v>
      </c>
      <c r="GH198">
        <v>1</v>
      </c>
      <c r="GI198">
        <v>-2</v>
      </c>
      <c r="GJ198">
        <v>0</v>
      </c>
      <c r="GK198">
        <f>ROUND(R198*(R12)/100,2)</f>
        <v>0</v>
      </c>
      <c r="GL198">
        <f t="shared" si="199"/>
        <v>0</v>
      </c>
      <c r="GM198">
        <f t="shared" si="200"/>
        <v>772.61</v>
      </c>
      <c r="GN198">
        <f t="shared" si="201"/>
        <v>0</v>
      </c>
      <c r="GO198">
        <f t="shared" si="202"/>
        <v>0</v>
      </c>
      <c r="GP198">
        <f t="shared" si="203"/>
        <v>772.61</v>
      </c>
      <c r="GR198">
        <v>0</v>
      </c>
      <c r="GS198">
        <v>3</v>
      </c>
      <c r="GT198">
        <v>0</v>
      </c>
      <c r="GU198" t="s">
        <v>3</v>
      </c>
      <c r="GV198">
        <f t="shared" si="204"/>
        <v>0</v>
      </c>
      <c r="GW198">
        <v>1</v>
      </c>
      <c r="GX198">
        <f t="shared" si="205"/>
        <v>0</v>
      </c>
      <c r="HA198">
        <v>0</v>
      </c>
      <c r="HB198">
        <v>0</v>
      </c>
      <c r="HC198">
        <f t="shared" si="206"/>
        <v>0</v>
      </c>
      <c r="IK198">
        <v>0</v>
      </c>
    </row>
    <row r="199" spans="1:245" x14ac:dyDescent="0.2">
      <c r="A199">
        <v>17</v>
      </c>
      <c r="B199">
        <v>1</v>
      </c>
      <c r="C199">
        <f>ROW(SmtRes!A196)</f>
        <v>196</v>
      </c>
      <c r="D199">
        <f>ROW(EtalonRes!A175)</f>
        <v>175</v>
      </c>
      <c r="E199" t="s">
        <v>240</v>
      </c>
      <c r="F199" t="s">
        <v>38</v>
      </c>
      <c r="G199" t="s">
        <v>39</v>
      </c>
      <c r="H199" t="s">
        <v>40</v>
      </c>
      <c r="I199">
        <v>1.9</v>
      </c>
      <c r="J199">
        <v>0</v>
      </c>
      <c r="O199">
        <f t="shared" si="174"/>
        <v>1541.05</v>
      </c>
      <c r="P199">
        <f t="shared" si="175"/>
        <v>1018.97</v>
      </c>
      <c r="Q199">
        <f t="shared" si="176"/>
        <v>0</v>
      </c>
      <c r="R199">
        <f t="shared" si="177"/>
        <v>0</v>
      </c>
      <c r="S199">
        <f t="shared" si="178"/>
        <v>522.08000000000004</v>
      </c>
      <c r="T199">
        <f t="shared" si="179"/>
        <v>0</v>
      </c>
      <c r="U199">
        <f t="shared" si="180"/>
        <v>2.375</v>
      </c>
      <c r="V199">
        <f t="shared" si="181"/>
        <v>0</v>
      </c>
      <c r="W199">
        <f t="shared" si="182"/>
        <v>0</v>
      </c>
      <c r="X199">
        <f t="shared" si="183"/>
        <v>365.46</v>
      </c>
      <c r="Y199">
        <f t="shared" si="184"/>
        <v>52.21</v>
      </c>
      <c r="AA199">
        <v>46561299</v>
      </c>
      <c r="AB199">
        <f t="shared" si="185"/>
        <v>811.08</v>
      </c>
      <c r="AC199">
        <f t="shared" si="207"/>
        <v>536.29999999999995</v>
      </c>
      <c r="AD199">
        <f t="shared" si="208"/>
        <v>0</v>
      </c>
      <c r="AE199">
        <f t="shared" si="209"/>
        <v>0</v>
      </c>
      <c r="AF199">
        <f t="shared" si="210"/>
        <v>274.77999999999997</v>
      </c>
      <c r="AG199">
        <f t="shared" si="186"/>
        <v>0</v>
      </c>
      <c r="AH199">
        <f t="shared" si="211"/>
        <v>1.25</v>
      </c>
      <c r="AI199">
        <f t="shared" si="212"/>
        <v>0</v>
      </c>
      <c r="AJ199">
        <f t="shared" si="187"/>
        <v>0</v>
      </c>
      <c r="AK199">
        <v>811.08</v>
      </c>
      <c r="AL199">
        <v>536.29999999999995</v>
      </c>
      <c r="AM199">
        <v>0</v>
      </c>
      <c r="AN199">
        <v>0</v>
      </c>
      <c r="AO199">
        <v>274.77999999999997</v>
      </c>
      <c r="AP199">
        <v>0</v>
      </c>
      <c r="AQ199">
        <v>1.25</v>
      </c>
      <c r="AR199">
        <v>0</v>
      </c>
      <c r="AS199">
        <v>0</v>
      </c>
      <c r="AT199">
        <v>70</v>
      </c>
      <c r="AU199">
        <v>10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D199" t="s">
        <v>3</v>
      </c>
      <c r="BE199" t="s">
        <v>3</v>
      </c>
      <c r="BF199" t="s">
        <v>3</v>
      </c>
      <c r="BG199" t="s">
        <v>3</v>
      </c>
      <c r="BH199">
        <v>0</v>
      </c>
      <c r="BI199">
        <v>4</v>
      </c>
      <c r="BJ199" t="s">
        <v>41</v>
      </c>
      <c r="BM199">
        <v>0</v>
      </c>
      <c r="BN199">
        <v>0</v>
      </c>
      <c r="BO199" t="s">
        <v>3</v>
      </c>
      <c r="BP199">
        <v>0</v>
      </c>
      <c r="BQ199">
        <v>1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3</v>
      </c>
      <c r="BZ199">
        <v>70</v>
      </c>
      <c r="CA199">
        <v>10</v>
      </c>
      <c r="CE199">
        <v>0</v>
      </c>
      <c r="CF199">
        <v>0</v>
      </c>
      <c r="CG199">
        <v>0</v>
      </c>
      <c r="CM199">
        <v>0</v>
      </c>
      <c r="CN199" t="s">
        <v>3</v>
      </c>
      <c r="CO199">
        <v>0</v>
      </c>
      <c r="CP199">
        <f t="shared" si="188"/>
        <v>1541.0500000000002</v>
      </c>
      <c r="CQ199">
        <f t="shared" si="189"/>
        <v>536.29999999999995</v>
      </c>
      <c r="CR199">
        <f t="shared" si="213"/>
        <v>0</v>
      </c>
      <c r="CS199">
        <f t="shared" si="190"/>
        <v>0</v>
      </c>
      <c r="CT199">
        <f t="shared" si="191"/>
        <v>274.77999999999997</v>
      </c>
      <c r="CU199">
        <f t="shared" si="192"/>
        <v>0</v>
      </c>
      <c r="CV199">
        <f t="shared" si="193"/>
        <v>1.25</v>
      </c>
      <c r="CW199">
        <f t="shared" si="194"/>
        <v>0</v>
      </c>
      <c r="CX199">
        <f t="shared" si="195"/>
        <v>0</v>
      </c>
      <c r="CY199">
        <f t="shared" si="196"/>
        <v>365.45600000000007</v>
      </c>
      <c r="CZ199">
        <f t="shared" si="197"/>
        <v>52.207999999999998</v>
      </c>
      <c r="DC199" t="s">
        <v>3</v>
      </c>
      <c r="DD199" t="s">
        <v>3</v>
      </c>
      <c r="DE199" t="s">
        <v>3</v>
      </c>
      <c r="DF199" t="s">
        <v>3</v>
      </c>
      <c r="DG199" t="s">
        <v>3</v>
      </c>
      <c r="DH199" t="s">
        <v>3</v>
      </c>
      <c r="DI199" t="s">
        <v>3</v>
      </c>
      <c r="DJ199" t="s">
        <v>3</v>
      </c>
      <c r="DK199" t="s">
        <v>3</v>
      </c>
      <c r="DL199" t="s">
        <v>3</v>
      </c>
      <c r="DM199" t="s">
        <v>3</v>
      </c>
      <c r="DN199">
        <v>0</v>
      </c>
      <c r="DO199">
        <v>0</v>
      </c>
      <c r="DP199">
        <v>1</v>
      </c>
      <c r="DQ199">
        <v>1</v>
      </c>
      <c r="DU199">
        <v>1005</v>
      </c>
      <c r="DV199" t="s">
        <v>40</v>
      </c>
      <c r="DW199" t="s">
        <v>40</v>
      </c>
      <c r="DX199">
        <v>1</v>
      </c>
      <c r="EE199">
        <v>46035301</v>
      </c>
      <c r="EF199">
        <v>1</v>
      </c>
      <c r="EG199" t="s">
        <v>19</v>
      </c>
      <c r="EH199">
        <v>0</v>
      </c>
      <c r="EI199" t="s">
        <v>3</v>
      </c>
      <c r="EJ199">
        <v>4</v>
      </c>
      <c r="EK199">
        <v>0</v>
      </c>
      <c r="EL199" t="s">
        <v>20</v>
      </c>
      <c r="EM199" t="s">
        <v>21</v>
      </c>
      <c r="EO199" t="s">
        <v>3</v>
      </c>
      <c r="EQ199">
        <v>0</v>
      </c>
      <c r="ER199">
        <v>811.08</v>
      </c>
      <c r="ES199">
        <v>536.29999999999995</v>
      </c>
      <c r="ET199">
        <v>0</v>
      </c>
      <c r="EU199">
        <v>0</v>
      </c>
      <c r="EV199">
        <v>274.77999999999997</v>
      </c>
      <c r="EW199">
        <v>1.25</v>
      </c>
      <c r="EX199">
        <v>0</v>
      </c>
      <c r="EY199">
        <v>0</v>
      </c>
      <c r="FQ199">
        <v>0</v>
      </c>
      <c r="FR199">
        <f t="shared" si="198"/>
        <v>0</v>
      </c>
      <c r="FS199">
        <v>0</v>
      </c>
      <c r="FX199">
        <v>70</v>
      </c>
      <c r="FY199">
        <v>10</v>
      </c>
      <c r="GA199" t="s">
        <v>3</v>
      </c>
      <c r="GD199">
        <v>0</v>
      </c>
      <c r="GF199">
        <v>1029220427</v>
      </c>
      <c r="GG199">
        <v>2</v>
      </c>
      <c r="GH199">
        <v>1</v>
      </c>
      <c r="GI199">
        <v>-2</v>
      </c>
      <c r="GJ199">
        <v>0</v>
      </c>
      <c r="GK199">
        <f>ROUND(R199*(R12)/100,2)</f>
        <v>0</v>
      </c>
      <c r="GL199">
        <f t="shared" si="199"/>
        <v>0</v>
      </c>
      <c r="GM199">
        <f t="shared" si="200"/>
        <v>1958.72</v>
      </c>
      <c r="GN199">
        <f t="shared" si="201"/>
        <v>0</v>
      </c>
      <c r="GO199">
        <f t="shared" si="202"/>
        <v>0</v>
      </c>
      <c r="GP199">
        <f t="shared" si="203"/>
        <v>1958.72</v>
      </c>
      <c r="GR199">
        <v>0</v>
      </c>
      <c r="GS199">
        <v>3</v>
      </c>
      <c r="GT199">
        <v>0</v>
      </c>
      <c r="GU199" t="s">
        <v>3</v>
      </c>
      <c r="GV199">
        <f t="shared" si="204"/>
        <v>0</v>
      </c>
      <c r="GW199">
        <v>1</v>
      </c>
      <c r="GX199">
        <f t="shared" si="205"/>
        <v>0</v>
      </c>
      <c r="HA199">
        <v>0</v>
      </c>
      <c r="HB199">
        <v>0</v>
      </c>
      <c r="HC199">
        <f t="shared" si="206"/>
        <v>0</v>
      </c>
      <c r="IK199">
        <v>0</v>
      </c>
    </row>
    <row r="200" spans="1:245" x14ac:dyDescent="0.2">
      <c r="A200">
        <v>17</v>
      </c>
      <c r="B200">
        <v>1</v>
      </c>
      <c r="C200">
        <f>ROW(SmtRes!A200)</f>
        <v>200</v>
      </c>
      <c r="D200">
        <f>ROW(EtalonRes!A179)</f>
        <v>179</v>
      </c>
      <c r="E200" t="s">
        <v>241</v>
      </c>
      <c r="F200" t="s">
        <v>43</v>
      </c>
      <c r="G200" t="s">
        <v>44</v>
      </c>
      <c r="H200" t="s">
        <v>40</v>
      </c>
      <c r="I200">
        <v>1.9</v>
      </c>
      <c r="J200">
        <v>0</v>
      </c>
      <c r="O200">
        <f t="shared" si="174"/>
        <v>274.08999999999997</v>
      </c>
      <c r="P200">
        <f t="shared" si="175"/>
        <v>118.52</v>
      </c>
      <c r="Q200">
        <f t="shared" si="176"/>
        <v>7.24</v>
      </c>
      <c r="R200">
        <f t="shared" si="177"/>
        <v>2.81</v>
      </c>
      <c r="S200">
        <f t="shared" si="178"/>
        <v>148.33000000000001</v>
      </c>
      <c r="T200">
        <f t="shared" si="179"/>
        <v>0</v>
      </c>
      <c r="U200">
        <f t="shared" si="180"/>
        <v>0.70299999999999996</v>
      </c>
      <c r="V200">
        <f t="shared" si="181"/>
        <v>0</v>
      </c>
      <c r="W200">
        <f t="shared" si="182"/>
        <v>0</v>
      </c>
      <c r="X200">
        <f t="shared" si="183"/>
        <v>103.83</v>
      </c>
      <c r="Y200">
        <f t="shared" si="184"/>
        <v>14.83</v>
      </c>
      <c r="AA200">
        <v>46561299</v>
      </c>
      <c r="AB200">
        <f t="shared" si="185"/>
        <v>144.26</v>
      </c>
      <c r="AC200">
        <f t="shared" si="207"/>
        <v>62.38</v>
      </c>
      <c r="AD200">
        <f t="shared" si="208"/>
        <v>3.81</v>
      </c>
      <c r="AE200">
        <f t="shared" si="209"/>
        <v>1.48</v>
      </c>
      <c r="AF200">
        <f t="shared" si="210"/>
        <v>78.069999999999993</v>
      </c>
      <c r="AG200">
        <f t="shared" si="186"/>
        <v>0</v>
      </c>
      <c r="AH200">
        <f t="shared" si="211"/>
        <v>0.37</v>
      </c>
      <c r="AI200">
        <f t="shared" si="212"/>
        <v>0</v>
      </c>
      <c r="AJ200">
        <f t="shared" si="187"/>
        <v>0</v>
      </c>
      <c r="AK200">
        <v>144.26</v>
      </c>
      <c r="AL200">
        <v>62.38</v>
      </c>
      <c r="AM200">
        <v>3.81</v>
      </c>
      <c r="AN200">
        <v>1.48</v>
      </c>
      <c r="AO200">
        <v>78.069999999999993</v>
      </c>
      <c r="AP200">
        <v>0</v>
      </c>
      <c r="AQ200">
        <v>0.37</v>
      </c>
      <c r="AR200">
        <v>0</v>
      </c>
      <c r="AS200">
        <v>0</v>
      </c>
      <c r="AT200">
        <v>70</v>
      </c>
      <c r="AU200">
        <v>10</v>
      </c>
      <c r="AV200">
        <v>1</v>
      </c>
      <c r="AW200">
        <v>1</v>
      </c>
      <c r="AZ200">
        <v>1</v>
      </c>
      <c r="BA200">
        <v>1</v>
      </c>
      <c r="BB200">
        <v>1</v>
      </c>
      <c r="BC200">
        <v>1</v>
      </c>
      <c r="BD200" t="s">
        <v>3</v>
      </c>
      <c r="BE200" t="s">
        <v>3</v>
      </c>
      <c r="BF200" t="s">
        <v>3</v>
      </c>
      <c r="BG200" t="s">
        <v>3</v>
      </c>
      <c r="BH200">
        <v>0</v>
      </c>
      <c r="BI200">
        <v>4</v>
      </c>
      <c r="BJ200" t="s">
        <v>45</v>
      </c>
      <c r="BM200">
        <v>0</v>
      </c>
      <c r="BN200">
        <v>0</v>
      </c>
      <c r="BO200" t="s">
        <v>3</v>
      </c>
      <c r="BP200">
        <v>0</v>
      </c>
      <c r="BQ200">
        <v>1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 t="s">
        <v>3</v>
      </c>
      <c r="BZ200">
        <v>70</v>
      </c>
      <c r="CA200">
        <v>10</v>
      </c>
      <c r="CE200">
        <v>0</v>
      </c>
      <c r="CF200">
        <v>0</v>
      </c>
      <c r="CG200">
        <v>0</v>
      </c>
      <c r="CM200">
        <v>0</v>
      </c>
      <c r="CN200" t="s">
        <v>3</v>
      </c>
      <c r="CO200">
        <v>0</v>
      </c>
      <c r="CP200">
        <f t="shared" si="188"/>
        <v>274.09000000000003</v>
      </c>
      <c r="CQ200">
        <f t="shared" si="189"/>
        <v>62.38</v>
      </c>
      <c r="CR200">
        <f t="shared" si="213"/>
        <v>3.81</v>
      </c>
      <c r="CS200">
        <f t="shared" si="190"/>
        <v>1.48</v>
      </c>
      <c r="CT200">
        <f t="shared" si="191"/>
        <v>78.069999999999993</v>
      </c>
      <c r="CU200">
        <f t="shared" si="192"/>
        <v>0</v>
      </c>
      <c r="CV200">
        <f t="shared" si="193"/>
        <v>0.37</v>
      </c>
      <c r="CW200">
        <f t="shared" si="194"/>
        <v>0</v>
      </c>
      <c r="CX200">
        <f t="shared" si="195"/>
        <v>0</v>
      </c>
      <c r="CY200">
        <f t="shared" si="196"/>
        <v>103.831</v>
      </c>
      <c r="CZ200">
        <f t="shared" si="197"/>
        <v>14.833000000000002</v>
      </c>
      <c r="DC200" t="s">
        <v>3</v>
      </c>
      <c r="DD200" t="s">
        <v>3</v>
      </c>
      <c r="DE200" t="s">
        <v>3</v>
      </c>
      <c r="DF200" t="s">
        <v>3</v>
      </c>
      <c r="DG200" t="s">
        <v>3</v>
      </c>
      <c r="DH200" t="s">
        <v>3</v>
      </c>
      <c r="DI200" t="s">
        <v>3</v>
      </c>
      <c r="DJ200" t="s">
        <v>3</v>
      </c>
      <c r="DK200" t="s">
        <v>3</v>
      </c>
      <c r="DL200" t="s">
        <v>3</v>
      </c>
      <c r="DM200" t="s">
        <v>3</v>
      </c>
      <c r="DN200">
        <v>0</v>
      </c>
      <c r="DO200">
        <v>0</v>
      </c>
      <c r="DP200">
        <v>1</v>
      </c>
      <c r="DQ200">
        <v>1</v>
      </c>
      <c r="DU200">
        <v>1005</v>
      </c>
      <c r="DV200" t="s">
        <v>40</v>
      </c>
      <c r="DW200" t="s">
        <v>40</v>
      </c>
      <c r="DX200">
        <v>1</v>
      </c>
      <c r="EE200">
        <v>46035301</v>
      </c>
      <c r="EF200">
        <v>1</v>
      </c>
      <c r="EG200" t="s">
        <v>19</v>
      </c>
      <c r="EH200">
        <v>0</v>
      </c>
      <c r="EI200" t="s">
        <v>3</v>
      </c>
      <c r="EJ200">
        <v>4</v>
      </c>
      <c r="EK200">
        <v>0</v>
      </c>
      <c r="EL200" t="s">
        <v>20</v>
      </c>
      <c r="EM200" t="s">
        <v>21</v>
      </c>
      <c r="EO200" t="s">
        <v>3</v>
      </c>
      <c r="EQ200">
        <v>0</v>
      </c>
      <c r="ER200">
        <v>144.26</v>
      </c>
      <c r="ES200">
        <v>62.38</v>
      </c>
      <c r="ET200">
        <v>3.81</v>
      </c>
      <c r="EU200">
        <v>1.48</v>
      </c>
      <c r="EV200">
        <v>78.069999999999993</v>
      </c>
      <c r="EW200">
        <v>0.37</v>
      </c>
      <c r="EX200">
        <v>0</v>
      </c>
      <c r="EY200">
        <v>0</v>
      </c>
      <c r="FQ200">
        <v>0</v>
      </c>
      <c r="FR200">
        <f t="shared" si="198"/>
        <v>0</v>
      </c>
      <c r="FS200">
        <v>0</v>
      </c>
      <c r="FX200">
        <v>70</v>
      </c>
      <c r="FY200">
        <v>10</v>
      </c>
      <c r="GA200" t="s">
        <v>3</v>
      </c>
      <c r="GD200">
        <v>0</v>
      </c>
      <c r="GF200">
        <v>319965723</v>
      </c>
      <c r="GG200">
        <v>2</v>
      </c>
      <c r="GH200">
        <v>1</v>
      </c>
      <c r="GI200">
        <v>-2</v>
      </c>
      <c r="GJ200">
        <v>0</v>
      </c>
      <c r="GK200">
        <f>ROUND(R200*(R12)/100,2)</f>
        <v>3.03</v>
      </c>
      <c r="GL200">
        <f t="shared" si="199"/>
        <v>0</v>
      </c>
      <c r="GM200">
        <f t="shared" si="200"/>
        <v>395.78</v>
      </c>
      <c r="GN200">
        <f t="shared" si="201"/>
        <v>0</v>
      </c>
      <c r="GO200">
        <f t="shared" si="202"/>
        <v>0</v>
      </c>
      <c r="GP200">
        <f t="shared" si="203"/>
        <v>395.78</v>
      </c>
      <c r="GR200">
        <v>0</v>
      </c>
      <c r="GS200">
        <v>3</v>
      </c>
      <c r="GT200">
        <v>0</v>
      </c>
      <c r="GU200" t="s">
        <v>3</v>
      </c>
      <c r="GV200">
        <f t="shared" si="204"/>
        <v>0</v>
      </c>
      <c r="GW200">
        <v>1</v>
      </c>
      <c r="GX200">
        <f t="shared" si="205"/>
        <v>0</v>
      </c>
      <c r="HA200">
        <v>0</v>
      </c>
      <c r="HB200">
        <v>0</v>
      </c>
      <c r="HC200">
        <f t="shared" si="206"/>
        <v>0</v>
      </c>
      <c r="IK200">
        <v>0</v>
      </c>
    </row>
    <row r="201" spans="1:245" x14ac:dyDescent="0.2">
      <c r="A201">
        <v>17</v>
      </c>
      <c r="B201">
        <v>1</v>
      </c>
      <c r="C201">
        <f>ROW(SmtRes!A215)</f>
        <v>215</v>
      </c>
      <c r="D201">
        <f>ROW(EtalonRes!A193)</f>
        <v>193</v>
      </c>
      <c r="E201" t="s">
        <v>242</v>
      </c>
      <c r="F201" t="s">
        <v>47</v>
      </c>
      <c r="G201" t="s">
        <v>48</v>
      </c>
      <c r="H201" t="s">
        <v>17</v>
      </c>
      <c r="I201">
        <v>1.89E-2</v>
      </c>
      <c r="J201">
        <v>0</v>
      </c>
      <c r="O201">
        <f t="shared" si="174"/>
        <v>13726.28</v>
      </c>
      <c r="P201">
        <f t="shared" si="175"/>
        <v>12856.3</v>
      </c>
      <c r="Q201">
        <f t="shared" si="176"/>
        <v>83.46</v>
      </c>
      <c r="R201">
        <f t="shared" si="177"/>
        <v>3.18</v>
      </c>
      <c r="S201">
        <f t="shared" si="178"/>
        <v>786.52</v>
      </c>
      <c r="T201">
        <f t="shared" si="179"/>
        <v>0</v>
      </c>
      <c r="U201">
        <f t="shared" si="180"/>
        <v>3.8905650000000001</v>
      </c>
      <c r="V201">
        <f t="shared" si="181"/>
        <v>0</v>
      </c>
      <c r="W201">
        <f t="shared" si="182"/>
        <v>0</v>
      </c>
      <c r="X201">
        <f t="shared" si="183"/>
        <v>550.55999999999995</v>
      </c>
      <c r="Y201">
        <f t="shared" si="184"/>
        <v>78.650000000000006</v>
      </c>
      <c r="AA201">
        <v>46561299</v>
      </c>
      <c r="AB201">
        <f t="shared" si="185"/>
        <v>726258.01</v>
      </c>
      <c r="AC201">
        <f t="shared" si="207"/>
        <v>680227.7</v>
      </c>
      <c r="AD201">
        <f t="shared" si="208"/>
        <v>4415.67</v>
      </c>
      <c r="AE201">
        <f t="shared" si="209"/>
        <v>168.01</v>
      </c>
      <c r="AF201">
        <f t="shared" si="210"/>
        <v>41614.639999999999</v>
      </c>
      <c r="AG201">
        <f t="shared" si="186"/>
        <v>0</v>
      </c>
      <c r="AH201">
        <f t="shared" si="211"/>
        <v>205.85</v>
      </c>
      <c r="AI201">
        <f t="shared" si="212"/>
        <v>0</v>
      </c>
      <c r="AJ201">
        <f t="shared" si="187"/>
        <v>0</v>
      </c>
      <c r="AK201">
        <v>726258.01</v>
      </c>
      <c r="AL201">
        <v>680227.7</v>
      </c>
      <c r="AM201">
        <v>4415.67</v>
      </c>
      <c r="AN201">
        <v>168.01</v>
      </c>
      <c r="AO201">
        <v>41614.639999999999</v>
      </c>
      <c r="AP201">
        <v>0</v>
      </c>
      <c r="AQ201">
        <v>205.85</v>
      </c>
      <c r="AR201">
        <v>0</v>
      </c>
      <c r="AS201">
        <v>0</v>
      </c>
      <c r="AT201">
        <v>70</v>
      </c>
      <c r="AU201">
        <v>10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1</v>
      </c>
      <c r="BD201" t="s">
        <v>3</v>
      </c>
      <c r="BE201" t="s">
        <v>3</v>
      </c>
      <c r="BF201" t="s">
        <v>3</v>
      </c>
      <c r="BG201" t="s">
        <v>3</v>
      </c>
      <c r="BH201">
        <v>0</v>
      </c>
      <c r="BI201">
        <v>4</v>
      </c>
      <c r="BJ201" t="s">
        <v>49</v>
      </c>
      <c r="BM201">
        <v>0</v>
      </c>
      <c r="BN201">
        <v>0</v>
      </c>
      <c r="BO201" t="s">
        <v>3</v>
      </c>
      <c r="BP201">
        <v>0</v>
      </c>
      <c r="BQ201">
        <v>1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t="s">
        <v>3</v>
      </c>
      <c r="BZ201">
        <v>70</v>
      </c>
      <c r="CA201">
        <v>10</v>
      </c>
      <c r="CE201">
        <v>0</v>
      </c>
      <c r="CF201">
        <v>0</v>
      </c>
      <c r="CG201">
        <v>0</v>
      </c>
      <c r="CM201">
        <v>0</v>
      </c>
      <c r="CN201" t="s">
        <v>3</v>
      </c>
      <c r="CO201">
        <v>0</v>
      </c>
      <c r="CP201">
        <f t="shared" si="188"/>
        <v>13726.279999999999</v>
      </c>
      <c r="CQ201">
        <f t="shared" si="189"/>
        <v>680227.7</v>
      </c>
      <c r="CR201">
        <f t="shared" si="213"/>
        <v>4415.67</v>
      </c>
      <c r="CS201">
        <f t="shared" si="190"/>
        <v>168.01</v>
      </c>
      <c r="CT201">
        <f t="shared" si="191"/>
        <v>41614.639999999999</v>
      </c>
      <c r="CU201">
        <f t="shared" si="192"/>
        <v>0</v>
      </c>
      <c r="CV201">
        <f t="shared" si="193"/>
        <v>205.85</v>
      </c>
      <c r="CW201">
        <f t="shared" si="194"/>
        <v>0</v>
      </c>
      <c r="CX201">
        <f t="shared" si="195"/>
        <v>0</v>
      </c>
      <c r="CY201">
        <f t="shared" si="196"/>
        <v>550.56399999999996</v>
      </c>
      <c r="CZ201">
        <f t="shared" si="197"/>
        <v>78.652000000000001</v>
      </c>
      <c r="DC201" t="s">
        <v>3</v>
      </c>
      <c r="DD201" t="s">
        <v>3</v>
      </c>
      <c r="DE201" t="s">
        <v>3</v>
      </c>
      <c r="DF201" t="s">
        <v>3</v>
      </c>
      <c r="DG201" t="s">
        <v>3</v>
      </c>
      <c r="DH201" t="s">
        <v>3</v>
      </c>
      <c r="DI201" t="s">
        <v>3</v>
      </c>
      <c r="DJ201" t="s">
        <v>3</v>
      </c>
      <c r="DK201" t="s">
        <v>3</v>
      </c>
      <c r="DL201" t="s">
        <v>3</v>
      </c>
      <c r="DM201" t="s">
        <v>3</v>
      </c>
      <c r="DN201">
        <v>0</v>
      </c>
      <c r="DO201">
        <v>0</v>
      </c>
      <c r="DP201">
        <v>1</v>
      </c>
      <c r="DQ201">
        <v>1</v>
      </c>
      <c r="DU201">
        <v>1007</v>
      </c>
      <c r="DV201" t="s">
        <v>17</v>
      </c>
      <c r="DW201" t="s">
        <v>17</v>
      </c>
      <c r="DX201">
        <v>100</v>
      </c>
      <c r="EE201">
        <v>46035301</v>
      </c>
      <c r="EF201">
        <v>1</v>
      </c>
      <c r="EG201" t="s">
        <v>19</v>
      </c>
      <c r="EH201">
        <v>0</v>
      </c>
      <c r="EI201" t="s">
        <v>3</v>
      </c>
      <c r="EJ201">
        <v>4</v>
      </c>
      <c r="EK201">
        <v>0</v>
      </c>
      <c r="EL201" t="s">
        <v>20</v>
      </c>
      <c r="EM201" t="s">
        <v>21</v>
      </c>
      <c r="EO201" t="s">
        <v>3</v>
      </c>
      <c r="EQ201">
        <v>0</v>
      </c>
      <c r="ER201">
        <v>726258.01</v>
      </c>
      <c r="ES201">
        <v>680227.7</v>
      </c>
      <c r="ET201">
        <v>4415.67</v>
      </c>
      <c r="EU201">
        <v>168.01</v>
      </c>
      <c r="EV201">
        <v>41614.639999999999</v>
      </c>
      <c r="EW201">
        <v>205.85</v>
      </c>
      <c r="EX201">
        <v>0</v>
      </c>
      <c r="EY201">
        <v>0</v>
      </c>
      <c r="FQ201">
        <v>0</v>
      </c>
      <c r="FR201">
        <f t="shared" si="198"/>
        <v>0</v>
      </c>
      <c r="FS201">
        <v>0</v>
      </c>
      <c r="FX201">
        <v>70</v>
      </c>
      <c r="FY201">
        <v>10</v>
      </c>
      <c r="GA201" t="s">
        <v>3</v>
      </c>
      <c r="GD201">
        <v>0</v>
      </c>
      <c r="GF201">
        <v>1233045882</v>
      </c>
      <c r="GG201">
        <v>2</v>
      </c>
      <c r="GH201">
        <v>1</v>
      </c>
      <c r="GI201">
        <v>-2</v>
      </c>
      <c r="GJ201">
        <v>0</v>
      </c>
      <c r="GK201">
        <f>ROUND(R201*(R12)/100,2)</f>
        <v>3.43</v>
      </c>
      <c r="GL201">
        <f t="shared" si="199"/>
        <v>0</v>
      </c>
      <c r="GM201">
        <f t="shared" si="200"/>
        <v>14358.92</v>
      </c>
      <c r="GN201">
        <f t="shared" si="201"/>
        <v>0</v>
      </c>
      <c r="GO201">
        <f t="shared" si="202"/>
        <v>0</v>
      </c>
      <c r="GP201">
        <f t="shared" si="203"/>
        <v>14358.92</v>
      </c>
      <c r="GR201">
        <v>0</v>
      </c>
      <c r="GS201">
        <v>3</v>
      </c>
      <c r="GT201">
        <v>0</v>
      </c>
      <c r="GU201" t="s">
        <v>3</v>
      </c>
      <c r="GV201">
        <f t="shared" si="204"/>
        <v>0</v>
      </c>
      <c r="GW201">
        <v>1</v>
      </c>
      <c r="GX201">
        <f t="shared" si="205"/>
        <v>0</v>
      </c>
      <c r="HA201">
        <v>0</v>
      </c>
      <c r="HB201">
        <v>0</v>
      </c>
      <c r="HC201">
        <f t="shared" si="206"/>
        <v>0</v>
      </c>
      <c r="IK201">
        <v>0</v>
      </c>
    </row>
    <row r="202" spans="1:245" x14ac:dyDescent="0.2">
      <c r="A202">
        <v>18</v>
      </c>
      <c r="B202">
        <v>1</v>
      </c>
      <c r="C202">
        <v>213</v>
      </c>
      <c r="E202" t="s">
        <v>243</v>
      </c>
      <c r="F202" t="s">
        <v>51</v>
      </c>
      <c r="G202" t="s">
        <v>52</v>
      </c>
      <c r="H202" t="s">
        <v>29</v>
      </c>
      <c r="I202">
        <f>I201*J202</f>
        <v>1.91835</v>
      </c>
      <c r="J202">
        <v>101.5</v>
      </c>
      <c r="O202">
        <f t="shared" si="174"/>
        <v>7452.27</v>
      </c>
      <c r="P202">
        <f t="shared" si="175"/>
        <v>7452.27</v>
      </c>
      <c r="Q202">
        <f t="shared" si="176"/>
        <v>0</v>
      </c>
      <c r="R202">
        <f t="shared" si="177"/>
        <v>0</v>
      </c>
      <c r="S202">
        <f t="shared" si="178"/>
        <v>0</v>
      </c>
      <c r="T202">
        <f t="shared" si="179"/>
        <v>0</v>
      </c>
      <c r="U202">
        <f t="shared" si="180"/>
        <v>0</v>
      </c>
      <c r="V202">
        <f t="shared" si="181"/>
        <v>0</v>
      </c>
      <c r="W202">
        <f t="shared" si="182"/>
        <v>0</v>
      </c>
      <c r="X202">
        <f t="shared" si="183"/>
        <v>0</v>
      </c>
      <c r="Y202">
        <f t="shared" si="184"/>
        <v>0</v>
      </c>
      <c r="AA202">
        <v>46561299</v>
      </c>
      <c r="AB202">
        <f t="shared" si="185"/>
        <v>3884.73</v>
      </c>
      <c r="AC202">
        <f t="shared" si="207"/>
        <v>3884.73</v>
      </c>
      <c r="AD202">
        <f t="shared" si="208"/>
        <v>0</v>
      </c>
      <c r="AE202">
        <f t="shared" si="209"/>
        <v>0</v>
      </c>
      <c r="AF202">
        <f t="shared" si="210"/>
        <v>0</v>
      </c>
      <c r="AG202">
        <f t="shared" si="186"/>
        <v>0</v>
      </c>
      <c r="AH202">
        <f t="shared" si="211"/>
        <v>0</v>
      </c>
      <c r="AI202">
        <f t="shared" si="212"/>
        <v>0</v>
      </c>
      <c r="AJ202">
        <f t="shared" si="187"/>
        <v>0</v>
      </c>
      <c r="AK202">
        <v>3884.73</v>
      </c>
      <c r="AL202">
        <v>3884.73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70</v>
      </c>
      <c r="AU202">
        <v>10</v>
      </c>
      <c r="AV202">
        <v>1</v>
      </c>
      <c r="AW202">
        <v>1</v>
      </c>
      <c r="AZ202">
        <v>1</v>
      </c>
      <c r="BA202">
        <v>1</v>
      </c>
      <c r="BB202">
        <v>1</v>
      </c>
      <c r="BC202">
        <v>1</v>
      </c>
      <c r="BD202" t="s">
        <v>3</v>
      </c>
      <c r="BE202" t="s">
        <v>3</v>
      </c>
      <c r="BF202" t="s">
        <v>3</v>
      </c>
      <c r="BG202" t="s">
        <v>3</v>
      </c>
      <c r="BH202">
        <v>3</v>
      </c>
      <c r="BI202">
        <v>4</v>
      </c>
      <c r="BJ202" t="s">
        <v>53</v>
      </c>
      <c r="BM202">
        <v>0</v>
      </c>
      <c r="BN202">
        <v>0</v>
      </c>
      <c r="BO202" t="s">
        <v>3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 t="s">
        <v>3</v>
      </c>
      <c r="BZ202">
        <v>70</v>
      </c>
      <c r="CA202">
        <v>10</v>
      </c>
      <c r="CE202">
        <v>0</v>
      </c>
      <c r="CF202">
        <v>0</v>
      </c>
      <c r="CG202">
        <v>0</v>
      </c>
      <c r="CM202">
        <v>0</v>
      </c>
      <c r="CN202" t="s">
        <v>3</v>
      </c>
      <c r="CO202">
        <v>0</v>
      </c>
      <c r="CP202">
        <f t="shared" si="188"/>
        <v>7452.27</v>
      </c>
      <c r="CQ202">
        <f t="shared" si="189"/>
        <v>3884.73</v>
      </c>
      <c r="CR202">
        <f t="shared" si="213"/>
        <v>0</v>
      </c>
      <c r="CS202">
        <f t="shared" si="190"/>
        <v>0</v>
      </c>
      <c r="CT202">
        <f t="shared" si="191"/>
        <v>0</v>
      </c>
      <c r="CU202">
        <f t="shared" si="192"/>
        <v>0</v>
      </c>
      <c r="CV202">
        <f t="shared" si="193"/>
        <v>0</v>
      </c>
      <c r="CW202">
        <f t="shared" si="194"/>
        <v>0</v>
      </c>
      <c r="CX202">
        <f t="shared" si="195"/>
        <v>0</v>
      </c>
      <c r="CY202">
        <f t="shared" si="196"/>
        <v>0</v>
      </c>
      <c r="CZ202">
        <f t="shared" si="197"/>
        <v>0</v>
      </c>
      <c r="DC202" t="s">
        <v>3</v>
      </c>
      <c r="DD202" t="s">
        <v>3</v>
      </c>
      <c r="DE202" t="s">
        <v>3</v>
      </c>
      <c r="DF202" t="s">
        <v>3</v>
      </c>
      <c r="DG202" t="s">
        <v>3</v>
      </c>
      <c r="DH202" t="s">
        <v>3</v>
      </c>
      <c r="DI202" t="s">
        <v>3</v>
      </c>
      <c r="DJ202" t="s">
        <v>3</v>
      </c>
      <c r="DK202" t="s">
        <v>3</v>
      </c>
      <c r="DL202" t="s">
        <v>3</v>
      </c>
      <c r="DM202" t="s">
        <v>3</v>
      </c>
      <c r="DN202">
        <v>0</v>
      </c>
      <c r="DO202">
        <v>0</v>
      </c>
      <c r="DP202">
        <v>1</v>
      </c>
      <c r="DQ202">
        <v>1</v>
      </c>
      <c r="DU202">
        <v>1007</v>
      </c>
      <c r="DV202" t="s">
        <v>29</v>
      </c>
      <c r="DW202" t="s">
        <v>29</v>
      </c>
      <c r="DX202">
        <v>1</v>
      </c>
      <c r="EE202">
        <v>46035301</v>
      </c>
      <c r="EF202">
        <v>1</v>
      </c>
      <c r="EG202" t="s">
        <v>19</v>
      </c>
      <c r="EH202">
        <v>0</v>
      </c>
      <c r="EI202" t="s">
        <v>3</v>
      </c>
      <c r="EJ202">
        <v>4</v>
      </c>
      <c r="EK202">
        <v>0</v>
      </c>
      <c r="EL202" t="s">
        <v>20</v>
      </c>
      <c r="EM202" t="s">
        <v>21</v>
      </c>
      <c r="EO202" t="s">
        <v>3</v>
      </c>
      <c r="EQ202">
        <v>0</v>
      </c>
      <c r="ER202">
        <v>3884.73</v>
      </c>
      <c r="ES202">
        <v>3884.73</v>
      </c>
      <c r="ET202">
        <v>0</v>
      </c>
      <c r="EU202">
        <v>0</v>
      </c>
      <c r="EV202">
        <v>0</v>
      </c>
      <c r="EW202">
        <v>0</v>
      </c>
      <c r="EX202">
        <v>0</v>
      </c>
      <c r="FQ202">
        <v>0</v>
      </c>
      <c r="FR202">
        <f t="shared" si="198"/>
        <v>0</v>
      </c>
      <c r="FS202">
        <v>0</v>
      </c>
      <c r="FX202">
        <v>70</v>
      </c>
      <c r="FY202">
        <v>10</v>
      </c>
      <c r="GA202" t="s">
        <v>3</v>
      </c>
      <c r="GD202">
        <v>0</v>
      </c>
      <c r="GF202">
        <v>-793492541</v>
      </c>
      <c r="GG202">
        <v>2</v>
      </c>
      <c r="GH202">
        <v>1</v>
      </c>
      <c r="GI202">
        <v>-2</v>
      </c>
      <c r="GJ202">
        <v>0</v>
      </c>
      <c r="GK202">
        <f>ROUND(R202*(R12)/100,2)</f>
        <v>0</v>
      </c>
      <c r="GL202">
        <f t="shared" si="199"/>
        <v>0</v>
      </c>
      <c r="GM202">
        <f t="shared" si="200"/>
        <v>7452.27</v>
      </c>
      <c r="GN202">
        <f t="shared" si="201"/>
        <v>0</v>
      </c>
      <c r="GO202">
        <f t="shared" si="202"/>
        <v>0</v>
      </c>
      <c r="GP202">
        <f t="shared" si="203"/>
        <v>7452.27</v>
      </c>
      <c r="GR202">
        <v>0</v>
      </c>
      <c r="GS202">
        <v>3</v>
      </c>
      <c r="GT202">
        <v>0</v>
      </c>
      <c r="GU202" t="s">
        <v>3</v>
      </c>
      <c r="GV202">
        <f t="shared" si="204"/>
        <v>0</v>
      </c>
      <c r="GW202">
        <v>1</v>
      </c>
      <c r="GX202">
        <f t="shared" si="205"/>
        <v>0</v>
      </c>
      <c r="HA202">
        <v>0</v>
      </c>
      <c r="HB202">
        <v>0</v>
      </c>
      <c r="HC202">
        <f t="shared" si="206"/>
        <v>0</v>
      </c>
      <c r="IK202">
        <v>0</v>
      </c>
    </row>
    <row r="203" spans="1:245" x14ac:dyDescent="0.2">
      <c r="A203">
        <v>18</v>
      </c>
      <c r="B203">
        <v>1</v>
      </c>
      <c r="C203">
        <v>212</v>
      </c>
      <c r="E203" t="s">
        <v>244</v>
      </c>
      <c r="F203" t="s">
        <v>55</v>
      </c>
      <c r="G203" t="s">
        <v>56</v>
      </c>
      <c r="H203" t="s">
        <v>29</v>
      </c>
      <c r="I203">
        <f>I201*J203</f>
        <v>-1.91835</v>
      </c>
      <c r="J203">
        <v>-101.5</v>
      </c>
      <c r="O203">
        <f t="shared" si="174"/>
        <v>-7126.15</v>
      </c>
      <c r="P203">
        <f t="shared" si="175"/>
        <v>-7126.15</v>
      </c>
      <c r="Q203">
        <f t="shared" si="176"/>
        <v>0</v>
      </c>
      <c r="R203">
        <f t="shared" si="177"/>
        <v>0</v>
      </c>
      <c r="S203">
        <f t="shared" si="178"/>
        <v>0</v>
      </c>
      <c r="T203">
        <f t="shared" si="179"/>
        <v>0</v>
      </c>
      <c r="U203">
        <f t="shared" si="180"/>
        <v>0</v>
      </c>
      <c r="V203">
        <f t="shared" si="181"/>
        <v>0</v>
      </c>
      <c r="W203">
        <f t="shared" si="182"/>
        <v>0</v>
      </c>
      <c r="X203">
        <f t="shared" si="183"/>
        <v>0</v>
      </c>
      <c r="Y203">
        <f t="shared" si="184"/>
        <v>0</v>
      </c>
      <c r="AA203">
        <v>46561299</v>
      </c>
      <c r="AB203">
        <f t="shared" si="185"/>
        <v>3714.73</v>
      </c>
      <c r="AC203">
        <f t="shared" si="207"/>
        <v>3714.73</v>
      </c>
      <c r="AD203">
        <f t="shared" si="208"/>
        <v>0</v>
      </c>
      <c r="AE203">
        <f t="shared" si="209"/>
        <v>0</v>
      </c>
      <c r="AF203">
        <f t="shared" si="210"/>
        <v>0</v>
      </c>
      <c r="AG203">
        <f t="shared" si="186"/>
        <v>0</v>
      </c>
      <c r="AH203">
        <f t="shared" si="211"/>
        <v>0</v>
      </c>
      <c r="AI203">
        <f t="shared" si="212"/>
        <v>0</v>
      </c>
      <c r="AJ203">
        <f t="shared" si="187"/>
        <v>0</v>
      </c>
      <c r="AK203">
        <v>3714.73</v>
      </c>
      <c r="AL203">
        <v>3714.73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70</v>
      </c>
      <c r="AU203">
        <v>10</v>
      </c>
      <c r="AV203">
        <v>1</v>
      </c>
      <c r="AW203">
        <v>1</v>
      </c>
      <c r="AZ203">
        <v>1</v>
      </c>
      <c r="BA203">
        <v>1</v>
      </c>
      <c r="BB203">
        <v>1</v>
      </c>
      <c r="BC203">
        <v>1</v>
      </c>
      <c r="BD203" t="s">
        <v>3</v>
      </c>
      <c r="BE203" t="s">
        <v>3</v>
      </c>
      <c r="BF203" t="s">
        <v>3</v>
      </c>
      <c r="BG203" t="s">
        <v>3</v>
      </c>
      <c r="BH203">
        <v>3</v>
      </c>
      <c r="BI203">
        <v>4</v>
      </c>
      <c r="BJ203" t="s">
        <v>57</v>
      </c>
      <c r="BM203">
        <v>0</v>
      </c>
      <c r="BN203">
        <v>0</v>
      </c>
      <c r="BO203" t="s">
        <v>3</v>
      </c>
      <c r="BP203">
        <v>0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 t="s">
        <v>3</v>
      </c>
      <c r="BZ203">
        <v>70</v>
      </c>
      <c r="CA203">
        <v>10</v>
      </c>
      <c r="CE203">
        <v>0</v>
      </c>
      <c r="CF203">
        <v>0</v>
      </c>
      <c r="CG203">
        <v>0</v>
      </c>
      <c r="CM203">
        <v>0</v>
      </c>
      <c r="CN203" t="s">
        <v>3</v>
      </c>
      <c r="CO203">
        <v>0</v>
      </c>
      <c r="CP203">
        <f t="shared" si="188"/>
        <v>-7126.15</v>
      </c>
      <c r="CQ203">
        <f t="shared" si="189"/>
        <v>3714.73</v>
      </c>
      <c r="CR203">
        <f t="shared" si="213"/>
        <v>0</v>
      </c>
      <c r="CS203">
        <f t="shared" si="190"/>
        <v>0</v>
      </c>
      <c r="CT203">
        <f t="shared" si="191"/>
        <v>0</v>
      </c>
      <c r="CU203">
        <f t="shared" si="192"/>
        <v>0</v>
      </c>
      <c r="CV203">
        <f t="shared" si="193"/>
        <v>0</v>
      </c>
      <c r="CW203">
        <f t="shared" si="194"/>
        <v>0</v>
      </c>
      <c r="CX203">
        <f t="shared" si="195"/>
        <v>0</v>
      </c>
      <c r="CY203">
        <f t="shared" si="196"/>
        <v>0</v>
      </c>
      <c r="CZ203">
        <f t="shared" si="197"/>
        <v>0</v>
      </c>
      <c r="DC203" t="s">
        <v>3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3</v>
      </c>
      <c r="DK203" t="s">
        <v>3</v>
      </c>
      <c r="DL203" t="s">
        <v>3</v>
      </c>
      <c r="DM203" t="s">
        <v>3</v>
      </c>
      <c r="DN203">
        <v>0</v>
      </c>
      <c r="DO203">
        <v>0</v>
      </c>
      <c r="DP203">
        <v>1</v>
      </c>
      <c r="DQ203">
        <v>1</v>
      </c>
      <c r="DU203">
        <v>1007</v>
      </c>
      <c r="DV203" t="s">
        <v>29</v>
      </c>
      <c r="DW203" t="s">
        <v>29</v>
      </c>
      <c r="DX203">
        <v>1</v>
      </c>
      <c r="EE203">
        <v>46035301</v>
      </c>
      <c r="EF203">
        <v>1</v>
      </c>
      <c r="EG203" t="s">
        <v>19</v>
      </c>
      <c r="EH203">
        <v>0</v>
      </c>
      <c r="EI203" t="s">
        <v>3</v>
      </c>
      <c r="EJ203">
        <v>4</v>
      </c>
      <c r="EK203">
        <v>0</v>
      </c>
      <c r="EL203" t="s">
        <v>20</v>
      </c>
      <c r="EM203" t="s">
        <v>21</v>
      </c>
      <c r="EO203" t="s">
        <v>3</v>
      </c>
      <c r="EQ203">
        <v>32768</v>
      </c>
      <c r="ER203">
        <v>3714.73</v>
      </c>
      <c r="ES203">
        <v>3714.73</v>
      </c>
      <c r="ET203">
        <v>0</v>
      </c>
      <c r="EU203">
        <v>0</v>
      </c>
      <c r="EV203">
        <v>0</v>
      </c>
      <c r="EW203">
        <v>0</v>
      </c>
      <c r="EX203">
        <v>0</v>
      </c>
      <c r="FQ203">
        <v>0</v>
      </c>
      <c r="FR203">
        <f t="shared" si="198"/>
        <v>0</v>
      </c>
      <c r="FS203">
        <v>0</v>
      </c>
      <c r="FX203">
        <v>70</v>
      </c>
      <c r="FY203">
        <v>10</v>
      </c>
      <c r="GA203" t="s">
        <v>3</v>
      </c>
      <c r="GD203">
        <v>0</v>
      </c>
      <c r="GF203">
        <v>426331755</v>
      </c>
      <c r="GG203">
        <v>2</v>
      </c>
      <c r="GH203">
        <v>1</v>
      </c>
      <c r="GI203">
        <v>-2</v>
      </c>
      <c r="GJ203">
        <v>0</v>
      </c>
      <c r="GK203">
        <f>ROUND(R203*(R12)/100,2)</f>
        <v>0</v>
      </c>
      <c r="GL203">
        <f t="shared" si="199"/>
        <v>0</v>
      </c>
      <c r="GM203">
        <f t="shared" si="200"/>
        <v>-7126.15</v>
      </c>
      <c r="GN203">
        <f t="shared" si="201"/>
        <v>0</v>
      </c>
      <c r="GO203">
        <f t="shared" si="202"/>
        <v>0</v>
      </c>
      <c r="GP203">
        <f t="shared" si="203"/>
        <v>-7126.15</v>
      </c>
      <c r="GR203">
        <v>0</v>
      </c>
      <c r="GS203">
        <v>3</v>
      </c>
      <c r="GT203">
        <v>0</v>
      </c>
      <c r="GU203" t="s">
        <v>3</v>
      </c>
      <c r="GV203">
        <f t="shared" si="204"/>
        <v>0</v>
      </c>
      <c r="GW203">
        <v>1</v>
      </c>
      <c r="GX203">
        <f t="shared" si="205"/>
        <v>0</v>
      </c>
      <c r="HA203">
        <v>0</v>
      </c>
      <c r="HB203">
        <v>0</v>
      </c>
      <c r="HC203">
        <f t="shared" si="206"/>
        <v>0</v>
      </c>
      <c r="IK203">
        <v>0</v>
      </c>
    </row>
    <row r="204" spans="1:245" x14ac:dyDescent="0.2">
      <c r="A204">
        <v>17</v>
      </c>
      <c r="B204">
        <v>1</v>
      </c>
      <c r="C204">
        <f>ROW(SmtRes!A231)</f>
        <v>231</v>
      </c>
      <c r="D204">
        <f>ROW(EtalonRes!A201)</f>
        <v>201</v>
      </c>
      <c r="E204" t="s">
        <v>245</v>
      </c>
      <c r="F204" t="s">
        <v>59</v>
      </c>
      <c r="G204" t="s">
        <v>60</v>
      </c>
      <c r="H204" t="s">
        <v>40</v>
      </c>
      <c r="I204">
        <v>112.6</v>
      </c>
      <c r="J204">
        <v>0</v>
      </c>
      <c r="O204">
        <f t="shared" si="174"/>
        <v>782202.92</v>
      </c>
      <c r="P204">
        <f t="shared" si="175"/>
        <v>640397.86</v>
      </c>
      <c r="Q204">
        <f t="shared" si="176"/>
        <v>52276.800000000003</v>
      </c>
      <c r="R204">
        <f t="shared" si="177"/>
        <v>33327.35</v>
      </c>
      <c r="S204">
        <f t="shared" si="178"/>
        <v>89528.26</v>
      </c>
      <c r="T204">
        <f t="shared" si="179"/>
        <v>0</v>
      </c>
      <c r="U204">
        <f t="shared" si="180"/>
        <v>334.42200000000003</v>
      </c>
      <c r="V204">
        <f t="shared" si="181"/>
        <v>0</v>
      </c>
      <c r="W204">
        <f t="shared" si="182"/>
        <v>0</v>
      </c>
      <c r="X204">
        <f t="shared" si="183"/>
        <v>62669.78</v>
      </c>
      <c r="Y204">
        <f t="shared" si="184"/>
        <v>8952.83</v>
      </c>
      <c r="AA204">
        <v>46561299</v>
      </c>
      <c r="AB204">
        <f t="shared" si="185"/>
        <v>6946.74</v>
      </c>
      <c r="AC204">
        <f t="shared" si="207"/>
        <v>5687.37</v>
      </c>
      <c r="AD204">
        <f t="shared" si="208"/>
        <v>464.27</v>
      </c>
      <c r="AE204">
        <f t="shared" si="209"/>
        <v>295.98</v>
      </c>
      <c r="AF204">
        <f t="shared" si="210"/>
        <v>795.1</v>
      </c>
      <c r="AG204">
        <f t="shared" si="186"/>
        <v>0</v>
      </c>
      <c r="AH204">
        <f t="shared" si="211"/>
        <v>2.97</v>
      </c>
      <c r="AI204">
        <f t="shared" si="212"/>
        <v>0</v>
      </c>
      <c r="AJ204">
        <f t="shared" si="187"/>
        <v>0</v>
      </c>
      <c r="AK204">
        <v>6946.74</v>
      </c>
      <c r="AL204">
        <v>5687.37</v>
      </c>
      <c r="AM204">
        <v>464.27</v>
      </c>
      <c r="AN204">
        <v>295.98</v>
      </c>
      <c r="AO204">
        <v>795.1</v>
      </c>
      <c r="AP204">
        <v>0</v>
      </c>
      <c r="AQ204">
        <v>2.97</v>
      </c>
      <c r="AR204">
        <v>0</v>
      </c>
      <c r="AS204">
        <v>0</v>
      </c>
      <c r="AT204">
        <v>70</v>
      </c>
      <c r="AU204">
        <v>10</v>
      </c>
      <c r="AV204">
        <v>1</v>
      </c>
      <c r="AW204">
        <v>1</v>
      </c>
      <c r="AZ204">
        <v>1</v>
      </c>
      <c r="BA204">
        <v>1</v>
      </c>
      <c r="BB204">
        <v>1</v>
      </c>
      <c r="BC204">
        <v>1</v>
      </c>
      <c r="BD204" t="s">
        <v>3</v>
      </c>
      <c r="BE204" t="s">
        <v>3</v>
      </c>
      <c r="BF204" t="s">
        <v>3</v>
      </c>
      <c r="BG204" t="s">
        <v>3</v>
      </c>
      <c r="BH204">
        <v>0</v>
      </c>
      <c r="BI204">
        <v>4</v>
      </c>
      <c r="BJ204" t="s">
        <v>61</v>
      </c>
      <c r="BM204">
        <v>0</v>
      </c>
      <c r="BN204">
        <v>0</v>
      </c>
      <c r="BO204" t="s">
        <v>3</v>
      </c>
      <c r="BP204">
        <v>0</v>
      </c>
      <c r="BQ204">
        <v>1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 t="s">
        <v>3</v>
      </c>
      <c r="BZ204">
        <v>70</v>
      </c>
      <c r="CA204">
        <v>10</v>
      </c>
      <c r="CE204">
        <v>0</v>
      </c>
      <c r="CF204">
        <v>0</v>
      </c>
      <c r="CG204">
        <v>0</v>
      </c>
      <c r="CM204">
        <v>0</v>
      </c>
      <c r="CN204" t="s">
        <v>3</v>
      </c>
      <c r="CO204">
        <v>0</v>
      </c>
      <c r="CP204">
        <f t="shared" si="188"/>
        <v>782202.92</v>
      </c>
      <c r="CQ204">
        <f t="shared" si="189"/>
        <v>5687.37</v>
      </c>
      <c r="CR204">
        <f t="shared" si="213"/>
        <v>464.27</v>
      </c>
      <c r="CS204">
        <f t="shared" si="190"/>
        <v>295.98</v>
      </c>
      <c r="CT204">
        <f t="shared" si="191"/>
        <v>795.1</v>
      </c>
      <c r="CU204">
        <f t="shared" si="192"/>
        <v>0</v>
      </c>
      <c r="CV204">
        <f t="shared" si="193"/>
        <v>2.97</v>
      </c>
      <c r="CW204">
        <f t="shared" si="194"/>
        <v>0</v>
      </c>
      <c r="CX204">
        <f t="shared" si="195"/>
        <v>0</v>
      </c>
      <c r="CY204">
        <f t="shared" si="196"/>
        <v>62669.781999999992</v>
      </c>
      <c r="CZ204">
        <f t="shared" si="197"/>
        <v>8952.8259999999991</v>
      </c>
      <c r="DC204" t="s">
        <v>3</v>
      </c>
      <c r="DD204" t="s">
        <v>3</v>
      </c>
      <c r="DE204" t="s">
        <v>3</v>
      </c>
      <c r="DF204" t="s">
        <v>3</v>
      </c>
      <c r="DG204" t="s">
        <v>3</v>
      </c>
      <c r="DH204" t="s">
        <v>3</v>
      </c>
      <c r="DI204" t="s">
        <v>3</v>
      </c>
      <c r="DJ204" t="s">
        <v>3</v>
      </c>
      <c r="DK204" t="s">
        <v>3</v>
      </c>
      <c r="DL204" t="s">
        <v>3</v>
      </c>
      <c r="DM204" t="s">
        <v>3</v>
      </c>
      <c r="DN204">
        <v>0</v>
      </c>
      <c r="DO204">
        <v>0</v>
      </c>
      <c r="DP204">
        <v>1</v>
      </c>
      <c r="DQ204">
        <v>1</v>
      </c>
      <c r="DU204">
        <v>1005</v>
      </c>
      <c r="DV204" t="s">
        <v>40</v>
      </c>
      <c r="DW204" t="s">
        <v>40</v>
      </c>
      <c r="DX204">
        <v>1</v>
      </c>
      <c r="EE204">
        <v>46035301</v>
      </c>
      <c r="EF204">
        <v>1</v>
      </c>
      <c r="EG204" t="s">
        <v>19</v>
      </c>
      <c r="EH204">
        <v>0</v>
      </c>
      <c r="EI204" t="s">
        <v>3</v>
      </c>
      <c r="EJ204">
        <v>4</v>
      </c>
      <c r="EK204">
        <v>0</v>
      </c>
      <c r="EL204" t="s">
        <v>20</v>
      </c>
      <c r="EM204" t="s">
        <v>21</v>
      </c>
      <c r="EO204" t="s">
        <v>3</v>
      </c>
      <c r="EQ204">
        <v>0</v>
      </c>
      <c r="ER204">
        <v>6946.74</v>
      </c>
      <c r="ES204">
        <v>5687.37</v>
      </c>
      <c r="ET204">
        <v>464.27</v>
      </c>
      <c r="EU204">
        <v>295.98</v>
      </c>
      <c r="EV204">
        <v>795.1</v>
      </c>
      <c r="EW204">
        <v>2.97</v>
      </c>
      <c r="EX204">
        <v>0</v>
      </c>
      <c r="EY204">
        <v>0</v>
      </c>
      <c r="FQ204">
        <v>0</v>
      </c>
      <c r="FR204">
        <f t="shared" si="198"/>
        <v>0</v>
      </c>
      <c r="FS204">
        <v>0</v>
      </c>
      <c r="FX204">
        <v>70</v>
      </c>
      <c r="FY204">
        <v>10</v>
      </c>
      <c r="GA204" t="s">
        <v>3</v>
      </c>
      <c r="GD204">
        <v>0</v>
      </c>
      <c r="GF204">
        <v>1549732714</v>
      </c>
      <c r="GG204">
        <v>2</v>
      </c>
      <c r="GH204">
        <v>1</v>
      </c>
      <c r="GI204">
        <v>-2</v>
      </c>
      <c r="GJ204">
        <v>0</v>
      </c>
      <c r="GK204">
        <f>ROUND(R204*(R12)/100,2)</f>
        <v>35993.54</v>
      </c>
      <c r="GL204">
        <f t="shared" si="199"/>
        <v>0</v>
      </c>
      <c r="GM204">
        <f t="shared" si="200"/>
        <v>889819.07</v>
      </c>
      <c r="GN204">
        <f t="shared" si="201"/>
        <v>0</v>
      </c>
      <c r="GO204">
        <f t="shared" si="202"/>
        <v>0</v>
      </c>
      <c r="GP204">
        <f t="shared" si="203"/>
        <v>889819.07</v>
      </c>
      <c r="GR204">
        <v>0</v>
      </c>
      <c r="GS204">
        <v>3</v>
      </c>
      <c r="GT204">
        <v>0</v>
      </c>
      <c r="GU204" t="s">
        <v>3</v>
      </c>
      <c r="GV204">
        <f t="shared" si="204"/>
        <v>0</v>
      </c>
      <c r="GW204">
        <v>1</v>
      </c>
      <c r="GX204">
        <f t="shared" si="205"/>
        <v>0</v>
      </c>
      <c r="HA204">
        <v>0</v>
      </c>
      <c r="HB204">
        <v>0</v>
      </c>
      <c r="HC204">
        <f t="shared" si="206"/>
        <v>0</v>
      </c>
      <c r="IK204">
        <v>0</v>
      </c>
    </row>
    <row r="205" spans="1:245" x14ac:dyDescent="0.2">
      <c r="A205">
        <v>18</v>
      </c>
      <c r="B205">
        <v>1</v>
      </c>
      <c r="C205">
        <v>224</v>
      </c>
      <c r="E205" t="s">
        <v>246</v>
      </c>
      <c r="F205" t="s">
        <v>63</v>
      </c>
      <c r="G205" t="s">
        <v>64</v>
      </c>
      <c r="H205" t="s">
        <v>65</v>
      </c>
      <c r="I205">
        <f>I204*J205</f>
        <v>0.69974999999999998</v>
      </c>
      <c r="J205">
        <v>6.2144760213143878E-3</v>
      </c>
      <c r="O205">
        <f t="shared" si="174"/>
        <v>26121.17</v>
      </c>
      <c r="P205">
        <f t="shared" si="175"/>
        <v>26121.17</v>
      </c>
      <c r="Q205">
        <f t="shared" si="176"/>
        <v>0</v>
      </c>
      <c r="R205">
        <f t="shared" si="177"/>
        <v>0</v>
      </c>
      <c r="S205">
        <f t="shared" si="178"/>
        <v>0</v>
      </c>
      <c r="T205">
        <f t="shared" si="179"/>
        <v>0</v>
      </c>
      <c r="U205">
        <f t="shared" si="180"/>
        <v>0</v>
      </c>
      <c r="V205">
        <f t="shared" si="181"/>
        <v>0</v>
      </c>
      <c r="W205">
        <f t="shared" si="182"/>
        <v>0</v>
      </c>
      <c r="X205">
        <f t="shared" si="183"/>
        <v>0</v>
      </c>
      <c r="Y205">
        <f t="shared" si="184"/>
        <v>0</v>
      </c>
      <c r="AA205">
        <v>46561299</v>
      </c>
      <c r="AB205">
        <f t="shared" si="185"/>
        <v>37329.29</v>
      </c>
      <c r="AC205">
        <f t="shared" si="207"/>
        <v>37329.29</v>
      </c>
      <c r="AD205">
        <f t="shared" si="208"/>
        <v>0</v>
      </c>
      <c r="AE205">
        <f t="shared" si="209"/>
        <v>0</v>
      </c>
      <c r="AF205">
        <f t="shared" si="210"/>
        <v>0</v>
      </c>
      <c r="AG205">
        <f t="shared" si="186"/>
        <v>0</v>
      </c>
      <c r="AH205">
        <f t="shared" si="211"/>
        <v>0</v>
      </c>
      <c r="AI205">
        <f t="shared" si="212"/>
        <v>0</v>
      </c>
      <c r="AJ205">
        <f t="shared" si="187"/>
        <v>0</v>
      </c>
      <c r="AK205">
        <v>37329.29</v>
      </c>
      <c r="AL205">
        <v>37329.29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70</v>
      </c>
      <c r="AU205">
        <v>10</v>
      </c>
      <c r="AV205">
        <v>1</v>
      </c>
      <c r="AW205">
        <v>1</v>
      </c>
      <c r="AZ205">
        <v>1</v>
      </c>
      <c r="BA205">
        <v>1</v>
      </c>
      <c r="BB205">
        <v>1</v>
      </c>
      <c r="BC205">
        <v>1</v>
      </c>
      <c r="BD205" t="s">
        <v>3</v>
      </c>
      <c r="BE205" t="s">
        <v>3</v>
      </c>
      <c r="BF205" t="s">
        <v>3</v>
      </c>
      <c r="BG205" t="s">
        <v>3</v>
      </c>
      <c r="BH205">
        <v>3</v>
      </c>
      <c r="BI205">
        <v>4</v>
      </c>
      <c r="BJ205" t="s">
        <v>66</v>
      </c>
      <c r="BM205">
        <v>0</v>
      </c>
      <c r="BN205">
        <v>0</v>
      </c>
      <c r="BO205" t="s">
        <v>3</v>
      </c>
      <c r="BP205">
        <v>0</v>
      </c>
      <c r="BQ205">
        <v>1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 t="s">
        <v>3</v>
      </c>
      <c r="BZ205">
        <v>70</v>
      </c>
      <c r="CA205">
        <v>10</v>
      </c>
      <c r="CE205">
        <v>0</v>
      </c>
      <c r="CF205">
        <v>0</v>
      </c>
      <c r="CG205">
        <v>0</v>
      </c>
      <c r="CM205">
        <v>0</v>
      </c>
      <c r="CN205" t="s">
        <v>3</v>
      </c>
      <c r="CO205">
        <v>0</v>
      </c>
      <c r="CP205">
        <f t="shared" si="188"/>
        <v>26121.17</v>
      </c>
      <c r="CQ205">
        <f t="shared" si="189"/>
        <v>37329.29</v>
      </c>
      <c r="CR205">
        <f t="shared" si="213"/>
        <v>0</v>
      </c>
      <c r="CS205">
        <f t="shared" si="190"/>
        <v>0</v>
      </c>
      <c r="CT205">
        <f t="shared" si="191"/>
        <v>0</v>
      </c>
      <c r="CU205">
        <f t="shared" si="192"/>
        <v>0</v>
      </c>
      <c r="CV205">
        <f t="shared" si="193"/>
        <v>0</v>
      </c>
      <c r="CW205">
        <f t="shared" si="194"/>
        <v>0</v>
      </c>
      <c r="CX205">
        <f t="shared" si="195"/>
        <v>0</v>
      </c>
      <c r="CY205">
        <f t="shared" si="196"/>
        <v>0</v>
      </c>
      <c r="CZ205">
        <f t="shared" si="197"/>
        <v>0</v>
      </c>
      <c r="DC205" t="s">
        <v>3</v>
      </c>
      <c r="DD205" t="s">
        <v>3</v>
      </c>
      <c r="DE205" t="s">
        <v>3</v>
      </c>
      <c r="DF205" t="s">
        <v>3</v>
      </c>
      <c r="DG205" t="s">
        <v>3</v>
      </c>
      <c r="DH205" t="s">
        <v>3</v>
      </c>
      <c r="DI205" t="s">
        <v>3</v>
      </c>
      <c r="DJ205" t="s">
        <v>3</v>
      </c>
      <c r="DK205" t="s">
        <v>3</v>
      </c>
      <c r="DL205" t="s">
        <v>3</v>
      </c>
      <c r="DM205" t="s">
        <v>3</v>
      </c>
      <c r="DN205">
        <v>0</v>
      </c>
      <c r="DO205">
        <v>0</v>
      </c>
      <c r="DP205">
        <v>1</v>
      </c>
      <c r="DQ205">
        <v>1</v>
      </c>
      <c r="DU205">
        <v>1009</v>
      </c>
      <c r="DV205" t="s">
        <v>65</v>
      </c>
      <c r="DW205" t="s">
        <v>65</v>
      </c>
      <c r="DX205">
        <v>1000</v>
      </c>
      <c r="EE205">
        <v>46035301</v>
      </c>
      <c r="EF205">
        <v>1</v>
      </c>
      <c r="EG205" t="s">
        <v>19</v>
      </c>
      <c r="EH205">
        <v>0</v>
      </c>
      <c r="EI205" t="s">
        <v>3</v>
      </c>
      <c r="EJ205">
        <v>4</v>
      </c>
      <c r="EK205">
        <v>0</v>
      </c>
      <c r="EL205" t="s">
        <v>20</v>
      </c>
      <c r="EM205" t="s">
        <v>21</v>
      </c>
      <c r="EO205" t="s">
        <v>3</v>
      </c>
      <c r="EQ205">
        <v>0</v>
      </c>
      <c r="ER205">
        <v>37329.29</v>
      </c>
      <c r="ES205">
        <v>37329.29</v>
      </c>
      <c r="ET205">
        <v>0</v>
      </c>
      <c r="EU205">
        <v>0</v>
      </c>
      <c r="EV205">
        <v>0</v>
      </c>
      <c r="EW205">
        <v>0</v>
      </c>
      <c r="EX205">
        <v>0</v>
      </c>
      <c r="FQ205">
        <v>0</v>
      </c>
      <c r="FR205">
        <f t="shared" si="198"/>
        <v>0</v>
      </c>
      <c r="FS205">
        <v>0</v>
      </c>
      <c r="FX205">
        <v>70</v>
      </c>
      <c r="FY205">
        <v>10</v>
      </c>
      <c r="GA205" t="s">
        <v>3</v>
      </c>
      <c r="GD205">
        <v>0</v>
      </c>
      <c r="GF205">
        <v>1662963478</v>
      </c>
      <c r="GG205">
        <v>2</v>
      </c>
      <c r="GH205">
        <v>1</v>
      </c>
      <c r="GI205">
        <v>-2</v>
      </c>
      <c r="GJ205">
        <v>0</v>
      </c>
      <c r="GK205">
        <f>ROUND(R205*(R12)/100,2)</f>
        <v>0</v>
      </c>
      <c r="GL205">
        <f t="shared" si="199"/>
        <v>0</v>
      </c>
      <c r="GM205">
        <f t="shared" si="200"/>
        <v>26121.17</v>
      </c>
      <c r="GN205">
        <f t="shared" si="201"/>
        <v>0</v>
      </c>
      <c r="GO205">
        <f t="shared" si="202"/>
        <v>0</v>
      </c>
      <c r="GP205">
        <f t="shared" si="203"/>
        <v>26121.17</v>
      </c>
      <c r="GR205">
        <v>0</v>
      </c>
      <c r="GS205">
        <v>3</v>
      </c>
      <c r="GT205">
        <v>0</v>
      </c>
      <c r="GU205" t="s">
        <v>3</v>
      </c>
      <c r="GV205">
        <f t="shared" si="204"/>
        <v>0</v>
      </c>
      <c r="GW205">
        <v>1</v>
      </c>
      <c r="GX205">
        <f t="shared" si="205"/>
        <v>0</v>
      </c>
      <c r="HA205">
        <v>0</v>
      </c>
      <c r="HB205">
        <v>0</v>
      </c>
      <c r="HC205">
        <f t="shared" si="206"/>
        <v>0</v>
      </c>
      <c r="IK205">
        <v>0</v>
      </c>
    </row>
    <row r="206" spans="1:245" x14ac:dyDescent="0.2">
      <c r="A206">
        <v>18</v>
      </c>
      <c r="B206">
        <v>1</v>
      </c>
      <c r="C206">
        <v>220</v>
      </c>
      <c r="E206" t="s">
        <v>247</v>
      </c>
      <c r="F206" t="s">
        <v>68</v>
      </c>
      <c r="G206" t="s">
        <v>248</v>
      </c>
      <c r="H206" t="s">
        <v>65</v>
      </c>
      <c r="I206">
        <f>I204*J206</f>
        <v>0.84365999999999997</v>
      </c>
      <c r="J206">
        <v>7.4925399644760211E-3</v>
      </c>
      <c r="O206">
        <f t="shared" si="174"/>
        <v>27688.82</v>
      </c>
      <c r="P206">
        <f t="shared" si="175"/>
        <v>27688.82</v>
      </c>
      <c r="Q206">
        <f t="shared" si="176"/>
        <v>0</v>
      </c>
      <c r="R206">
        <f t="shared" si="177"/>
        <v>0</v>
      </c>
      <c r="S206">
        <f t="shared" si="178"/>
        <v>0</v>
      </c>
      <c r="T206">
        <f t="shared" si="179"/>
        <v>0</v>
      </c>
      <c r="U206">
        <f t="shared" si="180"/>
        <v>0</v>
      </c>
      <c r="V206">
        <f t="shared" si="181"/>
        <v>0</v>
      </c>
      <c r="W206">
        <f t="shared" si="182"/>
        <v>0</v>
      </c>
      <c r="X206">
        <f t="shared" si="183"/>
        <v>0</v>
      </c>
      <c r="Y206">
        <f t="shared" si="184"/>
        <v>0</v>
      </c>
      <c r="AA206">
        <v>46561299</v>
      </c>
      <c r="AB206">
        <f t="shared" si="185"/>
        <v>32819.879999999997</v>
      </c>
      <c r="AC206">
        <f t="shared" si="207"/>
        <v>32819.879999999997</v>
      </c>
      <c r="AD206">
        <f t="shared" si="208"/>
        <v>0</v>
      </c>
      <c r="AE206">
        <f t="shared" si="209"/>
        <v>0</v>
      </c>
      <c r="AF206">
        <f t="shared" si="210"/>
        <v>0</v>
      </c>
      <c r="AG206">
        <f t="shared" si="186"/>
        <v>0</v>
      </c>
      <c r="AH206">
        <f t="shared" si="211"/>
        <v>0</v>
      </c>
      <c r="AI206">
        <f t="shared" si="212"/>
        <v>0</v>
      </c>
      <c r="AJ206">
        <f t="shared" si="187"/>
        <v>0</v>
      </c>
      <c r="AK206">
        <v>32819.879999999997</v>
      </c>
      <c r="AL206">
        <v>32819.879999999997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70</v>
      </c>
      <c r="AU206">
        <v>10</v>
      </c>
      <c r="AV206">
        <v>1</v>
      </c>
      <c r="AW206">
        <v>1</v>
      </c>
      <c r="AZ206">
        <v>1</v>
      </c>
      <c r="BA206">
        <v>1</v>
      </c>
      <c r="BB206">
        <v>1</v>
      </c>
      <c r="BC206">
        <v>1</v>
      </c>
      <c r="BD206" t="s">
        <v>3</v>
      </c>
      <c r="BE206" t="s">
        <v>3</v>
      </c>
      <c r="BF206" t="s">
        <v>3</v>
      </c>
      <c r="BG206" t="s">
        <v>3</v>
      </c>
      <c r="BH206">
        <v>3</v>
      </c>
      <c r="BI206">
        <v>4</v>
      </c>
      <c r="BJ206" t="s">
        <v>70</v>
      </c>
      <c r="BM206">
        <v>0</v>
      </c>
      <c r="BN206">
        <v>0</v>
      </c>
      <c r="BO206" t="s">
        <v>3</v>
      </c>
      <c r="BP206">
        <v>0</v>
      </c>
      <c r="BQ206">
        <v>1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 t="s">
        <v>3</v>
      </c>
      <c r="BZ206">
        <v>70</v>
      </c>
      <c r="CA206">
        <v>10</v>
      </c>
      <c r="CE206">
        <v>0</v>
      </c>
      <c r="CF206">
        <v>0</v>
      </c>
      <c r="CG206">
        <v>0</v>
      </c>
      <c r="CM206">
        <v>0</v>
      </c>
      <c r="CN206" t="s">
        <v>3</v>
      </c>
      <c r="CO206">
        <v>0</v>
      </c>
      <c r="CP206">
        <f t="shared" si="188"/>
        <v>27688.82</v>
      </c>
      <c r="CQ206">
        <f t="shared" si="189"/>
        <v>32819.879999999997</v>
      </c>
      <c r="CR206">
        <f t="shared" si="213"/>
        <v>0</v>
      </c>
      <c r="CS206">
        <f t="shared" si="190"/>
        <v>0</v>
      </c>
      <c r="CT206">
        <f t="shared" si="191"/>
        <v>0</v>
      </c>
      <c r="CU206">
        <f t="shared" si="192"/>
        <v>0</v>
      </c>
      <c r="CV206">
        <f t="shared" si="193"/>
        <v>0</v>
      </c>
      <c r="CW206">
        <f t="shared" si="194"/>
        <v>0</v>
      </c>
      <c r="CX206">
        <f t="shared" si="195"/>
        <v>0</v>
      </c>
      <c r="CY206">
        <f t="shared" si="196"/>
        <v>0</v>
      </c>
      <c r="CZ206">
        <f t="shared" si="197"/>
        <v>0</v>
      </c>
      <c r="DC206" t="s">
        <v>3</v>
      </c>
      <c r="DD206" t="s">
        <v>3</v>
      </c>
      <c r="DE206" t="s">
        <v>3</v>
      </c>
      <c r="DF206" t="s">
        <v>3</v>
      </c>
      <c r="DG206" t="s">
        <v>3</v>
      </c>
      <c r="DH206" t="s">
        <v>3</v>
      </c>
      <c r="DI206" t="s">
        <v>3</v>
      </c>
      <c r="DJ206" t="s">
        <v>3</v>
      </c>
      <c r="DK206" t="s">
        <v>3</v>
      </c>
      <c r="DL206" t="s">
        <v>3</v>
      </c>
      <c r="DM206" t="s">
        <v>3</v>
      </c>
      <c r="DN206">
        <v>0</v>
      </c>
      <c r="DO206">
        <v>0</v>
      </c>
      <c r="DP206">
        <v>1</v>
      </c>
      <c r="DQ206">
        <v>1</v>
      </c>
      <c r="DU206">
        <v>1009</v>
      </c>
      <c r="DV206" t="s">
        <v>65</v>
      </c>
      <c r="DW206" t="s">
        <v>65</v>
      </c>
      <c r="DX206">
        <v>1000</v>
      </c>
      <c r="EE206">
        <v>46035301</v>
      </c>
      <c r="EF206">
        <v>1</v>
      </c>
      <c r="EG206" t="s">
        <v>19</v>
      </c>
      <c r="EH206">
        <v>0</v>
      </c>
      <c r="EI206" t="s">
        <v>3</v>
      </c>
      <c r="EJ206">
        <v>4</v>
      </c>
      <c r="EK206">
        <v>0</v>
      </c>
      <c r="EL206" t="s">
        <v>20</v>
      </c>
      <c r="EM206" t="s">
        <v>21</v>
      </c>
      <c r="EO206" t="s">
        <v>3</v>
      </c>
      <c r="EQ206">
        <v>0</v>
      </c>
      <c r="ER206">
        <v>32819.879999999997</v>
      </c>
      <c r="ES206">
        <v>32819.879999999997</v>
      </c>
      <c r="ET206">
        <v>0</v>
      </c>
      <c r="EU206">
        <v>0</v>
      </c>
      <c r="EV206">
        <v>0</v>
      </c>
      <c r="EW206">
        <v>0</v>
      </c>
      <c r="EX206">
        <v>0</v>
      </c>
      <c r="FQ206">
        <v>0</v>
      </c>
      <c r="FR206">
        <f t="shared" si="198"/>
        <v>0</v>
      </c>
      <c r="FS206">
        <v>0</v>
      </c>
      <c r="FX206">
        <v>70</v>
      </c>
      <c r="FY206">
        <v>10</v>
      </c>
      <c r="GA206" t="s">
        <v>3</v>
      </c>
      <c r="GD206">
        <v>0</v>
      </c>
      <c r="GF206">
        <v>690088621</v>
      </c>
      <c r="GG206">
        <v>2</v>
      </c>
      <c r="GH206">
        <v>1</v>
      </c>
      <c r="GI206">
        <v>-2</v>
      </c>
      <c r="GJ206">
        <v>0</v>
      </c>
      <c r="GK206">
        <f>ROUND(R206*(R12)/100,2)</f>
        <v>0</v>
      </c>
      <c r="GL206">
        <f t="shared" si="199"/>
        <v>0</v>
      </c>
      <c r="GM206">
        <f t="shared" si="200"/>
        <v>27688.82</v>
      </c>
      <c r="GN206">
        <f t="shared" si="201"/>
        <v>0</v>
      </c>
      <c r="GO206">
        <f t="shared" si="202"/>
        <v>0</v>
      </c>
      <c r="GP206">
        <f t="shared" si="203"/>
        <v>27688.82</v>
      </c>
      <c r="GR206">
        <v>0</v>
      </c>
      <c r="GS206">
        <v>3</v>
      </c>
      <c r="GT206">
        <v>0</v>
      </c>
      <c r="GU206" t="s">
        <v>3</v>
      </c>
      <c r="GV206">
        <f t="shared" si="204"/>
        <v>0</v>
      </c>
      <c r="GW206">
        <v>1</v>
      </c>
      <c r="GX206">
        <f t="shared" si="205"/>
        <v>0</v>
      </c>
      <c r="HA206">
        <v>0</v>
      </c>
      <c r="HB206">
        <v>0</v>
      </c>
      <c r="HC206">
        <f t="shared" si="206"/>
        <v>0</v>
      </c>
      <c r="IK206">
        <v>0</v>
      </c>
    </row>
    <row r="207" spans="1:245" x14ac:dyDescent="0.2">
      <c r="A207">
        <v>18</v>
      </c>
      <c r="B207">
        <v>1</v>
      </c>
      <c r="C207">
        <v>223</v>
      </c>
      <c r="E207" t="s">
        <v>249</v>
      </c>
      <c r="F207" t="s">
        <v>72</v>
      </c>
      <c r="G207" t="s">
        <v>250</v>
      </c>
      <c r="H207" t="s">
        <v>65</v>
      </c>
      <c r="I207">
        <f>I204*J207</f>
        <v>1.8537300000000001</v>
      </c>
      <c r="J207">
        <v>1.6462966252220251E-2</v>
      </c>
      <c r="O207">
        <f t="shared" si="174"/>
        <v>75256.899999999994</v>
      </c>
      <c r="P207">
        <f t="shared" si="175"/>
        <v>75256.899999999994</v>
      </c>
      <c r="Q207">
        <f t="shared" si="176"/>
        <v>0</v>
      </c>
      <c r="R207">
        <f t="shared" si="177"/>
        <v>0</v>
      </c>
      <c r="S207">
        <f t="shared" si="178"/>
        <v>0</v>
      </c>
      <c r="T207">
        <f t="shared" si="179"/>
        <v>0</v>
      </c>
      <c r="U207">
        <f t="shared" si="180"/>
        <v>0</v>
      </c>
      <c r="V207">
        <f t="shared" si="181"/>
        <v>0</v>
      </c>
      <c r="W207">
        <f t="shared" si="182"/>
        <v>0</v>
      </c>
      <c r="X207">
        <f t="shared" si="183"/>
        <v>0</v>
      </c>
      <c r="Y207">
        <f t="shared" si="184"/>
        <v>0</v>
      </c>
      <c r="AA207">
        <v>46561299</v>
      </c>
      <c r="AB207">
        <f t="shared" si="185"/>
        <v>40597.550000000003</v>
      </c>
      <c r="AC207">
        <f t="shared" si="207"/>
        <v>40597.550000000003</v>
      </c>
      <c r="AD207">
        <f t="shared" si="208"/>
        <v>0</v>
      </c>
      <c r="AE207">
        <f t="shared" si="209"/>
        <v>0</v>
      </c>
      <c r="AF207">
        <f t="shared" si="210"/>
        <v>0</v>
      </c>
      <c r="AG207">
        <f t="shared" si="186"/>
        <v>0</v>
      </c>
      <c r="AH207">
        <f t="shared" si="211"/>
        <v>0</v>
      </c>
      <c r="AI207">
        <f t="shared" si="212"/>
        <v>0</v>
      </c>
      <c r="AJ207">
        <f t="shared" si="187"/>
        <v>0</v>
      </c>
      <c r="AK207">
        <v>40597.550000000003</v>
      </c>
      <c r="AL207">
        <v>40597.550000000003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70</v>
      </c>
      <c r="AU207">
        <v>10</v>
      </c>
      <c r="AV207">
        <v>1</v>
      </c>
      <c r="AW207">
        <v>1</v>
      </c>
      <c r="AZ207">
        <v>1</v>
      </c>
      <c r="BA207">
        <v>1</v>
      </c>
      <c r="BB207">
        <v>1</v>
      </c>
      <c r="BC207">
        <v>1</v>
      </c>
      <c r="BD207" t="s">
        <v>3</v>
      </c>
      <c r="BE207" t="s">
        <v>3</v>
      </c>
      <c r="BF207" t="s">
        <v>3</v>
      </c>
      <c r="BG207" t="s">
        <v>3</v>
      </c>
      <c r="BH207">
        <v>3</v>
      </c>
      <c r="BI207">
        <v>4</v>
      </c>
      <c r="BJ207" t="s">
        <v>74</v>
      </c>
      <c r="BM207">
        <v>0</v>
      </c>
      <c r="BN207">
        <v>0</v>
      </c>
      <c r="BO207" t="s">
        <v>3</v>
      </c>
      <c r="BP207">
        <v>0</v>
      </c>
      <c r="BQ207">
        <v>1</v>
      </c>
      <c r="BR207">
        <v>0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t="s">
        <v>3</v>
      </c>
      <c r="BZ207">
        <v>70</v>
      </c>
      <c r="CA207">
        <v>10</v>
      </c>
      <c r="CE207">
        <v>0</v>
      </c>
      <c r="CF207">
        <v>0</v>
      </c>
      <c r="CG207">
        <v>0</v>
      </c>
      <c r="CM207">
        <v>0</v>
      </c>
      <c r="CN207" t="s">
        <v>3</v>
      </c>
      <c r="CO207">
        <v>0</v>
      </c>
      <c r="CP207">
        <f t="shared" si="188"/>
        <v>75256.899999999994</v>
      </c>
      <c r="CQ207">
        <f t="shared" si="189"/>
        <v>40597.550000000003</v>
      </c>
      <c r="CR207">
        <f t="shared" si="213"/>
        <v>0</v>
      </c>
      <c r="CS207">
        <f t="shared" si="190"/>
        <v>0</v>
      </c>
      <c r="CT207">
        <f t="shared" si="191"/>
        <v>0</v>
      </c>
      <c r="CU207">
        <f t="shared" si="192"/>
        <v>0</v>
      </c>
      <c r="CV207">
        <f t="shared" si="193"/>
        <v>0</v>
      </c>
      <c r="CW207">
        <f t="shared" si="194"/>
        <v>0</v>
      </c>
      <c r="CX207">
        <f t="shared" si="195"/>
        <v>0</v>
      </c>
      <c r="CY207">
        <f t="shared" si="196"/>
        <v>0</v>
      </c>
      <c r="CZ207">
        <f t="shared" si="197"/>
        <v>0</v>
      </c>
      <c r="DC207" t="s">
        <v>3</v>
      </c>
      <c r="DD207" t="s">
        <v>3</v>
      </c>
      <c r="DE207" t="s">
        <v>3</v>
      </c>
      <c r="DF207" t="s">
        <v>3</v>
      </c>
      <c r="DG207" t="s">
        <v>3</v>
      </c>
      <c r="DH207" t="s">
        <v>3</v>
      </c>
      <c r="DI207" t="s">
        <v>3</v>
      </c>
      <c r="DJ207" t="s">
        <v>3</v>
      </c>
      <c r="DK207" t="s">
        <v>3</v>
      </c>
      <c r="DL207" t="s">
        <v>3</v>
      </c>
      <c r="DM207" t="s">
        <v>3</v>
      </c>
      <c r="DN207">
        <v>0</v>
      </c>
      <c r="DO207">
        <v>0</v>
      </c>
      <c r="DP207">
        <v>1</v>
      </c>
      <c r="DQ207">
        <v>1</v>
      </c>
      <c r="DU207">
        <v>1009</v>
      </c>
      <c r="DV207" t="s">
        <v>65</v>
      </c>
      <c r="DW207" t="s">
        <v>65</v>
      </c>
      <c r="DX207">
        <v>1000</v>
      </c>
      <c r="EE207">
        <v>46035301</v>
      </c>
      <c r="EF207">
        <v>1</v>
      </c>
      <c r="EG207" t="s">
        <v>19</v>
      </c>
      <c r="EH207">
        <v>0</v>
      </c>
      <c r="EI207" t="s">
        <v>3</v>
      </c>
      <c r="EJ207">
        <v>4</v>
      </c>
      <c r="EK207">
        <v>0</v>
      </c>
      <c r="EL207" t="s">
        <v>20</v>
      </c>
      <c r="EM207" t="s">
        <v>21</v>
      </c>
      <c r="EO207" t="s">
        <v>3</v>
      </c>
      <c r="EQ207">
        <v>0</v>
      </c>
      <c r="ER207">
        <v>40597.550000000003</v>
      </c>
      <c r="ES207">
        <v>40597.550000000003</v>
      </c>
      <c r="ET207">
        <v>0</v>
      </c>
      <c r="EU207">
        <v>0</v>
      </c>
      <c r="EV207">
        <v>0</v>
      </c>
      <c r="EW207">
        <v>0</v>
      </c>
      <c r="EX207">
        <v>0</v>
      </c>
      <c r="FQ207">
        <v>0</v>
      </c>
      <c r="FR207">
        <f t="shared" si="198"/>
        <v>0</v>
      </c>
      <c r="FS207">
        <v>0</v>
      </c>
      <c r="FX207">
        <v>70</v>
      </c>
      <c r="FY207">
        <v>10</v>
      </c>
      <c r="GA207" t="s">
        <v>3</v>
      </c>
      <c r="GD207">
        <v>0</v>
      </c>
      <c r="GF207">
        <v>-259010178</v>
      </c>
      <c r="GG207">
        <v>2</v>
      </c>
      <c r="GH207">
        <v>1</v>
      </c>
      <c r="GI207">
        <v>-2</v>
      </c>
      <c r="GJ207">
        <v>0</v>
      </c>
      <c r="GK207">
        <f>ROUND(R207*(R12)/100,2)</f>
        <v>0</v>
      </c>
      <c r="GL207">
        <f t="shared" si="199"/>
        <v>0</v>
      </c>
      <c r="GM207">
        <f t="shared" si="200"/>
        <v>75256.899999999994</v>
      </c>
      <c r="GN207">
        <f t="shared" si="201"/>
        <v>0</v>
      </c>
      <c r="GO207">
        <f t="shared" si="202"/>
        <v>0</v>
      </c>
      <c r="GP207">
        <f t="shared" si="203"/>
        <v>75256.899999999994</v>
      </c>
      <c r="GR207">
        <v>0</v>
      </c>
      <c r="GS207">
        <v>3</v>
      </c>
      <c r="GT207">
        <v>0</v>
      </c>
      <c r="GU207" t="s">
        <v>3</v>
      </c>
      <c r="GV207">
        <f t="shared" si="204"/>
        <v>0</v>
      </c>
      <c r="GW207">
        <v>1</v>
      </c>
      <c r="GX207">
        <f t="shared" si="205"/>
        <v>0</v>
      </c>
      <c r="HA207">
        <v>0</v>
      </c>
      <c r="HB207">
        <v>0</v>
      </c>
      <c r="HC207">
        <f t="shared" si="206"/>
        <v>0</v>
      </c>
      <c r="IK207">
        <v>0</v>
      </c>
    </row>
    <row r="208" spans="1:245" x14ac:dyDescent="0.2">
      <c r="A208">
        <v>18</v>
      </c>
      <c r="B208">
        <v>1</v>
      </c>
      <c r="C208">
        <v>227</v>
      </c>
      <c r="E208" t="s">
        <v>251</v>
      </c>
      <c r="F208" t="s">
        <v>76</v>
      </c>
      <c r="G208" t="s">
        <v>77</v>
      </c>
      <c r="H208" t="s">
        <v>78</v>
      </c>
      <c r="I208">
        <f>I204*J208</f>
        <v>21</v>
      </c>
      <c r="J208">
        <v>0.18650088809946716</v>
      </c>
      <c r="O208">
        <f t="shared" si="174"/>
        <v>787.5</v>
      </c>
      <c r="P208">
        <f t="shared" si="175"/>
        <v>787.5</v>
      </c>
      <c r="Q208">
        <f t="shared" si="176"/>
        <v>0</v>
      </c>
      <c r="R208">
        <f t="shared" si="177"/>
        <v>0</v>
      </c>
      <c r="S208">
        <f t="shared" si="178"/>
        <v>0</v>
      </c>
      <c r="T208">
        <f t="shared" si="179"/>
        <v>0</v>
      </c>
      <c r="U208">
        <f t="shared" si="180"/>
        <v>0</v>
      </c>
      <c r="V208">
        <f t="shared" si="181"/>
        <v>0</v>
      </c>
      <c r="W208">
        <f t="shared" si="182"/>
        <v>0</v>
      </c>
      <c r="X208">
        <f t="shared" si="183"/>
        <v>0</v>
      </c>
      <c r="Y208">
        <f t="shared" si="184"/>
        <v>0</v>
      </c>
      <c r="AA208">
        <v>46561299</v>
      </c>
      <c r="AB208">
        <f t="shared" si="185"/>
        <v>37.5</v>
      </c>
      <c r="AC208">
        <f t="shared" si="207"/>
        <v>37.5</v>
      </c>
      <c r="AD208">
        <f t="shared" si="208"/>
        <v>0</v>
      </c>
      <c r="AE208">
        <f t="shared" si="209"/>
        <v>0</v>
      </c>
      <c r="AF208">
        <f t="shared" si="210"/>
        <v>0</v>
      </c>
      <c r="AG208">
        <f t="shared" si="186"/>
        <v>0</v>
      </c>
      <c r="AH208">
        <f t="shared" si="211"/>
        <v>0</v>
      </c>
      <c r="AI208">
        <f t="shared" si="212"/>
        <v>0</v>
      </c>
      <c r="AJ208">
        <f t="shared" si="187"/>
        <v>0</v>
      </c>
      <c r="AK208">
        <v>37.5</v>
      </c>
      <c r="AL208">
        <v>37.5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70</v>
      </c>
      <c r="AU208">
        <v>10</v>
      </c>
      <c r="AV208">
        <v>1</v>
      </c>
      <c r="AW208">
        <v>1</v>
      </c>
      <c r="AZ208">
        <v>1</v>
      </c>
      <c r="BA208">
        <v>1</v>
      </c>
      <c r="BB208">
        <v>1</v>
      </c>
      <c r="BC208">
        <v>1</v>
      </c>
      <c r="BD208" t="s">
        <v>3</v>
      </c>
      <c r="BE208" t="s">
        <v>3</v>
      </c>
      <c r="BF208" t="s">
        <v>3</v>
      </c>
      <c r="BG208" t="s">
        <v>3</v>
      </c>
      <c r="BH208">
        <v>3</v>
      </c>
      <c r="BI208">
        <v>4</v>
      </c>
      <c r="BJ208" t="s">
        <v>3</v>
      </c>
      <c r="BM208">
        <v>0</v>
      </c>
      <c r="BN208">
        <v>0</v>
      </c>
      <c r="BO208" t="s">
        <v>3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t="s">
        <v>3</v>
      </c>
      <c r="BZ208">
        <v>70</v>
      </c>
      <c r="CA208">
        <v>10</v>
      </c>
      <c r="CE208">
        <v>0</v>
      </c>
      <c r="CF208">
        <v>0</v>
      </c>
      <c r="CG208">
        <v>0</v>
      </c>
      <c r="CM208">
        <v>0</v>
      </c>
      <c r="CN208" t="s">
        <v>3</v>
      </c>
      <c r="CO208">
        <v>0</v>
      </c>
      <c r="CP208">
        <f t="shared" si="188"/>
        <v>787.5</v>
      </c>
      <c r="CQ208">
        <f t="shared" si="189"/>
        <v>37.5</v>
      </c>
      <c r="CR208">
        <f t="shared" si="213"/>
        <v>0</v>
      </c>
      <c r="CS208">
        <f t="shared" si="190"/>
        <v>0</v>
      </c>
      <c r="CT208">
        <f t="shared" si="191"/>
        <v>0</v>
      </c>
      <c r="CU208">
        <f t="shared" si="192"/>
        <v>0</v>
      </c>
      <c r="CV208">
        <f t="shared" si="193"/>
        <v>0</v>
      </c>
      <c r="CW208">
        <f t="shared" si="194"/>
        <v>0</v>
      </c>
      <c r="CX208">
        <f t="shared" si="195"/>
        <v>0</v>
      </c>
      <c r="CY208">
        <f t="shared" si="196"/>
        <v>0</v>
      </c>
      <c r="CZ208">
        <f t="shared" si="197"/>
        <v>0</v>
      </c>
      <c r="DC208" t="s">
        <v>3</v>
      </c>
      <c r="DD208" t="s">
        <v>3</v>
      </c>
      <c r="DE208" t="s">
        <v>3</v>
      </c>
      <c r="DF208" t="s">
        <v>3</v>
      </c>
      <c r="DG208" t="s">
        <v>3</v>
      </c>
      <c r="DH208" t="s">
        <v>3</v>
      </c>
      <c r="DI208" t="s">
        <v>3</v>
      </c>
      <c r="DJ208" t="s">
        <v>3</v>
      </c>
      <c r="DK208" t="s">
        <v>3</v>
      </c>
      <c r="DL208" t="s">
        <v>3</v>
      </c>
      <c r="DM208" t="s">
        <v>3</v>
      </c>
      <c r="DN208">
        <v>0</v>
      </c>
      <c r="DO208">
        <v>0</v>
      </c>
      <c r="DP208">
        <v>1</v>
      </c>
      <c r="DQ208">
        <v>1</v>
      </c>
      <c r="DU208">
        <v>1013</v>
      </c>
      <c r="DV208" t="s">
        <v>78</v>
      </c>
      <c r="DW208" t="s">
        <v>78</v>
      </c>
      <c r="DX208">
        <v>1</v>
      </c>
      <c r="EE208">
        <v>46035301</v>
      </c>
      <c r="EF208">
        <v>1</v>
      </c>
      <c r="EG208" t="s">
        <v>19</v>
      </c>
      <c r="EH208">
        <v>0</v>
      </c>
      <c r="EI208" t="s">
        <v>3</v>
      </c>
      <c r="EJ208">
        <v>4</v>
      </c>
      <c r="EK208">
        <v>0</v>
      </c>
      <c r="EL208" t="s">
        <v>20</v>
      </c>
      <c r="EM208" t="s">
        <v>21</v>
      </c>
      <c r="EO208" t="s">
        <v>3</v>
      </c>
      <c r="EQ208">
        <v>0</v>
      </c>
      <c r="ER208">
        <v>37.5</v>
      </c>
      <c r="ES208">
        <v>37.5</v>
      </c>
      <c r="ET208">
        <v>0</v>
      </c>
      <c r="EU208">
        <v>0</v>
      </c>
      <c r="EV208">
        <v>0</v>
      </c>
      <c r="EW208">
        <v>0</v>
      </c>
      <c r="EX208">
        <v>0</v>
      </c>
      <c r="EZ208">
        <v>5</v>
      </c>
      <c r="FC208">
        <v>1</v>
      </c>
      <c r="FD208">
        <v>18</v>
      </c>
      <c r="FF208">
        <v>45</v>
      </c>
      <c r="FQ208">
        <v>0</v>
      </c>
      <c r="FR208">
        <f t="shared" si="198"/>
        <v>0</v>
      </c>
      <c r="FS208">
        <v>0</v>
      </c>
      <c r="FX208">
        <v>70</v>
      </c>
      <c r="FY208">
        <v>10</v>
      </c>
      <c r="GA208" t="s">
        <v>79</v>
      </c>
      <c r="GD208">
        <v>0</v>
      </c>
      <c r="GF208">
        <v>-1591933177</v>
      </c>
      <c r="GG208">
        <v>2</v>
      </c>
      <c r="GH208">
        <v>3</v>
      </c>
      <c r="GI208">
        <v>-2</v>
      </c>
      <c r="GJ208">
        <v>0</v>
      </c>
      <c r="GK208">
        <f>ROUND(R208*(R12)/100,2)</f>
        <v>0</v>
      </c>
      <c r="GL208">
        <f t="shared" si="199"/>
        <v>0</v>
      </c>
      <c r="GM208">
        <f t="shared" si="200"/>
        <v>787.5</v>
      </c>
      <c r="GN208">
        <f t="shared" si="201"/>
        <v>0</v>
      </c>
      <c r="GO208">
        <f t="shared" si="202"/>
        <v>0</v>
      </c>
      <c r="GP208">
        <f t="shared" si="203"/>
        <v>787.5</v>
      </c>
      <c r="GR208">
        <v>1</v>
      </c>
      <c r="GS208">
        <v>1</v>
      </c>
      <c r="GT208">
        <v>0</v>
      </c>
      <c r="GU208" t="s">
        <v>3</v>
      </c>
      <c r="GV208">
        <f t="shared" si="204"/>
        <v>0</v>
      </c>
      <c r="GW208">
        <v>1</v>
      </c>
      <c r="GX208">
        <f t="shared" si="205"/>
        <v>0</v>
      </c>
      <c r="HA208">
        <v>0</v>
      </c>
      <c r="HB208">
        <v>0</v>
      </c>
      <c r="HC208">
        <f t="shared" si="206"/>
        <v>0</v>
      </c>
      <c r="IK208">
        <v>0</v>
      </c>
    </row>
    <row r="209" spans="1:245" x14ac:dyDescent="0.2">
      <c r="A209">
        <v>18</v>
      </c>
      <c r="B209">
        <v>1</v>
      </c>
      <c r="C209">
        <v>228</v>
      </c>
      <c r="E209" t="s">
        <v>252</v>
      </c>
      <c r="F209" t="s">
        <v>76</v>
      </c>
      <c r="G209" t="s">
        <v>81</v>
      </c>
      <c r="H209" t="s">
        <v>78</v>
      </c>
      <c r="I209">
        <f>I204*J209</f>
        <v>84</v>
      </c>
      <c r="J209">
        <v>0.74600355239786864</v>
      </c>
      <c r="O209">
        <f t="shared" si="174"/>
        <v>1388.52</v>
      </c>
      <c r="P209">
        <f t="shared" si="175"/>
        <v>1388.52</v>
      </c>
      <c r="Q209">
        <f t="shared" si="176"/>
        <v>0</v>
      </c>
      <c r="R209">
        <f t="shared" si="177"/>
        <v>0</v>
      </c>
      <c r="S209">
        <f t="shared" si="178"/>
        <v>0</v>
      </c>
      <c r="T209">
        <f t="shared" si="179"/>
        <v>0</v>
      </c>
      <c r="U209">
        <f t="shared" si="180"/>
        <v>0</v>
      </c>
      <c r="V209">
        <f t="shared" si="181"/>
        <v>0</v>
      </c>
      <c r="W209">
        <f t="shared" si="182"/>
        <v>0</v>
      </c>
      <c r="X209">
        <f t="shared" si="183"/>
        <v>0</v>
      </c>
      <c r="Y209">
        <f t="shared" si="184"/>
        <v>0</v>
      </c>
      <c r="AA209">
        <v>46561299</v>
      </c>
      <c r="AB209">
        <f t="shared" si="185"/>
        <v>16.53</v>
      </c>
      <c r="AC209">
        <f t="shared" si="207"/>
        <v>16.53</v>
      </c>
      <c r="AD209">
        <f t="shared" si="208"/>
        <v>0</v>
      </c>
      <c r="AE209">
        <f t="shared" si="209"/>
        <v>0</v>
      </c>
      <c r="AF209">
        <f t="shared" si="210"/>
        <v>0</v>
      </c>
      <c r="AG209">
        <f t="shared" si="186"/>
        <v>0</v>
      </c>
      <c r="AH209">
        <f t="shared" si="211"/>
        <v>0</v>
      </c>
      <c r="AI209">
        <f t="shared" si="212"/>
        <v>0</v>
      </c>
      <c r="AJ209">
        <f t="shared" si="187"/>
        <v>0</v>
      </c>
      <c r="AK209">
        <v>16.53</v>
      </c>
      <c r="AL209">
        <v>16.53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70</v>
      </c>
      <c r="AU209">
        <v>10</v>
      </c>
      <c r="AV209">
        <v>1</v>
      </c>
      <c r="AW209">
        <v>1</v>
      </c>
      <c r="AZ209">
        <v>1</v>
      </c>
      <c r="BA209">
        <v>1</v>
      </c>
      <c r="BB209">
        <v>1</v>
      </c>
      <c r="BC209">
        <v>1</v>
      </c>
      <c r="BD209" t="s">
        <v>3</v>
      </c>
      <c r="BE209" t="s">
        <v>3</v>
      </c>
      <c r="BF209" t="s">
        <v>3</v>
      </c>
      <c r="BG209" t="s">
        <v>3</v>
      </c>
      <c r="BH209">
        <v>3</v>
      </c>
      <c r="BI209">
        <v>4</v>
      </c>
      <c r="BJ209" t="s">
        <v>3</v>
      </c>
      <c r="BM209">
        <v>0</v>
      </c>
      <c r="BN209">
        <v>0</v>
      </c>
      <c r="BO209" t="s">
        <v>3</v>
      </c>
      <c r="BP209">
        <v>0</v>
      </c>
      <c r="BQ209">
        <v>1</v>
      </c>
      <c r="BR209">
        <v>0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3</v>
      </c>
      <c r="BZ209">
        <v>70</v>
      </c>
      <c r="CA209">
        <v>10</v>
      </c>
      <c r="CE209">
        <v>0</v>
      </c>
      <c r="CF209">
        <v>0</v>
      </c>
      <c r="CG209">
        <v>0</v>
      </c>
      <c r="CM209">
        <v>0</v>
      </c>
      <c r="CN209" t="s">
        <v>3</v>
      </c>
      <c r="CO209">
        <v>0</v>
      </c>
      <c r="CP209">
        <f t="shared" si="188"/>
        <v>1388.52</v>
      </c>
      <c r="CQ209">
        <f t="shared" si="189"/>
        <v>16.53</v>
      </c>
      <c r="CR209">
        <f t="shared" si="213"/>
        <v>0</v>
      </c>
      <c r="CS209">
        <f t="shared" si="190"/>
        <v>0</v>
      </c>
      <c r="CT209">
        <f t="shared" si="191"/>
        <v>0</v>
      </c>
      <c r="CU209">
        <f t="shared" si="192"/>
        <v>0</v>
      </c>
      <c r="CV209">
        <f t="shared" si="193"/>
        <v>0</v>
      </c>
      <c r="CW209">
        <f t="shared" si="194"/>
        <v>0</v>
      </c>
      <c r="CX209">
        <f t="shared" si="195"/>
        <v>0</v>
      </c>
      <c r="CY209">
        <f t="shared" si="196"/>
        <v>0</v>
      </c>
      <c r="CZ209">
        <f t="shared" si="197"/>
        <v>0</v>
      </c>
      <c r="DC209" t="s">
        <v>3</v>
      </c>
      <c r="DD209" t="s">
        <v>3</v>
      </c>
      <c r="DE209" t="s">
        <v>3</v>
      </c>
      <c r="DF209" t="s">
        <v>3</v>
      </c>
      <c r="DG209" t="s">
        <v>3</v>
      </c>
      <c r="DH209" t="s">
        <v>3</v>
      </c>
      <c r="DI209" t="s">
        <v>3</v>
      </c>
      <c r="DJ209" t="s">
        <v>3</v>
      </c>
      <c r="DK209" t="s">
        <v>3</v>
      </c>
      <c r="DL209" t="s">
        <v>3</v>
      </c>
      <c r="DM209" t="s">
        <v>3</v>
      </c>
      <c r="DN209">
        <v>0</v>
      </c>
      <c r="DO209">
        <v>0</v>
      </c>
      <c r="DP209">
        <v>1</v>
      </c>
      <c r="DQ209">
        <v>1</v>
      </c>
      <c r="DU209">
        <v>1013</v>
      </c>
      <c r="DV209" t="s">
        <v>78</v>
      </c>
      <c r="DW209" t="s">
        <v>78</v>
      </c>
      <c r="DX209">
        <v>1</v>
      </c>
      <c r="EE209">
        <v>46035301</v>
      </c>
      <c r="EF209">
        <v>1</v>
      </c>
      <c r="EG209" t="s">
        <v>19</v>
      </c>
      <c r="EH209">
        <v>0</v>
      </c>
      <c r="EI209" t="s">
        <v>3</v>
      </c>
      <c r="EJ209">
        <v>4</v>
      </c>
      <c r="EK209">
        <v>0</v>
      </c>
      <c r="EL209" t="s">
        <v>20</v>
      </c>
      <c r="EM209" t="s">
        <v>21</v>
      </c>
      <c r="EO209" t="s">
        <v>3</v>
      </c>
      <c r="EQ209">
        <v>0</v>
      </c>
      <c r="ER209">
        <v>16.53</v>
      </c>
      <c r="ES209">
        <v>16.53</v>
      </c>
      <c r="ET209">
        <v>0</v>
      </c>
      <c r="EU209">
        <v>0</v>
      </c>
      <c r="EV209">
        <v>0</v>
      </c>
      <c r="EW209">
        <v>0</v>
      </c>
      <c r="EX209">
        <v>0</v>
      </c>
      <c r="EZ209">
        <v>5</v>
      </c>
      <c r="FC209">
        <v>1</v>
      </c>
      <c r="FD209">
        <v>18</v>
      </c>
      <c r="FF209">
        <v>19.829999999999998</v>
      </c>
      <c r="FQ209">
        <v>0</v>
      </c>
      <c r="FR209">
        <f t="shared" si="198"/>
        <v>0</v>
      </c>
      <c r="FS209">
        <v>0</v>
      </c>
      <c r="FX209">
        <v>70</v>
      </c>
      <c r="FY209">
        <v>10</v>
      </c>
      <c r="GA209" t="s">
        <v>82</v>
      </c>
      <c r="GD209">
        <v>0</v>
      </c>
      <c r="GF209">
        <v>-1949902326</v>
      </c>
      <c r="GG209">
        <v>2</v>
      </c>
      <c r="GH209">
        <v>3</v>
      </c>
      <c r="GI209">
        <v>-2</v>
      </c>
      <c r="GJ209">
        <v>0</v>
      </c>
      <c r="GK209">
        <f>ROUND(R209*(R12)/100,2)</f>
        <v>0</v>
      </c>
      <c r="GL209">
        <f t="shared" si="199"/>
        <v>0</v>
      </c>
      <c r="GM209">
        <f t="shared" si="200"/>
        <v>1388.52</v>
      </c>
      <c r="GN209">
        <f t="shared" si="201"/>
        <v>0</v>
      </c>
      <c r="GO209">
        <f t="shared" si="202"/>
        <v>0</v>
      </c>
      <c r="GP209">
        <f t="shared" si="203"/>
        <v>1388.52</v>
      </c>
      <c r="GR209">
        <v>1</v>
      </c>
      <c r="GS209">
        <v>1</v>
      </c>
      <c r="GT209">
        <v>0</v>
      </c>
      <c r="GU209" t="s">
        <v>3</v>
      </c>
      <c r="GV209">
        <f t="shared" si="204"/>
        <v>0</v>
      </c>
      <c r="GW209">
        <v>1</v>
      </c>
      <c r="GX209">
        <f t="shared" si="205"/>
        <v>0</v>
      </c>
      <c r="HA209">
        <v>0</v>
      </c>
      <c r="HB209">
        <v>0</v>
      </c>
      <c r="HC209">
        <f t="shared" si="206"/>
        <v>0</v>
      </c>
      <c r="IK209">
        <v>0</v>
      </c>
    </row>
    <row r="210" spans="1:245" x14ac:dyDescent="0.2">
      <c r="A210">
        <v>18</v>
      </c>
      <c r="B210">
        <v>1</v>
      </c>
      <c r="C210">
        <v>229</v>
      </c>
      <c r="E210" t="s">
        <v>253</v>
      </c>
      <c r="F210" t="s">
        <v>76</v>
      </c>
      <c r="G210" t="s">
        <v>227</v>
      </c>
      <c r="H210" t="s">
        <v>78</v>
      </c>
      <c r="I210">
        <f>I204*J210</f>
        <v>6</v>
      </c>
      <c r="J210">
        <v>5.3285968028419187E-2</v>
      </c>
      <c r="O210">
        <f t="shared" si="174"/>
        <v>1324.68</v>
      </c>
      <c r="P210">
        <f t="shared" si="175"/>
        <v>1324.68</v>
      </c>
      <c r="Q210">
        <f t="shared" si="176"/>
        <v>0</v>
      </c>
      <c r="R210">
        <f t="shared" si="177"/>
        <v>0</v>
      </c>
      <c r="S210">
        <f t="shared" si="178"/>
        <v>0</v>
      </c>
      <c r="T210">
        <f t="shared" si="179"/>
        <v>0</v>
      </c>
      <c r="U210">
        <f t="shared" si="180"/>
        <v>0</v>
      </c>
      <c r="V210">
        <f t="shared" si="181"/>
        <v>0</v>
      </c>
      <c r="W210">
        <f t="shared" si="182"/>
        <v>0</v>
      </c>
      <c r="X210">
        <f t="shared" si="183"/>
        <v>0</v>
      </c>
      <c r="Y210">
        <f t="shared" si="184"/>
        <v>0</v>
      </c>
      <c r="AA210">
        <v>46561299</v>
      </c>
      <c r="AB210">
        <f t="shared" si="185"/>
        <v>220.78</v>
      </c>
      <c r="AC210">
        <f t="shared" si="207"/>
        <v>220.78</v>
      </c>
      <c r="AD210">
        <f t="shared" si="208"/>
        <v>0</v>
      </c>
      <c r="AE210">
        <f t="shared" si="209"/>
        <v>0</v>
      </c>
      <c r="AF210">
        <f t="shared" si="210"/>
        <v>0</v>
      </c>
      <c r="AG210">
        <f t="shared" si="186"/>
        <v>0</v>
      </c>
      <c r="AH210">
        <f t="shared" si="211"/>
        <v>0</v>
      </c>
      <c r="AI210">
        <f t="shared" si="212"/>
        <v>0</v>
      </c>
      <c r="AJ210">
        <f t="shared" si="187"/>
        <v>0</v>
      </c>
      <c r="AK210">
        <v>220.78</v>
      </c>
      <c r="AL210">
        <v>220.78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70</v>
      </c>
      <c r="AU210">
        <v>10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1</v>
      </c>
      <c r="BD210" t="s">
        <v>3</v>
      </c>
      <c r="BE210" t="s">
        <v>3</v>
      </c>
      <c r="BF210" t="s">
        <v>3</v>
      </c>
      <c r="BG210" t="s">
        <v>3</v>
      </c>
      <c r="BH210">
        <v>3</v>
      </c>
      <c r="BI210">
        <v>4</v>
      </c>
      <c r="BJ210" t="s">
        <v>3</v>
      </c>
      <c r="BM210">
        <v>0</v>
      </c>
      <c r="BN210">
        <v>0</v>
      </c>
      <c r="BO210" t="s">
        <v>3</v>
      </c>
      <c r="BP210">
        <v>0</v>
      </c>
      <c r="BQ210">
        <v>1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3</v>
      </c>
      <c r="BZ210">
        <v>70</v>
      </c>
      <c r="CA210">
        <v>10</v>
      </c>
      <c r="CE210">
        <v>0</v>
      </c>
      <c r="CF210">
        <v>0</v>
      </c>
      <c r="CG210">
        <v>0</v>
      </c>
      <c r="CM210">
        <v>0</v>
      </c>
      <c r="CN210" t="s">
        <v>3</v>
      </c>
      <c r="CO210">
        <v>0</v>
      </c>
      <c r="CP210">
        <f t="shared" si="188"/>
        <v>1324.68</v>
      </c>
      <c r="CQ210">
        <f t="shared" si="189"/>
        <v>220.78</v>
      </c>
      <c r="CR210">
        <f t="shared" si="213"/>
        <v>0</v>
      </c>
      <c r="CS210">
        <f t="shared" si="190"/>
        <v>0</v>
      </c>
      <c r="CT210">
        <f t="shared" si="191"/>
        <v>0</v>
      </c>
      <c r="CU210">
        <f t="shared" si="192"/>
        <v>0</v>
      </c>
      <c r="CV210">
        <f t="shared" si="193"/>
        <v>0</v>
      </c>
      <c r="CW210">
        <f t="shared" si="194"/>
        <v>0</v>
      </c>
      <c r="CX210">
        <f t="shared" si="195"/>
        <v>0</v>
      </c>
      <c r="CY210">
        <f t="shared" si="196"/>
        <v>0</v>
      </c>
      <c r="CZ210">
        <f t="shared" si="197"/>
        <v>0</v>
      </c>
      <c r="DC210" t="s">
        <v>3</v>
      </c>
      <c r="DD210" t="s">
        <v>3</v>
      </c>
      <c r="DE210" t="s">
        <v>3</v>
      </c>
      <c r="DF210" t="s">
        <v>3</v>
      </c>
      <c r="DG210" t="s">
        <v>3</v>
      </c>
      <c r="DH210" t="s">
        <v>3</v>
      </c>
      <c r="DI210" t="s">
        <v>3</v>
      </c>
      <c r="DJ210" t="s">
        <v>3</v>
      </c>
      <c r="DK210" t="s">
        <v>3</v>
      </c>
      <c r="DL210" t="s">
        <v>3</v>
      </c>
      <c r="DM210" t="s">
        <v>3</v>
      </c>
      <c r="DN210">
        <v>0</v>
      </c>
      <c r="DO210">
        <v>0</v>
      </c>
      <c r="DP210">
        <v>1</v>
      </c>
      <c r="DQ210">
        <v>1</v>
      </c>
      <c r="DU210">
        <v>1013</v>
      </c>
      <c r="DV210" t="s">
        <v>78</v>
      </c>
      <c r="DW210" t="s">
        <v>78</v>
      </c>
      <c r="DX210">
        <v>1</v>
      </c>
      <c r="EE210">
        <v>46035301</v>
      </c>
      <c r="EF210">
        <v>1</v>
      </c>
      <c r="EG210" t="s">
        <v>19</v>
      </c>
      <c r="EH210">
        <v>0</v>
      </c>
      <c r="EI210" t="s">
        <v>3</v>
      </c>
      <c r="EJ210">
        <v>4</v>
      </c>
      <c r="EK210">
        <v>0</v>
      </c>
      <c r="EL210" t="s">
        <v>20</v>
      </c>
      <c r="EM210" t="s">
        <v>21</v>
      </c>
      <c r="EO210" t="s">
        <v>3</v>
      </c>
      <c r="EQ210">
        <v>0</v>
      </c>
      <c r="ER210">
        <v>220.78</v>
      </c>
      <c r="ES210">
        <v>220.78</v>
      </c>
      <c r="ET210">
        <v>0</v>
      </c>
      <c r="EU210">
        <v>0</v>
      </c>
      <c r="EV210">
        <v>0</v>
      </c>
      <c r="EW210">
        <v>0</v>
      </c>
      <c r="EX210">
        <v>0</v>
      </c>
      <c r="EZ210">
        <v>5</v>
      </c>
      <c r="FC210">
        <v>1</v>
      </c>
      <c r="FD210">
        <v>18</v>
      </c>
      <c r="FF210">
        <v>264.94</v>
      </c>
      <c r="FQ210">
        <v>0</v>
      </c>
      <c r="FR210">
        <f t="shared" si="198"/>
        <v>0</v>
      </c>
      <c r="FS210">
        <v>0</v>
      </c>
      <c r="FX210">
        <v>70</v>
      </c>
      <c r="FY210">
        <v>10</v>
      </c>
      <c r="GA210" t="s">
        <v>228</v>
      </c>
      <c r="GD210">
        <v>0</v>
      </c>
      <c r="GF210">
        <v>-632778472</v>
      </c>
      <c r="GG210">
        <v>2</v>
      </c>
      <c r="GH210">
        <v>3</v>
      </c>
      <c r="GI210">
        <v>-2</v>
      </c>
      <c r="GJ210">
        <v>0</v>
      </c>
      <c r="GK210">
        <f>ROUND(R210*(R12)/100,2)</f>
        <v>0</v>
      </c>
      <c r="GL210">
        <f t="shared" si="199"/>
        <v>0</v>
      </c>
      <c r="GM210">
        <f t="shared" si="200"/>
        <v>1324.68</v>
      </c>
      <c r="GN210">
        <f t="shared" si="201"/>
        <v>0</v>
      </c>
      <c r="GO210">
        <f t="shared" si="202"/>
        <v>0</v>
      </c>
      <c r="GP210">
        <f t="shared" si="203"/>
        <v>1324.68</v>
      </c>
      <c r="GR210">
        <v>1</v>
      </c>
      <c r="GS210">
        <v>1</v>
      </c>
      <c r="GT210">
        <v>0</v>
      </c>
      <c r="GU210" t="s">
        <v>3</v>
      </c>
      <c r="GV210">
        <f t="shared" si="204"/>
        <v>0</v>
      </c>
      <c r="GW210">
        <v>1</v>
      </c>
      <c r="GX210">
        <f t="shared" si="205"/>
        <v>0</v>
      </c>
      <c r="HA210">
        <v>0</v>
      </c>
      <c r="HB210">
        <v>0</v>
      </c>
      <c r="HC210">
        <f t="shared" si="206"/>
        <v>0</v>
      </c>
      <c r="IK210">
        <v>0</v>
      </c>
    </row>
    <row r="211" spans="1:245" x14ac:dyDescent="0.2">
      <c r="A211">
        <v>18</v>
      </c>
      <c r="B211">
        <v>1</v>
      </c>
      <c r="C211">
        <v>230</v>
      </c>
      <c r="E211" t="s">
        <v>254</v>
      </c>
      <c r="F211" t="s">
        <v>76</v>
      </c>
      <c r="G211" t="s">
        <v>230</v>
      </c>
      <c r="H211" t="s">
        <v>78</v>
      </c>
      <c r="I211">
        <f>I204*J211</f>
        <v>1</v>
      </c>
      <c r="J211">
        <v>8.8809946714031984E-3</v>
      </c>
      <c r="O211">
        <f t="shared" si="174"/>
        <v>674.17</v>
      </c>
      <c r="P211">
        <f t="shared" si="175"/>
        <v>674.17</v>
      </c>
      <c r="Q211">
        <f t="shared" si="176"/>
        <v>0</v>
      </c>
      <c r="R211">
        <f t="shared" si="177"/>
        <v>0</v>
      </c>
      <c r="S211">
        <f t="shared" si="178"/>
        <v>0</v>
      </c>
      <c r="T211">
        <f t="shared" si="179"/>
        <v>0</v>
      </c>
      <c r="U211">
        <f t="shared" si="180"/>
        <v>0</v>
      </c>
      <c r="V211">
        <f t="shared" si="181"/>
        <v>0</v>
      </c>
      <c r="W211">
        <f t="shared" si="182"/>
        <v>0</v>
      </c>
      <c r="X211">
        <f t="shared" si="183"/>
        <v>0</v>
      </c>
      <c r="Y211">
        <f t="shared" si="184"/>
        <v>0</v>
      </c>
      <c r="AA211">
        <v>46561299</v>
      </c>
      <c r="AB211">
        <f t="shared" si="185"/>
        <v>674.17</v>
      </c>
      <c r="AC211">
        <f t="shared" si="207"/>
        <v>674.17</v>
      </c>
      <c r="AD211">
        <f t="shared" si="208"/>
        <v>0</v>
      </c>
      <c r="AE211">
        <f t="shared" si="209"/>
        <v>0</v>
      </c>
      <c r="AF211">
        <f t="shared" si="210"/>
        <v>0</v>
      </c>
      <c r="AG211">
        <f t="shared" si="186"/>
        <v>0</v>
      </c>
      <c r="AH211">
        <f t="shared" si="211"/>
        <v>0</v>
      </c>
      <c r="AI211">
        <f t="shared" si="212"/>
        <v>0</v>
      </c>
      <c r="AJ211">
        <f t="shared" si="187"/>
        <v>0</v>
      </c>
      <c r="AK211">
        <v>674.17</v>
      </c>
      <c r="AL211">
        <v>674.17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70</v>
      </c>
      <c r="AU211">
        <v>10</v>
      </c>
      <c r="AV211">
        <v>1</v>
      </c>
      <c r="AW211">
        <v>1</v>
      </c>
      <c r="AZ211">
        <v>1</v>
      </c>
      <c r="BA211">
        <v>1</v>
      </c>
      <c r="BB211">
        <v>1</v>
      </c>
      <c r="BC211">
        <v>1</v>
      </c>
      <c r="BD211" t="s">
        <v>3</v>
      </c>
      <c r="BE211" t="s">
        <v>3</v>
      </c>
      <c r="BF211" t="s">
        <v>3</v>
      </c>
      <c r="BG211" t="s">
        <v>3</v>
      </c>
      <c r="BH211">
        <v>3</v>
      </c>
      <c r="BI211">
        <v>4</v>
      </c>
      <c r="BJ211" t="s">
        <v>3</v>
      </c>
      <c r="BM211">
        <v>0</v>
      </c>
      <c r="BN211">
        <v>0</v>
      </c>
      <c r="BO211" t="s">
        <v>3</v>
      </c>
      <c r="BP211">
        <v>0</v>
      </c>
      <c r="BQ211">
        <v>1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3</v>
      </c>
      <c r="BZ211">
        <v>70</v>
      </c>
      <c r="CA211">
        <v>10</v>
      </c>
      <c r="CE211">
        <v>0</v>
      </c>
      <c r="CF211">
        <v>0</v>
      </c>
      <c r="CG211">
        <v>0</v>
      </c>
      <c r="CM211">
        <v>0</v>
      </c>
      <c r="CN211" t="s">
        <v>3</v>
      </c>
      <c r="CO211">
        <v>0</v>
      </c>
      <c r="CP211">
        <f t="shared" si="188"/>
        <v>674.17</v>
      </c>
      <c r="CQ211">
        <f t="shared" si="189"/>
        <v>674.17</v>
      </c>
      <c r="CR211">
        <f t="shared" si="213"/>
        <v>0</v>
      </c>
      <c r="CS211">
        <f t="shared" si="190"/>
        <v>0</v>
      </c>
      <c r="CT211">
        <f t="shared" si="191"/>
        <v>0</v>
      </c>
      <c r="CU211">
        <f t="shared" si="192"/>
        <v>0</v>
      </c>
      <c r="CV211">
        <f t="shared" si="193"/>
        <v>0</v>
      </c>
      <c r="CW211">
        <f t="shared" si="194"/>
        <v>0</v>
      </c>
      <c r="CX211">
        <f t="shared" si="195"/>
        <v>0</v>
      </c>
      <c r="CY211">
        <f t="shared" si="196"/>
        <v>0</v>
      </c>
      <c r="CZ211">
        <f t="shared" si="197"/>
        <v>0</v>
      </c>
      <c r="DC211" t="s">
        <v>3</v>
      </c>
      <c r="DD211" t="s">
        <v>3</v>
      </c>
      <c r="DE211" t="s">
        <v>3</v>
      </c>
      <c r="DF211" t="s">
        <v>3</v>
      </c>
      <c r="DG211" t="s">
        <v>3</v>
      </c>
      <c r="DH211" t="s">
        <v>3</v>
      </c>
      <c r="DI211" t="s">
        <v>3</v>
      </c>
      <c r="DJ211" t="s">
        <v>3</v>
      </c>
      <c r="DK211" t="s">
        <v>3</v>
      </c>
      <c r="DL211" t="s">
        <v>3</v>
      </c>
      <c r="DM211" t="s">
        <v>3</v>
      </c>
      <c r="DN211">
        <v>0</v>
      </c>
      <c r="DO211">
        <v>0</v>
      </c>
      <c r="DP211">
        <v>1</v>
      </c>
      <c r="DQ211">
        <v>1</v>
      </c>
      <c r="DU211">
        <v>1013</v>
      </c>
      <c r="DV211" t="s">
        <v>78</v>
      </c>
      <c r="DW211" t="s">
        <v>78</v>
      </c>
      <c r="DX211">
        <v>1</v>
      </c>
      <c r="EE211">
        <v>46035301</v>
      </c>
      <c r="EF211">
        <v>1</v>
      </c>
      <c r="EG211" t="s">
        <v>19</v>
      </c>
      <c r="EH211">
        <v>0</v>
      </c>
      <c r="EI211" t="s">
        <v>3</v>
      </c>
      <c r="EJ211">
        <v>4</v>
      </c>
      <c r="EK211">
        <v>0</v>
      </c>
      <c r="EL211" t="s">
        <v>20</v>
      </c>
      <c r="EM211" t="s">
        <v>21</v>
      </c>
      <c r="EO211" t="s">
        <v>3</v>
      </c>
      <c r="EQ211">
        <v>0</v>
      </c>
      <c r="ER211">
        <v>674.17</v>
      </c>
      <c r="ES211">
        <v>674.17</v>
      </c>
      <c r="ET211">
        <v>0</v>
      </c>
      <c r="EU211">
        <v>0</v>
      </c>
      <c r="EV211">
        <v>0</v>
      </c>
      <c r="EW211">
        <v>0</v>
      </c>
      <c r="EX211">
        <v>0</v>
      </c>
      <c r="EZ211">
        <v>5</v>
      </c>
      <c r="FC211">
        <v>1</v>
      </c>
      <c r="FD211">
        <v>18</v>
      </c>
      <c r="FF211">
        <v>809</v>
      </c>
      <c r="FQ211">
        <v>0</v>
      </c>
      <c r="FR211">
        <f t="shared" si="198"/>
        <v>0</v>
      </c>
      <c r="FS211">
        <v>0</v>
      </c>
      <c r="FX211">
        <v>70</v>
      </c>
      <c r="FY211">
        <v>10</v>
      </c>
      <c r="GA211" t="s">
        <v>231</v>
      </c>
      <c r="GD211">
        <v>0</v>
      </c>
      <c r="GF211">
        <v>1479756592</v>
      </c>
      <c r="GG211">
        <v>2</v>
      </c>
      <c r="GH211">
        <v>3</v>
      </c>
      <c r="GI211">
        <v>-2</v>
      </c>
      <c r="GJ211">
        <v>0</v>
      </c>
      <c r="GK211">
        <f>ROUND(R211*(R12)/100,2)</f>
        <v>0</v>
      </c>
      <c r="GL211">
        <f t="shared" si="199"/>
        <v>0</v>
      </c>
      <c r="GM211">
        <f t="shared" si="200"/>
        <v>674.17</v>
      </c>
      <c r="GN211">
        <f t="shared" si="201"/>
        <v>0</v>
      </c>
      <c r="GO211">
        <f t="shared" si="202"/>
        <v>0</v>
      </c>
      <c r="GP211">
        <f t="shared" si="203"/>
        <v>674.17</v>
      </c>
      <c r="GR211">
        <v>1</v>
      </c>
      <c r="GS211">
        <v>1</v>
      </c>
      <c r="GT211">
        <v>0</v>
      </c>
      <c r="GU211" t="s">
        <v>3</v>
      </c>
      <c r="GV211">
        <f t="shared" si="204"/>
        <v>0</v>
      </c>
      <c r="GW211">
        <v>1</v>
      </c>
      <c r="GX211">
        <f t="shared" si="205"/>
        <v>0</v>
      </c>
      <c r="HA211">
        <v>0</v>
      </c>
      <c r="HB211">
        <v>0</v>
      </c>
      <c r="HC211">
        <f t="shared" si="206"/>
        <v>0</v>
      </c>
      <c r="IK211">
        <v>0</v>
      </c>
    </row>
    <row r="212" spans="1:245" x14ac:dyDescent="0.2">
      <c r="A212">
        <v>18</v>
      </c>
      <c r="B212">
        <v>1</v>
      </c>
      <c r="C212">
        <v>231</v>
      </c>
      <c r="E212" t="s">
        <v>255</v>
      </c>
      <c r="F212" t="s">
        <v>76</v>
      </c>
      <c r="G212" t="s">
        <v>256</v>
      </c>
      <c r="H212" t="s">
        <v>78</v>
      </c>
      <c r="I212">
        <f>I204*J212</f>
        <v>1</v>
      </c>
      <c r="J212">
        <v>8.8809946714031984E-3</v>
      </c>
      <c r="O212">
        <f t="shared" si="174"/>
        <v>197.23</v>
      </c>
      <c r="P212">
        <f t="shared" si="175"/>
        <v>197.23</v>
      </c>
      <c r="Q212">
        <f t="shared" si="176"/>
        <v>0</v>
      </c>
      <c r="R212">
        <f t="shared" si="177"/>
        <v>0</v>
      </c>
      <c r="S212">
        <f t="shared" si="178"/>
        <v>0</v>
      </c>
      <c r="T212">
        <f t="shared" si="179"/>
        <v>0</v>
      </c>
      <c r="U212">
        <f t="shared" si="180"/>
        <v>0</v>
      </c>
      <c r="V212">
        <f t="shared" si="181"/>
        <v>0</v>
      </c>
      <c r="W212">
        <f t="shared" si="182"/>
        <v>0</v>
      </c>
      <c r="X212">
        <f t="shared" si="183"/>
        <v>0</v>
      </c>
      <c r="Y212">
        <f t="shared" si="184"/>
        <v>0</v>
      </c>
      <c r="AA212">
        <v>46561299</v>
      </c>
      <c r="AB212">
        <f t="shared" si="185"/>
        <v>197.23</v>
      </c>
      <c r="AC212">
        <f t="shared" si="207"/>
        <v>197.23</v>
      </c>
      <c r="AD212">
        <f t="shared" si="208"/>
        <v>0</v>
      </c>
      <c r="AE212">
        <f t="shared" si="209"/>
        <v>0</v>
      </c>
      <c r="AF212">
        <f t="shared" si="210"/>
        <v>0</v>
      </c>
      <c r="AG212">
        <f t="shared" si="186"/>
        <v>0</v>
      </c>
      <c r="AH212">
        <f t="shared" si="211"/>
        <v>0</v>
      </c>
      <c r="AI212">
        <f t="shared" si="212"/>
        <v>0</v>
      </c>
      <c r="AJ212">
        <f t="shared" si="187"/>
        <v>0</v>
      </c>
      <c r="AK212">
        <v>197.23</v>
      </c>
      <c r="AL212">
        <v>197.23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70</v>
      </c>
      <c r="AU212">
        <v>10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3</v>
      </c>
      <c r="BI212">
        <v>4</v>
      </c>
      <c r="BJ212" t="s">
        <v>3</v>
      </c>
      <c r="BM212">
        <v>0</v>
      </c>
      <c r="BN212">
        <v>0</v>
      </c>
      <c r="BO212" t="s">
        <v>3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70</v>
      </c>
      <c r="CA212">
        <v>10</v>
      </c>
      <c r="CE212">
        <v>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si="188"/>
        <v>197.23</v>
      </c>
      <c r="CQ212">
        <f t="shared" si="189"/>
        <v>197.23</v>
      </c>
      <c r="CR212">
        <f t="shared" si="213"/>
        <v>0</v>
      </c>
      <c r="CS212">
        <f t="shared" si="190"/>
        <v>0</v>
      </c>
      <c r="CT212">
        <f t="shared" si="191"/>
        <v>0</v>
      </c>
      <c r="CU212">
        <f t="shared" si="192"/>
        <v>0</v>
      </c>
      <c r="CV212">
        <f t="shared" si="193"/>
        <v>0</v>
      </c>
      <c r="CW212">
        <f t="shared" si="194"/>
        <v>0</v>
      </c>
      <c r="CX212">
        <f t="shared" si="195"/>
        <v>0</v>
      </c>
      <c r="CY212">
        <f t="shared" si="196"/>
        <v>0</v>
      </c>
      <c r="CZ212">
        <f t="shared" si="197"/>
        <v>0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1013</v>
      </c>
      <c r="DV212" t="s">
        <v>78</v>
      </c>
      <c r="DW212" t="s">
        <v>78</v>
      </c>
      <c r="DX212">
        <v>1</v>
      </c>
      <c r="EE212">
        <v>46035301</v>
      </c>
      <c r="EF212">
        <v>1</v>
      </c>
      <c r="EG212" t="s">
        <v>19</v>
      </c>
      <c r="EH212">
        <v>0</v>
      </c>
      <c r="EI212" t="s">
        <v>3</v>
      </c>
      <c r="EJ212">
        <v>4</v>
      </c>
      <c r="EK212">
        <v>0</v>
      </c>
      <c r="EL212" t="s">
        <v>20</v>
      </c>
      <c r="EM212" t="s">
        <v>21</v>
      </c>
      <c r="EO212" t="s">
        <v>3</v>
      </c>
      <c r="EQ212">
        <v>0</v>
      </c>
      <c r="ER212">
        <v>197.23</v>
      </c>
      <c r="ES212">
        <v>197.23</v>
      </c>
      <c r="ET212">
        <v>0</v>
      </c>
      <c r="EU212">
        <v>0</v>
      </c>
      <c r="EV212">
        <v>0</v>
      </c>
      <c r="EW212">
        <v>0</v>
      </c>
      <c r="EX212">
        <v>0</v>
      </c>
      <c r="EZ212">
        <v>5</v>
      </c>
      <c r="FC212">
        <v>1</v>
      </c>
      <c r="FD212">
        <v>18</v>
      </c>
      <c r="FF212">
        <v>236.67</v>
      </c>
      <c r="FQ212">
        <v>0</v>
      </c>
      <c r="FR212">
        <f t="shared" si="198"/>
        <v>0</v>
      </c>
      <c r="FS212">
        <v>0</v>
      </c>
      <c r="FX212">
        <v>70</v>
      </c>
      <c r="FY212">
        <v>10</v>
      </c>
      <c r="GA212" t="s">
        <v>257</v>
      </c>
      <c r="GD212">
        <v>0</v>
      </c>
      <c r="GF212">
        <v>1664693455</v>
      </c>
      <c r="GG212">
        <v>2</v>
      </c>
      <c r="GH212">
        <v>3</v>
      </c>
      <c r="GI212">
        <v>-2</v>
      </c>
      <c r="GJ212">
        <v>0</v>
      </c>
      <c r="GK212">
        <f>ROUND(R212*(R12)/100,2)</f>
        <v>0</v>
      </c>
      <c r="GL212">
        <f t="shared" si="199"/>
        <v>0</v>
      </c>
      <c r="GM212">
        <f t="shared" si="200"/>
        <v>197.23</v>
      </c>
      <c r="GN212">
        <f t="shared" si="201"/>
        <v>0</v>
      </c>
      <c r="GO212">
        <f t="shared" si="202"/>
        <v>0</v>
      </c>
      <c r="GP212">
        <f t="shared" si="203"/>
        <v>197.23</v>
      </c>
      <c r="GR212">
        <v>1</v>
      </c>
      <c r="GS212">
        <v>1</v>
      </c>
      <c r="GT212">
        <v>0</v>
      </c>
      <c r="GU212" t="s">
        <v>3</v>
      </c>
      <c r="GV212">
        <f t="shared" si="204"/>
        <v>0</v>
      </c>
      <c r="GW212">
        <v>1</v>
      </c>
      <c r="GX212">
        <f t="shared" si="205"/>
        <v>0</v>
      </c>
      <c r="HA212">
        <v>0</v>
      </c>
      <c r="HB212">
        <v>0</v>
      </c>
      <c r="HC212">
        <f t="shared" si="206"/>
        <v>0</v>
      </c>
      <c r="IK212">
        <v>0</v>
      </c>
    </row>
    <row r="213" spans="1:245" x14ac:dyDescent="0.2">
      <c r="A213">
        <v>18</v>
      </c>
      <c r="B213">
        <v>1</v>
      </c>
      <c r="C213">
        <v>222</v>
      </c>
      <c r="E213" t="s">
        <v>258</v>
      </c>
      <c r="F213" t="s">
        <v>84</v>
      </c>
      <c r="G213" t="s">
        <v>85</v>
      </c>
      <c r="H213" t="s">
        <v>65</v>
      </c>
      <c r="I213">
        <f>I204*J213</f>
        <v>-16.7774</v>
      </c>
      <c r="J213">
        <v>-0.14900000000000002</v>
      </c>
      <c r="O213">
        <f t="shared" si="174"/>
        <v>-629782.31999999995</v>
      </c>
      <c r="P213">
        <f t="shared" si="175"/>
        <v>-629782.31999999995</v>
      </c>
      <c r="Q213">
        <f t="shared" si="176"/>
        <v>0</v>
      </c>
      <c r="R213">
        <f t="shared" si="177"/>
        <v>0</v>
      </c>
      <c r="S213">
        <f t="shared" si="178"/>
        <v>0</v>
      </c>
      <c r="T213">
        <f t="shared" si="179"/>
        <v>0</v>
      </c>
      <c r="U213">
        <f t="shared" si="180"/>
        <v>0</v>
      </c>
      <c r="V213">
        <f t="shared" si="181"/>
        <v>0</v>
      </c>
      <c r="W213">
        <f t="shared" si="182"/>
        <v>0</v>
      </c>
      <c r="X213">
        <f t="shared" si="183"/>
        <v>0</v>
      </c>
      <c r="Y213">
        <f t="shared" si="184"/>
        <v>0</v>
      </c>
      <c r="AA213">
        <v>46561299</v>
      </c>
      <c r="AB213">
        <f t="shared" si="185"/>
        <v>37537.54</v>
      </c>
      <c r="AC213">
        <f t="shared" si="207"/>
        <v>37537.54</v>
      </c>
      <c r="AD213">
        <f t="shared" si="208"/>
        <v>0</v>
      </c>
      <c r="AE213">
        <f t="shared" si="209"/>
        <v>0</v>
      </c>
      <c r="AF213">
        <f t="shared" si="210"/>
        <v>0</v>
      </c>
      <c r="AG213">
        <f t="shared" si="186"/>
        <v>0</v>
      </c>
      <c r="AH213">
        <f t="shared" si="211"/>
        <v>0</v>
      </c>
      <c r="AI213">
        <f t="shared" si="212"/>
        <v>0</v>
      </c>
      <c r="AJ213">
        <f t="shared" si="187"/>
        <v>0</v>
      </c>
      <c r="AK213">
        <v>37537.54</v>
      </c>
      <c r="AL213">
        <v>37537.54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70</v>
      </c>
      <c r="AU213">
        <v>10</v>
      </c>
      <c r="AV213">
        <v>1</v>
      </c>
      <c r="AW213">
        <v>1</v>
      </c>
      <c r="AZ213">
        <v>1</v>
      </c>
      <c r="BA213">
        <v>1</v>
      </c>
      <c r="BB213">
        <v>1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3</v>
      </c>
      <c r="BI213">
        <v>4</v>
      </c>
      <c r="BJ213" t="s">
        <v>86</v>
      </c>
      <c r="BM213">
        <v>0</v>
      </c>
      <c r="BN213">
        <v>0</v>
      </c>
      <c r="BO213" t="s">
        <v>3</v>
      </c>
      <c r="BP213">
        <v>0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70</v>
      </c>
      <c r="CA213">
        <v>10</v>
      </c>
      <c r="CE213">
        <v>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88"/>
        <v>-629782.31999999995</v>
      </c>
      <c r="CQ213">
        <f t="shared" si="189"/>
        <v>37537.54</v>
      </c>
      <c r="CR213">
        <f t="shared" si="213"/>
        <v>0</v>
      </c>
      <c r="CS213">
        <f t="shared" si="190"/>
        <v>0</v>
      </c>
      <c r="CT213">
        <f t="shared" si="191"/>
        <v>0</v>
      </c>
      <c r="CU213">
        <f t="shared" si="192"/>
        <v>0</v>
      </c>
      <c r="CV213">
        <f t="shared" si="193"/>
        <v>0</v>
      </c>
      <c r="CW213">
        <f t="shared" si="194"/>
        <v>0</v>
      </c>
      <c r="CX213">
        <f t="shared" si="195"/>
        <v>0</v>
      </c>
      <c r="CY213">
        <f t="shared" si="196"/>
        <v>0</v>
      </c>
      <c r="CZ213">
        <f t="shared" si="197"/>
        <v>0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1009</v>
      </c>
      <c r="DV213" t="s">
        <v>65</v>
      </c>
      <c r="DW213" t="s">
        <v>65</v>
      </c>
      <c r="DX213">
        <v>1000</v>
      </c>
      <c r="EE213">
        <v>46035301</v>
      </c>
      <c r="EF213">
        <v>1</v>
      </c>
      <c r="EG213" t="s">
        <v>19</v>
      </c>
      <c r="EH213">
        <v>0</v>
      </c>
      <c r="EI213" t="s">
        <v>3</v>
      </c>
      <c r="EJ213">
        <v>4</v>
      </c>
      <c r="EK213">
        <v>0</v>
      </c>
      <c r="EL213" t="s">
        <v>20</v>
      </c>
      <c r="EM213" t="s">
        <v>21</v>
      </c>
      <c r="EO213" t="s">
        <v>3</v>
      </c>
      <c r="EQ213">
        <v>32768</v>
      </c>
      <c r="ER213">
        <v>37537.54</v>
      </c>
      <c r="ES213">
        <v>37537.54</v>
      </c>
      <c r="ET213">
        <v>0</v>
      </c>
      <c r="EU213">
        <v>0</v>
      </c>
      <c r="EV213">
        <v>0</v>
      </c>
      <c r="EW213">
        <v>0</v>
      </c>
      <c r="EX213">
        <v>0</v>
      </c>
      <c r="FQ213">
        <v>0</v>
      </c>
      <c r="FR213">
        <f t="shared" si="198"/>
        <v>0</v>
      </c>
      <c r="FS213">
        <v>0</v>
      </c>
      <c r="FX213">
        <v>70</v>
      </c>
      <c r="FY213">
        <v>10</v>
      </c>
      <c r="GA213" t="s">
        <v>3</v>
      </c>
      <c r="GD213">
        <v>0</v>
      </c>
      <c r="GF213">
        <v>-2126876791</v>
      </c>
      <c r="GG213">
        <v>2</v>
      </c>
      <c r="GH213">
        <v>1</v>
      </c>
      <c r="GI213">
        <v>-2</v>
      </c>
      <c r="GJ213">
        <v>0</v>
      </c>
      <c r="GK213">
        <f>ROUND(R213*(R12)/100,2)</f>
        <v>0</v>
      </c>
      <c r="GL213">
        <f t="shared" si="199"/>
        <v>0</v>
      </c>
      <c r="GM213">
        <f t="shared" si="200"/>
        <v>-629782.31999999995</v>
      </c>
      <c r="GN213">
        <f t="shared" si="201"/>
        <v>0</v>
      </c>
      <c r="GO213">
        <f t="shared" si="202"/>
        <v>0</v>
      </c>
      <c r="GP213">
        <f t="shared" si="203"/>
        <v>-629782.31999999995</v>
      </c>
      <c r="GR213">
        <v>0</v>
      </c>
      <c r="GS213">
        <v>3</v>
      </c>
      <c r="GT213">
        <v>0</v>
      </c>
      <c r="GU213" t="s">
        <v>3</v>
      </c>
      <c r="GV213">
        <f t="shared" si="204"/>
        <v>0</v>
      </c>
      <c r="GW213">
        <v>1</v>
      </c>
      <c r="GX213">
        <f t="shared" si="205"/>
        <v>0</v>
      </c>
      <c r="HA213">
        <v>0</v>
      </c>
      <c r="HB213">
        <v>0</v>
      </c>
      <c r="HC213">
        <f t="shared" si="206"/>
        <v>0</v>
      </c>
      <c r="IK213">
        <v>0</v>
      </c>
    </row>
    <row r="214" spans="1:245" x14ac:dyDescent="0.2">
      <c r="A214">
        <v>17</v>
      </c>
      <c r="B214">
        <v>1</v>
      </c>
      <c r="C214">
        <f>ROW(SmtRes!A237)</f>
        <v>237</v>
      </c>
      <c r="D214">
        <f>ROW(EtalonRes!A207)</f>
        <v>207</v>
      </c>
      <c r="E214" t="s">
        <v>259</v>
      </c>
      <c r="F214" t="s">
        <v>88</v>
      </c>
      <c r="G214" t="s">
        <v>89</v>
      </c>
      <c r="H214" t="s">
        <v>90</v>
      </c>
      <c r="I214">
        <v>1.1259999999999999</v>
      </c>
      <c r="J214">
        <v>0</v>
      </c>
      <c r="O214">
        <f t="shared" si="174"/>
        <v>3184.88</v>
      </c>
      <c r="P214">
        <f t="shared" si="175"/>
        <v>1150.9000000000001</v>
      </c>
      <c r="Q214">
        <f t="shared" si="176"/>
        <v>162.46</v>
      </c>
      <c r="R214">
        <f t="shared" si="177"/>
        <v>56.3</v>
      </c>
      <c r="S214">
        <f t="shared" si="178"/>
        <v>1871.52</v>
      </c>
      <c r="T214">
        <f t="shared" si="179"/>
        <v>0</v>
      </c>
      <c r="U214">
        <f t="shared" si="180"/>
        <v>6.8798599999999999</v>
      </c>
      <c r="V214">
        <f t="shared" si="181"/>
        <v>0</v>
      </c>
      <c r="W214">
        <f t="shared" si="182"/>
        <v>0</v>
      </c>
      <c r="X214">
        <f t="shared" si="183"/>
        <v>1310.06</v>
      </c>
      <c r="Y214">
        <f t="shared" si="184"/>
        <v>187.15</v>
      </c>
      <c r="AA214">
        <v>46561299</v>
      </c>
      <c r="AB214">
        <f t="shared" si="185"/>
        <v>2828.49</v>
      </c>
      <c r="AC214">
        <f t="shared" si="207"/>
        <v>1022.11</v>
      </c>
      <c r="AD214">
        <f t="shared" si="208"/>
        <v>144.28</v>
      </c>
      <c r="AE214">
        <f t="shared" si="209"/>
        <v>50</v>
      </c>
      <c r="AF214">
        <f t="shared" si="210"/>
        <v>1662.1</v>
      </c>
      <c r="AG214">
        <f t="shared" si="186"/>
        <v>0</v>
      </c>
      <c r="AH214">
        <f t="shared" si="211"/>
        <v>6.11</v>
      </c>
      <c r="AI214">
        <f t="shared" si="212"/>
        <v>0</v>
      </c>
      <c r="AJ214">
        <f t="shared" si="187"/>
        <v>0</v>
      </c>
      <c r="AK214">
        <v>2828.49</v>
      </c>
      <c r="AL214">
        <v>1022.11</v>
      </c>
      <c r="AM214">
        <v>144.28</v>
      </c>
      <c r="AN214">
        <v>50</v>
      </c>
      <c r="AO214">
        <v>1662.1</v>
      </c>
      <c r="AP214">
        <v>0</v>
      </c>
      <c r="AQ214">
        <v>6.11</v>
      </c>
      <c r="AR214">
        <v>0</v>
      </c>
      <c r="AS214">
        <v>0</v>
      </c>
      <c r="AT214">
        <v>70</v>
      </c>
      <c r="AU214">
        <v>10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</v>
      </c>
      <c r="BD214" t="s">
        <v>3</v>
      </c>
      <c r="BE214" t="s">
        <v>3</v>
      </c>
      <c r="BF214" t="s">
        <v>3</v>
      </c>
      <c r="BG214" t="s">
        <v>3</v>
      </c>
      <c r="BH214">
        <v>0</v>
      </c>
      <c r="BI214">
        <v>4</v>
      </c>
      <c r="BJ214" t="s">
        <v>91</v>
      </c>
      <c r="BM214">
        <v>0</v>
      </c>
      <c r="BN214">
        <v>0</v>
      </c>
      <c r="BO214" t="s">
        <v>3</v>
      </c>
      <c r="BP214">
        <v>0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3</v>
      </c>
      <c r="BZ214">
        <v>70</v>
      </c>
      <c r="CA214">
        <v>10</v>
      </c>
      <c r="CE214">
        <v>0</v>
      </c>
      <c r="CF214">
        <v>0</v>
      </c>
      <c r="CG214">
        <v>0</v>
      </c>
      <c r="CM214">
        <v>0</v>
      </c>
      <c r="CN214" t="s">
        <v>3</v>
      </c>
      <c r="CO214">
        <v>0</v>
      </c>
      <c r="CP214">
        <f t="shared" si="188"/>
        <v>3184.88</v>
      </c>
      <c r="CQ214">
        <f t="shared" si="189"/>
        <v>1022.11</v>
      </c>
      <c r="CR214">
        <f t="shared" si="213"/>
        <v>144.28</v>
      </c>
      <c r="CS214">
        <f t="shared" si="190"/>
        <v>50</v>
      </c>
      <c r="CT214">
        <f t="shared" si="191"/>
        <v>1662.1</v>
      </c>
      <c r="CU214">
        <f t="shared" si="192"/>
        <v>0</v>
      </c>
      <c r="CV214">
        <f t="shared" si="193"/>
        <v>6.11</v>
      </c>
      <c r="CW214">
        <f t="shared" si="194"/>
        <v>0</v>
      </c>
      <c r="CX214">
        <f t="shared" si="195"/>
        <v>0</v>
      </c>
      <c r="CY214">
        <f t="shared" si="196"/>
        <v>1310.0639999999999</v>
      </c>
      <c r="CZ214">
        <f t="shared" si="197"/>
        <v>187.15200000000002</v>
      </c>
      <c r="DC214" t="s">
        <v>3</v>
      </c>
      <c r="DD214" t="s">
        <v>3</v>
      </c>
      <c r="DE214" t="s">
        <v>3</v>
      </c>
      <c r="DF214" t="s">
        <v>3</v>
      </c>
      <c r="DG214" t="s">
        <v>3</v>
      </c>
      <c r="DH214" t="s">
        <v>3</v>
      </c>
      <c r="DI214" t="s">
        <v>3</v>
      </c>
      <c r="DJ214" t="s">
        <v>3</v>
      </c>
      <c r="DK214" t="s">
        <v>3</v>
      </c>
      <c r="DL214" t="s">
        <v>3</v>
      </c>
      <c r="DM214" t="s">
        <v>3</v>
      </c>
      <c r="DN214">
        <v>0</v>
      </c>
      <c r="DO214">
        <v>0</v>
      </c>
      <c r="DP214">
        <v>1</v>
      </c>
      <c r="DQ214">
        <v>1</v>
      </c>
      <c r="DU214">
        <v>1005</v>
      </c>
      <c r="DV214" t="s">
        <v>90</v>
      </c>
      <c r="DW214" t="s">
        <v>90</v>
      </c>
      <c r="DX214">
        <v>100</v>
      </c>
      <c r="EE214">
        <v>46035301</v>
      </c>
      <c r="EF214">
        <v>1</v>
      </c>
      <c r="EG214" t="s">
        <v>19</v>
      </c>
      <c r="EH214">
        <v>0</v>
      </c>
      <c r="EI214" t="s">
        <v>3</v>
      </c>
      <c r="EJ214">
        <v>4</v>
      </c>
      <c r="EK214">
        <v>0</v>
      </c>
      <c r="EL214" t="s">
        <v>20</v>
      </c>
      <c r="EM214" t="s">
        <v>21</v>
      </c>
      <c r="EO214" t="s">
        <v>3</v>
      </c>
      <c r="EQ214">
        <v>0</v>
      </c>
      <c r="ER214">
        <v>2828.49</v>
      </c>
      <c r="ES214">
        <v>1022.11</v>
      </c>
      <c r="ET214">
        <v>144.28</v>
      </c>
      <c r="EU214">
        <v>50</v>
      </c>
      <c r="EV214">
        <v>1662.1</v>
      </c>
      <c r="EW214">
        <v>6.11</v>
      </c>
      <c r="EX214">
        <v>0</v>
      </c>
      <c r="EY214">
        <v>0</v>
      </c>
      <c r="FQ214">
        <v>0</v>
      </c>
      <c r="FR214">
        <f t="shared" si="198"/>
        <v>0</v>
      </c>
      <c r="FS214">
        <v>0</v>
      </c>
      <c r="FX214">
        <v>70</v>
      </c>
      <c r="FY214">
        <v>10</v>
      </c>
      <c r="GA214" t="s">
        <v>3</v>
      </c>
      <c r="GD214">
        <v>0</v>
      </c>
      <c r="GF214">
        <v>-1014157109</v>
      </c>
      <c r="GG214">
        <v>2</v>
      </c>
      <c r="GH214">
        <v>1</v>
      </c>
      <c r="GI214">
        <v>-2</v>
      </c>
      <c r="GJ214">
        <v>0</v>
      </c>
      <c r="GK214">
        <f>ROUND(R214*(R12)/100,2)</f>
        <v>60.8</v>
      </c>
      <c r="GL214">
        <f t="shared" si="199"/>
        <v>0</v>
      </c>
      <c r="GM214">
        <f t="shared" si="200"/>
        <v>4742.8900000000003</v>
      </c>
      <c r="GN214">
        <f t="shared" si="201"/>
        <v>0</v>
      </c>
      <c r="GO214">
        <f t="shared" si="202"/>
        <v>0</v>
      </c>
      <c r="GP214">
        <f t="shared" si="203"/>
        <v>4742.8900000000003</v>
      </c>
      <c r="GR214">
        <v>0</v>
      </c>
      <c r="GS214">
        <v>3</v>
      </c>
      <c r="GT214">
        <v>0</v>
      </c>
      <c r="GU214" t="s">
        <v>3</v>
      </c>
      <c r="GV214">
        <f t="shared" si="204"/>
        <v>0</v>
      </c>
      <c r="GW214">
        <v>1</v>
      </c>
      <c r="GX214">
        <f t="shared" si="205"/>
        <v>0</v>
      </c>
      <c r="HA214">
        <v>0</v>
      </c>
      <c r="HB214">
        <v>0</v>
      </c>
      <c r="HC214">
        <f t="shared" si="206"/>
        <v>0</v>
      </c>
      <c r="IK214">
        <v>0</v>
      </c>
    </row>
    <row r="215" spans="1:245" x14ac:dyDescent="0.2">
      <c r="A215">
        <v>17</v>
      </c>
      <c r="B215">
        <v>1</v>
      </c>
      <c r="C215">
        <f>ROW(SmtRes!A241)</f>
        <v>241</v>
      </c>
      <c r="D215">
        <f>ROW(EtalonRes!A211)</f>
        <v>211</v>
      </c>
      <c r="E215" t="s">
        <v>260</v>
      </c>
      <c r="F215" t="s">
        <v>93</v>
      </c>
      <c r="G215" t="s">
        <v>94</v>
      </c>
      <c r="H215" t="s">
        <v>90</v>
      </c>
      <c r="I215">
        <v>1.1259999999999999</v>
      </c>
      <c r="J215">
        <v>0</v>
      </c>
      <c r="O215">
        <f t="shared" si="174"/>
        <v>1798.91</v>
      </c>
      <c r="P215">
        <f t="shared" si="175"/>
        <v>1172.6300000000001</v>
      </c>
      <c r="Q215">
        <f t="shared" si="176"/>
        <v>7.7</v>
      </c>
      <c r="R215">
        <f t="shared" si="177"/>
        <v>4.18</v>
      </c>
      <c r="S215">
        <f t="shared" si="178"/>
        <v>618.58000000000004</v>
      </c>
      <c r="T215">
        <f t="shared" si="179"/>
        <v>0</v>
      </c>
      <c r="U215">
        <f t="shared" si="180"/>
        <v>2.7587000000000002</v>
      </c>
      <c r="V215">
        <f t="shared" si="181"/>
        <v>0</v>
      </c>
      <c r="W215">
        <f t="shared" si="182"/>
        <v>0</v>
      </c>
      <c r="X215">
        <f t="shared" si="183"/>
        <v>433.01</v>
      </c>
      <c r="Y215">
        <f t="shared" si="184"/>
        <v>61.86</v>
      </c>
      <c r="AA215">
        <v>46561299</v>
      </c>
      <c r="AB215">
        <f t="shared" si="185"/>
        <v>1597.61</v>
      </c>
      <c r="AC215">
        <f t="shared" si="207"/>
        <v>1041.4100000000001</v>
      </c>
      <c r="AD215">
        <f t="shared" si="208"/>
        <v>6.84</v>
      </c>
      <c r="AE215">
        <f t="shared" si="209"/>
        <v>3.71</v>
      </c>
      <c r="AF215">
        <f t="shared" si="210"/>
        <v>549.36</v>
      </c>
      <c r="AG215">
        <f t="shared" si="186"/>
        <v>0</v>
      </c>
      <c r="AH215">
        <f t="shared" si="211"/>
        <v>2.4500000000000002</v>
      </c>
      <c r="AI215">
        <f t="shared" si="212"/>
        <v>0</v>
      </c>
      <c r="AJ215">
        <f t="shared" si="187"/>
        <v>0</v>
      </c>
      <c r="AK215">
        <v>1597.61</v>
      </c>
      <c r="AL215">
        <v>1041.4100000000001</v>
      </c>
      <c r="AM215">
        <v>6.84</v>
      </c>
      <c r="AN215">
        <v>3.71</v>
      </c>
      <c r="AO215">
        <v>549.36</v>
      </c>
      <c r="AP215">
        <v>0</v>
      </c>
      <c r="AQ215">
        <v>2.4500000000000002</v>
      </c>
      <c r="AR215">
        <v>0</v>
      </c>
      <c r="AS215">
        <v>0</v>
      </c>
      <c r="AT215">
        <v>70</v>
      </c>
      <c r="AU215">
        <v>10</v>
      </c>
      <c r="AV215">
        <v>1</v>
      </c>
      <c r="AW215">
        <v>1</v>
      </c>
      <c r="AZ215">
        <v>1</v>
      </c>
      <c r="BA215">
        <v>1</v>
      </c>
      <c r="BB215">
        <v>1</v>
      </c>
      <c r="BC215">
        <v>1</v>
      </c>
      <c r="BD215" t="s">
        <v>3</v>
      </c>
      <c r="BE215" t="s">
        <v>3</v>
      </c>
      <c r="BF215" t="s">
        <v>3</v>
      </c>
      <c r="BG215" t="s">
        <v>3</v>
      </c>
      <c r="BH215">
        <v>0</v>
      </c>
      <c r="BI215">
        <v>4</v>
      </c>
      <c r="BJ215" t="s">
        <v>95</v>
      </c>
      <c r="BM215">
        <v>0</v>
      </c>
      <c r="BN215">
        <v>0</v>
      </c>
      <c r="BO215" t="s">
        <v>3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3</v>
      </c>
      <c r="BZ215">
        <v>70</v>
      </c>
      <c r="CA215">
        <v>10</v>
      </c>
      <c r="CE215">
        <v>0</v>
      </c>
      <c r="CF215">
        <v>0</v>
      </c>
      <c r="CG215">
        <v>0</v>
      </c>
      <c r="CM215">
        <v>0</v>
      </c>
      <c r="CN215" t="s">
        <v>3</v>
      </c>
      <c r="CO215">
        <v>0</v>
      </c>
      <c r="CP215">
        <f t="shared" si="188"/>
        <v>1798.9100000000003</v>
      </c>
      <c r="CQ215">
        <f t="shared" si="189"/>
        <v>1041.4100000000001</v>
      </c>
      <c r="CR215">
        <f t="shared" si="213"/>
        <v>6.84</v>
      </c>
      <c r="CS215">
        <f t="shared" si="190"/>
        <v>3.71</v>
      </c>
      <c r="CT215">
        <f t="shared" si="191"/>
        <v>549.36</v>
      </c>
      <c r="CU215">
        <f t="shared" si="192"/>
        <v>0</v>
      </c>
      <c r="CV215">
        <f t="shared" si="193"/>
        <v>2.4500000000000002</v>
      </c>
      <c r="CW215">
        <f t="shared" si="194"/>
        <v>0</v>
      </c>
      <c r="CX215">
        <f t="shared" si="195"/>
        <v>0</v>
      </c>
      <c r="CY215">
        <f t="shared" si="196"/>
        <v>433.00600000000009</v>
      </c>
      <c r="CZ215">
        <f t="shared" si="197"/>
        <v>61.858000000000004</v>
      </c>
      <c r="DC215" t="s">
        <v>3</v>
      </c>
      <c r="DD215" t="s">
        <v>3</v>
      </c>
      <c r="DE215" t="s">
        <v>3</v>
      </c>
      <c r="DF215" t="s">
        <v>3</v>
      </c>
      <c r="DG215" t="s">
        <v>3</v>
      </c>
      <c r="DH215" t="s">
        <v>3</v>
      </c>
      <c r="DI215" t="s">
        <v>3</v>
      </c>
      <c r="DJ215" t="s">
        <v>3</v>
      </c>
      <c r="DK215" t="s">
        <v>3</v>
      </c>
      <c r="DL215" t="s">
        <v>3</v>
      </c>
      <c r="DM215" t="s">
        <v>3</v>
      </c>
      <c r="DN215">
        <v>0</v>
      </c>
      <c r="DO215">
        <v>0</v>
      </c>
      <c r="DP215">
        <v>1</v>
      </c>
      <c r="DQ215">
        <v>1</v>
      </c>
      <c r="DU215">
        <v>1005</v>
      </c>
      <c r="DV215" t="s">
        <v>90</v>
      </c>
      <c r="DW215" t="s">
        <v>90</v>
      </c>
      <c r="DX215">
        <v>100</v>
      </c>
      <c r="EE215">
        <v>46035301</v>
      </c>
      <c r="EF215">
        <v>1</v>
      </c>
      <c r="EG215" t="s">
        <v>19</v>
      </c>
      <c r="EH215">
        <v>0</v>
      </c>
      <c r="EI215" t="s">
        <v>3</v>
      </c>
      <c r="EJ215">
        <v>4</v>
      </c>
      <c r="EK215">
        <v>0</v>
      </c>
      <c r="EL215" t="s">
        <v>20</v>
      </c>
      <c r="EM215" t="s">
        <v>21</v>
      </c>
      <c r="EO215" t="s">
        <v>3</v>
      </c>
      <c r="EQ215">
        <v>0</v>
      </c>
      <c r="ER215">
        <v>1597.61</v>
      </c>
      <c r="ES215">
        <v>1041.4100000000001</v>
      </c>
      <c r="ET215">
        <v>6.84</v>
      </c>
      <c r="EU215">
        <v>3.71</v>
      </c>
      <c r="EV215">
        <v>549.36</v>
      </c>
      <c r="EW215">
        <v>2.4500000000000002</v>
      </c>
      <c r="EX215">
        <v>0</v>
      </c>
      <c r="EY215">
        <v>0</v>
      </c>
      <c r="FQ215">
        <v>0</v>
      </c>
      <c r="FR215">
        <f t="shared" si="198"/>
        <v>0</v>
      </c>
      <c r="FS215">
        <v>0</v>
      </c>
      <c r="FX215">
        <v>70</v>
      </c>
      <c r="FY215">
        <v>10</v>
      </c>
      <c r="GA215" t="s">
        <v>3</v>
      </c>
      <c r="GD215">
        <v>0</v>
      </c>
      <c r="GF215">
        <v>-1319810598</v>
      </c>
      <c r="GG215">
        <v>2</v>
      </c>
      <c r="GH215">
        <v>1</v>
      </c>
      <c r="GI215">
        <v>-2</v>
      </c>
      <c r="GJ215">
        <v>0</v>
      </c>
      <c r="GK215">
        <f>ROUND(R215*(R12)/100,2)</f>
        <v>4.51</v>
      </c>
      <c r="GL215">
        <f t="shared" si="199"/>
        <v>0</v>
      </c>
      <c r="GM215">
        <f t="shared" si="200"/>
        <v>2298.29</v>
      </c>
      <c r="GN215">
        <f t="shared" si="201"/>
        <v>0</v>
      </c>
      <c r="GO215">
        <f t="shared" si="202"/>
        <v>0</v>
      </c>
      <c r="GP215">
        <f t="shared" si="203"/>
        <v>2298.29</v>
      </c>
      <c r="GR215">
        <v>0</v>
      </c>
      <c r="GS215">
        <v>3</v>
      </c>
      <c r="GT215">
        <v>0</v>
      </c>
      <c r="GU215" t="s">
        <v>3</v>
      </c>
      <c r="GV215">
        <f t="shared" si="204"/>
        <v>0</v>
      </c>
      <c r="GW215">
        <v>1</v>
      </c>
      <c r="GX215">
        <f t="shared" si="205"/>
        <v>0</v>
      </c>
      <c r="HA215">
        <v>0</v>
      </c>
      <c r="HB215">
        <v>0</v>
      </c>
      <c r="HC215">
        <f t="shared" si="206"/>
        <v>0</v>
      </c>
      <c r="IK215">
        <v>0</v>
      </c>
    </row>
    <row r="217" spans="1:245" x14ac:dyDescent="0.2">
      <c r="A217" s="2">
        <v>51</v>
      </c>
      <c r="B217" s="2">
        <f>B191</f>
        <v>1</v>
      </c>
      <c r="C217" s="2">
        <f>A191</f>
        <v>4</v>
      </c>
      <c r="D217" s="2">
        <f>ROW(A191)</f>
        <v>191</v>
      </c>
      <c r="E217" s="2"/>
      <c r="F217" s="2" t="str">
        <f>IF(F191&lt;&gt;"",F191,"")</f>
        <v>Новый раздел</v>
      </c>
      <c r="G217" s="2" t="str">
        <f>IF(G191&lt;&gt;"",G191,"")</f>
        <v>Установка ограждения - Участок 4</v>
      </c>
      <c r="H217" s="2">
        <v>0</v>
      </c>
      <c r="I217" s="2"/>
      <c r="J217" s="2"/>
      <c r="K217" s="2"/>
      <c r="L217" s="2"/>
      <c r="M217" s="2"/>
      <c r="N217" s="2"/>
      <c r="O217" s="2">
        <f t="shared" ref="O217:T217" si="214">ROUND(AB217,2)</f>
        <v>345874.87</v>
      </c>
      <c r="P217" s="2">
        <f t="shared" si="214"/>
        <v>160697.97</v>
      </c>
      <c r="Q217" s="2">
        <f t="shared" si="214"/>
        <v>66208.259999999995</v>
      </c>
      <c r="R217" s="2">
        <f t="shared" si="214"/>
        <v>42359.76</v>
      </c>
      <c r="S217" s="2">
        <f t="shared" si="214"/>
        <v>118968.64</v>
      </c>
      <c r="T217" s="2">
        <f t="shared" si="214"/>
        <v>0</v>
      </c>
      <c r="U217" s="2">
        <f>AH217</f>
        <v>451.75302500000004</v>
      </c>
      <c r="V217" s="2">
        <f>AI217</f>
        <v>0</v>
      </c>
      <c r="W217" s="2">
        <f>ROUND(AJ217,2)</f>
        <v>0</v>
      </c>
      <c r="X217" s="2">
        <f>ROUND(AK217,2)</f>
        <v>83278.05</v>
      </c>
      <c r="Y217" s="2">
        <f>ROUND(AL217,2)</f>
        <v>11896.87</v>
      </c>
      <c r="Z217" s="2"/>
      <c r="AA217" s="2"/>
      <c r="AB217" s="2">
        <f>ROUND(SUMIF(AA195:AA215,"=46561299",O195:O215),2)</f>
        <v>345874.87</v>
      </c>
      <c r="AC217" s="2">
        <f>ROUND(SUMIF(AA195:AA215,"=46561299",P195:P215),2)</f>
        <v>160697.97</v>
      </c>
      <c r="AD217" s="2">
        <f>ROUND(SUMIF(AA195:AA215,"=46561299",Q195:Q215),2)</f>
        <v>66208.259999999995</v>
      </c>
      <c r="AE217" s="2">
        <f>ROUND(SUMIF(AA195:AA215,"=46561299",R195:R215),2)</f>
        <v>42359.76</v>
      </c>
      <c r="AF217" s="2">
        <f>ROUND(SUMIF(AA195:AA215,"=46561299",S195:S215),2)</f>
        <v>118968.64</v>
      </c>
      <c r="AG217" s="2">
        <f>ROUND(SUMIF(AA195:AA215,"=46561299",T195:T215),2)</f>
        <v>0</v>
      </c>
      <c r="AH217" s="2">
        <f>SUMIF(AA195:AA215,"=46561299",U195:U215)</f>
        <v>451.75302500000004</v>
      </c>
      <c r="AI217" s="2">
        <f>SUMIF(AA195:AA215,"=46561299",V195:V215)</f>
        <v>0</v>
      </c>
      <c r="AJ217" s="2">
        <f>ROUND(SUMIF(AA195:AA215,"=46561299",W195:W215),2)</f>
        <v>0</v>
      </c>
      <c r="AK217" s="2">
        <f>ROUND(SUMIF(AA195:AA215,"=46561299",X195:X215),2)</f>
        <v>83278.05</v>
      </c>
      <c r="AL217" s="2">
        <f>ROUND(SUMIF(AA195:AA215,"=46561299",Y195:Y215),2)</f>
        <v>11896.87</v>
      </c>
      <c r="AM217" s="2"/>
      <c r="AN217" s="2"/>
      <c r="AO217" s="2">
        <f t="shared" ref="AO217:BC217" si="215">ROUND(BX217,2)</f>
        <v>0</v>
      </c>
      <c r="AP217" s="2">
        <f t="shared" si="215"/>
        <v>0</v>
      </c>
      <c r="AQ217" s="2">
        <f t="shared" si="215"/>
        <v>0</v>
      </c>
      <c r="AR217" s="2">
        <f t="shared" si="215"/>
        <v>486798.31</v>
      </c>
      <c r="AS217" s="2">
        <f t="shared" si="215"/>
        <v>0</v>
      </c>
      <c r="AT217" s="2">
        <f t="shared" si="215"/>
        <v>0</v>
      </c>
      <c r="AU217" s="2">
        <f t="shared" si="215"/>
        <v>486798.31</v>
      </c>
      <c r="AV217" s="2">
        <f t="shared" si="215"/>
        <v>160697.97</v>
      </c>
      <c r="AW217" s="2">
        <f t="shared" si="215"/>
        <v>160697.97</v>
      </c>
      <c r="AX217" s="2">
        <f t="shared" si="215"/>
        <v>0</v>
      </c>
      <c r="AY217" s="2">
        <f t="shared" si="215"/>
        <v>160697.97</v>
      </c>
      <c r="AZ217" s="2">
        <f t="shared" si="215"/>
        <v>0</v>
      </c>
      <c r="BA217" s="2">
        <f t="shared" si="215"/>
        <v>0</v>
      </c>
      <c r="BB217" s="2">
        <f t="shared" si="215"/>
        <v>0</v>
      </c>
      <c r="BC217" s="2">
        <f t="shared" si="215"/>
        <v>0</v>
      </c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>
        <f>ROUND(SUMIF(AA195:AA215,"=46561299",FQ195:FQ215),2)</f>
        <v>0</v>
      </c>
      <c r="BY217" s="2">
        <f>ROUND(SUMIF(AA195:AA215,"=46561299",FR195:FR215),2)</f>
        <v>0</v>
      </c>
      <c r="BZ217" s="2">
        <f>ROUND(SUMIF(AA195:AA215,"=46561299",GL195:GL215),2)</f>
        <v>0</v>
      </c>
      <c r="CA217" s="2">
        <f>ROUND(SUMIF(AA195:AA215,"=46561299",GM195:GM215),2)</f>
        <v>486798.31</v>
      </c>
      <c r="CB217" s="2">
        <f>ROUND(SUMIF(AA195:AA215,"=46561299",GN195:GN215),2)</f>
        <v>0</v>
      </c>
      <c r="CC217" s="2">
        <f>ROUND(SUMIF(AA195:AA215,"=46561299",GO195:GO215),2)</f>
        <v>0</v>
      </c>
      <c r="CD217" s="2">
        <f>ROUND(SUMIF(AA195:AA215,"=46561299",GP195:GP215),2)</f>
        <v>486798.31</v>
      </c>
      <c r="CE217" s="2">
        <f>AC217-BX217</f>
        <v>160697.97</v>
      </c>
      <c r="CF217" s="2">
        <f>AC217-BY217</f>
        <v>160697.97</v>
      </c>
      <c r="CG217" s="2">
        <f>BX217-BZ217</f>
        <v>0</v>
      </c>
      <c r="CH217" s="2">
        <f>AC217-BX217-BY217+BZ217</f>
        <v>160697.97</v>
      </c>
      <c r="CI217" s="2">
        <f>BY217-BZ217</f>
        <v>0</v>
      </c>
      <c r="CJ217" s="2">
        <f>ROUND(SUMIF(AA195:AA215,"=46561299",GX195:GX215),2)</f>
        <v>0</v>
      </c>
      <c r="CK217" s="2">
        <f>ROUND(SUMIF(AA195:AA215,"=46561299",GY195:GY215),2)</f>
        <v>0</v>
      </c>
      <c r="CL217" s="2">
        <f>ROUND(SUMIF(AA195:AA215,"=46561299",GZ195:GZ215),2)</f>
        <v>0</v>
      </c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>
        <v>0</v>
      </c>
    </row>
    <row r="219" spans="1:245" x14ac:dyDescent="0.2">
      <c r="A219" s="4">
        <v>50</v>
      </c>
      <c r="B219" s="4">
        <v>0</v>
      </c>
      <c r="C219" s="4">
        <v>0</v>
      </c>
      <c r="D219" s="4">
        <v>1</v>
      </c>
      <c r="E219" s="4">
        <v>201</v>
      </c>
      <c r="F219" s="4">
        <f>ROUND(Source!O217,O219)</f>
        <v>345874.87</v>
      </c>
      <c r="G219" s="4" t="s">
        <v>96</v>
      </c>
      <c r="H219" s="4" t="s">
        <v>97</v>
      </c>
      <c r="I219" s="4"/>
      <c r="J219" s="4"/>
      <c r="K219" s="4">
        <v>201</v>
      </c>
      <c r="L219" s="4">
        <v>1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45" x14ac:dyDescent="0.2">
      <c r="A220" s="4">
        <v>50</v>
      </c>
      <c r="B220" s="4">
        <v>0</v>
      </c>
      <c r="C220" s="4">
        <v>0</v>
      </c>
      <c r="D220" s="4">
        <v>1</v>
      </c>
      <c r="E220" s="4">
        <v>202</v>
      </c>
      <c r="F220" s="4">
        <f>ROUND(Source!P217,O220)</f>
        <v>160697.97</v>
      </c>
      <c r="G220" s="4" t="s">
        <v>98</v>
      </c>
      <c r="H220" s="4" t="s">
        <v>99</v>
      </c>
      <c r="I220" s="4"/>
      <c r="J220" s="4"/>
      <c r="K220" s="4">
        <v>202</v>
      </c>
      <c r="L220" s="4">
        <v>2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245" x14ac:dyDescent="0.2">
      <c r="A221" s="4">
        <v>50</v>
      </c>
      <c r="B221" s="4">
        <v>0</v>
      </c>
      <c r="C221" s="4">
        <v>0</v>
      </c>
      <c r="D221" s="4">
        <v>1</v>
      </c>
      <c r="E221" s="4">
        <v>222</v>
      </c>
      <c r="F221" s="4">
        <f>ROUND(Source!AO217,O221)</f>
        <v>0</v>
      </c>
      <c r="G221" s="4" t="s">
        <v>100</v>
      </c>
      <c r="H221" s="4" t="s">
        <v>101</v>
      </c>
      <c r="I221" s="4"/>
      <c r="J221" s="4"/>
      <c r="K221" s="4">
        <v>222</v>
      </c>
      <c r="L221" s="4">
        <v>3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45" x14ac:dyDescent="0.2">
      <c r="A222" s="4">
        <v>50</v>
      </c>
      <c r="B222" s="4">
        <v>0</v>
      </c>
      <c r="C222" s="4">
        <v>0</v>
      </c>
      <c r="D222" s="4">
        <v>1</v>
      </c>
      <c r="E222" s="4">
        <v>225</v>
      </c>
      <c r="F222" s="4">
        <f>ROUND(Source!AV217,O222)</f>
        <v>160697.97</v>
      </c>
      <c r="G222" s="4" t="s">
        <v>102</v>
      </c>
      <c r="H222" s="4" t="s">
        <v>103</v>
      </c>
      <c r="I222" s="4"/>
      <c r="J222" s="4"/>
      <c r="K222" s="4">
        <v>225</v>
      </c>
      <c r="L222" s="4">
        <v>4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45" x14ac:dyDescent="0.2">
      <c r="A223" s="4">
        <v>50</v>
      </c>
      <c r="B223" s="4">
        <v>0</v>
      </c>
      <c r="C223" s="4">
        <v>0</v>
      </c>
      <c r="D223" s="4">
        <v>1</v>
      </c>
      <c r="E223" s="4">
        <v>226</v>
      </c>
      <c r="F223" s="4">
        <f>ROUND(Source!AW217,O223)</f>
        <v>160697.97</v>
      </c>
      <c r="G223" s="4" t="s">
        <v>104</v>
      </c>
      <c r="H223" s="4" t="s">
        <v>105</v>
      </c>
      <c r="I223" s="4"/>
      <c r="J223" s="4"/>
      <c r="K223" s="4">
        <v>226</v>
      </c>
      <c r="L223" s="4">
        <v>5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45" x14ac:dyDescent="0.2">
      <c r="A224" s="4">
        <v>50</v>
      </c>
      <c r="B224" s="4">
        <v>0</v>
      </c>
      <c r="C224" s="4">
        <v>0</v>
      </c>
      <c r="D224" s="4">
        <v>1</v>
      </c>
      <c r="E224" s="4">
        <v>227</v>
      </c>
      <c r="F224" s="4">
        <f>ROUND(Source!AX217,O224)</f>
        <v>0</v>
      </c>
      <c r="G224" s="4" t="s">
        <v>106</v>
      </c>
      <c r="H224" s="4" t="s">
        <v>107</v>
      </c>
      <c r="I224" s="4"/>
      <c r="J224" s="4"/>
      <c r="K224" s="4">
        <v>227</v>
      </c>
      <c r="L224" s="4">
        <v>6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>
        <v>50</v>
      </c>
      <c r="B225" s="4">
        <v>0</v>
      </c>
      <c r="C225" s="4">
        <v>0</v>
      </c>
      <c r="D225" s="4">
        <v>1</v>
      </c>
      <c r="E225" s="4">
        <v>228</v>
      </c>
      <c r="F225" s="4">
        <f>ROUND(Source!AY217,O225)</f>
        <v>160697.97</v>
      </c>
      <c r="G225" s="4" t="s">
        <v>108</v>
      </c>
      <c r="H225" s="4" t="s">
        <v>109</v>
      </c>
      <c r="I225" s="4"/>
      <c r="J225" s="4"/>
      <c r="K225" s="4">
        <v>228</v>
      </c>
      <c r="L225" s="4">
        <v>7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>
        <v>50</v>
      </c>
      <c r="B226" s="4">
        <v>0</v>
      </c>
      <c r="C226" s="4">
        <v>0</v>
      </c>
      <c r="D226" s="4">
        <v>1</v>
      </c>
      <c r="E226" s="4">
        <v>216</v>
      </c>
      <c r="F226" s="4">
        <f>ROUND(Source!AP217,O226)</f>
        <v>0</v>
      </c>
      <c r="G226" s="4" t="s">
        <v>110</v>
      </c>
      <c r="H226" s="4" t="s">
        <v>111</v>
      </c>
      <c r="I226" s="4"/>
      <c r="J226" s="4"/>
      <c r="K226" s="4">
        <v>216</v>
      </c>
      <c r="L226" s="4">
        <v>8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>
        <v>50</v>
      </c>
      <c r="B227" s="4">
        <v>0</v>
      </c>
      <c r="C227" s="4">
        <v>0</v>
      </c>
      <c r="D227" s="4">
        <v>1</v>
      </c>
      <c r="E227" s="4">
        <v>223</v>
      </c>
      <c r="F227" s="4">
        <f>ROUND(Source!AQ217,O227)</f>
        <v>0</v>
      </c>
      <c r="G227" s="4" t="s">
        <v>112</v>
      </c>
      <c r="H227" s="4" t="s">
        <v>113</v>
      </c>
      <c r="I227" s="4"/>
      <c r="J227" s="4"/>
      <c r="K227" s="4">
        <v>223</v>
      </c>
      <c r="L227" s="4">
        <v>9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>
        <v>50</v>
      </c>
      <c r="B228" s="4">
        <v>0</v>
      </c>
      <c r="C228" s="4">
        <v>0</v>
      </c>
      <c r="D228" s="4">
        <v>1</v>
      </c>
      <c r="E228" s="4">
        <v>229</v>
      </c>
      <c r="F228" s="4">
        <f>ROUND(Source!AZ217,O228)</f>
        <v>0</v>
      </c>
      <c r="G228" s="4" t="s">
        <v>114</v>
      </c>
      <c r="H228" s="4" t="s">
        <v>115</v>
      </c>
      <c r="I228" s="4"/>
      <c r="J228" s="4"/>
      <c r="K228" s="4">
        <v>229</v>
      </c>
      <c r="L228" s="4">
        <v>10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>
        <v>50</v>
      </c>
      <c r="B229" s="4">
        <v>0</v>
      </c>
      <c r="C229" s="4">
        <v>0</v>
      </c>
      <c r="D229" s="4">
        <v>1</v>
      </c>
      <c r="E229" s="4">
        <v>203</v>
      </c>
      <c r="F229" s="4">
        <f>ROUND(Source!Q217,O229)</f>
        <v>66208.259999999995</v>
      </c>
      <c r="G229" s="4" t="s">
        <v>116</v>
      </c>
      <c r="H229" s="4" t="s">
        <v>117</v>
      </c>
      <c r="I229" s="4"/>
      <c r="J229" s="4"/>
      <c r="K229" s="4">
        <v>203</v>
      </c>
      <c r="L229" s="4">
        <v>11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>
        <v>50</v>
      </c>
      <c r="B230" s="4">
        <v>0</v>
      </c>
      <c r="C230" s="4">
        <v>0</v>
      </c>
      <c r="D230" s="4">
        <v>1</v>
      </c>
      <c r="E230" s="4">
        <v>231</v>
      </c>
      <c r="F230" s="4">
        <f>ROUND(Source!BB217,O230)</f>
        <v>0</v>
      </c>
      <c r="G230" s="4" t="s">
        <v>118</v>
      </c>
      <c r="H230" s="4" t="s">
        <v>119</v>
      </c>
      <c r="I230" s="4"/>
      <c r="J230" s="4"/>
      <c r="K230" s="4">
        <v>231</v>
      </c>
      <c r="L230" s="4">
        <v>12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>
        <v>50</v>
      </c>
      <c r="B231" s="4">
        <v>0</v>
      </c>
      <c r="C231" s="4">
        <v>0</v>
      </c>
      <c r="D231" s="4">
        <v>1</v>
      </c>
      <c r="E231" s="4">
        <v>204</v>
      </c>
      <c r="F231" s="4">
        <f>ROUND(Source!R217,O231)</f>
        <v>42359.76</v>
      </c>
      <c r="G231" s="4" t="s">
        <v>120</v>
      </c>
      <c r="H231" s="4" t="s">
        <v>121</v>
      </c>
      <c r="I231" s="4"/>
      <c r="J231" s="4"/>
      <c r="K231" s="4">
        <v>204</v>
      </c>
      <c r="L231" s="4">
        <v>13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>
        <v>50</v>
      </c>
      <c r="B232" s="4">
        <v>0</v>
      </c>
      <c r="C232" s="4">
        <v>0</v>
      </c>
      <c r="D232" s="4">
        <v>1</v>
      </c>
      <c r="E232" s="4">
        <v>205</v>
      </c>
      <c r="F232" s="4">
        <f>ROUND(Source!S217,O232)</f>
        <v>118968.64</v>
      </c>
      <c r="G232" s="4" t="s">
        <v>122</v>
      </c>
      <c r="H232" s="4" t="s">
        <v>123</v>
      </c>
      <c r="I232" s="4"/>
      <c r="J232" s="4"/>
      <c r="K232" s="4">
        <v>205</v>
      </c>
      <c r="L232" s="4">
        <v>14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>
        <v>50</v>
      </c>
      <c r="B233" s="4">
        <v>0</v>
      </c>
      <c r="C233" s="4">
        <v>0</v>
      </c>
      <c r="D233" s="4">
        <v>1</v>
      </c>
      <c r="E233" s="4">
        <v>232</v>
      </c>
      <c r="F233" s="4">
        <f>ROUND(Source!BC217,O233)</f>
        <v>0</v>
      </c>
      <c r="G233" s="4" t="s">
        <v>124</v>
      </c>
      <c r="H233" s="4" t="s">
        <v>125</v>
      </c>
      <c r="I233" s="4"/>
      <c r="J233" s="4"/>
      <c r="K233" s="4">
        <v>232</v>
      </c>
      <c r="L233" s="4">
        <v>15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>
        <v>50</v>
      </c>
      <c r="B234" s="4">
        <v>0</v>
      </c>
      <c r="C234" s="4">
        <v>0</v>
      </c>
      <c r="D234" s="4">
        <v>1</v>
      </c>
      <c r="E234" s="4">
        <v>214</v>
      </c>
      <c r="F234" s="4">
        <f>ROUND(Source!AS217,O234)</f>
        <v>0</v>
      </c>
      <c r="G234" s="4" t="s">
        <v>126</v>
      </c>
      <c r="H234" s="4" t="s">
        <v>127</v>
      </c>
      <c r="I234" s="4"/>
      <c r="J234" s="4"/>
      <c r="K234" s="4">
        <v>214</v>
      </c>
      <c r="L234" s="4">
        <v>16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>
        <v>50</v>
      </c>
      <c r="B235" s="4">
        <v>0</v>
      </c>
      <c r="C235" s="4">
        <v>0</v>
      </c>
      <c r="D235" s="4">
        <v>1</v>
      </c>
      <c r="E235" s="4">
        <v>215</v>
      </c>
      <c r="F235" s="4">
        <f>ROUND(Source!AT217,O235)</f>
        <v>0</v>
      </c>
      <c r="G235" s="4" t="s">
        <v>128</v>
      </c>
      <c r="H235" s="4" t="s">
        <v>129</v>
      </c>
      <c r="I235" s="4"/>
      <c r="J235" s="4"/>
      <c r="K235" s="4">
        <v>215</v>
      </c>
      <c r="L235" s="4">
        <v>17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>
        <v>50</v>
      </c>
      <c r="B236" s="4">
        <v>0</v>
      </c>
      <c r="C236" s="4">
        <v>0</v>
      </c>
      <c r="D236" s="4">
        <v>1</v>
      </c>
      <c r="E236" s="4">
        <v>217</v>
      </c>
      <c r="F236" s="4">
        <f>ROUND(Source!AU217,O236)</f>
        <v>486798.31</v>
      </c>
      <c r="G236" s="4" t="s">
        <v>130</v>
      </c>
      <c r="H236" s="4" t="s">
        <v>131</v>
      </c>
      <c r="I236" s="4"/>
      <c r="J236" s="4"/>
      <c r="K236" s="4">
        <v>217</v>
      </c>
      <c r="L236" s="4">
        <v>18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>
        <v>50</v>
      </c>
      <c r="B237" s="4">
        <v>0</v>
      </c>
      <c r="C237" s="4">
        <v>0</v>
      </c>
      <c r="D237" s="4">
        <v>1</v>
      </c>
      <c r="E237" s="4">
        <v>230</v>
      </c>
      <c r="F237" s="4">
        <f>ROUND(Source!BA217,O237)</f>
        <v>0</v>
      </c>
      <c r="G237" s="4" t="s">
        <v>132</v>
      </c>
      <c r="H237" s="4" t="s">
        <v>133</v>
      </c>
      <c r="I237" s="4"/>
      <c r="J237" s="4"/>
      <c r="K237" s="4">
        <v>230</v>
      </c>
      <c r="L237" s="4">
        <v>19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>
        <v>50</v>
      </c>
      <c r="B238" s="4">
        <v>0</v>
      </c>
      <c r="C238" s="4">
        <v>0</v>
      </c>
      <c r="D238" s="4">
        <v>1</v>
      </c>
      <c r="E238" s="4">
        <v>206</v>
      </c>
      <c r="F238" s="4">
        <f>ROUND(Source!T217,O238)</f>
        <v>0</v>
      </c>
      <c r="G238" s="4" t="s">
        <v>134</v>
      </c>
      <c r="H238" s="4" t="s">
        <v>135</v>
      </c>
      <c r="I238" s="4"/>
      <c r="J238" s="4"/>
      <c r="K238" s="4">
        <v>206</v>
      </c>
      <c r="L238" s="4">
        <v>20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>
        <v>50</v>
      </c>
      <c r="B239" s="4">
        <v>0</v>
      </c>
      <c r="C239" s="4">
        <v>0</v>
      </c>
      <c r="D239" s="4">
        <v>1</v>
      </c>
      <c r="E239" s="4">
        <v>207</v>
      </c>
      <c r="F239" s="4">
        <f>Source!U217</f>
        <v>451.75302500000004</v>
      </c>
      <c r="G239" s="4" t="s">
        <v>136</v>
      </c>
      <c r="H239" s="4" t="s">
        <v>137</v>
      </c>
      <c r="I239" s="4"/>
      <c r="J239" s="4"/>
      <c r="K239" s="4">
        <v>207</v>
      </c>
      <c r="L239" s="4">
        <v>21</v>
      </c>
      <c r="M239" s="4">
        <v>3</v>
      </c>
      <c r="N239" s="4" t="s">
        <v>3</v>
      </c>
      <c r="O239" s="4">
        <v>-1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>
        <v>50</v>
      </c>
      <c r="B240" s="4">
        <v>0</v>
      </c>
      <c r="C240" s="4">
        <v>0</v>
      </c>
      <c r="D240" s="4">
        <v>1</v>
      </c>
      <c r="E240" s="4">
        <v>208</v>
      </c>
      <c r="F240" s="4">
        <f>Source!V217</f>
        <v>0</v>
      </c>
      <c r="G240" s="4" t="s">
        <v>138</v>
      </c>
      <c r="H240" s="4" t="s">
        <v>139</v>
      </c>
      <c r="I240" s="4"/>
      <c r="J240" s="4"/>
      <c r="K240" s="4">
        <v>208</v>
      </c>
      <c r="L240" s="4">
        <v>22</v>
      </c>
      <c r="M240" s="4">
        <v>3</v>
      </c>
      <c r="N240" s="4" t="s">
        <v>3</v>
      </c>
      <c r="O240" s="4">
        <v>-1</v>
      </c>
      <c r="P240" s="4"/>
      <c r="Q240" s="4"/>
      <c r="R240" s="4"/>
      <c r="S240" s="4"/>
      <c r="T240" s="4"/>
      <c r="U240" s="4"/>
      <c r="V240" s="4"/>
      <c r="W240" s="4"/>
    </row>
    <row r="241" spans="1:245" x14ac:dyDescent="0.2">
      <c r="A241" s="4">
        <v>50</v>
      </c>
      <c r="B241" s="4">
        <v>0</v>
      </c>
      <c r="C241" s="4">
        <v>0</v>
      </c>
      <c r="D241" s="4">
        <v>1</v>
      </c>
      <c r="E241" s="4">
        <v>209</v>
      </c>
      <c r="F241" s="4">
        <f>ROUND(Source!W217,O241)</f>
        <v>0</v>
      </c>
      <c r="G241" s="4" t="s">
        <v>140</v>
      </c>
      <c r="H241" s="4" t="s">
        <v>141</v>
      </c>
      <c r="I241" s="4"/>
      <c r="J241" s="4"/>
      <c r="K241" s="4">
        <v>209</v>
      </c>
      <c r="L241" s="4">
        <v>23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45" x14ac:dyDescent="0.2">
      <c r="A242" s="4">
        <v>50</v>
      </c>
      <c r="B242" s="4">
        <v>0</v>
      </c>
      <c r="C242" s="4">
        <v>0</v>
      </c>
      <c r="D242" s="4">
        <v>1</v>
      </c>
      <c r="E242" s="4">
        <v>210</v>
      </c>
      <c r="F242" s="4">
        <f>ROUND(Source!X217,O242)</f>
        <v>83278.05</v>
      </c>
      <c r="G242" s="4" t="s">
        <v>142</v>
      </c>
      <c r="H242" s="4" t="s">
        <v>143</v>
      </c>
      <c r="I242" s="4"/>
      <c r="J242" s="4"/>
      <c r="K242" s="4">
        <v>210</v>
      </c>
      <c r="L242" s="4">
        <v>24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45" x14ac:dyDescent="0.2">
      <c r="A243" s="4">
        <v>50</v>
      </c>
      <c r="B243" s="4">
        <v>0</v>
      </c>
      <c r="C243" s="4">
        <v>0</v>
      </c>
      <c r="D243" s="4">
        <v>1</v>
      </c>
      <c r="E243" s="4">
        <v>211</v>
      </c>
      <c r="F243" s="4">
        <f>ROUND(Source!Y217,O243)</f>
        <v>11896.87</v>
      </c>
      <c r="G243" s="4" t="s">
        <v>144</v>
      </c>
      <c r="H243" s="4" t="s">
        <v>145</v>
      </c>
      <c r="I243" s="4"/>
      <c r="J243" s="4"/>
      <c r="K243" s="4">
        <v>211</v>
      </c>
      <c r="L243" s="4">
        <v>25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45" x14ac:dyDescent="0.2">
      <c r="A244" s="4">
        <v>50</v>
      </c>
      <c r="B244" s="4">
        <v>0</v>
      </c>
      <c r="C244" s="4">
        <v>0</v>
      </c>
      <c r="D244" s="4">
        <v>1</v>
      </c>
      <c r="E244" s="4">
        <v>224</v>
      </c>
      <c r="F244" s="4">
        <f>ROUND(Source!AR217,O244)</f>
        <v>486798.31</v>
      </c>
      <c r="G244" s="4" t="s">
        <v>146</v>
      </c>
      <c r="H244" s="4" t="s">
        <v>147</v>
      </c>
      <c r="I244" s="4"/>
      <c r="J244" s="4"/>
      <c r="K244" s="4">
        <v>224</v>
      </c>
      <c r="L244" s="4">
        <v>26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6" spans="1:245" x14ac:dyDescent="0.2">
      <c r="A246" s="1">
        <v>4</v>
      </c>
      <c r="B246" s="1">
        <v>1</v>
      </c>
      <c r="C246" s="1"/>
      <c r="D246" s="1">
        <f>ROW(A254)</f>
        <v>254</v>
      </c>
      <c r="E246" s="1"/>
      <c r="F246" s="1" t="s">
        <v>12</v>
      </c>
      <c r="G246" s="1" t="s">
        <v>261</v>
      </c>
      <c r="H246" s="1" t="s">
        <v>3</v>
      </c>
      <c r="I246" s="1">
        <v>0</v>
      </c>
      <c r="J246" s="1"/>
      <c r="K246" s="1"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 t="s">
        <v>3</v>
      </c>
      <c r="V246" s="1">
        <v>0</v>
      </c>
      <c r="W246" s="1"/>
      <c r="X246" s="1"/>
      <c r="Y246" s="1"/>
      <c r="Z246" s="1"/>
      <c r="AA246" s="1"/>
      <c r="AB246" s="1" t="s">
        <v>3</v>
      </c>
      <c r="AC246" s="1" t="s">
        <v>3</v>
      </c>
      <c r="AD246" s="1" t="s">
        <v>3</v>
      </c>
      <c r="AE246" s="1" t="s">
        <v>3</v>
      </c>
      <c r="AF246" s="1" t="s">
        <v>3</v>
      </c>
      <c r="AG246" s="1" t="s">
        <v>3</v>
      </c>
      <c r="AH246" s="1"/>
      <c r="AI246" s="1"/>
      <c r="AJ246" s="1"/>
      <c r="AK246" s="1"/>
      <c r="AL246" s="1"/>
      <c r="AM246" s="1"/>
      <c r="AN246" s="1"/>
      <c r="AO246" s="1"/>
      <c r="AP246" s="1" t="s">
        <v>3</v>
      </c>
      <c r="AQ246" s="1" t="s">
        <v>3</v>
      </c>
      <c r="AR246" s="1" t="s">
        <v>3</v>
      </c>
      <c r="AS246" s="1"/>
      <c r="AT246" s="1"/>
      <c r="AU246" s="1"/>
      <c r="AV246" s="1"/>
      <c r="AW246" s="1"/>
      <c r="AX246" s="1"/>
      <c r="AY246" s="1"/>
      <c r="AZ246" s="1" t="s">
        <v>3</v>
      </c>
      <c r="BA246" s="1"/>
      <c r="BB246" s="1" t="s">
        <v>3</v>
      </c>
      <c r="BC246" s="1" t="s">
        <v>3</v>
      </c>
      <c r="BD246" s="1" t="s">
        <v>3</v>
      </c>
      <c r="BE246" s="1" t="s">
        <v>3</v>
      </c>
      <c r="BF246" s="1" t="s">
        <v>3</v>
      </c>
      <c r="BG246" s="1" t="s">
        <v>3</v>
      </c>
      <c r="BH246" s="1" t="s">
        <v>3</v>
      </c>
      <c r="BI246" s="1" t="s">
        <v>3</v>
      </c>
      <c r="BJ246" s="1" t="s">
        <v>3</v>
      </c>
      <c r="BK246" s="1" t="s">
        <v>3</v>
      </c>
      <c r="BL246" s="1" t="s">
        <v>3</v>
      </c>
      <c r="BM246" s="1" t="s">
        <v>3</v>
      </c>
      <c r="BN246" s="1" t="s">
        <v>3</v>
      </c>
      <c r="BO246" s="1" t="s">
        <v>3</v>
      </c>
      <c r="BP246" s="1" t="s">
        <v>3</v>
      </c>
      <c r="BQ246" s="1"/>
      <c r="BR246" s="1"/>
      <c r="BS246" s="1"/>
      <c r="BT246" s="1"/>
      <c r="BU246" s="1"/>
      <c r="BV246" s="1"/>
      <c r="BW246" s="1"/>
      <c r="BX246" s="1">
        <v>0</v>
      </c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>
        <v>0</v>
      </c>
    </row>
    <row r="248" spans="1:245" x14ac:dyDescent="0.2">
      <c r="A248" s="2">
        <v>52</v>
      </c>
      <c r="B248" s="2">
        <f t="shared" ref="B248:G248" si="216">B254</f>
        <v>1</v>
      </c>
      <c r="C248" s="2">
        <f t="shared" si="216"/>
        <v>4</v>
      </c>
      <c r="D248" s="2">
        <f t="shared" si="216"/>
        <v>246</v>
      </c>
      <c r="E248" s="2">
        <f t="shared" si="216"/>
        <v>0</v>
      </c>
      <c r="F248" s="2" t="str">
        <f t="shared" si="216"/>
        <v>Новый раздел</v>
      </c>
      <c r="G248" s="2" t="str">
        <f t="shared" si="216"/>
        <v>Прочие затраты</v>
      </c>
      <c r="H248" s="2"/>
      <c r="I248" s="2"/>
      <c r="J248" s="2"/>
      <c r="K248" s="2"/>
      <c r="L248" s="2"/>
      <c r="M248" s="2"/>
      <c r="N248" s="2"/>
      <c r="O248" s="2">
        <f t="shared" ref="O248:AT248" si="217">O254</f>
        <v>7791.82</v>
      </c>
      <c r="P248" s="2">
        <f t="shared" si="217"/>
        <v>0</v>
      </c>
      <c r="Q248" s="2">
        <f t="shared" si="217"/>
        <v>7791.82</v>
      </c>
      <c r="R248" s="2">
        <f t="shared" si="217"/>
        <v>4099.28</v>
      </c>
      <c r="S248" s="2">
        <f t="shared" si="217"/>
        <v>0</v>
      </c>
      <c r="T248" s="2">
        <f t="shared" si="217"/>
        <v>0</v>
      </c>
      <c r="U248" s="2">
        <f t="shared" si="217"/>
        <v>0</v>
      </c>
      <c r="V248" s="2">
        <f t="shared" si="217"/>
        <v>0</v>
      </c>
      <c r="W248" s="2">
        <f t="shared" si="217"/>
        <v>0</v>
      </c>
      <c r="X248" s="2">
        <f t="shared" si="217"/>
        <v>0</v>
      </c>
      <c r="Y248" s="2">
        <f t="shared" si="217"/>
        <v>0</v>
      </c>
      <c r="Z248" s="2">
        <f t="shared" si="217"/>
        <v>0</v>
      </c>
      <c r="AA248" s="2">
        <f t="shared" si="217"/>
        <v>0</v>
      </c>
      <c r="AB248" s="2">
        <f t="shared" si="217"/>
        <v>7791.82</v>
      </c>
      <c r="AC248" s="2">
        <f t="shared" si="217"/>
        <v>0</v>
      </c>
      <c r="AD248" s="2">
        <f t="shared" si="217"/>
        <v>7791.82</v>
      </c>
      <c r="AE248" s="2">
        <f t="shared" si="217"/>
        <v>4099.28</v>
      </c>
      <c r="AF248" s="2">
        <f t="shared" si="217"/>
        <v>0</v>
      </c>
      <c r="AG248" s="2">
        <f t="shared" si="217"/>
        <v>0</v>
      </c>
      <c r="AH248" s="2">
        <f t="shared" si="217"/>
        <v>0</v>
      </c>
      <c r="AI248" s="2">
        <f t="shared" si="217"/>
        <v>0</v>
      </c>
      <c r="AJ248" s="2">
        <f t="shared" si="217"/>
        <v>0</v>
      </c>
      <c r="AK248" s="2">
        <f t="shared" si="217"/>
        <v>0</v>
      </c>
      <c r="AL248" s="2">
        <f t="shared" si="217"/>
        <v>0</v>
      </c>
      <c r="AM248" s="2">
        <f t="shared" si="217"/>
        <v>0</v>
      </c>
      <c r="AN248" s="2">
        <f t="shared" si="217"/>
        <v>0</v>
      </c>
      <c r="AO248" s="2">
        <f t="shared" si="217"/>
        <v>0</v>
      </c>
      <c r="AP248" s="2">
        <f t="shared" si="217"/>
        <v>0</v>
      </c>
      <c r="AQ248" s="2">
        <f t="shared" si="217"/>
        <v>0</v>
      </c>
      <c r="AR248" s="2">
        <f t="shared" si="217"/>
        <v>8006.15</v>
      </c>
      <c r="AS248" s="2">
        <f t="shared" si="217"/>
        <v>0</v>
      </c>
      <c r="AT248" s="2">
        <f t="shared" si="217"/>
        <v>0</v>
      </c>
      <c r="AU248" s="2">
        <f t="shared" ref="AU248:BZ248" si="218">AU254</f>
        <v>8006.15</v>
      </c>
      <c r="AV248" s="2">
        <f t="shared" si="218"/>
        <v>0</v>
      </c>
      <c r="AW248" s="2">
        <f t="shared" si="218"/>
        <v>0</v>
      </c>
      <c r="AX248" s="2">
        <f t="shared" si="218"/>
        <v>0</v>
      </c>
      <c r="AY248" s="2">
        <f t="shared" si="218"/>
        <v>0</v>
      </c>
      <c r="AZ248" s="2">
        <f t="shared" si="218"/>
        <v>0</v>
      </c>
      <c r="BA248" s="2">
        <f t="shared" si="218"/>
        <v>0</v>
      </c>
      <c r="BB248" s="2">
        <f t="shared" si="218"/>
        <v>0</v>
      </c>
      <c r="BC248" s="2">
        <f t="shared" si="218"/>
        <v>0</v>
      </c>
      <c r="BD248" s="2">
        <f t="shared" si="218"/>
        <v>0</v>
      </c>
      <c r="BE248" s="2">
        <f t="shared" si="218"/>
        <v>0</v>
      </c>
      <c r="BF248" s="2">
        <f t="shared" si="218"/>
        <v>0</v>
      </c>
      <c r="BG248" s="2">
        <f t="shared" si="218"/>
        <v>0</v>
      </c>
      <c r="BH248" s="2">
        <f t="shared" si="218"/>
        <v>0</v>
      </c>
      <c r="BI248" s="2">
        <f t="shared" si="218"/>
        <v>0</v>
      </c>
      <c r="BJ248" s="2">
        <f t="shared" si="218"/>
        <v>0</v>
      </c>
      <c r="BK248" s="2">
        <f t="shared" si="218"/>
        <v>0</v>
      </c>
      <c r="BL248" s="2">
        <f t="shared" si="218"/>
        <v>0</v>
      </c>
      <c r="BM248" s="2">
        <f t="shared" si="218"/>
        <v>0</v>
      </c>
      <c r="BN248" s="2">
        <f t="shared" si="218"/>
        <v>0</v>
      </c>
      <c r="BO248" s="2">
        <f t="shared" si="218"/>
        <v>0</v>
      </c>
      <c r="BP248" s="2">
        <f t="shared" si="218"/>
        <v>0</v>
      </c>
      <c r="BQ248" s="2">
        <f t="shared" si="218"/>
        <v>0</v>
      </c>
      <c r="BR248" s="2">
        <f t="shared" si="218"/>
        <v>0</v>
      </c>
      <c r="BS248" s="2">
        <f t="shared" si="218"/>
        <v>0</v>
      </c>
      <c r="BT248" s="2">
        <f t="shared" si="218"/>
        <v>0</v>
      </c>
      <c r="BU248" s="2">
        <f t="shared" si="218"/>
        <v>0</v>
      </c>
      <c r="BV248" s="2">
        <f t="shared" si="218"/>
        <v>0</v>
      </c>
      <c r="BW248" s="2">
        <f t="shared" si="218"/>
        <v>0</v>
      </c>
      <c r="BX248" s="2">
        <f t="shared" si="218"/>
        <v>0</v>
      </c>
      <c r="BY248" s="2">
        <f t="shared" si="218"/>
        <v>0</v>
      </c>
      <c r="BZ248" s="2">
        <f t="shared" si="218"/>
        <v>0</v>
      </c>
      <c r="CA248" s="2">
        <f t="shared" ref="CA248:DF248" si="219">CA254</f>
        <v>8006.15</v>
      </c>
      <c r="CB248" s="2">
        <f t="shared" si="219"/>
        <v>0</v>
      </c>
      <c r="CC248" s="2">
        <f t="shared" si="219"/>
        <v>0</v>
      </c>
      <c r="CD248" s="2">
        <f t="shared" si="219"/>
        <v>8006.15</v>
      </c>
      <c r="CE248" s="2">
        <f t="shared" si="219"/>
        <v>0</v>
      </c>
      <c r="CF248" s="2">
        <f t="shared" si="219"/>
        <v>0</v>
      </c>
      <c r="CG248" s="2">
        <f t="shared" si="219"/>
        <v>0</v>
      </c>
      <c r="CH248" s="2">
        <f t="shared" si="219"/>
        <v>0</v>
      </c>
      <c r="CI248" s="2">
        <f t="shared" si="219"/>
        <v>0</v>
      </c>
      <c r="CJ248" s="2">
        <f t="shared" si="219"/>
        <v>0</v>
      </c>
      <c r="CK248" s="2">
        <f t="shared" si="219"/>
        <v>0</v>
      </c>
      <c r="CL248" s="2">
        <f t="shared" si="219"/>
        <v>0</v>
      </c>
      <c r="CM248" s="2">
        <f t="shared" si="219"/>
        <v>0</v>
      </c>
      <c r="CN248" s="2">
        <f t="shared" si="219"/>
        <v>0</v>
      </c>
      <c r="CO248" s="2">
        <f t="shared" si="219"/>
        <v>0</v>
      </c>
      <c r="CP248" s="2">
        <f t="shared" si="219"/>
        <v>0</v>
      </c>
      <c r="CQ248" s="2">
        <f t="shared" si="219"/>
        <v>0</v>
      </c>
      <c r="CR248" s="2">
        <f t="shared" si="219"/>
        <v>0</v>
      </c>
      <c r="CS248" s="2">
        <f t="shared" si="219"/>
        <v>0</v>
      </c>
      <c r="CT248" s="2">
        <f t="shared" si="219"/>
        <v>0</v>
      </c>
      <c r="CU248" s="2">
        <f t="shared" si="219"/>
        <v>0</v>
      </c>
      <c r="CV248" s="2">
        <f t="shared" si="219"/>
        <v>0</v>
      </c>
      <c r="CW248" s="2">
        <f t="shared" si="219"/>
        <v>0</v>
      </c>
      <c r="CX248" s="2">
        <f t="shared" si="219"/>
        <v>0</v>
      </c>
      <c r="CY248" s="2">
        <f t="shared" si="219"/>
        <v>0</v>
      </c>
      <c r="CZ248" s="2">
        <f t="shared" si="219"/>
        <v>0</v>
      </c>
      <c r="DA248" s="2">
        <f t="shared" si="219"/>
        <v>0</v>
      </c>
      <c r="DB248" s="2">
        <f t="shared" si="219"/>
        <v>0</v>
      </c>
      <c r="DC248" s="2">
        <f t="shared" si="219"/>
        <v>0</v>
      </c>
      <c r="DD248" s="2">
        <f t="shared" si="219"/>
        <v>0</v>
      </c>
      <c r="DE248" s="2">
        <f t="shared" si="219"/>
        <v>0</v>
      </c>
      <c r="DF248" s="2">
        <f t="shared" si="219"/>
        <v>0</v>
      </c>
      <c r="DG248" s="3">
        <f t="shared" ref="DG248:EL248" si="220">DG254</f>
        <v>0</v>
      </c>
      <c r="DH248" s="3">
        <f t="shared" si="220"/>
        <v>0</v>
      </c>
      <c r="DI248" s="3">
        <f t="shared" si="220"/>
        <v>0</v>
      </c>
      <c r="DJ248" s="3">
        <f t="shared" si="220"/>
        <v>0</v>
      </c>
      <c r="DK248" s="3">
        <f t="shared" si="220"/>
        <v>0</v>
      </c>
      <c r="DL248" s="3">
        <f t="shared" si="220"/>
        <v>0</v>
      </c>
      <c r="DM248" s="3">
        <f t="shared" si="220"/>
        <v>0</v>
      </c>
      <c r="DN248" s="3">
        <f t="shared" si="220"/>
        <v>0</v>
      </c>
      <c r="DO248" s="3">
        <f t="shared" si="220"/>
        <v>0</v>
      </c>
      <c r="DP248" s="3">
        <f t="shared" si="220"/>
        <v>0</v>
      </c>
      <c r="DQ248" s="3">
        <f t="shared" si="220"/>
        <v>0</v>
      </c>
      <c r="DR248" s="3">
        <f t="shared" si="220"/>
        <v>0</v>
      </c>
      <c r="DS248" s="3">
        <f t="shared" si="220"/>
        <v>0</v>
      </c>
      <c r="DT248" s="3">
        <f t="shared" si="220"/>
        <v>0</v>
      </c>
      <c r="DU248" s="3">
        <f t="shared" si="220"/>
        <v>0</v>
      </c>
      <c r="DV248" s="3">
        <f t="shared" si="220"/>
        <v>0</v>
      </c>
      <c r="DW248" s="3">
        <f t="shared" si="220"/>
        <v>0</v>
      </c>
      <c r="DX248" s="3">
        <f t="shared" si="220"/>
        <v>0</v>
      </c>
      <c r="DY248" s="3">
        <f t="shared" si="220"/>
        <v>0</v>
      </c>
      <c r="DZ248" s="3">
        <f t="shared" si="220"/>
        <v>0</v>
      </c>
      <c r="EA248" s="3">
        <f t="shared" si="220"/>
        <v>0</v>
      </c>
      <c r="EB248" s="3">
        <f t="shared" si="220"/>
        <v>0</v>
      </c>
      <c r="EC248" s="3">
        <f t="shared" si="220"/>
        <v>0</v>
      </c>
      <c r="ED248" s="3">
        <f t="shared" si="220"/>
        <v>0</v>
      </c>
      <c r="EE248" s="3">
        <f t="shared" si="220"/>
        <v>0</v>
      </c>
      <c r="EF248" s="3">
        <f t="shared" si="220"/>
        <v>0</v>
      </c>
      <c r="EG248" s="3">
        <f t="shared" si="220"/>
        <v>0</v>
      </c>
      <c r="EH248" s="3">
        <f t="shared" si="220"/>
        <v>0</v>
      </c>
      <c r="EI248" s="3">
        <f t="shared" si="220"/>
        <v>0</v>
      </c>
      <c r="EJ248" s="3">
        <f t="shared" si="220"/>
        <v>0</v>
      </c>
      <c r="EK248" s="3">
        <f t="shared" si="220"/>
        <v>0</v>
      </c>
      <c r="EL248" s="3">
        <f t="shared" si="220"/>
        <v>0</v>
      </c>
      <c r="EM248" s="3">
        <f t="shared" ref="EM248:FR248" si="221">EM254</f>
        <v>0</v>
      </c>
      <c r="EN248" s="3">
        <f t="shared" si="221"/>
        <v>0</v>
      </c>
      <c r="EO248" s="3">
        <f t="shared" si="221"/>
        <v>0</v>
      </c>
      <c r="EP248" s="3">
        <f t="shared" si="221"/>
        <v>0</v>
      </c>
      <c r="EQ248" s="3">
        <f t="shared" si="221"/>
        <v>0</v>
      </c>
      <c r="ER248" s="3">
        <f t="shared" si="221"/>
        <v>0</v>
      </c>
      <c r="ES248" s="3">
        <f t="shared" si="221"/>
        <v>0</v>
      </c>
      <c r="ET248" s="3">
        <f t="shared" si="221"/>
        <v>0</v>
      </c>
      <c r="EU248" s="3">
        <f t="shared" si="221"/>
        <v>0</v>
      </c>
      <c r="EV248" s="3">
        <f t="shared" si="221"/>
        <v>0</v>
      </c>
      <c r="EW248" s="3">
        <f t="shared" si="221"/>
        <v>0</v>
      </c>
      <c r="EX248" s="3">
        <f t="shared" si="221"/>
        <v>0</v>
      </c>
      <c r="EY248" s="3">
        <f t="shared" si="221"/>
        <v>0</v>
      </c>
      <c r="EZ248" s="3">
        <f t="shared" si="221"/>
        <v>0</v>
      </c>
      <c r="FA248" s="3">
        <f t="shared" si="221"/>
        <v>0</v>
      </c>
      <c r="FB248" s="3">
        <f t="shared" si="221"/>
        <v>0</v>
      </c>
      <c r="FC248" s="3">
        <f t="shared" si="221"/>
        <v>0</v>
      </c>
      <c r="FD248" s="3">
        <f t="shared" si="221"/>
        <v>0</v>
      </c>
      <c r="FE248" s="3">
        <f t="shared" si="221"/>
        <v>0</v>
      </c>
      <c r="FF248" s="3">
        <f t="shared" si="221"/>
        <v>0</v>
      </c>
      <c r="FG248" s="3">
        <f t="shared" si="221"/>
        <v>0</v>
      </c>
      <c r="FH248" s="3">
        <f t="shared" si="221"/>
        <v>0</v>
      </c>
      <c r="FI248" s="3">
        <f t="shared" si="221"/>
        <v>0</v>
      </c>
      <c r="FJ248" s="3">
        <f t="shared" si="221"/>
        <v>0</v>
      </c>
      <c r="FK248" s="3">
        <f t="shared" si="221"/>
        <v>0</v>
      </c>
      <c r="FL248" s="3">
        <f t="shared" si="221"/>
        <v>0</v>
      </c>
      <c r="FM248" s="3">
        <f t="shared" si="221"/>
        <v>0</v>
      </c>
      <c r="FN248" s="3">
        <f t="shared" si="221"/>
        <v>0</v>
      </c>
      <c r="FO248" s="3">
        <f t="shared" si="221"/>
        <v>0</v>
      </c>
      <c r="FP248" s="3">
        <f t="shared" si="221"/>
        <v>0</v>
      </c>
      <c r="FQ248" s="3">
        <f t="shared" si="221"/>
        <v>0</v>
      </c>
      <c r="FR248" s="3">
        <f t="shared" si="221"/>
        <v>0</v>
      </c>
      <c r="FS248" s="3">
        <f t="shared" ref="FS248:GX248" si="222">FS254</f>
        <v>0</v>
      </c>
      <c r="FT248" s="3">
        <f t="shared" si="222"/>
        <v>0</v>
      </c>
      <c r="FU248" s="3">
        <f t="shared" si="222"/>
        <v>0</v>
      </c>
      <c r="FV248" s="3">
        <f t="shared" si="222"/>
        <v>0</v>
      </c>
      <c r="FW248" s="3">
        <f t="shared" si="222"/>
        <v>0</v>
      </c>
      <c r="FX248" s="3">
        <f t="shared" si="222"/>
        <v>0</v>
      </c>
      <c r="FY248" s="3">
        <f t="shared" si="222"/>
        <v>0</v>
      </c>
      <c r="FZ248" s="3">
        <f t="shared" si="222"/>
        <v>0</v>
      </c>
      <c r="GA248" s="3">
        <f t="shared" si="222"/>
        <v>0</v>
      </c>
      <c r="GB248" s="3">
        <f t="shared" si="222"/>
        <v>0</v>
      </c>
      <c r="GC248" s="3">
        <f t="shared" si="222"/>
        <v>0</v>
      </c>
      <c r="GD248" s="3">
        <f t="shared" si="222"/>
        <v>0</v>
      </c>
      <c r="GE248" s="3">
        <f t="shared" si="222"/>
        <v>0</v>
      </c>
      <c r="GF248" s="3">
        <f t="shared" si="222"/>
        <v>0</v>
      </c>
      <c r="GG248" s="3">
        <f t="shared" si="222"/>
        <v>0</v>
      </c>
      <c r="GH248" s="3">
        <f t="shared" si="222"/>
        <v>0</v>
      </c>
      <c r="GI248" s="3">
        <f t="shared" si="222"/>
        <v>0</v>
      </c>
      <c r="GJ248" s="3">
        <f t="shared" si="222"/>
        <v>0</v>
      </c>
      <c r="GK248" s="3">
        <f t="shared" si="222"/>
        <v>0</v>
      </c>
      <c r="GL248" s="3">
        <f t="shared" si="222"/>
        <v>0</v>
      </c>
      <c r="GM248" s="3">
        <f t="shared" si="222"/>
        <v>0</v>
      </c>
      <c r="GN248" s="3">
        <f t="shared" si="222"/>
        <v>0</v>
      </c>
      <c r="GO248" s="3">
        <f t="shared" si="222"/>
        <v>0</v>
      </c>
      <c r="GP248" s="3">
        <f t="shared" si="222"/>
        <v>0</v>
      </c>
      <c r="GQ248" s="3">
        <f t="shared" si="222"/>
        <v>0</v>
      </c>
      <c r="GR248" s="3">
        <f t="shared" si="222"/>
        <v>0</v>
      </c>
      <c r="GS248" s="3">
        <f t="shared" si="222"/>
        <v>0</v>
      </c>
      <c r="GT248" s="3">
        <f t="shared" si="222"/>
        <v>0</v>
      </c>
      <c r="GU248" s="3">
        <f t="shared" si="222"/>
        <v>0</v>
      </c>
      <c r="GV248" s="3">
        <f t="shared" si="222"/>
        <v>0</v>
      </c>
      <c r="GW248" s="3">
        <f t="shared" si="222"/>
        <v>0</v>
      </c>
      <c r="GX248" s="3">
        <f t="shared" si="222"/>
        <v>0</v>
      </c>
    </row>
    <row r="250" spans="1:245" x14ac:dyDescent="0.2">
      <c r="A250">
        <v>17</v>
      </c>
      <c r="B250">
        <v>1</v>
      </c>
      <c r="C250">
        <f>ROW(SmtRes!A242)</f>
        <v>242</v>
      </c>
      <c r="D250">
        <f>ROW(EtalonRes!A212)</f>
        <v>212</v>
      </c>
      <c r="E250" t="s">
        <v>262</v>
      </c>
      <c r="F250" t="s">
        <v>263</v>
      </c>
      <c r="G250" t="s">
        <v>264</v>
      </c>
      <c r="H250" t="s">
        <v>65</v>
      </c>
      <c r="I250">
        <v>7.68</v>
      </c>
      <c r="J250">
        <v>0</v>
      </c>
      <c r="O250">
        <f>ROUND(CP250,2)</f>
        <v>616.32000000000005</v>
      </c>
      <c r="P250">
        <f>ROUND(CQ250*I250,2)</f>
        <v>0</v>
      </c>
      <c r="Q250">
        <f>ROUND(CR250*I250,2)</f>
        <v>616.32000000000005</v>
      </c>
      <c r="R250">
        <f>ROUND(CS250*I250,2)</f>
        <v>198.45</v>
      </c>
      <c r="S250">
        <f>ROUND(CT250*I250,2)</f>
        <v>0</v>
      </c>
      <c r="T250">
        <f>ROUND(CU250*I250,2)</f>
        <v>0</v>
      </c>
      <c r="U250">
        <f>CV250*I250</f>
        <v>0</v>
      </c>
      <c r="V250">
        <f>CW250*I250</f>
        <v>0</v>
      </c>
      <c r="W250">
        <f>ROUND(CX250*I250,2)</f>
        <v>0</v>
      </c>
      <c r="X250">
        <f t="shared" ref="X250:Y252" si="223">ROUND(CY250,2)</f>
        <v>0</v>
      </c>
      <c r="Y250">
        <f t="shared" si="223"/>
        <v>0</v>
      </c>
      <c r="AA250">
        <v>46561299</v>
      </c>
      <c r="AB250">
        <f>ROUND((AC250+AD250+AF250),6)</f>
        <v>80.25</v>
      </c>
      <c r="AC250">
        <f>ROUND((ES250),6)</f>
        <v>0</v>
      </c>
      <c r="AD250">
        <f>ROUND((((ET250)-(EU250))+AE250),6)</f>
        <v>80.25</v>
      </c>
      <c r="AE250">
        <f>ROUND((EU250),6)</f>
        <v>25.84</v>
      </c>
      <c r="AF250">
        <f>ROUND((EV250),6)</f>
        <v>0</v>
      </c>
      <c r="AG250">
        <f>ROUND((AP250),6)</f>
        <v>0</v>
      </c>
      <c r="AH250">
        <f>(EW250)</f>
        <v>0</v>
      </c>
      <c r="AI250">
        <f>(EX250)</f>
        <v>0</v>
      </c>
      <c r="AJ250">
        <f>(AS250)</f>
        <v>0</v>
      </c>
      <c r="AK250">
        <v>80.25</v>
      </c>
      <c r="AL250">
        <v>0</v>
      </c>
      <c r="AM250">
        <v>80.25</v>
      </c>
      <c r="AN250">
        <v>25.84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70</v>
      </c>
      <c r="AU250">
        <v>10</v>
      </c>
      <c r="AV250">
        <v>1</v>
      </c>
      <c r="AW250">
        <v>1</v>
      </c>
      <c r="AZ250">
        <v>1</v>
      </c>
      <c r="BA250">
        <v>1</v>
      </c>
      <c r="BB250">
        <v>1</v>
      </c>
      <c r="BC250">
        <v>1</v>
      </c>
      <c r="BD250" t="s">
        <v>3</v>
      </c>
      <c r="BE250" t="s">
        <v>3</v>
      </c>
      <c r="BF250" t="s">
        <v>3</v>
      </c>
      <c r="BG250" t="s">
        <v>3</v>
      </c>
      <c r="BH250">
        <v>0</v>
      </c>
      <c r="BI250">
        <v>4</v>
      </c>
      <c r="BJ250" t="s">
        <v>265</v>
      </c>
      <c r="BM250">
        <v>0</v>
      </c>
      <c r="BN250">
        <v>0</v>
      </c>
      <c r="BO250" t="s">
        <v>3</v>
      </c>
      <c r="BP250">
        <v>0</v>
      </c>
      <c r="BQ250">
        <v>1</v>
      </c>
      <c r="BR250">
        <v>0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 t="s">
        <v>3</v>
      </c>
      <c r="BZ250">
        <v>70</v>
      </c>
      <c r="CA250">
        <v>10</v>
      </c>
      <c r="CE250">
        <v>0</v>
      </c>
      <c r="CF250">
        <v>0</v>
      </c>
      <c r="CG250">
        <v>0</v>
      </c>
      <c r="CM250">
        <v>0</v>
      </c>
      <c r="CN250" t="s">
        <v>3</v>
      </c>
      <c r="CO250">
        <v>0</v>
      </c>
      <c r="CP250">
        <f>(P250+Q250+S250)</f>
        <v>616.32000000000005</v>
      </c>
      <c r="CQ250">
        <f>(AC250*BC250*AW250)</f>
        <v>0</v>
      </c>
      <c r="CR250">
        <f>((((ET250)*BB250-(EU250)*BS250)+AE250*BS250)*AV250)</f>
        <v>80.25</v>
      </c>
      <c r="CS250">
        <f>(AE250*BS250*AV250)</f>
        <v>25.84</v>
      </c>
      <c r="CT250">
        <f>(AF250*BA250*AV250)</f>
        <v>0</v>
      </c>
      <c r="CU250">
        <f>AG250</f>
        <v>0</v>
      </c>
      <c r="CV250">
        <f>(AH250*AV250)</f>
        <v>0</v>
      </c>
      <c r="CW250">
        <f t="shared" ref="CW250:CX252" si="224">AI250</f>
        <v>0</v>
      </c>
      <c r="CX250">
        <f t="shared" si="224"/>
        <v>0</v>
      </c>
      <c r="CY250">
        <f>((S250*BZ250)/100)</f>
        <v>0</v>
      </c>
      <c r="CZ250">
        <f>((S250*CA250)/100)</f>
        <v>0</v>
      </c>
      <c r="DC250" t="s">
        <v>3</v>
      </c>
      <c r="DD250" t="s">
        <v>3</v>
      </c>
      <c r="DE250" t="s">
        <v>3</v>
      </c>
      <c r="DF250" t="s">
        <v>3</v>
      </c>
      <c r="DG250" t="s">
        <v>3</v>
      </c>
      <c r="DH250" t="s">
        <v>3</v>
      </c>
      <c r="DI250" t="s">
        <v>3</v>
      </c>
      <c r="DJ250" t="s">
        <v>3</v>
      </c>
      <c r="DK250" t="s">
        <v>3</v>
      </c>
      <c r="DL250" t="s">
        <v>3</v>
      </c>
      <c r="DM250" t="s">
        <v>3</v>
      </c>
      <c r="DN250">
        <v>0</v>
      </c>
      <c r="DO250">
        <v>0</v>
      </c>
      <c r="DP250">
        <v>1</v>
      </c>
      <c r="DQ250">
        <v>1</v>
      </c>
      <c r="DU250">
        <v>1009</v>
      </c>
      <c r="DV250" t="s">
        <v>65</v>
      </c>
      <c r="DW250" t="s">
        <v>65</v>
      </c>
      <c r="DX250">
        <v>1000</v>
      </c>
      <c r="EE250">
        <v>46035301</v>
      </c>
      <c r="EF250">
        <v>1</v>
      </c>
      <c r="EG250" t="s">
        <v>19</v>
      </c>
      <c r="EH250">
        <v>0</v>
      </c>
      <c r="EI250" t="s">
        <v>3</v>
      </c>
      <c r="EJ250">
        <v>4</v>
      </c>
      <c r="EK250">
        <v>0</v>
      </c>
      <c r="EL250" t="s">
        <v>20</v>
      </c>
      <c r="EM250" t="s">
        <v>21</v>
      </c>
      <c r="EO250" t="s">
        <v>3</v>
      </c>
      <c r="EQ250">
        <v>0</v>
      </c>
      <c r="ER250">
        <v>80.25</v>
      </c>
      <c r="ES250">
        <v>0</v>
      </c>
      <c r="ET250">
        <v>80.25</v>
      </c>
      <c r="EU250">
        <v>25.84</v>
      </c>
      <c r="EV250">
        <v>0</v>
      </c>
      <c r="EW250">
        <v>0</v>
      </c>
      <c r="EX250">
        <v>0</v>
      </c>
      <c r="EY250">
        <v>0</v>
      </c>
      <c r="FQ250">
        <v>0</v>
      </c>
      <c r="FR250">
        <f>ROUND(IF(AND(BH250=3,BI250=3),P250,0),2)</f>
        <v>0</v>
      </c>
      <c r="FS250">
        <v>0</v>
      </c>
      <c r="FX250">
        <v>70</v>
      </c>
      <c r="FY250">
        <v>10</v>
      </c>
      <c r="GA250" t="s">
        <v>3</v>
      </c>
      <c r="GD250">
        <v>0</v>
      </c>
      <c r="GF250">
        <v>-1509618952</v>
      </c>
      <c r="GG250">
        <v>2</v>
      </c>
      <c r="GH250">
        <v>1</v>
      </c>
      <c r="GI250">
        <v>-2</v>
      </c>
      <c r="GJ250">
        <v>0</v>
      </c>
      <c r="GK250">
        <f>ROUND(R250*(R12)/100,2)</f>
        <v>214.33</v>
      </c>
      <c r="GL250">
        <f>ROUND(IF(AND(BH250=3,BI250=3,FS250&lt;&gt;0),P250,0),2)</f>
        <v>0</v>
      </c>
      <c r="GM250">
        <f>ROUND(O250+X250+Y250+GK250,2)+GX250</f>
        <v>830.65</v>
      </c>
      <c r="GN250">
        <f>IF(OR(BI250=0,BI250=1),ROUND(O250+X250+Y250+GK250,2),0)</f>
        <v>0</v>
      </c>
      <c r="GO250">
        <f>IF(BI250=2,ROUND(O250+X250+Y250+GK250,2),0)</f>
        <v>0</v>
      </c>
      <c r="GP250">
        <f>IF(BI250=4,ROUND(O250+X250+Y250+GK250,2)+GX250,0)</f>
        <v>830.65</v>
      </c>
      <c r="GR250">
        <v>0</v>
      </c>
      <c r="GS250">
        <v>3</v>
      </c>
      <c r="GT250">
        <v>0</v>
      </c>
      <c r="GU250" t="s">
        <v>3</v>
      </c>
      <c r="GV250">
        <f>ROUND((GT250),6)</f>
        <v>0</v>
      </c>
      <c r="GW250">
        <v>1</v>
      </c>
      <c r="GX250">
        <f>ROUND(HC250*I250,2)</f>
        <v>0</v>
      </c>
      <c r="HA250">
        <v>0</v>
      </c>
      <c r="HB250">
        <v>0</v>
      </c>
      <c r="HC250">
        <f>GV250*GW250</f>
        <v>0</v>
      </c>
      <c r="IK250">
        <v>0</v>
      </c>
    </row>
    <row r="251" spans="1:245" x14ac:dyDescent="0.2">
      <c r="A251">
        <v>17</v>
      </c>
      <c r="B251">
        <v>1</v>
      </c>
      <c r="C251">
        <f>ROW(SmtRes!A244)</f>
        <v>244</v>
      </c>
      <c r="D251">
        <f>ROW(EtalonRes!A214)</f>
        <v>214</v>
      </c>
      <c r="E251" t="s">
        <v>266</v>
      </c>
      <c r="F251" t="s">
        <v>267</v>
      </c>
      <c r="G251" t="s">
        <v>268</v>
      </c>
      <c r="H251" t="s">
        <v>65</v>
      </c>
      <c r="I251">
        <f>ROUND(I250,9)</f>
        <v>7.68</v>
      </c>
      <c r="J251">
        <v>0</v>
      </c>
      <c r="O251">
        <f>ROUND(CP251,2)</f>
        <v>444.13</v>
      </c>
      <c r="P251">
        <f>ROUND(CQ251*I251,2)</f>
        <v>0</v>
      </c>
      <c r="Q251">
        <f>ROUND(CR251*I251,2)</f>
        <v>444.13</v>
      </c>
      <c r="R251">
        <f>ROUND(CS251*I251,2)</f>
        <v>241.46</v>
      </c>
      <c r="S251">
        <f>ROUND(CT251*I251,2)</f>
        <v>0</v>
      </c>
      <c r="T251">
        <f>ROUND(CU251*I251,2)</f>
        <v>0</v>
      </c>
      <c r="U251">
        <f>CV251*I251</f>
        <v>0</v>
      </c>
      <c r="V251">
        <f>CW251*I251</f>
        <v>0</v>
      </c>
      <c r="W251">
        <f>ROUND(CX251*I251,2)</f>
        <v>0</v>
      </c>
      <c r="X251">
        <f t="shared" si="223"/>
        <v>0</v>
      </c>
      <c r="Y251">
        <f t="shared" si="223"/>
        <v>0</v>
      </c>
      <c r="AA251">
        <v>46561299</v>
      </c>
      <c r="AB251">
        <f>ROUND((AC251+AD251+AF251),6)</f>
        <v>57.83</v>
      </c>
      <c r="AC251">
        <f>ROUND((ES251),6)</f>
        <v>0</v>
      </c>
      <c r="AD251">
        <f>ROUND((((ET251)-(EU251))+AE251),6)</f>
        <v>57.83</v>
      </c>
      <c r="AE251">
        <f>ROUND((EU251),6)</f>
        <v>31.44</v>
      </c>
      <c r="AF251">
        <f>ROUND((EV251),6)</f>
        <v>0</v>
      </c>
      <c r="AG251">
        <f>ROUND((AP251),6)</f>
        <v>0</v>
      </c>
      <c r="AH251">
        <f>(EW251)</f>
        <v>0</v>
      </c>
      <c r="AI251">
        <f>(EX251)</f>
        <v>0</v>
      </c>
      <c r="AJ251">
        <f>(AS251)</f>
        <v>0</v>
      </c>
      <c r="AK251">
        <v>57.83</v>
      </c>
      <c r="AL251">
        <v>0</v>
      </c>
      <c r="AM251">
        <v>57.83</v>
      </c>
      <c r="AN251">
        <v>31.44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1</v>
      </c>
      <c r="AZ251">
        <v>1</v>
      </c>
      <c r="BA251">
        <v>1</v>
      </c>
      <c r="BB251">
        <v>1</v>
      </c>
      <c r="BC251">
        <v>1</v>
      </c>
      <c r="BD251" t="s">
        <v>3</v>
      </c>
      <c r="BE251" t="s">
        <v>3</v>
      </c>
      <c r="BF251" t="s">
        <v>3</v>
      </c>
      <c r="BG251" t="s">
        <v>3</v>
      </c>
      <c r="BH251">
        <v>0</v>
      </c>
      <c r="BI251">
        <v>4</v>
      </c>
      <c r="BJ251" t="s">
        <v>269</v>
      </c>
      <c r="BM251">
        <v>1</v>
      </c>
      <c r="BN251">
        <v>0</v>
      </c>
      <c r="BO251" t="s">
        <v>3</v>
      </c>
      <c r="BP251">
        <v>0</v>
      </c>
      <c r="BQ251">
        <v>1</v>
      </c>
      <c r="BR251">
        <v>0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 t="s">
        <v>3</v>
      </c>
      <c r="BZ251">
        <v>0</v>
      </c>
      <c r="CA251">
        <v>0</v>
      </c>
      <c r="CE251">
        <v>0</v>
      </c>
      <c r="CF251">
        <v>0</v>
      </c>
      <c r="CG251">
        <v>0</v>
      </c>
      <c r="CM251">
        <v>0</v>
      </c>
      <c r="CN251" t="s">
        <v>3</v>
      </c>
      <c r="CO251">
        <v>0</v>
      </c>
      <c r="CP251">
        <f>(P251+Q251+S251)</f>
        <v>444.13</v>
      </c>
      <c r="CQ251">
        <f>(AC251*BC251*AW251)</f>
        <v>0</v>
      </c>
      <c r="CR251">
        <f>((((ET251)*BB251-(EU251)*BS251)+AE251*BS251)*AV251)</f>
        <v>57.83</v>
      </c>
      <c r="CS251">
        <f>(AE251*BS251*AV251)</f>
        <v>31.44</v>
      </c>
      <c r="CT251">
        <f>(AF251*BA251*AV251)</f>
        <v>0</v>
      </c>
      <c r="CU251">
        <f>AG251</f>
        <v>0</v>
      </c>
      <c r="CV251">
        <f>(AH251*AV251)</f>
        <v>0</v>
      </c>
      <c r="CW251">
        <f t="shared" si="224"/>
        <v>0</v>
      </c>
      <c r="CX251">
        <f t="shared" si="224"/>
        <v>0</v>
      </c>
      <c r="CY251">
        <f>((S251*BZ251)/100)</f>
        <v>0</v>
      </c>
      <c r="CZ251">
        <f>((S251*CA251)/100)</f>
        <v>0</v>
      </c>
      <c r="DC251" t="s">
        <v>3</v>
      </c>
      <c r="DD251" t="s">
        <v>3</v>
      </c>
      <c r="DE251" t="s">
        <v>3</v>
      </c>
      <c r="DF251" t="s">
        <v>3</v>
      </c>
      <c r="DG251" t="s">
        <v>3</v>
      </c>
      <c r="DH251" t="s">
        <v>3</v>
      </c>
      <c r="DI251" t="s">
        <v>3</v>
      </c>
      <c r="DJ251" t="s">
        <v>3</v>
      </c>
      <c r="DK251" t="s">
        <v>3</v>
      </c>
      <c r="DL251" t="s">
        <v>3</v>
      </c>
      <c r="DM251" t="s">
        <v>3</v>
      </c>
      <c r="DN251">
        <v>0</v>
      </c>
      <c r="DO251">
        <v>0</v>
      </c>
      <c r="DP251">
        <v>1</v>
      </c>
      <c r="DQ251">
        <v>1</v>
      </c>
      <c r="DU251">
        <v>1009</v>
      </c>
      <c r="DV251" t="s">
        <v>65</v>
      </c>
      <c r="DW251" t="s">
        <v>65</v>
      </c>
      <c r="DX251">
        <v>1000</v>
      </c>
      <c r="EE251">
        <v>46035303</v>
      </c>
      <c r="EF251">
        <v>1</v>
      </c>
      <c r="EG251" t="s">
        <v>19</v>
      </c>
      <c r="EH251">
        <v>0</v>
      </c>
      <c r="EI251" t="s">
        <v>3</v>
      </c>
      <c r="EJ251">
        <v>4</v>
      </c>
      <c r="EK251">
        <v>1</v>
      </c>
      <c r="EL251" t="s">
        <v>31</v>
      </c>
      <c r="EM251" t="s">
        <v>21</v>
      </c>
      <c r="EO251" t="s">
        <v>3</v>
      </c>
      <c r="EQ251">
        <v>0</v>
      </c>
      <c r="ER251">
        <v>57.83</v>
      </c>
      <c r="ES251">
        <v>0</v>
      </c>
      <c r="ET251">
        <v>57.83</v>
      </c>
      <c r="EU251">
        <v>31.44</v>
      </c>
      <c r="EV251">
        <v>0</v>
      </c>
      <c r="EW251">
        <v>0</v>
      </c>
      <c r="EX251">
        <v>0</v>
      </c>
      <c r="EY251">
        <v>0</v>
      </c>
      <c r="FQ251">
        <v>0</v>
      </c>
      <c r="FR251">
        <f>ROUND(IF(AND(BH251=3,BI251=3),P251,0),2)</f>
        <v>0</v>
      </c>
      <c r="FS251">
        <v>0</v>
      </c>
      <c r="FX251">
        <v>0</v>
      </c>
      <c r="FY251">
        <v>0</v>
      </c>
      <c r="GA251" t="s">
        <v>3</v>
      </c>
      <c r="GD251">
        <v>1</v>
      </c>
      <c r="GF251">
        <v>-1811976095</v>
      </c>
      <c r="GG251">
        <v>2</v>
      </c>
      <c r="GH251">
        <v>1</v>
      </c>
      <c r="GI251">
        <v>-2</v>
      </c>
      <c r="GJ251">
        <v>0</v>
      </c>
      <c r="GK251">
        <v>0</v>
      </c>
      <c r="GL251">
        <f>ROUND(IF(AND(BH251=3,BI251=3,FS251&lt;&gt;0),P251,0),2)</f>
        <v>0</v>
      </c>
      <c r="GM251">
        <f>ROUND(O251+X251+Y251,2)+GX251</f>
        <v>444.13</v>
      </c>
      <c r="GN251">
        <f>IF(OR(BI251=0,BI251=1),ROUND(O251+X251+Y251,2),0)</f>
        <v>0</v>
      </c>
      <c r="GO251">
        <f>IF(BI251=2,ROUND(O251+X251+Y251,2),0)</f>
        <v>0</v>
      </c>
      <c r="GP251">
        <f>IF(BI251=4,ROUND(O251+X251+Y251,2)+GX251,0)</f>
        <v>444.13</v>
      </c>
      <c r="GR251">
        <v>0</v>
      </c>
      <c r="GS251">
        <v>3</v>
      </c>
      <c r="GT251">
        <v>0</v>
      </c>
      <c r="GU251" t="s">
        <v>3</v>
      </c>
      <c r="GV251">
        <f>ROUND((GT251),6)</f>
        <v>0</v>
      </c>
      <c r="GW251">
        <v>1</v>
      </c>
      <c r="GX251">
        <f>ROUND(HC251*I251,2)</f>
        <v>0</v>
      </c>
      <c r="HA251">
        <v>0</v>
      </c>
      <c r="HB251">
        <v>0</v>
      </c>
      <c r="HC251">
        <f>GV251*GW251</f>
        <v>0</v>
      </c>
      <c r="IK251">
        <v>0</v>
      </c>
    </row>
    <row r="252" spans="1:245" x14ac:dyDescent="0.2">
      <c r="A252">
        <v>17</v>
      </c>
      <c r="B252">
        <v>1</v>
      </c>
      <c r="C252">
        <f>ROW(SmtRes!A246)</f>
        <v>246</v>
      </c>
      <c r="D252">
        <f>ROW(EtalonRes!A216)</f>
        <v>216</v>
      </c>
      <c r="E252" t="s">
        <v>270</v>
      </c>
      <c r="F252" t="s">
        <v>271</v>
      </c>
      <c r="G252" t="s">
        <v>272</v>
      </c>
      <c r="H252" t="s">
        <v>65</v>
      </c>
      <c r="I252">
        <f>ROUND(I250,9)</f>
        <v>7.68</v>
      </c>
      <c r="J252">
        <v>0</v>
      </c>
      <c r="O252">
        <f>ROUND(CP252,2)</f>
        <v>6731.37</v>
      </c>
      <c r="P252">
        <f>ROUND(CQ252*I252,2)</f>
        <v>0</v>
      </c>
      <c r="Q252">
        <f>ROUND(CR252*I252,2)</f>
        <v>6731.37</v>
      </c>
      <c r="R252">
        <f>ROUND(CS252*I252,2)</f>
        <v>3659.37</v>
      </c>
      <c r="S252">
        <f>ROUND(CT252*I252,2)</f>
        <v>0</v>
      </c>
      <c r="T252">
        <f>ROUND(CU252*I252,2)</f>
        <v>0</v>
      </c>
      <c r="U252">
        <f>CV252*I252</f>
        <v>0</v>
      </c>
      <c r="V252">
        <f>CW252*I252</f>
        <v>0</v>
      </c>
      <c r="W252">
        <f>ROUND(CX252*I252,2)</f>
        <v>0</v>
      </c>
      <c r="X252">
        <f t="shared" si="223"/>
        <v>0</v>
      </c>
      <c r="Y252">
        <f t="shared" si="223"/>
        <v>0</v>
      </c>
      <c r="AA252">
        <v>46561299</v>
      </c>
      <c r="AB252">
        <f>ROUND((AC252+AD252+AF252),6)</f>
        <v>876.48</v>
      </c>
      <c r="AC252">
        <f>ROUND(((ES252*32)),6)</f>
        <v>0</v>
      </c>
      <c r="AD252">
        <f>ROUND(((((ET252*32))-((EU252*32)))+AE252),6)</f>
        <v>876.48</v>
      </c>
      <c r="AE252">
        <f>ROUND(((EU252*32)),6)</f>
        <v>476.48</v>
      </c>
      <c r="AF252">
        <f>ROUND(((EV252*32)),6)</f>
        <v>0</v>
      </c>
      <c r="AG252">
        <f>ROUND((AP252),6)</f>
        <v>0</v>
      </c>
      <c r="AH252">
        <f>((EW252*32))</f>
        <v>0</v>
      </c>
      <c r="AI252">
        <f>((EX252*32))</f>
        <v>0</v>
      </c>
      <c r="AJ252">
        <f>(AS252)</f>
        <v>0</v>
      </c>
      <c r="AK252">
        <v>27.39</v>
      </c>
      <c r="AL252">
        <v>0</v>
      </c>
      <c r="AM252">
        <v>27.39</v>
      </c>
      <c r="AN252">
        <v>14.89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Z252">
        <v>1</v>
      </c>
      <c r="BA252">
        <v>1</v>
      </c>
      <c r="BB252">
        <v>1</v>
      </c>
      <c r="BC252">
        <v>1</v>
      </c>
      <c r="BD252" t="s">
        <v>3</v>
      </c>
      <c r="BE252" t="s">
        <v>3</v>
      </c>
      <c r="BF252" t="s">
        <v>3</v>
      </c>
      <c r="BG252" t="s">
        <v>3</v>
      </c>
      <c r="BH252">
        <v>0</v>
      </c>
      <c r="BI252">
        <v>4</v>
      </c>
      <c r="BJ252" t="s">
        <v>273</v>
      </c>
      <c r="BM252">
        <v>1</v>
      </c>
      <c r="BN252">
        <v>0</v>
      </c>
      <c r="BO252" t="s">
        <v>3</v>
      </c>
      <c r="BP252">
        <v>0</v>
      </c>
      <c r="BQ252">
        <v>1</v>
      </c>
      <c r="BR252">
        <v>0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t="s">
        <v>3</v>
      </c>
      <c r="BZ252">
        <v>0</v>
      </c>
      <c r="CA252">
        <v>0</v>
      </c>
      <c r="CE252">
        <v>0</v>
      </c>
      <c r="CF252">
        <v>0</v>
      </c>
      <c r="CG252">
        <v>0</v>
      </c>
      <c r="CM252">
        <v>0</v>
      </c>
      <c r="CN252" t="s">
        <v>3</v>
      </c>
      <c r="CO252">
        <v>0</v>
      </c>
      <c r="CP252">
        <f>(P252+Q252+S252)</f>
        <v>6731.37</v>
      </c>
      <c r="CQ252">
        <f>(AC252*BC252*AW252)</f>
        <v>0</v>
      </c>
      <c r="CR252">
        <f>(((((ET252*32))*BB252-((EU252*32))*BS252)+AE252*BS252)*AV252)</f>
        <v>876.48</v>
      </c>
      <c r="CS252">
        <f>(AE252*BS252*AV252)</f>
        <v>476.48</v>
      </c>
      <c r="CT252">
        <f>(AF252*BA252*AV252)</f>
        <v>0</v>
      </c>
      <c r="CU252">
        <f>AG252</f>
        <v>0</v>
      </c>
      <c r="CV252">
        <f>(AH252*AV252)</f>
        <v>0</v>
      </c>
      <c r="CW252">
        <f t="shared" si="224"/>
        <v>0</v>
      </c>
      <c r="CX252">
        <f t="shared" si="224"/>
        <v>0</v>
      </c>
      <c r="CY252">
        <f>((S252*BZ252)/100)</f>
        <v>0</v>
      </c>
      <c r="CZ252">
        <f>((S252*CA252)/100)</f>
        <v>0</v>
      </c>
      <c r="DC252" t="s">
        <v>3</v>
      </c>
      <c r="DD252" t="s">
        <v>274</v>
      </c>
      <c r="DE252" t="s">
        <v>274</v>
      </c>
      <c r="DF252" t="s">
        <v>274</v>
      </c>
      <c r="DG252" t="s">
        <v>274</v>
      </c>
      <c r="DH252" t="s">
        <v>3</v>
      </c>
      <c r="DI252" t="s">
        <v>274</v>
      </c>
      <c r="DJ252" t="s">
        <v>274</v>
      </c>
      <c r="DK252" t="s">
        <v>3</v>
      </c>
      <c r="DL252" t="s">
        <v>3</v>
      </c>
      <c r="DM252" t="s">
        <v>3</v>
      </c>
      <c r="DN252">
        <v>0</v>
      </c>
      <c r="DO252">
        <v>0</v>
      </c>
      <c r="DP252">
        <v>1</v>
      </c>
      <c r="DQ252">
        <v>1</v>
      </c>
      <c r="DU252">
        <v>1009</v>
      </c>
      <c r="DV252" t="s">
        <v>65</v>
      </c>
      <c r="DW252" t="s">
        <v>65</v>
      </c>
      <c r="DX252">
        <v>1000</v>
      </c>
      <c r="EE252">
        <v>46035303</v>
      </c>
      <c r="EF252">
        <v>1</v>
      </c>
      <c r="EG252" t="s">
        <v>19</v>
      </c>
      <c r="EH252">
        <v>0</v>
      </c>
      <c r="EI252" t="s">
        <v>3</v>
      </c>
      <c r="EJ252">
        <v>4</v>
      </c>
      <c r="EK252">
        <v>1</v>
      </c>
      <c r="EL252" t="s">
        <v>31</v>
      </c>
      <c r="EM252" t="s">
        <v>21</v>
      </c>
      <c r="EO252" t="s">
        <v>3</v>
      </c>
      <c r="EQ252">
        <v>0</v>
      </c>
      <c r="ER252">
        <v>27.39</v>
      </c>
      <c r="ES252">
        <v>0</v>
      </c>
      <c r="ET252">
        <v>27.39</v>
      </c>
      <c r="EU252">
        <v>14.89</v>
      </c>
      <c r="EV252">
        <v>0</v>
      </c>
      <c r="EW252">
        <v>0</v>
      </c>
      <c r="EX252">
        <v>0</v>
      </c>
      <c r="EY252">
        <v>0</v>
      </c>
      <c r="FQ252">
        <v>0</v>
      </c>
      <c r="FR252">
        <f>ROUND(IF(AND(BH252=3,BI252=3),P252,0),2)</f>
        <v>0</v>
      </c>
      <c r="FS252">
        <v>0</v>
      </c>
      <c r="FX252">
        <v>0</v>
      </c>
      <c r="FY252">
        <v>0</v>
      </c>
      <c r="GA252" t="s">
        <v>3</v>
      </c>
      <c r="GD252">
        <v>1</v>
      </c>
      <c r="GF252">
        <v>-832121522</v>
      </c>
      <c r="GG252">
        <v>2</v>
      </c>
      <c r="GH252">
        <v>1</v>
      </c>
      <c r="GI252">
        <v>-2</v>
      </c>
      <c r="GJ252">
        <v>0</v>
      </c>
      <c r="GK252">
        <v>0</v>
      </c>
      <c r="GL252">
        <f>ROUND(IF(AND(BH252=3,BI252=3,FS252&lt;&gt;0),P252,0),2)</f>
        <v>0</v>
      </c>
      <c r="GM252">
        <f>ROUND(O252+X252+Y252,2)+GX252</f>
        <v>6731.37</v>
      </c>
      <c r="GN252">
        <f>IF(OR(BI252=0,BI252=1),ROUND(O252+X252+Y252,2),0)</f>
        <v>0</v>
      </c>
      <c r="GO252">
        <f>IF(BI252=2,ROUND(O252+X252+Y252,2),0)</f>
        <v>0</v>
      </c>
      <c r="GP252">
        <f>IF(BI252=4,ROUND(O252+X252+Y252,2)+GX252,0)</f>
        <v>6731.37</v>
      </c>
      <c r="GR252">
        <v>0</v>
      </c>
      <c r="GS252">
        <v>3</v>
      </c>
      <c r="GT252">
        <v>0</v>
      </c>
      <c r="GU252" t="s">
        <v>3</v>
      </c>
      <c r="GV252">
        <f>ROUND((GT252),6)</f>
        <v>0</v>
      </c>
      <c r="GW252">
        <v>1</v>
      </c>
      <c r="GX252">
        <f>ROUND(HC252*I252,2)</f>
        <v>0</v>
      </c>
      <c r="HA252">
        <v>0</v>
      </c>
      <c r="HB252">
        <v>0</v>
      </c>
      <c r="HC252">
        <f>GV252*GW252</f>
        <v>0</v>
      </c>
      <c r="IK252">
        <v>0</v>
      </c>
    </row>
    <row r="254" spans="1:245" x14ac:dyDescent="0.2">
      <c r="A254" s="2">
        <v>51</v>
      </c>
      <c r="B254" s="2">
        <f>B246</f>
        <v>1</v>
      </c>
      <c r="C254" s="2">
        <f>A246</f>
        <v>4</v>
      </c>
      <c r="D254" s="2">
        <f>ROW(A246)</f>
        <v>246</v>
      </c>
      <c r="E254" s="2"/>
      <c r="F254" s="2" t="str">
        <f>IF(F246&lt;&gt;"",F246,"")</f>
        <v>Новый раздел</v>
      </c>
      <c r="G254" s="2" t="str">
        <f>IF(G246&lt;&gt;"",G246,"")</f>
        <v>Прочие затраты</v>
      </c>
      <c r="H254" s="2">
        <v>0</v>
      </c>
      <c r="I254" s="2"/>
      <c r="J254" s="2"/>
      <c r="K254" s="2"/>
      <c r="L254" s="2"/>
      <c r="M254" s="2"/>
      <c r="N254" s="2"/>
      <c r="O254" s="2">
        <f t="shared" ref="O254:T254" si="225">ROUND(AB254,2)</f>
        <v>7791.82</v>
      </c>
      <c r="P254" s="2">
        <f t="shared" si="225"/>
        <v>0</v>
      </c>
      <c r="Q254" s="2">
        <f t="shared" si="225"/>
        <v>7791.82</v>
      </c>
      <c r="R254" s="2">
        <f t="shared" si="225"/>
        <v>4099.28</v>
      </c>
      <c r="S254" s="2">
        <f t="shared" si="225"/>
        <v>0</v>
      </c>
      <c r="T254" s="2">
        <f t="shared" si="225"/>
        <v>0</v>
      </c>
      <c r="U254" s="2">
        <f>AH254</f>
        <v>0</v>
      </c>
      <c r="V254" s="2">
        <f>AI254</f>
        <v>0</v>
      </c>
      <c r="W254" s="2">
        <f>ROUND(AJ254,2)</f>
        <v>0</v>
      </c>
      <c r="X254" s="2">
        <f>ROUND(AK254,2)</f>
        <v>0</v>
      </c>
      <c r="Y254" s="2">
        <f>ROUND(AL254,2)</f>
        <v>0</v>
      </c>
      <c r="Z254" s="2"/>
      <c r="AA254" s="2"/>
      <c r="AB254" s="2">
        <f>ROUND(SUMIF(AA250:AA252,"=46561299",O250:O252),2)</f>
        <v>7791.82</v>
      </c>
      <c r="AC254" s="2">
        <f>ROUND(SUMIF(AA250:AA252,"=46561299",P250:P252),2)</f>
        <v>0</v>
      </c>
      <c r="AD254" s="2">
        <f>ROUND(SUMIF(AA250:AA252,"=46561299",Q250:Q252),2)</f>
        <v>7791.82</v>
      </c>
      <c r="AE254" s="2">
        <f>ROUND(SUMIF(AA250:AA252,"=46561299",R250:R252),2)</f>
        <v>4099.28</v>
      </c>
      <c r="AF254" s="2">
        <f>ROUND(SUMIF(AA250:AA252,"=46561299",S250:S252),2)</f>
        <v>0</v>
      </c>
      <c r="AG254" s="2">
        <f>ROUND(SUMIF(AA250:AA252,"=46561299",T250:T252),2)</f>
        <v>0</v>
      </c>
      <c r="AH254" s="2">
        <f>SUMIF(AA250:AA252,"=46561299",U250:U252)</f>
        <v>0</v>
      </c>
      <c r="AI254" s="2">
        <f>SUMIF(AA250:AA252,"=46561299",V250:V252)</f>
        <v>0</v>
      </c>
      <c r="AJ254" s="2">
        <f>ROUND(SUMIF(AA250:AA252,"=46561299",W250:W252),2)</f>
        <v>0</v>
      </c>
      <c r="AK254" s="2">
        <f>ROUND(SUMIF(AA250:AA252,"=46561299",X250:X252),2)</f>
        <v>0</v>
      </c>
      <c r="AL254" s="2">
        <f>ROUND(SUMIF(AA250:AA252,"=46561299",Y250:Y252),2)</f>
        <v>0</v>
      </c>
      <c r="AM254" s="2"/>
      <c r="AN254" s="2"/>
      <c r="AO254" s="2">
        <f t="shared" ref="AO254:BC254" si="226">ROUND(BX254,2)</f>
        <v>0</v>
      </c>
      <c r="AP254" s="2">
        <f t="shared" si="226"/>
        <v>0</v>
      </c>
      <c r="AQ254" s="2">
        <f t="shared" si="226"/>
        <v>0</v>
      </c>
      <c r="AR254" s="2">
        <f t="shared" si="226"/>
        <v>8006.15</v>
      </c>
      <c r="AS254" s="2">
        <f t="shared" si="226"/>
        <v>0</v>
      </c>
      <c r="AT254" s="2">
        <f t="shared" si="226"/>
        <v>0</v>
      </c>
      <c r="AU254" s="2">
        <f t="shared" si="226"/>
        <v>8006.15</v>
      </c>
      <c r="AV254" s="2">
        <f t="shared" si="226"/>
        <v>0</v>
      </c>
      <c r="AW254" s="2">
        <f t="shared" si="226"/>
        <v>0</v>
      </c>
      <c r="AX254" s="2">
        <f t="shared" si="226"/>
        <v>0</v>
      </c>
      <c r="AY254" s="2">
        <f t="shared" si="226"/>
        <v>0</v>
      </c>
      <c r="AZ254" s="2">
        <f t="shared" si="226"/>
        <v>0</v>
      </c>
      <c r="BA254" s="2">
        <f t="shared" si="226"/>
        <v>0</v>
      </c>
      <c r="BB254" s="2">
        <f t="shared" si="226"/>
        <v>0</v>
      </c>
      <c r="BC254" s="2">
        <f t="shared" si="226"/>
        <v>0</v>
      </c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>
        <f>ROUND(SUMIF(AA250:AA252,"=46561299",FQ250:FQ252),2)</f>
        <v>0</v>
      </c>
      <c r="BY254" s="2">
        <f>ROUND(SUMIF(AA250:AA252,"=46561299",FR250:FR252),2)</f>
        <v>0</v>
      </c>
      <c r="BZ254" s="2">
        <f>ROUND(SUMIF(AA250:AA252,"=46561299",GL250:GL252),2)</f>
        <v>0</v>
      </c>
      <c r="CA254" s="2">
        <f>ROUND(SUMIF(AA250:AA252,"=46561299",GM250:GM252),2)</f>
        <v>8006.15</v>
      </c>
      <c r="CB254" s="2">
        <f>ROUND(SUMIF(AA250:AA252,"=46561299",GN250:GN252),2)</f>
        <v>0</v>
      </c>
      <c r="CC254" s="2">
        <f>ROUND(SUMIF(AA250:AA252,"=46561299",GO250:GO252),2)</f>
        <v>0</v>
      </c>
      <c r="CD254" s="2">
        <f>ROUND(SUMIF(AA250:AA252,"=46561299",GP250:GP252),2)</f>
        <v>8006.15</v>
      </c>
      <c r="CE254" s="2">
        <f>AC254-BX254</f>
        <v>0</v>
      </c>
      <c r="CF254" s="2">
        <f>AC254-BY254</f>
        <v>0</v>
      </c>
      <c r="CG254" s="2">
        <f>BX254-BZ254</f>
        <v>0</v>
      </c>
      <c r="CH254" s="2">
        <f>AC254-BX254-BY254+BZ254</f>
        <v>0</v>
      </c>
      <c r="CI254" s="2">
        <f>BY254-BZ254</f>
        <v>0</v>
      </c>
      <c r="CJ254" s="2">
        <f>ROUND(SUMIF(AA250:AA252,"=46561299",GX250:GX252),2)</f>
        <v>0</v>
      </c>
      <c r="CK254" s="2">
        <f>ROUND(SUMIF(AA250:AA252,"=46561299",GY250:GY252),2)</f>
        <v>0</v>
      </c>
      <c r="CL254" s="2">
        <f>ROUND(SUMIF(AA250:AA252,"=46561299",GZ250:GZ252),2)</f>
        <v>0</v>
      </c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>
        <v>0</v>
      </c>
    </row>
    <row r="256" spans="1:245" x14ac:dyDescent="0.2">
      <c r="A256" s="4">
        <v>50</v>
      </c>
      <c r="B256" s="4">
        <v>0</v>
      </c>
      <c r="C256" s="4">
        <v>0</v>
      </c>
      <c r="D256" s="4">
        <v>1</v>
      </c>
      <c r="E256" s="4">
        <v>201</v>
      </c>
      <c r="F256" s="4">
        <f>ROUND(Source!O254,O256)</f>
        <v>7791.82</v>
      </c>
      <c r="G256" s="4" t="s">
        <v>96</v>
      </c>
      <c r="H256" s="4" t="s">
        <v>97</v>
      </c>
      <c r="I256" s="4"/>
      <c r="J256" s="4"/>
      <c r="K256" s="4">
        <v>201</v>
      </c>
      <c r="L256" s="4">
        <v>1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>
        <v>50</v>
      </c>
      <c r="B257" s="4">
        <v>0</v>
      </c>
      <c r="C257" s="4">
        <v>0</v>
      </c>
      <c r="D257" s="4">
        <v>1</v>
      </c>
      <c r="E257" s="4">
        <v>202</v>
      </c>
      <c r="F257" s="4">
        <f>ROUND(Source!P254,O257)</f>
        <v>0</v>
      </c>
      <c r="G257" s="4" t="s">
        <v>98</v>
      </c>
      <c r="H257" s="4" t="s">
        <v>99</v>
      </c>
      <c r="I257" s="4"/>
      <c r="J257" s="4"/>
      <c r="K257" s="4">
        <v>202</v>
      </c>
      <c r="L257" s="4">
        <v>2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>
        <v>50</v>
      </c>
      <c r="B258" s="4">
        <v>0</v>
      </c>
      <c r="C258" s="4">
        <v>0</v>
      </c>
      <c r="D258" s="4">
        <v>1</v>
      </c>
      <c r="E258" s="4">
        <v>222</v>
      </c>
      <c r="F258" s="4">
        <f>ROUND(Source!AO254,O258)</f>
        <v>0</v>
      </c>
      <c r="G258" s="4" t="s">
        <v>100</v>
      </c>
      <c r="H258" s="4" t="s">
        <v>101</v>
      </c>
      <c r="I258" s="4"/>
      <c r="J258" s="4"/>
      <c r="K258" s="4">
        <v>222</v>
      </c>
      <c r="L258" s="4">
        <v>3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>
        <v>50</v>
      </c>
      <c r="B259" s="4">
        <v>0</v>
      </c>
      <c r="C259" s="4">
        <v>0</v>
      </c>
      <c r="D259" s="4">
        <v>1</v>
      </c>
      <c r="E259" s="4">
        <v>225</v>
      </c>
      <c r="F259" s="4">
        <f>ROUND(Source!AV254,O259)</f>
        <v>0</v>
      </c>
      <c r="G259" s="4" t="s">
        <v>102</v>
      </c>
      <c r="H259" s="4" t="s">
        <v>103</v>
      </c>
      <c r="I259" s="4"/>
      <c r="J259" s="4"/>
      <c r="K259" s="4">
        <v>225</v>
      </c>
      <c r="L259" s="4">
        <v>4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>
        <v>50</v>
      </c>
      <c r="B260" s="4">
        <v>0</v>
      </c>
      <c r="C260" s="4">
        <v>0</v>
      </c>
      <c r="D260" s="4">
        <v>1</v>
      </c>
      <c r="E260" s="4">
        <v>226</v>
      </c>
      <c r="F260" s="4">
        <f>ROUND(Source!AW254,O260)</f>
        <v>0</v>
      </c>
      <c r="G260" s="4" t="s">
        <v>104</v>
      </c>
      <c r="H260" s="4" t="s">
        <v>105</v>
      </c>
      <c r="I260" s="4"/>
      <c r="J260" s="4"/>
      <c r="K260" s="4">
        <v>226</v>
      </c>
      <c r="L260" s="4">
        <v>5</v>
      </c>
      <c r="M260" s="4">
        <v>3</v>
      </c>
      <c r="N260" s="4" t="s">
        <v>3</v>
      </c>
      <c r="O260" s="4">
        <v>2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>
        <v>50</v>
      </c>
      <c r="B261" s="4">
        <v>0</v>
      </c>
      <c r="C261" s="4">
        <v>0</v>
      </c>
      <c r="D261" s="4">
        <v>1</v>
      </c>
      <c r="E261" s="4">
        <v>227</v>
      </c>
      <c r="F261" s="4">
        <f>ROUND(Source!AX254,O261)</f>
        <v>0</v>
      </c>
      <c r="G261" s="4" t="s">
        <v>106</v>
      </c>
      <c r="H261" s="4" t="s">
        <v>107</v>
      </c>
      <c r="I261" s="4"/>
      <c r="J261" s="4"/>
      <c r="K261" s="4">
        <v>227</v>
      </c>
      <c r="L261" s="4">
        <v>6</v>
      </c>
      <c r="M261" s="4">
        <v>3</v>
      </c>
      <c r="N261" s="4" t="s">
        <v>3</v>
      </c>
      <c r="O261" s="4">
        <v>2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>
        <v>50</v>
      </c>
      <c r="B262" s="4">
        <v>0</v>
      </c>
      <c r="C262" s="4">
        <v>0</v>
      </c>
      <c r="D262" s="4">
        <v>1</v>
      </c>
      <c r="E262" s="4">
        <v>228</v>
      </c>
      <c r="F262" s="4">
        <f>ROUND(Source!AY254,O262)</f>
        <v>0</v>
      </c>
      <c r="G262" s="4" t="s">
        <v>108</v>
      </c>
      <c r="H262" s="4" t="s">
        <v>109</v>
      </c>
      <c r="I262" s="4"/>
      <c r="J262" s="4"/>
      <c r="K262" s="4">
        <v>228</v>
      </c>
      <c r="L262" s="4">
        <v>7</v>
      </c>
      <c r="M262" s="4">
        <v>3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>
        <v>50</v>
      </c>
      <c r="B263" s="4">
        <v>0</v>
      </c>
      <c r="C263" s="4">
        <v>0</v>
      </c>
      <c r="D263" s="4">
        <v>1</v>
      </c>
      <c r="E263" s="4">
        <v>216</v>
      </c>
      <c r="F263" s="4">
        <f>ROUND(Source!AP254,O263)</f>
        <v>0</v>
      </c>
      <c r="G263" s="4" t="s">
        <v>110</v>
      </c>
      <c r="H263" s="4" t="s">
        <v>111</v>
      </c>
      <c r="I263" s="4"/>
      <c r="J263" s="4"/>
      <c r="K263" s="4">
        <v>216</v>
      </c>
      <c r="L263" s="4">
        <v>8</v>
      </c>
      <c r="M263" s="4">
        <v>3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>
        <v>50</v>
      </c>
      <c r="B264" s="4">
        <v>0</v>
      </c>
      <c r="C264" s="4">
        <v>0</v>
      </c>
      <c r="D264" s="4">
        <v>1</v>
      </c>
      <c r="E264" s="4">
        <v>223</v>
      </c>
      <c r="F264" s="4">
        <f>ROUND(Source!AQ254,O264)</f>
        <v>0</v>
      </c>
      <c r="G264" s="4" t="s">
        <v>112</v>
      </c>
      <c r="H264" s="4" t="s">
        <v>113</v>
      </c>
      <c r="I264" s="4"/>
      <c r="J264" s="4"/>
      <c r="K264" s="4">
        <v>223</v>
      </c>
      <c r="L264" s="4">
        <v>9</v>
      </c>
      <c r="M264" s="4">
        <v>3</v>
      </c>
      <c r="N264" s="4" t="s">
        <v>3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>
        <v>50</v>
      </c>
      <c r="B265" s="4">
        <v>0</v>
      </c>
      <c r="C265" s="4">
        <v>0</v>
      </c>
      <c r="D265" s="4">
        <v>1</v>
      </c>
      <c r="E265" s="4">
        <v>229</v>
      </c>
      <c r="F265" s="4">
        <f>ROUND(Source!AZ254,O265)</f>
        <v>0</v>
      </c>
      <c r="G265" s="4" t="s">
        <v>114</v>
      </c>
      <c r="H265" s="4" t="s">
        <v>115</v>
      </c>
      <c r="I265" s="4"/>
      <c r="J265" s="4"/>
      <c r="K265" s="4">
        <v>229</v>
      </c>
      <c r="L265" s="4">
        <v>10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>
        <v>50</v>
      </c>
      <c r="B266" s="4">
        <v>0</v>
      </c>
      <c r="C266" s="4">
        <v>0</v>
      </c>
      <c r="D266" s="4">
        <v>1</v>
      </c>
      <c r="E266" s="4">
        <v>203</v>
      </c>
      <c r="F266" s="4">
        <f>ROUND(Source!Q254,O266)</f>
        <v>7791.82</v>
      </c>
      <c r="G266" s="4" t="s">
        <v>116</v>
      </c>
      <c r="H266" s="4" t="s">
        <v>117</v>
      </c>
      <c r="I266" s="4"/>
      <c r="J266" s="4"/>
      <c r="K266" s="4">
        <v>203</v>
      </c>
      <c r="L266" s="4">
        <v>11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>
        <v>50</v>
      </c>
      <c r="B267" s="4">
        <v>0</v>
      </c>
      <c r="C267" s="4">
        <v>0</v>
      </c>
      <c r="D267" s="4">
        <v>1</v>
      </c>
      <c r="E267" s="4">
        <v>231</v>
      </c>
      <c r="F267" s="4">
        <f>ROUND(Source!BB254,O267)</f>
        <v>0</v>
      </c>
      <c r="G267" s="4" t="s">
        <v>118</v>
      </c>
      <c r="H267" s="4" t="s">
        <v>119</v>
      </c>
      <c r="I267" s="4"/>
      <c r="J267" s="4"/>
      <c r="K267" s="4">
        <v>231</v>
      </c>
      <c r="L267" s="4">
        <v>12</v>
      </c>
      <c r="M267" s="4">
        <v>3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>
        <v>50</v>
      </c>
      <c r="B268" s="4">
        <v>0</v>
      </c>
      <c r="C268" s="4">
        <v>0</v>
      </c>
      <c r="D268" s="4">
        <v>1</v>
      </c>
      <c r="E268" s="4">
        <v>204</v>
      </c>
      <c r="F268" s="4">
        <f>ROUND(Source!R254,O268)</f>
        <v>4099.28</v>
      </c>
      <c r="G268" s="4" t="s">
        <v>120</v>
      </c>
      <c r="H268" s="4" t="s">
        <v>121</v>
      </c>
      <c r="I268" s="4"/>
      <c r="J268" s="4"/>
      <c r="K268" s="4">
        <v>204</v>
      </c>
      <c r="L268" s="4">
        <v>13</v>
      </c>
      <c r="M268" s="4">
        <v>3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>
        <v>50</v>
      </c>
      <c r="B269" s="4">
        <v>0</v>
      </c>
      <c r="C269" s="4">
        <v>0</v>
      </c>
      <c r="D269" s="4">
        <v>1</v>
      </c>
      <c r="E269" s="4">
        <v>205</v>
      </c>
      <c r="F269" s="4">
        <f>ROUND(Source!S254,O269)</f>
        <v>0</v>
      </c>
      <c r="G269" s="4" t="s">
        <v>122</v>
      </c>
      <c r="H269" s="4" t="s">
        <v>123</v>
      </c>
      <c r="I269" s="4"/>
      <c r="J269" s="4"/>
      <c r="K269" s="4">
        <v>205</v>
      </c>
      <c r="L269" s="4">
        <v>14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>
        <v>50</v>
      </c>
      <c r="B270" s="4">
        <v>0</v>
      </c>
      <c r="C270" s="4">
        <v>0</v>
      </c>
      <c r="D270" s="4">
        <v>1</v>
      </c>
      <c r="E270" s="4">
        <v>232</v>
      </c>
      <c r="F270" s="4">
        <f>ROUND(Source!BC254,O270)</f>
        <v>0</v>
      </c>
      <c r="G270" s="4" t="s">
        <v>124</v>
      </c>
      <c r="H270" s="4" t="s">
        <v>125</v>
      </c>
      <c r="I270" s="4"/>
      <c r="J270" s="4"/>
      <c r="K270" s="4">
        <v>232</v>
      </c>
      <c r="L270" s="4">
        <v>15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>
        <v>50</v>
      </c>
      <c r="B271" s="4">
        <v>0</v>
      </c>
      <c r="C271" s="4">
        <v>0</v>
      </c>
      <c r="D271" s="4">
        <v>1</v>
      </c>
      <c r="E271" s="4">
        <v>214</v>
      </c>
      <c r="F271" s="4">
        <f>ROUND(Source!AS254,O271)</f>
        <v>0</v>
      </c>
      <c r="G271" s="4" t="s">
        <v>126</v>
      </c>
      <c r="H271" s="4" t="s">
        <v>127</v>
      </c>
      <c r="I271" s="4"/>
      <c r="J271" s="4"/>
      <c r="K271" s="4">
        <v>214</v>
      </c>
      <c r="L271" s="4">
        <v>16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>
        <v>50</v>
      </c>
      <c r="B272" s="4">
        <v>0</v>
      </c>
      <c r="C272" s="4">
        <v>0</v>
      </c>
      <c r="D272" s="4">
        <v>1</v>
      </c>
      <c r="E272" s="4">
        <v>215</v>
      </c>
      <c r="F272" s="4">
        <f>ROUND(Source!AT254,O272)</f>
        <v>0</v>
      </c>
      <c r="G272" s="4" t="s">
        <v>128</v>
      </c>
      <c r="H272" s="4" t="s">
        <v>129</v>
      </c>
      <c r="I272" s="4"/>
      <c r="J272" s="4"/>
      <c r="K272" s="4">
        <v>215</v>
      </c>
      <c r="L272" s="4">
        <v>17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06" x14ac:dyDescent="0.2">
      <c r="A273" s="4">
        <v>50</v>
      </c>
      <c r="B273" s="4">
        <v>0</v>
      </c>
      <c r="C273" s="4">
        <v>0</v>
      </c>
      <c r="D273" s="4">
        <v>1</v>
      </c>
      <c r="E273" s="4">
        <v>217</v>
      </c>
      <c r="F273" s="4">
        <f>ROUND(Source!AU254,O273)</f>
        <v>8006.15</v>
      </c>
      <c r="G273" s="4" t="s">
        <v>130</v>
      </c>
      <c r="H273" s="4" t="s">
        <v>131</v>
      </c>
      <c r="I273" s="4"/>
      <c r="J273" s="4"/>
      <c r="K273" s="4">
        <v>217</v>
      </c>
      <c r="L273" s="4">
        <v>18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06" x14ac:dyDescent="0.2">
      <c r="A274" s="4">
        <v>50</v>
      </c>
      <c r="B274" s="4">
        <v>0</v>
      </c>
      <c r="C274" s="4">
        <v>0</v>
      </c>
      <c r="D274" s="4">
        <v>1</v>
      </c>
      <c r="E274" s="4">
        <v>230</v>
      </c>
      <c r="F274" s="4">
        <f>ROUND(Source!BA254,O274)</f>
        <v>0</v>
      </c>
      <c r="G274" s="4" t="s">
        <v>132</v>
      </c>
      <c r="H274" s="4" t="s">
        <v>133</v>
      </c>
      <c r="I274" s="4"/>
      <c r="J274" s="4"/>
      <c r="K274" s="4">
        <v>230</v>
      </c>
      <c r="L274" s="4">
        <v>19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06" x14ac:dyDescent="0.2">
      <c r="A275" s="4">
        <v>50</v>
      </c>
      <c r="B275" s="4">
        <v>0</v>
      </c>
      <c r="C275" s="4">
        <v>0</v>
      </c>
      <c r="D275" s="4">
        <v>1</v>
      </c>
      <c r="E275" s="4">
        <v>206</v>
      </c>
      <c r="F275" s="4">
        <f>ROUND(Source!T254,O275)</f>
        <v>0</v>
      </c>
      <c r="G275" s="4" t="s">
        <v>134</v>
      </c>
      <c r="H275" s="4" t="s">
        <v>135</v>
      </c>
      <c r="I275" s="4"/>
      <c r="J275" s="4"/>
      <c r="K275" s="4">
        <v>206</v>
      </c>
      <c r="L275" s="4">
        <v>20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06" x14ac:dyDescent="0.2">
      <c r="A276" s="4">
        <v>50</v>
      </c>
      <c r="B276" s="4">
        <v>0</v>
      </c>
      <c r="C276" s="4">
        <v>0</v>
      </c>
      <c r="D276" s="4">
        <v>1</v>
      </c>
      <c r="E276" s="4">
        <v>207</v>
      </c>
      <c r="F276" s="4">
        <f>Source!U254</f>
        <v>0</v>
      </c>
      <c r="G276" s="4" t="s">
        <v>136</v>
      </c>
      <c r="H276" s="4" t="s">
        <v>137</v>
      </c>
      <c r="I276" s="4"/>
      <c r="J276" s="4"/>
      <c r="K276" s="4">
        <v>207</v>
      </c>
      <c r="L276" s="4">
        <v>21</v>
      </c>
      <c r="M276" s="4">
        <v>3</v>
      </c>
      <c r="N276" s="4" t="s">
        <v>3</v>
      </c>
      <c r="O276" s="4">
        <v>-1</v>
      </c>
      <c r="P276" s="4"/>
      <c r="Q276" s="4"/>
      <c r="R276" s="4"/>
      <c r="S276" s="4"/>
      <c r="T276" s="4"/>
      <c r="U276" s="4"/>
      <c r="V276" s="4"/>
      <c r="W276" s="4"/>
    </row>
    <row r="277" spans="1:206" x14ac:dyDescent="0.2">
      <c r="A277" s="4">
        <v>50</v>
      </c>
      <c r="B277" s="4">
        <v>0</v>
      </c>
      <c r="C277" s="4">
        <v>0</v>
      </c>
      <c r="D277" s="4">
        <v>1</v>
      </c>
      <c r="E277" s="4">
        <v>208</v>
      </c>
      <c r="F277" s="4">
        <f>Source!V254</f>
        <v>0</v>
      </c>
      <c r="G277" s="4" t="s">
        <v>138</v>
      </c>
      <c r="H277" s="4" t="s">
        <v>139</v>
      </c>
      <c r="I277" s="4"/>
      <c r="J277" s="4"/>
      <c r="K277" s="4">
        <v>208</v>
      </c>
      <c r="L277" s="4">
        <v>22</v>
      </c>
      <c r="M277" s="4">
        <v>3</v>
      </c>
      <c r="N277" s="4" t="s">
        <v>3</v>
      </c>
      <c r="O277" s="4">
        <v>-1</v>
      </c>
      <c r="P277" s="4"/>
      <c r="Q277" s="4"/>
      <c r="R277" s="4"/>
      <c r="S277" s="4"/>
      <c r="T277" s="4"/>
      <c r="U277" s="4"/>
      <c r="V277" s="4"/>
      <c r="W277" s="4"/>
    </row>
    <row r="278" spans="1:206" x14ac:dyDescent="0.2">
      <c r="A278" s="4">
        <v>50</v>
      </c>
      <c r="B278" s="4">
        <v>0</v>
      </c>
      <c r="C278" s="4">
        <v>0</v>
      </c>
      <c r="D278" s="4">
        <v>1</v>
      </c>
      <c r="E278" s="4">
        <v>209</v>
      </c>
      <c r="F278" s="4">
        <f>ROUND(Source!W254,O278)</f>
        <v>0</v>
      </c>
      <c r="G278" s="4" t="s">
        <v>140</v>
      </c>
      <c r="H278" s="4" t="s">
        <v>141</v>
      </c>
      <c r="I278" s="4"/>
      <c r="J278" s="4"/>
      <c r="K278" s="4">
        <v>209</v>
      </c>
      <c r="L278" s="4">
        <v>23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06" x14ac:dyDescent="0.2">
      <c r="A279" s="4">
        <v>50</v>
      </c>
      <c r="B279" s="4">
        <v>0</v>
      </c>
      <c r="C279" s="4">
        <v>0</v>
      </c>
      <c r="D279" s="4">
        <v>1</v>
      </c>
      <c r="E279" s="4">
        <v>210</v>
      </c>
      <c r="F279" s="4">
        <f>ROUND(Source!X254,O279)</f>
        <v>0</v>
      </c>
      <c r="G279" s="4" t="s">
        <v>142</v>
      </c>
      <c r="H279" s="4" t="s">
        <v>143</v>
      </c>
      <c r="I279" s="4"/>
      <c r="J279" s="4"/>
      <c r="K279" s="4">
        <v>210</v>
      </c>
      <c r="L279" s="4">
        <v>24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06" x14ac:dyDescent="0.2">
      <c r="A280" s="4">
        <v>50</v>
      </c>
      <c r="B280" s="4">
        <v>0</v>
      </c>
      <c r="C280" s="4">
        <v>0</v>
      </c>
      <c r="D280" s="4">
        <v>1</v>
      </c>
      <c r="E280" s="4">
        <v>211</v>
      </c>
      <c r="F280" s="4">
        <f>ROUND(Source!Y254,O280)</f>
        <v>0</v>
      </c>
      <c r="G280" s="4" t="s">
        <v>144</v>
      </c>
      <c r="H280" s="4" t="s">
        <v>145</v>
      </c>
      <c r="I280" s="4"/>
      <c r="J280" s="4"/>
      <c r="K280" s="4">
        <v>211</v>
      </c>
      <c r="L280" s="4">
        <v>25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06" x14ac:dyDescent="0.2">
      <c r="A281" s="4">
        <v>50</v>
      </c>
      <c r="B281" s="4">
        <v>0</v>
      </c>
      <c r="C281" s="4">
        <v>0</v>
      </c>
      <c r="D281" s="4">
        <v>1</v>
      </c>
      <c r="E281" s="4">
        <v>224</v>
      </c>
      <c r="F281" s="4">
        <f>ROUND(Source!AR254,O281)</f>
        <v>8006.15</v>
      </c>
      <c r="G281" s="4" t="s">
        <v>146</v>
      </c>
      <c r="H281" s="4" t="s">
        <v>147</v>
      </c>
      <c r="I281" s="4"/>
      <c r="J281" s="4"/>
      <c r="K281" s="4">
        <v>224</v>
      </c>
      <c r="L281" s="4">
        <v>26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3" spans="1:206" x14ac:dyDescent="0.2">
      <c r="A283" s="2">
        <v>51</v>
      </c>
      <c r="B283" s="2">
        <f>B20</f>
        <v>1</v>
      </c>
      <c r="C283" s="2">
        <f>A20</f>
        <v>3</v>
      </c>
      <c r="D283" s="2">
        <f>ROW(A20)</f>
        <v>20</v>
      </c>
      <c r="E283" s="2"/>
      <c r="F283" s="2" t="str">
        <f>IF(F20&lt;&gt;"",F20,"")</f>
        <v>Новая локальная смета</v>
      </c>
      <c r="G283" s="2" t="str">
        <f>IF(G20&lt;&gt;"",G20,"")</f>
        <v>Новая локальная смета</v>
      </c>
      <c r="H283" s="2">
        <v>0</v>
      </c>
      <c r="I283" s="2"/>
      <c r="J283" s="2"/>
      <c r="K283" s="2"/>
      <c r="L283" s="2"/>
      <c r="M283" s="2"/>
      <c r="N283" s="2"/>
      <c r="O283" s="2">
        <f t="shared" ref="O283:T283" si="227">ROUND(O47+O99+O162+O217+O254+AB283,2)</f>
        <v>1334483.6499999999</v>
      </c>
      <c r="P283" s="2">
        <f t="shared" si="227"/>
        <v>653081.81000000006</v>
      </c>
      <c r="Q283" s="2">
        <f t="shared" si="227"/>
        <v>248410.11</v>
      </c>
      <c r="R283" s="2">
        <f t="shared" si="227"/>
        <v>157038.01999999999</v>
      </c>
      <c r="S283" s="2">
        <f t="shared" si="227"/>
        <v>432991.73</v>
      </c>
      <c r="T283" s="2">
        <f t="shared" si="227"/>
        <v>0</v>
      </c>
      <c r="U283" s="2">
        <f>U47+U99+U162+U217+U254+AH283</f>
        <v>1646.059835</v>
      </c>
      <c r="V283" s="2">
        <f>V47+V99+V162+V217+V254+AI283</f>
        <v>0</v>
      </c>
      <c r="W283" s="2">
        <f>ROUND(W47+W99+W162+W217+W254+AJ283,2)</f>
        <v>0</v>
      </c>
      <c r="X283" s="2">
        <f>ROUND(X47+X99+X162+X217+X254+AK283,2)</f>
        <v>303094.21000000002</v>
      </c>
      <c r="Y283" s="2">
        <f>ROUND(Y47+Y99+Y162+Y217+Y254+AL283,2)</f>
        <v>43299.199999999997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>
        <f t="shared" ref="AO283:BC283" si="228">ROUND(AO47+AO99+AO162+AO217+AO254+BX283,2)</f>
        <v>0</v>
      </c>
      <c r="AP283" s="2">
        <f t="shared" si="228"/>
        <v>0</v>
      </c>
      <c r="AQ283" s="2">
        <f t="shared" si="228"/>
        <v>0</v>
      </c>
      <c r="AR283" s="2">
        <f t="shared" si="228"/>
        <v>1844162.27</v>
      </c>
      <c r="AS283" s="2">
        <f t="shared" si="228"/>
        <v>0</v>
      </c>
      <c r="AT283" s="2">
        <f t="shared" si="228"/>
        <v>0</v>
      </c>
      <c r="AU283" s="2">
        <f t="shared" si="228"/>
        <v>1844162.27</v>
      </c>
      <c r="AV283" s="2">
        <f t="shared" si="228"/>
        <v>653081.81000000006</v>
      </c>
      <c r="AW283" s="2">
        <f t="shared" si="228"/>
        <v>653081.81000000006</v>
      </c>
      <c r="AX283" s="2">
        <f t="shared" si="228"/>
        <v>0</v>
      </c>
      <c r="AY283" s="2">
        <f t="shared" si="228"/>
        <v>653081.81000000006</v>
      </c>
      <c r="AZ283" s="2">
        <f t="shared" si="228"/>
        <v>0</v>
      </c>
      <c r="BA283" s="2">
        <f t="shared" si="228"/>
        <v>0</v>
      </c>
      <c r="BB283" s="2">
        <f t="shared" si="228"/>
        <v>0</v>
      </c>
      <c r="BC283" s="2">
        <f t="shared" si="228"/>
        <v>0</v>
      </c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>
        <v>0</v>
      </c>
    </row>
    <row r="285" spans="1:206" x14ac:dyDescent="0.2">
      <c r="A285" s="4">
        <v>50</v>
      </c>
      <c r="B285" s="4">
        <v>0</v>
      </c>
      <c r="C285" s="4">
        <v>0</v>
      </c>
      <c r="D285" s="4">
        <v>1</v>
      </c>
      <c r="E285" s="4">
        <v>201</v>
      </c>
      <c r="F285" s="4">
        <f>ROUND(Source!O283,O285)</f>
        <v>1334483.6499999999</v>
      </c>
      <c r="G285" s="4" t="s">
        <v>96</v>
      </c>
      <c r="H285" s="4" t="s">
        <v>97</v>
      </c>
      <c r="I285" s="4"/>
      <c r="J285" s="4"/>
      <c r="K285" s="4">
        <v>201</v>
      </c>
      <c r="L285" s="4">
        <v>1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06" x14ac:dyDescent="0.2">
      <c r="A286" s="4">
        <v>50</v>
      </c>
      <c r="B286" s="4">
        <v>0</v>
      </c>
      <c r="C286" s="4">
        <v>0</v>
      </c>
      <c r="D286" s="4">
        <v>1</v>
      </c>
      <c r="E286" s="4">
        <v>202</v>
      </c>
      <c r="F286" s="4">
        <f>ROUND(Source!P283,O286)</f>
        <v>653081.81000000006</v>
      </c>
      <c r="G286" s="4" t="s">
        <v>98</v>
      </c>
      <c r="H286" s="4" t="s">
        <v>99</v>
      </c>
      <c r="I286" s="4"/>
      <c r="J286" s="4"/>
      <c r="K286" s="4">
        <v>202</v>
      </c>
      <c r="L286" s="4">
        <v>2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06" x14ac:dyDescent="0.2">
      <c r="A287" s="4">
        <v>50</v>
      </c>
      <c r="B287" s="4">
        <v>0</v>
      </c>
      <c r="C287" s="4">
        <v>0</v>
      </c>
      <c r="D287" s="4">
        <v>1</v>
      </c>
      <c r="E287" s="4">
        <v>222</v>
      </c>
      <c r="F287" s="4">
        <f>ROUND(Source!AO283,O287)</f>
        <v>0</v>
      </c>
      <c r="G287" s="4" t="s">
        <v>100</v>
      </c>
      <c r="H287" s="4" t="s">
        <v>101</v>
      </c>
      <c r="I287" s="4"/>
      <c r="J287" s="4"/>
      <c r="K287" s="4">
        <v>222</v>
      </c>
      <c r="L287" s="4">
        <v>3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06" x14ac:dyDescent="0.2">
      <c r="A288" s="4">
        <v>50</v>
      </c>
      <c r="B288" s="4">
        <v>0</v>
      </c>
      <c r="C288" s="4">
        <v>0</v>
      </c>
      <c r="D288" s="4">
        <v>1</v>
      </c>
      <c r="E288" s="4">
        <v>225</v>
      </c>
      <c r="F288" s="4">
        <f>ROUND(Source!AV283,O288)</f>
        <v>653081.81000000006</v>
      </c>
      <c r="G288" s="4" t="s">
        <v>102</v>
      </c>
      <c r="H288" s="4" t="s">
        <v>103</v>
      </c>
      <c r="I288" s="4"/>
      <c r="J288" s="4"/>
      <c r="K288" s="4">
        <v>225</v>
      </c>
      <c r="L288" s="4">
        <v>4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>
        <v>50</v>
      </c>
      <c r="B289" s="4">
        <v>0</v>
      </c>
      <c r="C289" s="4">
        <v>0</v>
      </c>
      <c r="D289" s="4">
        <v>1</v>
      </c>
      <c r="E289" s="4">
        <v>226</v>
      </c>
      <c r="F289" s="4">
        <f>ROUND(Source!AW283,O289)</f>
        <v>653081.81000000006</v>
      </c>
      <c r="G289" s="4" t="s">
        <v>104</v>
      </c>
      <c r="H289" s="4" t="s">
        <v>105</v>
      </c>
      <c r="I289" s="4"/>
      <c r="J289" s="4"/>
      <c r="K289" s="4">
        <v>226</v>
      </c>
      <c r="L289" s="4">
        <v>5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>
        <v>50</v>
      </c>
      <c r="B290" s="4">
        <v>0</v>
      </c>
      <c r="C290" s="4">
        <v>0</v>
      </c>
      <c r="D290" s="4">
        <v>1</v>
      </c>
      <c r="E290" s="4">
        <v>227</v>
      </c>
      <c r="F290" s="4">
        <f>ROUND(Source!AX283,O290)</f>
        <v>0</v>
      </c>
      <c r="G290" s="4" t="s">
        <v>106</v>
      </c>
      <c r="H290" s="4" t="s">
        <v>107</v>
      </c>
      <c r="I290" s="4"/>
      <c r="J290" s="4"/>
      <c r="K290" s="4">
        <v>227</v>
      </c>
      <c r="L290" s="4">
        <v>6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>
        <v>50</v>
      </c>
      <c r="B291" s="4">
        <v>0</v>
      </c>
      <c r="C291" s="4">
        <v>0</v>
      </c>
      <c r="D291" s="4">
        <v>1</v>
      </c>
      <c r="E291" s="4">
        <v>228</v>
      </c>
      <c r="F291" s="4">
        <f>ROUND(Source!AY283,O291)</f>
        <v>653081.81000000006</v>
      </c>
      <c r="G291" s="4" t="s">
        <v>108</v>
      </c>
      <c r="H291" s="4" t="s">
        <v>109</v>
      </c>
      <c r="I291" s="4"/>
      <c r="J291" s="4"/>
      <c r="K291" s="4">
        <v>228</v>
      </c>
      <c r="L291" s="4">
        <v>7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>
        <v>50</v>
      </c>
      <c r="B292" s="4">
        <v>0</v>
      </c>
      <c r="C292" s="4">
        <v>0</v>
      </c>
      <c r="D292" s="4">
        <v>1</v>
      </c>
      <c r="E292" s="4">
        <v>216</v>
      </c>
      <c r="F292" s="4">
        <f>ROUND(Source!AP283,O292)</f>
        <v>0</v>
      </c>
      <c r="G292" s="4" t="s">
        <v>110</v>
      </c>
      <c r="H292" s="4" t="s">
        <v>111</v>
      </c>
      <c r="I292" s="4"/>
      <c r="J292" s="4"/>
      <c r="K292" s="4">
        <v>216</v>
      </c>
      <c r="L292" s="4">
        <v>8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>
        <v>50</v>
      </c>
      <c r="B293" s="4">
        <v>0</v>
      </c>
      <c r="C293" s="4">
        <v>0</v>
      </c>
      <c r="D293" s="4">
        <v>1</v>
      </c>
      <c r="E293" s="4">
        <v>223</v>
      </c>
      <c r="F293" s="4">
        <f>ROUND(Source!AQ283,O293)</f>
        <v>0</v>
      </c>
      <c r="G293" s="4" t="s">
        <v>112</v>
      </c>
      <c r="H293" s="4" t="s">
        <v>113</v>
      </c>
      <c r="I293" s="4"/>
      <c r="J293" s="4"/>
      <c r="K293" s="4">
        <v>223</v>
      </c>
      <c r="L293" s="4">
        <v>9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>
        <v>50</v>
      </c>
      <c r="B294" s="4">
        <v>0</v>
      </c>
      <c r="C294" s="4">
        <v>0</v>
      </c>
      <c r="D294" s="4">
        <v>1</v>
      </c>
      <c r="E294" s="4">
        <v>229</v>
      </c>
      <c r="F294" s="4">
        <f>ROUND(Source!AZ283,O294)</f>
        <v>0</v>
      </c>
      <c r="G294" s="4" t="s">
        <v>114</v>
      </c>
      <c r="H294" s="4" t="s">
        <v>115</v>
      </c>
      <c r="I294" s="4"/>
      <c r="J294" s="4"/>
      <c r="K294" s="4">
        <v>229</v>
      </c>
      <c r="L294" s="4">
        <v>10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>
        <v>50</v>
      </c>
      <c r="B295" s="4">
        <v>0</v>
      </c>
      <c r="C295" s="4">
        <v>0</v>
      </c>
      <c r="D295" s="4">
        <v>1</v>
      </c>
      <c r="E295" s="4">
        <v>203</v>
      </c>
      <c r="F295" s="4">
        <f>ROUND(Source!Q283,O295)</f>
        <v>248410.11</v>
      </c>
      <c r="G295" s="4" t="s">
        <v>116</v>
      </c>
      <c r="H295" s="4" t="s">
        <v>117</v>
      </c>
      <c r="I295" s="4"/>
      <c r="J295" s="4"/>
      <c r="K295" s="4">
        <v>203</v>
      </c>
      <c r="L295" s="4">
        <v>11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>
        <v>50</v>
      </c>
      <c r="B296" s="4">
        <v>0</v>
      </c>
      <c r="C296" s="4">
        <v>0</v>
      </c>
      <c r="D296" s="4">
        <v>1</v>
      </c>
      <c r="E296" s="4">
        <v>231</v>
      </c>
      <c r="F296" s="4">
        <f>ROUND(Source!BB283,O296)</f>
        <v>0</v>
      </c>
      <c r="G296" s="4" t="s">
        <v>118</v>
      </c>
      <c r="H296" s="4" t="s">
        <v>119</v>
      </c>
      <c r="I296" s="4"/>
      <c r="J296" s="4"/>
      <c r="K296" s="4">
        <v>231</v>
      </c>
      <c r="L296" s="4">
        <v>12</v>
      </c>
      <c r="M296" s="4">
        <v>3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>
        <v>50</v>
      </c>
      <c r="B297" s="4">
        <v>0</v>
      </c>
      <c r="C297" s="4">
        <v>0</v>
      </c>
      <c r="D297" s="4">
        <v>1</v>
      </c>
      <c r="E297" s="4">
        <v>204</v>
      </c>
      <c r="F297" s="4">
        <f>ROUND(Source!R283,O297)</f>
        <v>157038.01999999999</v>
      </c>
      <c r="G297" s="4" t="s">
        <v>120</v>
      </c>
      <c r="H297" s="4" t="s">
        <v>121</v>
      </c>
      <c r="I297" s="4"/>
      <c r="J297" s="4"/>
      <c r="K297" s="4">
        <v>204</v>
      </c>
      <c r="L297" s="4">
        <v>13</v>
      </c>
      <c r="M297" s="4">
        <v>3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>
        <v>50</v>
      </c>
      <c r="B298" s="4">
        <v>0</v>
      </c>
      <c r="C298" s="4">
        <v>0</v>
      </c>
      <c r="D298" s="4">
        <v>1</v>
      </c>
      <c r="E298" s="4">
        <v>205</v>
      </c>
      <c r="F298" s="4">
        <f>ROUND(Source!S283,O298)</f>
        <v>432991.73</v>
      </c>
      <c r="G298" s="4" t="s">
        <v>122</v>
      </c>
      <c r="H298" s="4" t="s">
        <v>123</v>
      </c>
      <c r="I298" s="4"/>
      <c r="J298" s="4"/>
      <c r="K298" s="4">
        <v>205</v>
      </c>
      <c r="L298" s="4">
        <v>14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>
        <v>50</v>
      </c>
      <c r="B299" s="4">
        <v>0</v>
      </c>
      <c r="C299" s="4">
        <v>0</v>
      </c>
      <c r="D299" s="4">
        <v>1</v>
      </c>
      <c r="E299" s="4">
        <v>232</v>
      </c>
      <c r="F299" s="4">
        <f>ROUND(Source!BC283,O299)</f>
        <v>0</v>
      </c>
      <c r="G299" s="4" t="s">
        <v>124</v>
      </c>
      <c r="H299" s="4" t="s">
        <v>125</v>
      </c>
      <c r="I299" s="4"/>
      <c r="J299" s="4"/>
      <c r="K299" s="4">
        <v>232</v>
      </c>
      <c r="L299" s="4">
        <v>15</v>
      </c>
      <c r="M299" s="4">
        <v>3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>
        <v>50</v>
      </c>
      <c r="B300" s="4">
        <v>0</v>
      </c>
      <c r="C300" s="4">
        <v>0</v>
      </c>
      <c r="D300" s="4">
        <v>1</v>
      </c>
      <c r="E300" s="4">
        <v>214</v>
      </c>
      <c r="F300" s="4">
        <f>ROUND(Source!AS283,O300)</f>
        <v>0</v>
      </c>
      <c r="G300" s="4" t="s">
        <v>126</v>
      </c>
      <c r="H300" s="4" t="s">
        <v>127</v>
      </c>
      <c r="I300" s="4"/>
      <c r="J300" s="4"/>
      <c r="K300" s="4">
        <v>214</v>
      </c>
      <c r="L300" s="4">
        <v>16</v>
      </c>
      <c r="M300" s="4">
        <v>3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>
        <v>50</v>
      </c>
      <c r="B301" s="4">
        <v>0</v>
      </c>
      <c r="C301" s="4">
        <v>0</v>
      </c>
      <c r="D301" s="4">
        <v>1</v>
      </c>
      <c r="E301" s="4">
        <v>215</v>
      </c>
      <c r="F301" s="4">
        <f>ROUND(Source!AT283,O301)</f>
        <v>0</v>
      </c>
      <c r="G301" s="4" t="s">
        <v>128</v>
      </c>
      <c r="H301" s="4" t="s">
        <v>129</v>
      </c>
      <c r="I301" s="4"/>
      <c r="J301" s="4"/>
      <c r="K301" s="4">
        <v>215</v>
      </c>
      <c r="L301" s="4">
        <v>17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>
        <v>50</v>
      </c>
      <c r="B302" s="4">
        <v>0</v>
      </c>
      <c r="C302" s="4">
        <v>0</v>
      </c>
      <c r="D302" s="4">
        <v>1</v>
      </c>
      <c r="E302" s="4">
        <v>217</v>
      </c>
      <c r="F302" s="4">
        <f>ROUND(Source!AU283,O302)</f>
        <v>1844162.27</v>
      </c>
      <c r="G302" s="4" t="s">
        <v>130</v>
      </c>
      <c r="H302" s="4" t="s">
        <v>131</v>
      </c>
      <c r="I302" s="4"/>
      <c r="J302" s="4"/>
      <c r="K302" s="4">
        <v>217</v>
      </c>
      <c r="L302" s="4">
        <v>18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>
        <v>50</v>
      </c>
      <c r="B303" s="4">
        <v>0</v>
      </c>
      <c r="C303" s="4">
        <v>0</v>
      </c>
      <c r="D303" s="4">
        <v>1</v>
      </c>
      <c r="E303" s="4">
        <v>230</v>
      </c>
      <c r="F303" s="4">
        <f>ROUND(Source!BA283,O303)</f>
        <v>0</v>
      </c>
      <c r="G303" s="4" t="s">
        <v>132</v>
      </c>
      <c r="H303" s="4" t="s">
        <v>133</v>
      </c>
      <c r="I303" s="4"/>
      <c r="J303" s="4"/>
      <c r="K303" s="4">
        <v>230</v>
      </c>
      <c r="L303" s="4">
        <v>19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>
        <v>50</v>
      </c>
      <c r="B304" s="4">
        <v>0</v>
      </c>
      <c r="C304" s="4">
        <v>0</v>
      </c>
      <c r="D304" s="4">
        <v>1</v>
      </c>
      <c r="E304" s="4">
        <v>206</v>
      </c>
      <c r="F304" s="4">
        <f>ROUND(Source!T283,O304)</f>
        <v>0</v>
      </c>
      <c r="G304" s="4" t="s">
        <v>134</v>
      </c>
      <c r="H304" s="4" t="s">
        <v>135</v>
      </c>
      <c r="I304" s="4"/>
      <c r="J304" s="4"/>
      <c r="K304" s="4">
        <v>206</v>
      </c>
      <c r="L304" s="4">
        <v>20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06" x14ac:dyDescent="0.2">
      <c r="A305" s="4">
        <v>50</v>
      </c>
      <c r="B305" s="4">
        <v>0</v>
      </c>
      <c r="C305" s="4">
        <v>0</v>
      </c>
      <c r="D305" s="4">
        <v>1</v>
      </c>
      <c r="E305" s="4">
        <v>207</v>
      </c>
      <c r="F305" s="4">
        <f>Source!U283</f>
        <v>1646.059835</v>
      </c>
      <c r="G305" s="4" t="s">
        <v>136</v>
      </c>
      <c r="H305" s="4" t="s">
        <v>137</v>
      </c>
      <c r="I305" s="4"/>
      <c r="J305" s="4"/>
      <c r="K305" s="4">
        <v>207</v>
      </c>
      <c r="L305" s="4">
        <v>21</v>
      </c>
      <c r="M305" s="4">
        <v>3</v>
      </c>
      <c r="N305" s="4" t="s">
        <v>3</v>
      </c>
      <c r="O305" s="4">
        <v>-1</v>
      </c>
      <c r="P305" s="4"/>
      <c r="Q305" s="4"/>
      <c r="R305" s="4"/>
      <c r="S305" s="4"/>
      <c r="T305" s="4"/>
      <c r="U305" s="4"/>
      <c r="V305" s="4"/>
      <c r="W305" s="4"/>
    </row>
    <row r="306" spans="1:206" x14ac:dyDescent="0.2">
      <c r="A306" s="4">
        <v>50</v>
      </c>
      <c r="B306" s="4">
        <v>0</v>
      </c>
      <c r="C306" s="4">
        <v>0</v>
      </c>
      <c r="D306" s="4">
        <v>1</v>
      </c>
      <c r="E306" s="4">
        <v>208</v>
      </c>
      <c r="F306" s="4">
        <f>Source!V283</f>
        <v>0</v>
      </c>
      <c r="G306" s="4" t="s">
        <v>138</v>
      </c>
      <c r="H306" s="4" t="s">
        <v>139</v>
      </c>
      <c r="I306" s="4"/>
      <c r="J306" s="4"/>
      <c r="K306" s="4">
        <v>208</v>
      </c>
      <c r="L306" s="4">
        <v>22</v>
      </c>
      <c r="M306" s="4">
        <v>3</v>
      </c>
      <c r="N306" s="4" t="s">
        <v>3</v>
      </c>
      <c r="O306" s="4">
        <v>-1</v>
      </c>
      <c r="P306" s="4"/>
      <c r="Q306" s="4"/>
      <c r="R306" s="4"/>
      <c r="S306" s="4"/>
      <c r="T306" s="4"/>
      <c r="U306" s="4"/>
      <c r="V306" s="4"/>
      <c r="W306" s="4"/>
    </row>
    <row r="307" spans="1:206" x14ac:dyDescent="0.2">
      <c r="A307" s="4">
        <v>50</v>
      </c>
      <c r="B307" s="4">
        <v>0</v>
      </c>
      <c r="C307" s="4">
        <v>0</v>
      </c>
      <c r="D307" s="4">
        <v>1</v>
      </c>
      <c r="E307" s="4">
        <v>209</v>
      </c>
      <c r="F307" s="4">
        <f>ROUND(Source!W283,O307)</f>
        <v>0</v>
      </c>
      <c r="G307" s="4" t="s">
        <v>140</v>
      </c>
      <c r="H307" s="4" t="s">
        <v>141</v>
      </c>
      <c r="I307" s="4"/>
      <c r="J307" s="4"/>
      <c r="K307" s="4">
        <v>209</v>
      </c>
      <c r="L307" s="4">
        <v>23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06" x14ac:dyDescent="0.2">
      <c r="A308" s="4">
        <v>50</v>
      </c>
      <c r="B308" s="4">
        <v>0</v>
      </c>
      <c r="C308" s="4">
        <v>0</v>
      </c>
      <c r="D308" s="4">
        <v>1</v>
      </c>
      <c r="E308" s="4">
        <v>210</v>
      </c>
      <c r="F308" s="4">
        <f>ROUND(Source!X283,O308)</f>
        <v>303094.21000000002</v>
      </c>
      <c r="G308" s="4" t="s">
        <v>142</v>
      </c>
      <c r="H308" s="4" t="s">
        <v>143</v>
      </c>
      <c r="I308" s="4"/>
      <c r="J308" s="4"/>
      <c r="K308" s="4">
        <v>210</v>
      </c>
      <c r="L308" s="4">
        <v>24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06" x14ac:dyDescent="0.2">
      <c r="A309" s="4">
        <v>50</v>
      </c>
      <c r="B309" s="4">
        <v>0</v>
      </c>
      <c r="C309" s="4">
        <v>0</v>
      </c>
      <c r="D309" s="4">
        <v>1</v>
      </c>
      <c r="E309" s="4">
        <v>211</v>
      </c>
      <c r="F309" s="4">
        <f>ROUND(Source!Y283,O309)</f>
        <v>43299.199999999997</v>
      </c>
      <c r="G309" s="4" t="s">
        <v>144</v>
      </c>
      <c r="H309" s="4" t="s">
        <v>145</v>
      </c>
      <c r="I309" s="4"/>
      <c r="J309" s="4"/>
      <c r="K309" s="4">
        <v>211</v>
      </c>
      <c r="L309" s="4">
        <v>25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06" x14ac:dyDescent="0.2">
      <c r="A310" s="4">
        <v>50</v>
      </c>
      <c r="B310" s="4">
        <v>0</v>
      </c>
      <c r="C310" s="4">
        <v>0</v>
      </c>
      <c r="D310" s="4">
        <v>1</v>
      </c>
      <c r="E310" s="4">
        <v>224</v>
      </c>
      <c r="F310" s="4">
        <f>ROUND(Source!AR283,O310)</f>
        <v>1844162.27</v>
      </c>
      <c r="G310" s="4" t="s">
        <v>146</v>
      </c>
      <c r="H310" s="4" t="s">
        <v>147</v>
      </c>
      <c r="I310" s="4"/>
      <c r="J310" s="4"/>
      <c r="K310" s="4">
        <v>224</v>
      </c>
      <c r="L310" s="4">
        <v>26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2" spans="1:206" x14ac:dyDescent="0.2">
      <c r="A312" s="2">
        <v>51</v>
      </c>
      <c r="B312" s="2">
        <f>B12</f>
        <v>347</v>
      </c>
      <c r="C312" s="2">
        <f>A12</f>
        <v>1</v>
      </c>
      <c r="D312" s="2">
        <f>ROW(A12)</f>
        <v>12</v>
      </c>
      <c r="E312" s="2"/>
      <c r="F312" s="2" t="str">
        <f>IF(F12&lt;&gt;"",F12,"")</f>
        <v/>
      </c>
      <c r="G312" s="2" t="str">
        <f>IF(G12&lt;&gt;"",G12,"")</f>
        <v>3 - Замена ограждения ГБПОУ МКАГ - ул. 12-я Парковая, д.13</v>
      </c>
      <c r="H312" s="2">
        <v>0</v>
      </c>
      <c r="I312" s="2"/>
      <c r="J312" s="2"/>
      <c r="K312" s="2"/>
      <c r="L312" s="2"/>
      <c r="M312" s="2"/>
      <c r="N312" s="2"/>
      <c r="O312" s="2">
        <f t="shared" ref="O312:T312" si="229">ROUND(O283,2)</f>
        <v>1334483.6499999999</v>
      </c>
      <c r="P312" s="2">
        <f t="shared" si="229"/>
        <v>653081.81000000006</v>
      </c>
      <c r="Q312" s="2">
        <f t="shared" si="229"/>
        <v>248410.11</v>
      </c>
      <c r="R312" s="2">
        <f t="shared" si="229"/>
        <v>157038.01999999999</v>
      </c>
      <c r="S312" s="2">
        <f t="shared" si="229"/>
        <v>432991.73</v>
      </c>
      <c r="T312" s="2">
        <f t="shared" si="229"/>
        <v>0</v>
      </c>
      <c r="U312" s="2">
        <f>U283</f>
        <v>1646.059835</v>
      </c>
      <c r="V312" s="2">
        <f>V283</f>
        <v>0</v>
      </c>
      <c r="W312" s="2">
        <f>ROUND(W283,2)</f>
        <v>0</v>
      </c>
      <c r="X312" s="2">
        <f>ROUND(X283,2)</f>
        <v>303094.21000000002</v>
      </c>
      <c r="Y312" s="2">
        <f>ROUND(Y283,2)</f>
        <v>43299.199999999997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>
        <f t="shared" ref="AO312:BC312" si="230">ROUND(AO283,2)</f>
        <v>0</v>
      </c>
      <c r="AP312" s="2">
        <f t="shared" si="230"/>
        <v>0</v>
      </c>
      <c r="AQ312" s="2">
        <f t="shared" si="230"/>
        <v>0</v>
      </c>
      <c r="AR312" s="2">
        <f t="shared" si="230"/>
        <v>1844162.27</v>
      </c>
      <c r="AS312" s="2">
        <f t="shared" si="230"/>
        <v>0</v>
      </c>
      <c r="AT312" s="2">
        <f t="shared" si="230"/>
        <v>0</v>
      </c>
      <c r="AU312" s="2">
        <f t="shared" si="230"/>
        <v>1844162.27</v>
      </c>
      <c r="AV312" s="2">
        <f t="shared" si="230"/>
        <v>653081.81000000006</v>
      </c>
      <c r="AW312" s="2">
        <f t="shared" si="230"/>
        <v>653081.81000000006</v>
      </c>
      <c r="AX312" s="2">
        <f t="shared" si="230"/>
        <v>0</v>
      </c>
      <c r="AY312" s="2">
        <f t="shared" si="230"/>
        <v>653081.81000000006</v>
      </c>
      <c r="AZ312" s="2">
        <f t="shared" si="230"/>
        <v>0</v>
      </c>
      <c r="BA312" s="2">
        <f t="shared" si="230"/>
        <v>0</v>
      </c>
      <c r="BB312" s="2">
        <f t="shared" si="230"/>
        <v>0</v>
      </c>
      <c r="BC312" s="2">
        <f t="shared" si="230"/>
        <v>0</v>
      </c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>
        <v>0</v>
      </c>
    </row>
    <row r="314" spans="1:206" x14ac:dyDescent="0.2">
      <c r="A314" s="4">
        <v>50</v>
      </c>
      <c r="B314" s="4">
        <v>0</v>
      </c>
      <c r="C314" s="4">
        <v>0</v>
      </c>
      <c r="D314" s="4">
        <v>1</v>
      </c>
      <c r="E314" s="4">
        <v>201</v>
      </c>
      <c r="F314" s="4">
        <f>ROUND(Source!O312,O314)</f>
        <v>1334483.6499999999</v>
      </c>
      <c r="G314" s="4" t="s">
        <v>96</v>
      </c>
      <c r="H314" s="4" t="s">
        <v>97</v>
      </c>
      <c r="I314" s="4"/>
      <c r="J314" s="4"/>
      <c r="K314" s="4">
        <v>201</v>
      </c>
      <c r="L314" s="4">
        <v>1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06" x14ac:dyDescent="0.2">
      <c r="A315" s="4">
        <v>50</v>
      </c>
      <c r="B315" s="4">
        <v>0</v>
      </c>
      <c r="C315" s="4">
        <v>0</v>
      </c>
      <c r="D315" s="4">
        <v>1</v>
      </c>
      <c r="E315" s="4">
        <v>202</v>
      </c>
      <c r="F315" s="4">
        <f>ROUND(Source!P312,O315)</f>
        <v>653081.81000000006</v>
      </c>
      <c r="G315" s="4" t="s">
        <v>98</v>
      </c>
      <c r="H315" s="4" t="s">
        <v>99</v>
      </c>
      <c r="I315" s="4"/>
      <c r="J315" s="4"/>
      <c r="K315" s="4">
        <v>202</v>
      </c>
      <c r="L315" s="4">
        <v>2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06" x14ac:dyDescent="0.2">
      <c r="A316" s="4">
        <v>50</v>
      </c>
      <c r="B316" s="4">
        <v>0</v>
      </c>
      <c r="C316" s="4">
        <v>0</v>
      </c>
      <c r="D316" s="4">
        <v>1</v>
      </c>
      <c r="E316" s="4">
        <v>222</v>
      </c>
      <c r="F316" s="4">
        <f>ROUND(Source!AO312,O316)</f>
        <v>0</v>
      </c>
      <c r="G316" s="4" t="s">
        <v>100</v>
      </c>
      <c r="H316" s="4" t="s">
        <v>101</v>
      </c>
      <c r="I316" s="4"/>
      <c r="J316" s="4"/>
      <c r="K316" s="4">
        <v>222</v>
      </c>
      <c r="L316" s="4">
        <v>3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06" x14ac:dyDescent="0.2">
      <c r="A317" s="4">
        <v>50</v>
      </c>
      <c r="B317" s="4">
        <v>0</v>
      </c>
      <c r="C317" s="4">
        <v>0</v>
      </c>
      <c r="D317" s="4">
        <v>1</v>
      </c>
      <c r="E317" s="4">
        <v>225</v>
      </c>
      <c r="F317" s="4">
        <f>ROUND(Source!AV312,O317)</f>
        <v>653081.81000000006</v>
      </c>
      <c r="G317" s="4" t="s">
        <v>102</v>
      </c>
      <c r="H317" s="4" t="s">
        <v>103</v>
      </c>
      <c r="I317" s="4"/>
      <c r="J317" s="4"/>
      <c r="K317" s="4">
        <v>225</v>
      </c>
      <c r="L317" s="4">
        <v>4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06" x14ac:dyDescent="0.2">
      <c r="A318" s="4">
        <v>50</v>
      </c>
      <c r="B318" s="4">
        <v>0</v>
      </c>
      <c r="C318" s="4">
        <v>0</v>
      </c>
      <c r="D318" s="4">
        <v>1</v>
      </c>
      <c r="E318" s="4">
        <v>226</v>
      </c>
      <c r="F318" s="4">
        <f>ROUND(Source!AW312,O318)</f>
        <v>653081.81000000006</v>
      </c>
      <c r="G318" s="4" t="s">
        <v>104</v>
      </c>
      <c r="H318" s="4" t="s">
        <v>105</v>
      </c>
      <c r="I318" s="4"/>
      <c r="J318" s="4"/>
      <c r="K318" s="4">
        <v>226</v>
      </c>
      <c r="L318" s="4">
        <v>5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06" x14ac:dyDescent="0.2">
      <c r="A319" s="4">
        <v>50</v>
      </c>
      <c r="B319" s="4">
        <v>0</v>
      </c>
      <c r="C319" s="4">
        <v>0</v>
      </c>
      <c r="D319" s="4">
        <v>1</v>
      </c>
      <c r="E319" s="4">
        <v>227</v>
      </c>
      <c r="F319" s="4">
        <f>ROUND(Source!AX312,O319)</f>
        <v>0</v>
      </c>
      <c r="G319" s="4" t="s">
        <v>106</v>
      </c>
      <c r="H319" s="4" t="s">
        <v>107</v>
      </c>
      <c r="I319" s="4"/>
      <c r="J319" s="4"/>
      <c r="K319" s="4">
        <v>227</v>
      </c>
      <c r="L319" s="4">
        <v>6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06" x14ac:dyDescent="0.2">
      <c r="A320" s="4">
        <v>50</v>
      </c>
      <c r="B320" s="4">
        <v>0</v>
      </c>
      <c r="C320" s="4">
        <v>0</v>
      </c>
      <c r="D320" s="4">
        <v>1</v>
      </c>
      <c r="E320" s="4">
        <v>228</v>
      </c>
      <c r="F320" s="4">
        <f>ROUND(Source!AY312,O320)</f>
        <v>653081.81000000006</v>
      </c>
      <c r="G320" s="4" t="s">
        <v>108</v>
      </c>
      <c r="H320" s="4" t="s">
        <v>109</v>
      </c>
      <c r="I320" s="4"/>
      <c r="J320" s="4"/>
      <c r="K320" s="4">
        <v>228</v>
      </c>
      <c r="L320" s="4">
        <v>7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>
        <v>50</v>
      </c>
      <c r="B321" s="4">
        <v>0</v>
      </c>
      <c r="C321" s="4">
        <v>0</v>
      </c>
      <c r="D321" s="4">
        <v>1</v>
      </c>
      <c r="E321" s="4">
        <v>216</v>
      </c>
      <c r="F321" s="4">
        <f>ROUND(Source!AP312,O321)</f>
        <v>0</v>
      </c>
      <c r="G321" s="4" t="s">
        <v>110</v>
      </c>
      <c r="H321" s="4" t="s">
        <v>111</v>
      </c>
      <c r="I321" s="4"/>
      <c r="J321" s="4"/>
      <c r="K321" s="4">
        <v>216</v>
      </c>
      <c r="L321" s="4">
        <v>8</v>
      </c>
      <c r="M321" s="4">
        <v>3</v>
      </c>
      <c r="N321" s="4" t="s">
        <v>3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>
        <v>50</v>
      </c>
      <c r="B322" s="4">
        <v>0</v>
      </c>
      <c r="C322" s="4">
        <v>0</v>
      </c>
      <c r="D322" s="4">
        <v>1</v>
      </c>
      <c r="E322" s="4">
        <v>223</v>
      </c>
      <c r="F322" s="4">
        <f>ROUND(Source!AQ312,O322)</f>
        <v>0</v>
      </c>
      <c r="G322" s="4" t="s">
        <v>112</v>
      </c>
      <c r="H322" s="4" t="s">
        <v>113</v>
      </c>
      <c r="I322" s="4"/>
      <c r="J322" s="4"/>
      <c r="K322" s="4">
        <v>223</v>
      </c>
      <c r="L322" s="4">
        <v>9</v>
      </c>
      <c r="M322" s="4">
        <v>3</v>
      </c>
      <c r="N322" s="4" t="s">
        <v>3</v>
      </c>
      <c r="O322" s="4">
        <v>2</v>
      </c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>
        <v>50</v>
      </c>
      <c r="B323" s="4">
        <v>0</v>
      </c>
      <c r="C323" s="4">
        <v>0</v>
      </c>
      <c r="D323" s="4">
        <v>1</v>
      </c>
      <c r="E323" s="4">
        <v>229</v>
      </c>
      <c r="F323" s="4">
        <f>ROUND(Source!AZ312,O323)</f>
        <v>0</v>
      </c>
      <c r="G323" s="4" t="s">
        <v>114</v>
      </c>
      <c r="H323" s="4" t="s">
        <v>115</v>
      </c>
      <c r="I323" s="4"/>
      <c r="J323" s="4"/>
      <c r="K323" s="4">
        <v>229</v>
      </c>
      <c r="L323" s="4">
        <v>10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>
        <v>50</v>
      </c>
      <c r="B324" s="4">
        <v>0</v>
      </c>
      <c r="C324" s="4">
        <v>0</v>
      </c>
      <c r="D324" s="4">
        <v>1</v>
      </c>
      <c r="E324" s="4">
        <v>203</v>
      </c>
      <c r="F324" s="4">
        <f>ROUND(Source!Q312,O324)</f>
        <v>248410.11</v>
      </c>
      <c r="G324" s="4" t="s">
        <v>116</v>
      </c>
      <c r="H324" s="4" t="s">
        <v>117</v>
      </c>
      <c r="I324" s="4"/>
      <c r="J324" s="4"/>
      <c r="K324" s="4">
        <v>203</v>
      </c>
      <c r="L324" s="4">
        <v>11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>
        <v>50</v>
      </c>
      <c r="B325" s="4">
        <v>0</v>
      </c>
      <c r="C325" s="4">
        <v>0</v>
      </c>
      <c r="D325" s="4">
        <v>1</v>
      </c>
      <c r="E325" s="4">
        <v>231</v>
      </c>
      <c r="F325" s="4">
        <f>ROUND(Source!BB312,O325)</f>
        <v>0</v>
      </c>
      <c r="G325" s="4" t="s">
        <v>118</v>
      </c>
      <c r="H325" s="4" t="s">
        <v>119</v>
      </c>
      <c r="I325" s="4"/>
      <c r="J325" s="4"/>
      <c r="K325" s="4">
        <v>231</v>
      </c>
      <c r="L325" s="4">
        <v>12</v>
      </c>
      <c r="M325" s="4">
        <v>3</v>
      </c>
      <c r="N325" s="4" t="s">
        <v>3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>
        <v>50</v>
      </c>
      <c r="B326" s="4">
        <v>0</v>
      </c>
      <c r="C326" s="4">
        <v>0</v>
      </c>
      <c r="D326" s="4">
        <v>1</v>
      </c>
      <c r="E326" s="4">
        <v>204</v>
      </c>
      <c r="F326" s="4">
        <f>ROUND(Source!R312,O326)</f>
        <v>157038.01999999999</v>
      </c>
      <c r="G326" s="4" t="s">
        <v>120</v>
      </c>
      <c r="H326" s="4" t="s">
        <v>121</v>
      </c>
      <c r="I326" s="4"/>
      <c r="J326" s="4"/>
      <c r="K326" s="4">
        <v>204</v>
      </c>
      <c r="L326" s="4">
        <v>13</v>
      </c>
      <c r="M326" s="4">
        <v>3</v>
      </c>
      <c r="N326" s="4" t="s">
        <v>3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>
        <v>50</v>
      </c>
      <c r="B327" s="4">
        <v>0</v>
      </c>
      <c r="C327" s="4">
        <v>0</v>
      </c>
      <c r="D327" s="4">
        <v>1</v>
      </c>
      <c r="E327" s="4">
        <v>205</v>
      </c>
      <c r="F327" s="4">
        <f>ROUND(Source!S312,O327)</f>
        <v>432991.73</v>
      </c>
      <c r="G327" s="4" t="s">
        <v>122</v>
      </c>
      <c r="H327" s="4" t="s">
        <v>123</v>
      </c>
      <c r="I327" s="4"/>
      <c r="J327" s="4"/>
      <c r="K327" s="4">
        <v>205</v>
      </c>
      <c r="L327" s="4">
        <v>14</v>
      </c>
      <c r="M327" s="4">
        <v>3</v>
      </c>
      <c r="N327" s="4" t="s">
        <v>3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>
        <v>50</v>
      </c>
      <c r="B328" s="4">
        <v>0</v>
      </c>
      <c r="C328" s="4">
        <v>0</v>
      </c>
      <c r="D328" s="4">
        <v>1</v>
      </c>
      <c r="E328" s="4">
        <v>232</v>
      </c>
      <c r="F328" s="4">
        <f>ROUND(Source!BC312,O328)</f>
        <v>0</v>
      </c>
      <c r="G328" s="4" t="s">
        <v>124</v>
      </c>
      <c r="H328" s="4" t="s">
        <v>125</v>
      </c>
      <c r="I328" s="4"/>
      <c r="J328" s="4"/>
      <c r="K328" s="4">
        <v>232</v>
      </c>
      <c r="L328" s="4">
        <v>15</v>
      </c>
      <c r="M328" s="4">
        <v>3</v>
      </c>
      <c r="N328" s="4" t="s">
        <v>3</v>
      </c>
      <c r="O328" s="4">
        <v>2</v>
      </c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>
        <v>50</v>
      </c>
      <c r="B329" s="4">
        <v>0</v>
      </c>
      <c r="C329" s="4">
        <v>0</v>
      </c>
      <c r="D329" s="4">
        <v>1</v>
      </c>
      <c r="E329" s="4">
        <v>214</v>
      </c>
      <c r="F329" s="4">
        <f>ROUND(Source!AS312,O329)</f>
        <v>0</v>
      </c>
      <c r="G329" s="4" t="s">
        <v>126</v>
      </c>
      <c r="H329" s="4" t="s">
        <v>127</v>
      </c>
      <c r="I329" s="4"/>
      <c r="J329" s="4"/>
      <c r="K329" s="4">
        <v>214</v>
      </c>
      <c r="L329" s="4">
        <v>16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>
        <v>50</v>
      </c>
      <c r="B330" s="4">
        <v>0</v>
      </c>
      <c r="C330" s="4">
        <v>0</v>
      </c>
      <c r="D330" s="4">
        <v>1</v>
      </c>
      <c r="E330" s="4">
        <v>215</v>
      </c>
      <c r="F330" s="4">
        <f>ROUND(Source!AT312,O330)</f>
        <v>0</v>
      </c>
      <c r="G330" s="4" t="s">
        <v>128</v>
      </c>
      <c r="H330" s="4" t="s">
        <v>129</v>
      </c>
      <c r="I330" s="4"/>
      <c r="J330" s="4"/>
      <c r="K330" s="4">
        <v>215</v>
      </c>
      <c r="L330" s="4">
        <v>17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>
        <v>50</v>
      </c>
      <c r="B331" s="4">
        <v>0</v>
      </c>
      <c r="C331" s="4">
        <v>0</v>
      </c>
      <c r="D331" s="4">
        <v>1</v>
      </c>
      <c r="E331" s="4">
        <v>217</v>
      </c>
      <c r="F331" s="4">
        <f>ROUND(Source!AU312,O331)</f>
        <v>1844162.27</v>
      </c>
      <c r="G331" s="4" t="s">
        <v>130</v>
      </c>
      <c r="H331" s="4" t="s">
        <v>131</v>
      </c>
      <c r="I331" s="4"/>
      <c r="J331" s="4"/>
      <c r="K331" s="4">
        <v>217</v>
      </c>
      <c r="L331" s="4">
        <v>18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>
        <v>50</v>
      </c>
      <c r="B332" s="4">
        <v>0</v>
      </c>
      <c r="C332" s="4">
        <v>0</v>
      </c>
      <c r="D332" s="4">
        <v>1</v>
      </c>
      <c r="E332" s="4">
        <v>230</v>
      </c>
      <c r="F332" s="4">
        <f>ROUND(Source!BA312,O332)</f>
        <v>0</v>
      </c>
      <c r="G332" s="4" t="s">
        <v>132</v>
      </c>
      <c r="H332" s="4" t="s">
        <v>133</v>
      </c>
      <c r="I332" s="4"/>
      <c r="J332" s="4"/>
      <c r="K332" s="4">
        <v>230</v>
      </c>
      <c r="L332" s="4">
        <v>19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>
        <v>50</v>
      </c>
      <c r="B333" s="4">
        <v>0</v>
      </c>
      <c r="C333" s="4">
        <v>0</v>
      </c>
      <c r="D333" s="4">
        <v>1</v>
      </c>
      <c r="E333" s="4">
        <v>206</v>
      </c>
      <c r="F333" s="4">
        <f>ROUND(Source!T312,O333)</f>
        <v>0</v>
      </c>
      <c r="G333" s="4" t="s">
        <v>134</v>
      </c>
      <c r="H333" s="4" t="s">
        <v>135</v>
      </c>
      <c r="I333" s="4"/>
      <c r="J333" s="4"/>
      <c r="K333" s="4">
        <v>206</v>
      </c>
      <c r="L333" s="4">
        <v>20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>
        <v>50</v>
      </c>
      <c r="B334" s="4">
        <v>0</v>
      </c>
      <c r="C334" s="4">
        <v>0</v>
      </c>
      <c r="D334" s="4">
        <v>1</v>
      </c>
      <c r="E334" s="4">
        <v>207</v>
      </c>
      <c r="F334" s="4">
        <f>Source!U312</f>
        <v>1646.059835</v>
      </c>
      <c r="G334" s="4" t="s">
        <v>136</v>
      </c>
      <c r="H334" s="4" t="s">
        <v>137</v>
      </c>
      <c r="I334" s="4"/>
      <c r="J334" s="4"/>
      <c r="K334" s="4">
        <v>207</v>
      </c>
      <c r="L334" s="4">
        <v>21</v>
      </c>
      <c r="M334" s="4">
        <v>3</v>
      </c>
      <c r="N334" s="4" t="s">
        <v>3</v>
      </c>
      <c r="O334" s="4">
        <v>-1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>
        <v>50</v>
      </c>
      <c r="B335" s="4">
        <v>0</v>
      </c>
      <c r="C335" s="4">
        <v>0</v>
      </c>
      <c r="D335" s="4">
        <v>1</v>
      </c>
      <c r="E335" s="4">
        <v>208</v>
      </c>
      <c r="F335" s="4">
        <f>Source!V312</f>
        <v>0</v>
      </c>
      <c r="G335" s="4" t="s">
        <v>138</v>
      </c>
      <c r="H335" s="4" t="s">
        <v>139</v>
      </c>
      <c r="I335" s="4"/>
      <c r="J335" s="4"/>
      <c r="K335" s="4">
        <v>208</v>
      </c>
      <c r="L335" s="4">
        <v>22</v>
      </c>
      <c r="M335" s="4">
        <v>3</v>
      </c>
      <c r="N335" s="4" t="s">
        <v>3</v>
      </c>
      <c r="O335" s="4">
        <v>-1</v>
      </c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>
        <v>50</v>
      </c>
      <c r="B336" s="4">
        <v>0</v>
      </c>
      <c r="C336" s="4">
        <v>0</v>
      </c>
      <c r="D336" s="4">
        <v>1</v>
      </c>
      <c r="E336" s="4">
        <v>209</v>
      </c>
      <c r="F336" s="4">
        <f>ROUND(Source!W312,O336)</f>
        <v>0</v>
      </c>
      <c r="G336" s="4" t="s">
        <v>140</v>
      </c>
      <c r="H336" s="4" t="s">
        <v>141</v>
      </c>
      <c r="I336" s="4"/>
      <c r="J336" s="4"/>
      <c r="K336" s="4">
        <v>209</v>
      </c>
      <c r="L336" s="4">
        <v>23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>
        <v>50</v>
      </c>
      <c r="B337" s="4">
        <v>0</v>
      </c>
      <c r="C337" s="4">
        <v>0</v>
      </c>
      <c r="D337" s="4">
        <v>1</v>
      </c>
      <c r="E337" s="4">
        <v>210</v>
      </c>
      <c r="F337" s="4">
        <f>ROUND(Source!X312,O337)</f>
        <v>303094.21000000002</v>
      </c>
      <c r="G337" s="4" t="s">
        <v>142</v>
      </c>
      <c r="H337" s="4" t="s">
        <v>143</v>
      </c>
      <c r="I337" s="4"/>
      <c r="J337" s="4"/>
      <c r="K337" s="4">
        <v>210</v>
      </c>
      <c r="L337" s="4">
        <v>24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211</v>
      </c>
      <c r="F338" s="4">
        <f>ROUND(Source!Y312,O338)</f>
        <v>43299.199999999997</v>
      </c>
      <c r="G338" s="4" t="s">
        <v>144</v>
      </c>
      <c r="H338" s="4" t="s">
        <v>145</v>
      </c>
      <c r="I338" s="4"/>
      <c r="J338" s="4"/>
      <c r="K338" s="4">
        <v>211</v>
      </c>
      <c r="L338" s="4">
        <v>25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224</v>
      </c>
      <c r="F339" s="4">
        <f>ROUND(Source!AR312,O339)</f>
        <v>1844162.27</v>
      </c>
      <c r="G339" s="4" t="s">
        <v>146</v>
      </c>
      <c r="H339" s="4" t="s">
        <v>147</v>
      </c>
      <c r="I339" s="4"/>
      <c r="J339" s="4"/>
      <c r="K339" s="4">
        <v>224</v>
      </c>
      <c r="L339" s="4">
        <v>26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1</v>
      </c>
      <c r="C340" s="4">
        <v>0</v>
      </c>
      <c r="D340" s="4">
        <v>2</v>
      </c>
      <c r="E340" s="4">
        <v>0</v>
      </c>
      <c r="F340" s="4">
        <f>ROUND(F339*0.2,O340)</f>
        <v>368832.45</v>
      </c>
      <c r="G340" s="4" t="s">
        <v>14</v>
      </c>
      <c r="H340" s="4" t="s">
        <v>275</v>
      </c>
      <c r="I340" s="4"/>
      <c r="J340" s="4"/>
      <c r="K340" s="4">
        <v>212</v>
      </c>
      <c r="L340" s="4">
        <v>27</v>
      </c>
      <c r="M340" s="4">
        <v>0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1</v>
      </c>
      <c r="C341" s="4">
        <v>0</v>
      </c>
      <c r="D341" s="4">
        <v>2</v>
      </c>
      <c r="E341" s="4">
        <v>213</v>
      </c>
      <c r="F341" s="4">
        <f>ROUND(F339*1.2,O341)</f>
        <v>2212994.7200000002</v>
      </c>
      <c r="G341" s="4" t="s">
        <v>22</v>
      </c>
      <c r="H341" s="4" t="s">
        <v>276</v>
      </c>
      <c r="I341" s="4"/>
      <c r="J341" s="4"/>
      <c r="K341" s="4">
        <v>212</v>
      </c>
      <c r="L341" s="4">
        <v>28</v>
      </c>
      <c r="M341" s="4">
        <v>0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1</v>
      </c>
      <c r="C342" s="4">
        <v>0</v>
      </c>
      <c r="D342" s="4">
        <v>2</v>
      </c>
      <c r="E342" s="4">
        <v>0</v>
      </c>
      <c r="F342" s="4">
        <f>ROUND(5.828*23000,O342)</f>
        <v>134044</v>
      </c>
      <c r="G342" s="4" t="s">
        <v>26</v>
      </c>
      <c r="H342" s="4" t="s">
        <v>277</v>
      </c>
      <c r="I342" s="4"/>
      <c r="J342" s="4"/>
      <c r="K342" s="4">
        <v>212</v>
      </c>
      <c r="L342" s="4">
        <v>29</v>
      </c>
      <c r="M342" s="4">
        <v>0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5" spans="1:23" x14ac:dyDescent="0.2">
      <c r="A345">
        <v>-1</v>
      </c>
    </row>
    <row r="347" spans="1:23" x14ac:dyDescent="0.2">
      <c r="A347" s="3">
        <v>75</v>
      </c>
      <c r="B347" s="3" t="s">
        <v>278</v>
      </c>
      <c r="C347" s="3">
        <v>2020</v>
      </c>
      <c r="D347" s="3">
        <v>0</v>
      </c>
      <c r="E347" s="3">
        <v>10</v>
      </c>
      <c r="F347" s="3">
        <v>0</v>
      </c>
      <c r="G347" s="3">
        <v>0</v>
      </c>
      <c r="H347" s="3">
        <v>1</v>
      </c>
      <c r="I347" s="3">
        <v>0</v>
      </c>
      <c r="J347" s="3">
        <v>1</v>
      </c>
      <c r="K347" s="3">
        <v>78</v>
      </c>
      <c r="L347" s="3">
        <v>30</v>
      </c>
      <c r="M347" s="3">
        <v>0</v>
      </c>
      <c r="N347" s="3">
        <v>46561299</v>
      </c>
      <c r="O347" s="3">
        <v>1</v>
      </c>
    </row>
    <row r="351" spans="1:23" x14ac:dyDescent="0.2">
      <c r="A351">
        <v>65</v>
      </c>
      <c r="C351">
        <v>1</v>
      </c>
      <c r="D351">
        <v>0</v>
      </c>
      <c r="E351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279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32834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53</v>
      </c>
      <c r="C12" s="1">
        <v>0</v>
      </c>
      <c r="D12" s="1"/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46561299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11</v>
      </c>
      <c r="D16" s="5" t="s">
        <v>11</v>
      </c>
      <c r="E16" s="6">
        <f>(Source!F300)/1000</f>
        <v>0</v>
      </c>
      <c r="F16" s="6">
        <f>(Source!F301)/1000</f>
        <v>0</v>
      </c>
      <c r="G16" s="6">
        <f>(Source!F292)/1000</f>
        <v>0</v>
      </c>
      <c r="H16" s="6">
        <f>(Source!F302)/1000+(Source!F303)/1000</f>
        <v>1844.16227</v>
      </c>
      <c r="I16" s="6">
        <f>E16+F16+G16+H16</f>
        <v>1844.16227</v>
      </c>
      <c r="J16" s="6">
        <f>(Source!F298)/1000</f>
        <v>432.99172999999996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1334483.6499999999</v>
      </c>
      <c r="AU16" s="6">
        <v>653081.81000000006</v>
      </c>
      <c r="AV16" s="6">
        <v>0</v>
      </c>
      <c r="AW16" s="6">
        <v>0</v>
      </c>
      <c r="AX16" s="6">
        <v>0</v>
      </c>
      <c r="AY16" s="6">
        <v>248410.11</v>
      </c>
      <c r="AZ16" s="6">
        <v>157038.01999999999</v>
      </c>
      <c r="BA16" s="6">
        <v>432991.73</v>
      </c>
      <c r="BB16" s="6">
        <v>0</v>
      </c>
      <c r="BC16" s="6">
        <v>0</v>
      </c>
      <c r="BD16" s="6">
        <v>1844162.27</v>
      </c>
      <c r="BE16" s="6">
        <v>0</v>
      </c>
      <c r="BF16" s="6">
        <v>1646.059835</v>
      </c>
      <c r="BG16" s="6">
        <v>0</v>
      </c>
      <c r="BH16" s="6">
        <v>0</v>
      </c>
      <c r="BI16" s="6">
        <v>303094.21000000002</v>
      </c>
      <c r="BJ16" s="6">
        <v>43299.199999999997</v>
      </c>
      <c r="BK16" s="6">
        <v>1844162.27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1844.16227</v>
      </c>
      <c r="I18" s="7">
        <f>SUMIF(A16:A17,3,I16:I17)</f>
        <v>1844.16227</v>
      </c>
      <c r="J18" s="7">
        <f>SUMIF(A16:A17,3,J16:J17)</f>
        <v>432.99172999999996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1334483.6499999999</v>
      </c>
      <c r="G20" s="4" t="s">
        <v>96</v>
      </c>
      <c r="H20" s="4" t="s">
        <v>97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653081.81000000006</v>
      </c>
      <c r="G21" s="4" t="s">
        <v>98</v>
      </c>
      <c r="H21" s="4" t="s">
        <v>99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100</v>
      </c>
      <c r="H22" s="4" t="s">
        <v>101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653081.81000000006</v>
      </c>
      <c r="G23" s="4" t="s">
        <v>102</v>
      </c>
      <c r="H23" s="4" t="s">
        <v>103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653081.81000000006</v>
      </c>
      <c r="G24" s="4" t="s">
        <v>104</v>
      </c>
      <c r="H24" s="4" t="s">
        <v>105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106</v>
      </c>
      <c r="H25" s="4" t="s">
        <v>107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653081.81000000006</v>
      </c>
      <c r="G26" s="4" t="s">
        <v>108</v>
      </c>
      <c r="H26" s="4" t="s">
        <v>109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110</v>
      </c>
      <c r="H27" s="4" t="s">
        <v>111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112</v>
      </c>
      <c r="H28" s="4" t="s">
        <v>113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114</v>
      </c>
      <c r="H29" s="4" t="s">
        <v>115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248410.11</v>
      </c>
      <c r="G30" s="4" t="s">
        <v>116</v>
      </c>
      <c r="H30" s="4" t="s">
        <v>117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118</v>
      </c>
      <c r="H31" s="4" t="s">
        <v>119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157038.01999999999</v>
      </c>
      <c r="G32" s="4" t="s">
        <v>120</v>
      </c>
      <c r="H32" s="4" t="s">
        <v>121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432991.73</v>
      </c>
      <c r="G33" s="4" t="s">
        <v>122</v>
      </c>
      <c r="H33" s="4" t="s">
        <v>123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124</v>
      </c>
      <c r="H34" s="4" t="s">
        <v>125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126</v>
      </c>
      <c r="H35" s="4" t="s">
        <v>127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128</v>
      </c>
      <c r="H36" s="4" t="s">
        <v>129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1844162.27</v>
      </c>
      <c r="G37" s="4" t="s">
        <v>130</v>
      </c>
      <c r="H37" s="4" t="s">
        <v>131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132</v>
      </c>
      <c r="H38" s="4" t="s">
        <v>133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134</v>
      </c>
      <c r="H39" s="4" t="s">
        <v>135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1646.059835</v>
      </c>
      <c r="G40" s="4" t="s">
        <v>136</v>
      </c>
      <c r="H40" s="4" t="s">
        <v>137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138</v>
      </c>
      <c r="H41" s="4" t="s">
        <v>139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140</v>
      </c>
      <c r="H42" s="4" t="s">
        <v>141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303094.21000000002</v>
      </c>
      <c r="G43" s="4" t="s">
        <v>142</v>
      </c>
      <c r="H43" s="4" t="s">
        <v>143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43299.199999999997</v>
      </c>
      <c r="G44" s="4" t="s">
        <v>144</v>
      </c>
      <c r="H44" s="4" t="s">
        <v>145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1844162.27</v>
      </c>
      <c r="G45" s="4" t="s">
        <v>146</v>
      </c>
      <c r="H45" s="4" t="s">
        <v>147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1</v>
      </c>
      <c r="C46" s="4">
        <v>0</v>
      </c>
      <c r="D46" s="4">
        <v>2</v>
      </c>
      <c r="E46" s="4">
        <v>0</v>
      </c>
      <c r="F46" s="4">
        <v>368832.45</v>
      </c>
      <c r="G46" s="4" t="s">
        <v>14</v>
      </c>
      <c r="H46" s="4" t="s">
        <v>275</v>
      </c>
      <c r="I46" s="4"/>
      <c r="J46" s="4"/>
      <c r="K46" s="4">
        <v>212</v>
      </c>
      <c r="L46" s="4">
        <v>27</v>
      </c>
      <c r="M46" s="4">
        <v>0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213</v>
      </c>
      <c r="F47" s="4">
        <v>2212994.7200000002</v>
      </c>
      <c r="G47" s="4" t="s">
        <v>22</v>
      </c>
      <c r="H47" s="4" t="s">
        <v>276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134044</v>
      </c>
      <c r="G48" s="4" t="s">
        <v>26</v>
      </c>
      <c r="H48" s="4" t="s">
        <v>277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50" spans="1:15" x14ac:dyDescent="0.2">
      <c r="A50">
        <v>-1</v>
      </c>
    </row>
    <row r="53" spans="1:15" x14ac:dyDescent="0.2">
      <c r="A53" s="3">
        <v>75</v>
      </c>
      <c r="B53" s="3" t="s">
        <v>278</v>
      </c>
      <c r="C53" s="3">
        <v>2020</v>
      </c>
      <c r="D53" s="3">
        <v>0</v>
      </c>
      <c r="E53" s="3">
        <v>10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78</v>
      </c>
      <c r="L53" s="3">
        <v>30</v>
      </c>
      <c r="M53" s="3">
        <v>0</v>
      </c>
      <c r="N53" s="3">
        <v>46561299</v>
      </c>
      <c r="O53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4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46561299</v>
      </c>
      <c r="C1">
        <v>46561496</v>
      </c>
      <c r="D1">
        <v>45130551</v>
      </c>
      <c r="E1">
        <v>27</v>
      </c>
      <c r="F1">
        <v>1</v>
      </c>
      <c r="G1">
        <v>27</v>
      </c>
      <c r="H1">
        <v>1</v>
      </c>
      <c r="I1" t="s">
        <v>280</v>
      </c>
      <c r="J1" t="s">
        <v>3</v>
      </c>
      <c r="K1" t="s">
        <v>281</v>
      </c>
      <c r="L1">
        <v>1191</v>
      </c>
      <c r="N1">
        <v>1013</v>
      </c>
      <c r="O1" t="s">
        <v>282</v>
      </c>
      <c r="P1" t="s">
        <v>282</v>
      </c>
      <c r="Q1">
        <v>1</v>
      </c>
      <c r="W1">
        <v>0</v>
      </c>
      <c r="X1">
        <v>476480486</v>
      </c>
      <c r="Y1">
        <v>221.6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221.6</v>
      </c>
      <c r="AU1" t="s">
        <v>3</v>
      </c>
      <c r="AV1">
        <v>1</v>
      </c>
      <c r="AW1">
        <v>2</v>
      </c>
      <c r="AX1">
        <v>46561498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5.9832000000000001</v>
      </c>
      <c r="CY1">
        <f>AD1</f>
        <v>0</v>
      </c>
      <c r="CZ1">
        <f>AH1</f>
        <v>0</v>
      </c>
      <c r="DA1">
        <f>AL1</f>
        <v>1</v>
      </c>
      <c r="DB1">
        <f>ROUND(ROUND(AT1*CZ1,2),6)</f>
        <v>0</v>
      </c>
      <c r="DC1">
        <f>ROUND(ROUND(AT1*AG1,2),6)</f>
        <v>0</v>
      </c>
    </row>
    <row r="2" spans="1:107" x14ac:dyDescent="0.2">
      <c r="A2">
        <f>ROW(Source!A29)</f>
        <v>29</v>
      </c>
      <c r="B2">
        <v>46561299</v>
      </c>
      <c r="C2">
        <v>46561502</v>
      </c>
      <c r="D2">
        <v>45130551</v>
      </c>
      <c r="E2">
        <v>27</v>
      </c>
      <c r="F2">
        <v>1</v>
      </c>
      <c r="G2">
        <v>27</v>
      </c>
      <c r="H2">
        <v>1</v>
      </c>
      <c r="I2" t="s">
        <v>280</v>
      </c>
      <c r="J2" t="s">
        <v>3</v>
      </c>
      <c r="K2" t="s">
        <v>281</v>
      </c>
      <c r="L2">
        <v>1191</v>
      </c>
      <c r="N2">
        <v>1013</v>
      </c>
      <c r="O2" t="s">
        <v>282</v>
      </c>
      <c r="P2" t="s">
        <v>282</v>
      </c>
      <c r="Q2">
        <v>1</v>
      </c>
      <c r="W2">
        <v>0</v>
      </c>
      <c r="X2">
        <v>476480486</v>
      </c>
      <c r="Y2">
        <v>83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83</v>
      </c>
      <c r="AU2" t="s">
        <v>3</v>
      </c>
      <c r="AV2">
        <v>1</v>
      </c>
      <c r="AW2">
        <v>2</v>
      </c>
      <c r="AX2">
        <v>46561504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Y2*Source!I29</f>
        <v>2.2410000000000001</v>
      </c>
      <c r="CY2">
        <f>AD2</f>
        <v>0</v>
      </c>
      <c r="CZ2">
        <f>AH2</f>
        <v>0</v>
      </c>
      <c r="DA2">
        <f>AL2</f>
        <v>1</v>
      </c>
      <c r="DB2">
        <f>ROUND(ROUND(AT2*CZ2,2),6)</f>
        <v>0</v>
      </c>
      <c r="DC2">
        <f>ROUND(ROUND(AT2*AG2,2),6)</f>
        <v>0</v>
      </c>
    </row>
    <row r="3" spans="1:107" x14ac:dyDescent="0.2">
      <c r="A3">
        <f>ROW(Source!A30)</f>
        <v>30</v>
      </c>
      <c r="B3">
        <v>46561299</v>
      </c>
      <c r="C3">
        <v>46561505</v>
      </c>
      <c r="D3">
        <v>45143535</v>
      </c>
      <c r="E3">
        <v>1</v>
      </c>
      <c r="F3">
        <v>1</v>
      </c>
      <c r="G3">
        <v>27</v>
      </c>
      <c r="H3">
        <v>2</v>
      </c>
      <c r="I3" t="s">
        <v>283</v>
      </c>
      <c r="J3" t="s">
        <v>284</v>
      </c>
      <c r="K3" t="s">
        <v>285</v>
      </c>
      <c r="L3">
        <v>1368</v>
      </c>
      <c r="N3">
        <v>1011</v>
      </c>
      <c r="O3" t="s">
        <v>286</v>
      </c>
      <c r="P3" t="s">
        <v>286</v>
      </c>
      <c r="Q3">
        <v>1</v>
      </c>
      <c r="W3">
        <v>0</v>
      </c>
      <c r="X3">
        <v>486337296</v>
      </c>
      <c r="Y3">
        <v>3.1E-2</v>
      </c>
      <c r="AA3">
        <v>0</v>
      </c>
      <c r="AB3">
        <v>1014.12</v>
      </c>
      <c r="AC3">
        <v>317.13</v>
      </c>
      <c r="AD3">
        <v>0</v>
      </c>
      <c r="AE3">
        <v>0</v>
      </c>
      <c r="AF3">
        <v>1014.12</v>
      </c>
      <c r="AG3">
        <v>317.13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3.1E-2</v>
      </c>
      <c r="AU3" t="s">
        <v>3</v>
      </c>
      <c r="AV3">
        <v>0</v>
      </c>
      <c r="AW3">
        <v>2</v>
      </c>
      <c r="AX3">
        <v>46561507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Y3*Source!I30</f>
        <v>8.3700000000000011E-2</v>
      </c>
      <c r="CY3">
        <f>AB3</f>
        <v>1014.12</v>
      </c>
      <c r="CZ3">
        <f>AF3</f>
        <v>1014.12</v>
      </c>
      <c r="DA3">
        <f>AJ3</f>
        <v>1</v>
      </c>
      <c r="DB3">
        <f>ROUND(ROUND(AT3*CZ3,2),6)</f>
        <v>31.44</v>
      </c>
      <c r="DC3">
        <f>ROUND(ROUND(AT3*AG3,2),6)</f>
        <v>9.83</v>
      </c>
    </row>
    <row r="4" spans="1:107" x14ac:dyDescent="0.2">
      <c r="A4">
        <f>ROW(Source!A31)</f>
        <v>31</v>
      </c>
      <c r="B4">
        <v>46561299</v>
      </c>
      <c r="C4">
        <v>46561508</v>
      </c>
      <c r="D4">
        <v>45143535</v>
      </c>
      <c r="E4">
        <v>1</v>
      </c>
      <c r="F4">
        <v>1</v>
      </c>
      <c r="G4">
        <v>27</v>
      </c>
      <c r="H4">
        <v>2</v>
      </c>
      <c r="I4" t="s">
        <v>283</v>
      </c>
      <c r="J4" t="s">
        <v>284</v>
      </c>
      <c r="K4" t="s">
        <v>285</v>
      </c>
      <c r="L4">
        <v>1368</v>
      </c>
      <c r="N4">
        <v>1011</v>
      </c>
      <c r="O4" t="s">
        <v>286</v>
      </c>
      <c r="P4" t="s">
        <v>286</v>
      </c>
      <c r="Q4">
        <v>1</v>
      </c>
      <c r="W4">
        <v>0</v>
      </c>
      <c r="X4">
        <v>486337296</v>
      </c>
      <c r="Y4">
        <v>0.32</v>
      </c>
      <c r="AA4">
        <v>0</v>
      </c>
      <c r="AB4">
        <v>1014.12</v>
      </c>
      <c r="AC4">
        <v>317.13</v>
      </c>
      <c r="AD4">
        <v>0</v>
      </c>
      <c r="AE4">
        <v>0</v>
      </c>
      <c r="AF4">
        <v>1014.12</v>
      </c>
      <c r="AG4">
        <v>317.13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1</v>
      </c>
      <c r="AQ4">
        <v>0</v>
      </c>
      <c r="AR4">
        <v>0</v>
      </c>
      <c r="AS4" t="s">
        <v>3</v>
      </c>
      <c r="AT4">
        <v>0.01</v>
      </c>
      <c r="AU4" t="s">
        <v>36</v>
      </c>
      <c r="AV4">
        <v>0</v>
      </c>
      <c r="AW4">
        <v>2</v>
      </c>
      <c r="AX4">
        <v>46561510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Y4*Source!I31</f>
        <v>0.8640000000000001</v>
      </c>
      <c r="CY4">
        <f>AB4</f>
        <v>1014.12</v>
      </c>
      <c r="CZ4">
        <f>AF4</f>
        <v>1014.12</v>
      </c>
      <c r="DA4">
        <f>AJ4</f>
        <v>1</v>
      </c>
      <c r="DB4">
        <f>ROUND((ROUND(AT4*CZ4,2)*32),6)</f>
        <v>324.48</v>
      </c>
      <c r="DC4">
        <f>ROUND((ROUND(AT4*AG4,2)*32),6)</f>
        <v>101.44</v>
      </c>
    </row>
    <row r="5" spans="1:107" x14ac:dyDescent="0.2">
      <c r="A5">
        <f>ROW(Source!A32)</f>
        <v>32</v>
      </c>
      <c r="B5">
        <v>46561299</v>
      </c>
      <c r="C5">
        <v>46561511</v>
      </c>
      <c r="D5">
        <v>45130551</v>
      </c>
      <c r="E5">
        <v>27</v>
      </c>
      <c r="F5">
        <v>1</v>
      </c>
      <c r="G5">
        <v>27</v>
      </c>
      <c r="H5">
        <v>1</v>
      </c>
      <c r="I5" t="s">
        <v>280</v>
      </c>
      <c r="J5" t="s">
        <v>3</v>
      </c>
      <c r="K5" t="s">
        <v>281</v>
      </c>
      <c r="L5">
        <v>1191</v>
      </c>
      <c r="N5">
        <v>1013</v>
      </c>
      <c r="O5" t="s">
        <v>282</v>
      </c>
      <c r="P5" t="s">
        <v>282</v>
      </c>
      <c r="Q5">
        <v>1</v>
      </c>
      <c r="W5">
        <v>0</v>
      </c>
      <c r="X5">
        <v>476480486</v>
      </c>
      <c r="Y5">
        <v>1.25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1.25</v>
      </c>
      <c r="AU5" t="s">
        <v>3</v>
      </c>
      <c r="AV5">
        <v>1</v>
      </c>
      <c r="AW5">
        <v>2</v>
      </c>
      <c r="AX5">
        <v>46561516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Y5*Source!I32</f>
        <v>2.875</v>
      </c>
      <c r="CY5">
        <f>AD5</f>
        <v>0</v>
      </c>
      <c r="CZ5">
        <f>AH5</f>
        <v>0</v>
      </c>
      <c r="DA5">
        <f>AL5</f>
        <v>1</v>
      </c>
      <c r="DB5">
        <f t="shared" ref="DB5:DB36" si="0">ROUND(ROUND(AT5*CZ5,2),6)</f>
        <v>0</v>
      </c>
      <c r="DC5">
        <f t="shared" ref="DC5:DC36" si="1">ROUND(ROUND(AT5*AG5,2),6)</f>
        <v>0</v>
      </c>
    </row>
    <row r="6" spans="1:107" x14ac:dyDescent="0.2">
      <c r="A6">
        <f>ROW(Source!A32)</f>
        <v>32</v>
      </c>
      <c r="B6">
        <v>46561299</v>
      </c>
      <c r="C6">
        <v>46561511</v>
      </c>
      <c r="D6">
        <v>45144915</v>
      </c>
      <c r="E6">
        <v>1</v>
      </c>
      <c r="F6">
        <v>1</v>
      </c>
      <c r="G6">
        <v>27</v>
      </c>
      <c r="H6">
        <v>3</v>
      </c>
      <c r="I6" t="s">
        <v>287</v>
      </c>
      <c r="J6" t="s">
        <v>288</v>
      </c>
      <c r="K6" t="s">
        <v>289</v>
      </c>
      <c r="L6">
        <v>1339</v>
      </c>
      <c r="N6">
        <v>1007</v>
      </c>
      <c r="O6" t="s">
        <v>29</v>
      </c>
      <c r="P6" t="s">
        <v>29</v>
      </c>
      <c r="Q6">
        <v>1</v>
      </c>
      <c r="W6">
        <v>0</v>
      </c>
      <c r="X6">
        <v>1099845635</v>
      </c>
      <c r="Y6">
        <v>0.06</v>
      </c>
      <c r="AA6">
        <v>1865.77</v>
      </c>
      <c r="AB6">
        <v>0</v>
      </c>
      <c r="AC6">
        <v>0</v>
      </c>
      <c r="AD6">
        <v>0</v>
      </c>
      <c r="AE6">
        <v>1865.77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0.06</v>
      </c>
      <c r="AU6" t="s">
        <v>3</v>
      </c>
      <c r="AV6">
        <v>0</v>
      </c>
      <c r="AW6">
        <v>2</v>
      </c>
      <c r="AX6">
        <v>46561517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0.13799999999999998</v>
      </c>
      <c r="CY6">
        <f>AA6</f>
        <v>1865.77</v>
      </c>
      <c r="CZ6">
        <f>AE6</f>
        <v>1865.77</v>
      </c>
      <c r="DA6">
        <f>AI6</f>
        <v>1</v>
      </c>
      <c r="DB6">
        <f t="shared" si="0"/>
        <v>111.95</v>
      </c>
      <c r="DC6">
        <f t="shared" si="1"/>
        <v>0</v>
      </c>
    </row>
    <row r="7" spans="1:107" x14ac:dyDescent="0.2">
      <c r="A7">
        <f>ROW(Source!A32)</f>
        <v>32</v>
      </c>
      <c r="B7">
        <v>46561299</v>
      </c>
      <c r="C7">
        <v>46561511</v>
      </c>
      <c r="D7">
        <v>45144916</v>
      </c>
      <c r="E7">
        <v>1</v>
      </c>
      <c r="F7">
        <v>1</v>
      </c>
      <c r="G7">
        <v>27</v>
      </c>
      <c r="H7">
        <v>3</v>
      </c>
      <c r="I7" t="s">
        <v>290</v>
      </c>
      <c r="J7" t="s">
        <v>291</v>
      </c>
      <c r="K7" t="s">
        <v>292</v>
      </c>
      <c r="L7">
        <v>1339</v>
      </c>
      <c r="N7">
        <v>1007</v>
      </c>
      <c r="O7" t="s">
        <v>29</v>
      </c>
      <c r="P7" t="s">
        <v>29</v>
      </c>
      <c r="Q7">
        <v>1</v>
      </c>
      <c r="W7">
        <v>0</v>
      </c>
      <c r="X7">
        <v>-886425656</v>
      </c>
      <c r="Y7">
        <v>0.24</v>
      </c>
      <c r="AA7">
        <v>1763.75</v>
      </c>
      <c r="AB7">
        <v>0</v>
      </c>
      <c r="AC7">
        <v>0</v>
      </c>
      <c r="AD7">
        <v>0</v>
      </c>
      <c r="AE7">
        <v>1763.75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0.24</v>
      </c>
      <c r="AU7" t="s">
        <v>3</v>
      </c>
      <c r="AV7">
        <v>0</v>
      </c>
      <c r="AW7">
        <v>2</v>
      </c>
      <c r="AX7">
        <v>46561518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0.55199999999999994</v>
      </c>
      <c r="CY7">
        <f>AA7</f>
        <v>1763.75</v>
      </c>
      <c r="CZ7">
        <f>AE7</f>
        <v>1763.75</v>
      </c>
      <c r="DA7">
        <f>AI7</f>
        <v>1</v>
      </c>
      <c r="DB7">
        <f t="shared" si="0"/>
        <v>423.3</v>
      </c>
      <c r="DC7">
        <f t="shared" si="1"/>
        <v>0</v>
      </c>
    </row>
    <row r="8" spans="1:107" x14ac:dyDescent="0.2">
      <c r="A8">
        <f>ROW(Source!A32)</f>
        <v>32</v>
      </c>
      <c r="B8">
        <v>46561299</v>
      </c>
      <c r="C8">
        <v>46561511</v>
      </c>
      <c r="D8">
        <v>45145636</v>
      </c>
      <c r="E8">
        <v>1</v>
      </c>
      <c r="F8">
        <v>1</v>
      </c>
      <c r="G8">
        <v>27</v>
      </c>
      <c r="H8">
        <v>3</v>
      </c>
      <c r="I8" t="s">
        <v>293</v>
      </c>
      <c r="J8" t="s">
        <v>294</v>
      </c>
      <c r="K8" t="s">
        <v>295</v>
      </c>
      <c r="L8">
        <v>1339</v>
      </c>
      <c r="N8">
        <v>1007</v>
      </c>
      <c r="O8" t="s">
        <v>29</v>
      </c>
      <c r="P8" t="s">
        <v>29</v>
      </c>
      <c r="Q8">
        <v>1</v>
      </c>
      <c r="W8">
        <v>0</v>
      </c>
      <c r="X8">
        <v>1927597627</v>
      </c>
      <c r="Y8">
        <v>0.03</v>
      </c>
      <c r="AA8">
        <v>35.25</v>
      </c>
      <c r="AB8">
        <v>0</v>
      </c>
      <c r="AC8">
        <v>0</v>
      </c>
      <c r="AD8">
        <v>0</v>
      </c>
      <c r="AE8">
        <v>35.25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0.03</v>
      </c>
      <c r="AU8" t="s">
        <v>3</v>
      </c>
      <c r="AV8">
        <v>0</v>
      </c>
      <c r="AW8">
        <v>2</v>
      </c>
      <c r="AX8">
        <v>46561519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6.8999999999999992E-2</v>
      </c>
      <c r="CY8">
        <f>AA8</f>
        <v>35.25</v>
      </c>
      <c r="CZ8">
        <f>AE8</f>
        <v>35.25</v>
      </c>
      <c r="DA8">
        <f>AI8</f>
        <v>1</v>
      </c>
      <c r="DB8">
        <f t="shared" si="0"/>
        <v>1.06</v>
      </c>
      <c r="DC8">
        <f t="shared" si="1"/>
        <v>0</v>
      </c>
    </row>
    <row r="9" spans="1:107" x14ac:dyDescent="0.2">
      <c r="A9">
        <f>ROW(Source!A33)</f>
        <v>33</v>
      </c>
      <c r="B9">
        <v>46561299</v>
      </c>
      <c r="C9">
        <v>46561520</v>
      </c>
      <c r="D9">
        <v>45130551</v>
      </c>
      <c r="E9">
        <v>27</v>
      </c>
      <c r="F9">
        <v>1</v>
      </c>
      <c r="G9">
        <v>27</v>
      </c>
      <c r="H9">
        <v>1</v>
      </c>
      <c r="I9" t="s">
        <v>280</v>
      </c>
      <c r="J9" t="s">
        <v>3</v>
      </c>
      <c r="K9" t="s">
        <v>281</v>
      </c>
      <c r="L9">
        <v>1191</v>
      </c>
      <c r="N9">
        <v>1013</v>
      </c>
      <c r="O9" t="s">
        <v>282</v>
      </c>
      <c r="P9" t="s">
        <v>282</v>
      </c>
      <c r="Q9">
        <v>1</v>
      </c>
      <c r="W9">
        <v>0</v>
      </c>
      <c r="X9">
        <v>476480486</v>
      </c>
      <c r="Y9">
        <v>0.37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0.37</v>
      </c>
      <c r="AU9" t="s">
        <v>3</v>
      </c>
      <c r="AV9">
        <v>1</v>
      </c>
      <c r="AW9">
        <v>2</v>
      </c>
      <c r="AX9">
        <v>46561525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0.85099999999999998</v>
      </c>
      <c r="CY9">
        <f>AD9</f>
        <v>0</v>
      </c>
      <c r="CZ9">
        <f>AH9</f>
        <v>0</v>
      </c>
      <c r="DA9">
        <f>AL9</f>
        <v>1</v>
      </c>
      <c r="DB9">
        <f t="shared" si="0"/>
        <v>0</v>
      </c>
      <c r="DC9">
        <f t="shared" si="1"/>
        <v>0</v>
      </c>
    </row>
    <row r="10" spans="1:107" x14ac:dyDescent="0.2">
      <c r="A10">
        <f>ROW(Source!A33)</f>
        <v>33</v>
      </c>
      <c r="B10">
        <v>46561299</v>
      </c>
      <c r="C10">
        <v>46561520</v>
      </c>
      <c r="D10">
        <v>45142937</v>
      </c>
      <c r="E10">
        <v>1</v>
      </c>
      <c r="F10">
        <v>1</v>
      </c>
      <c r="G10">
        <v>27</v>
      </c>
      <c r="H10">
        <v>2</v>
      </c>
      <c r="I10" t="s">
        <v>296</v>
      </c>
      <c r="J10" t="s">
        <v>297</v>
      </c>
      <c r="K10" t="s">
        <v>298</v>
      </c>
      <c r="L10">
        <v>1368</v>
      </c>
      <c r="N10">
        <v>1011</v>
      </c>
      <c r="O10" t="s">
        <v>286</v>
      </c>
      <c r="P10" t="s">
        <v>286</v>
      </c>
      <c r="Q10">
        <v>1</v>
      </c>
      <c r="W10">
        <v>0</v>
      </c>
      <c r="X10">
        <v>112346818</v>
      </c>
      <c r="Y10">
        <v>3.0000000000000001E-3</v>
      </c>
      <c r="AA10">
        <v>0</v>
      </c>
      <c r="AB10">
        <v>1270.56</v>
      </c>
      <c r="AC10">
        <v>493.86</v>
      </c>
      <c r="AD10">
        <v>0</v>
      </c>
      <c r="AE10">
        <v>0</v>
      </c>
      <c r="AF10">
        <v>1270.56</v>
      </c>
      <c r="AG10">
        <v>493.86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3.0000000000000001E-3</v>
      </c>
      <c r="AU10" t="s">
        <v>3</v>
      </c>
      <c r="AV10">
        <v>0</v>
      </c>
      <c r="AW10">
        <v>2</v>
      </c>
      <c r="AX10">
        <v>46561526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6.8999999999999999E-3</v>
      </c>
      <c r="CY10">
        <f>AB10</f>
        <v>1270.56</v>
      </c>
      <c r="CZ10">
        <f>AF10</f>
        <v>1270.56</v>
      </c>
      <c r="DA10">
        <f>AJ10</f>
        <v>1</v>
      </c>
      <c r="DB10">
        <f t="shared" si="0"/>
        <v>3.81</v>
      </c>
      <c r="DC10">
        <f t="shared" si="1"/>
        <v>1.48</v>
      </c>
    </row>
    <row r="11" spans="1:107" x14ac:dyDescent="0.2">
      <c r="A11">
        <f>ROW(Source!A33)</f>
        <v>33</v>
      </c>
      <c r="B11">
        <v>46561299</v>
      </c>
      <c r="C11">
        <v>46561520</v>
      </c>
      <c r="D11">
        <v>45144891</v>
      </c>
      <c r="E11">
        <v>1</v>
      </c>
      <c r="F11">
        <v>1</v>
      </c>
      <c r="G11">
        <v>27</v>
      </c>
      <c r="H11">
        <v>3</v>
      </c>
      <c r="I11" t="s">
        <v>299</v>
      </c>
      <c r="J11" t="s">
        <v>300</v>
      </c>
      <c r="K11" t="s">
        <v>301</v>
      </c>
      <c r="L11">
        <v>1339</v>
      </c>
      <c r="N11">
        <v>1007</v>
      </c>
      <c r="O11" t="s">
        <v>29</v>
      </c>
      <c r="P11" t="s">
        <v>29</v>
      </c>
      <c r="Q11">
        <v>1</v>
      </c>
      <c r="W11">
        <v>0</v>
      </c>
      <c r="X11">
        <v>909340900</v>
      </c>
      <c r="Y11">
        <v>0.105</v>
      </c>
      <c r="AA11">
        <v>590.78</v>
      </c>
      <c r="AB11">
        <v>0</v>
      </c>
      <c r="AC11">
        <v>0</v>
      </c>
      <c r="AD11">
        <v>0</v>
      </c>
      <c r="AE11">
        <v>590.78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0.105</v>
      </c>
      <c r="AU11" t="s">
        <v>3</v>
      </c>
      <c r="AV11">
        <v>0</v>
      </c>
      <c r="AW11">
        <v>2</v>
      </c>
      <c r="AX11">
        <v>46561527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Y11*Source!I33</f>
        <v>0.24149999999999996</v>
      </c>
      <c r="CY11">
        <f>AA11</f>
        <v>590.78</v>
      </c>
      <c r="CZ11">
        <f>AE11</f>
        <v>590.78</v>
      </c>
      <c r="DA11">
        <f>AI11</f>
        <v>1</v>
      </c>
      <c r="DB11">
        <f t="shared" si="0"/>
        <v>62.03</v>
      </c>
      <c r="DC11">
        <f t="shared" si="1"/>
        <v>0</v>
      </c>
    </row>
    <row r="12" spans="1:107" x14ac:dyDescent="0.2">
      <c r="A12">
        <f>ROW(Source!A33)</f>
        <v>33</v>
      </c>
      <c r="B12">
        <v>46561299</v>
      </c>
      <c r="C12">
        <v>46561520</v>
      </c>
      <c r="D12">
        <v>45145636</v>
      </c>
      <c r="E12">
        <v>1</v>
      </c>
      <c r="F12">
        <v>1</v>
      </c>
      <c r="G12">
        <v>27</v>
      </c>
      <c r="H12">
        <v>3</v>
      </c>
      <c r="I12" t="s">
        <v>293</v>
      </c>
      <c r="J12" t="s">
        <v>294</v>
      </c>
      <c r="K12" t="s">
        <v>295</v>
      </c>
      <c r="L12">
        <v>1339</v>
      </c>
      <c r="N12">
        <v>1007</v>
      </c>
      <c r="O12" t="s">
        <v>29</v>
      </c>
      <c r="P12" t="s">
        <v>29</v>
      </c>
      <c r="Q12">
        <v>1</v>
      </c>
      <c r="W12">
        <v>0</v>
      </c>
      <c r="X12">
        <v>1927597627</v>
      </c>
      <c r="Y12">
        <v>0.01</v>
      </c>
      <c r="AA12">
        <v>35.25</v>
      </c>
      <c r="AB12">
        <v>0</v>
      </c>
      <c r="AC12">
        <v>0</v>
      </c>
      <c r="AD12">
        <v>0</v>
      </c>
      <c r="AE12">
        <v>35.25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0.01</v>
      </c>
      <c r="AU12" t="s">
        <v>3</v>
      </c>
      <c r="AV12">
        <v>0</v>
      </c>
      <c r="AW12">
        <v>2</v>
      </c>
      <c r="AX12">
        <v>46561528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Y12*Source!I33</f>
        <v>2.3E-2</v>
      </c>
      <c r="CY12">
        <f>AA12</f>
        <v>35.25</v>
      </c>
      <c r="CZ12">
        <f>AE12</f>
        <v>35.25</v>
      </c>
      <c r="DA12">
        <f>AI12</f>
        <v>1</v>
      </c>
      <c r="DB12">
        <f t="shared" si="0"/>
        <v>0.35</v>
      </c>
      <c r="DC12">
        <f t="shared" si="1"/>
        <v>0</v>
      </c>
    </row>
    <row r="13" spans="1:107" x14ac:dyDescent="0.2">
      <c r="A13">
        <f>ROW(Source!A34)</f>
        <v>34</v>
      </c>
      <c r="B13">
        <v>46561299</v>
      </c>
      <c r="C13">
        <v>46561529</v>
      </c>
      <c r="D13">
        <v>45130551</v>
      </c>
      <c r="E13">
        <v>27</v>
      </c>
      <c r="F13">
        <v>1</v>
      </c>
      <c r="G13">
        <v>27</v>
      </c>
      <c r="H13">
        <v>1</v>
      </c>
      <c r="I13" t="s">
        <v>280</v>
      </c>
      <c r="J13" t="s">
        <v>3</v>
      </c>
      <c r="K13" t="s">
        <v>281</v>
      </c>
      <c r="L13">
        <v>1191</v>
      </c>
      <c r="N13">
        <v>1013</v>
      </c>
      <c r="O13" t="s">
        <v>282</v>
      </c>
      <c r="P13" t="s">
        <v>282</v>
      </c>
      <c r="Q13">
        <v>1</v>
      </c>
      <c r="W13">
        <v>0</v>
      </c>
      <c r="X13">
        <v>476480486</v>
      </c>
      <c r="Y13">
        <v>205.85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205.85</v>
      </c>
      <c r="AU13" t="s">
        <v>3</v>
      </c>
      <c r="AV13">
        <v>1</v>
      </c>
      <c r="AW13">
        <v>2</v>
      </c>
      <c r="AX13">
        <v>46561545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Y13*Source!I34</f>
        <v>4.6316249999999997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ROW(Source!A34)</f>
        <v>34</v>
      </c>
      <c r="B14">
        <v>46561299</v>
      </c>
      <c r="C14">
        <v>46561529</v>
      </c>
      <c r="D14">
        <v>45143189</v>
      </c>
      <c r="E14">
        <v>1</v>
      </c>
      <c r="F14">
        <v>1</v>
      </c>
      <c r="G14">
        <v>27</v>
      </c>
      <c r="H14">
        <v>2</v>
      </c>
      <c r="I14" t="s">
        <v>302</v>
      </c>
      <c r="J14" t="s">
        <v>303</v>
      </c>
      <c r="K14" t="s">
        <v>304</v>
      </c>
      <c r="L14">
        <v>1368</v>
      </c>
      <c r="N14">
        <v>1011</v>
      </c>
      <c r="O14" t="s">
        <v>286</v>
      </c>
      <c r="P14" t="s">
        <v>286</v>
      </c>
      <c r="Q14">
        <v>1</v>
      </c>
      <c r="W14">
        <v>0</v>
      </c>
      <c r="X14">
        <v>-1757825014</v>
      </c>
      <c r="Y14">
        <v>150</v>
      </c>
      <c r="AA14">
        <v>0</v>
      </c>
      <c r="AB14">
        <v>27.21</v>
      </c>
      <c r="AC14">
        <v>0.13</v>
      </c>
      <c r="AD14">
        <v>0</v>
      </c>
      <c r="AE14">
        <v>0</v>
      </c>
      <c r="AF14">
        <v>27.21</v>
      </c>
      <c r="AG14">
        <v>0.13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150</v>
      </c>
      <c r="AU14" t="s">
        <v>3</v>
      </c>
      <c r="AV14">
        <v>0</v>
      </c>
      <c r="AW14">
        <v>2</v>
      </c>
      <c r="AX14">
        <v>46561546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Y14*Source!I34</f>
        <v>3.375</v>
      </c>
      <c r="CY14">
        <f>AB14</f>
        <v>27.21</v>
      </c>
      <c r="CZ14">
        <f>AF14</f>
        <v>27.21</v>
      </c>
      <c r="DA14">
        <f>AJ14</f>
        <v>1</v>
      </c>
      <c r="DB14">
        <f t="shared" si="0"/>
        <v>4081.5</v>
      </c>
      <c r="DC14">
        <f t="shared" si="1"/>
        <v>19.5</v>
      </c>
    </row>
    <row r="15" spans="1:107" x14ac:dyDescent="0.2">
      <c r="A15">
        <f>ROW(Source!A34)</f>
        <v>34</v>
      </c>
      <c r="B15">
        <v>46561299</v>
      </c>
      <c r="C15">
        <v>46561529</v>
      </c>
      <c r="D15">
        <v>45143582</v>
      </c>
      <c r="E15">
        <v>1</v>
      </c>
      <c r="F15">
        <v>1</v>
      </c>
      <c r="G15">
        <v>27</v>
      </c>
      <c r="H15">
        <v>2</v>
      </c>
      <c r="I15" t="s">
        <v>305</v>
      </c>
      <c r="J15" t="s">
        <v>306</v>
      </c>
      <c r="K15" t="s">
        <v>307</v>
      </c>
      <c r="L15">
        <v>1368</v>
      </c>
      <c r="N15">
        <v>1011</v>
      </c>
      <c r="O15" t="s">
        <v>286</v>
      </c>
      <c r="P15" t="s">
        <v>286</v>
      </c>
      <c r="Q15">
        <v>1</v>
      </c>
      <c r="W15">
        <v>0</v>
      </c>
      <c r="X15">
        <v>1598319406</v>
      </c>
      <c r="Y15">
        <v>0.12</v>
      </c>
      <c r="AA15">
        <v>0</v>
      </c>
      <c r="AB15">
        <v>3.67</v>
      </c>
      <c r="AC15">
        <v>0.01</v>
      </c>
      <c r="AD15">
        <v>0</v>
      </c>
      <c r="AE15">
        <v>0</v>
      </c>
      <c r="AF15">
        <v>3.67</v>
      </c>
      <c r="AG15">
        <v>0.01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0.12</v>
      </c>
      <c r="AU15" t="s">
        <v>3</v>
      </c>
      <c r="AV15">
        <v>0</v>
      </c>
      <c r="AW15">
        <v>2</v>
      </c>
      <c r="AX15">
        <v>46561547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Y15*Source!I34</f>
        <v>2.6999999999999997E-3</v>
      </c>
      <c r="CY15">
        <f>AB15</f>
        <v>3.67</v>
      </c>
      <c r="CZ15">
        <f>AF15</f>
        <v>3.67</v>
      </c>
      <c r="DA15">
        <f>AJ15</f>
        <v>1</v>
      </c>
      <c r="DB15">
        <f t="shared" si="0"/>
        <v>0.44</v>
      </c>
      <c r="DC15">
        <f t="shared" si="1"/>
        <v>0</v>
      </c>
    </row>
    <row r="16" spans="1:107" x14ac:dyDescent="0.2">
      <c r="A16">
        <f>ROW(Source!A34)</f>
        <v>34</v>
      </c>
      <c r="B16">
        <v>46561299</v>
      </c>
      <c r="C16">
        <v>46561529</v>
      </c>
      <c r="D16">
        <v>45142852</v>
      </c>
      <c r="E16">
        <v>1</v>
      </c>
      <c r="F16">
        <v>1</v>
      </c>
      <c r="G16">
        <v>27</v>
      </c>
      <c r="H16">
        <v>2</v>
      </c>
      <c r="I16" t="s">
        <v>308</v>
      </c>
      <c r="J16" t="s">
        <v>309</v>
      </c>
      <c r="K16" t="s">
        <v>310</v>
      </c>
      <c r="L16">
        <v>1368</v>
      </c>
      <c r="N16">
        <v>1011</v>
      </c>
      <c r="O16" t="s">
        <v>286</v>
      </c>
      <c r="P16" t="s">
        <v>286</v>
      </c>
      <c r="Q16">
        <v>1</v>
      </c>
      <c r="W16">
        <v>0</v>
      </c>
      <c r="X16">
        <v>-1323805330</v>
      </c>
      <c r="Y16">
        <v>0.31</v>
      </c>
      <c r="AA16">
        <v>0</v>
      </c>
      <c r="AB16">
        <v>683.9</v>
      </c>
      <c r="AC16">
        <v>371.27</v>
      </c>
      <c r="AD16">
        <v>0</v>
      </c>
      <c r="AE16">
        <v>0</v>
      </c>
      <c r="AF16">
        <v>683.9</v>
      </c>
      <c r="AG16">
        <v>371.27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0.31</v>
      </c>
      <c r="AU16" t="s">
        <v>3</v>
      </c>
      <c r="AV16">
        <v>0</v>
      </c>
      <c r="AW16">
        <v>2</v>
      </c>
      <c r="AX16">
        <v>46561548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6.9749999999999994E-3</v>
      </c>
      <c r="CY16">
        <f>AB16</f>
        <v>683.9</v>
      </c>
      <c r="CZ16">
        <f>AF16</f>
        <v>683.9</v>
      </c>
      <c r="DA16">
        <f>AJ16</f>
        <v>1</v>
      </c>
      <c r="DB16">
        <f t="shared" si="0"/>
        <v>212.01</v>
      </c>
      <c r="DC16">
        <f t="shared" si="1"/>
        <v>115.09</v>
      </c>
    </row>
    <row r="17" spans="1:107" x14ac:dyDescent="0.2">
      <c r="A17">
        <f>ROW(Source!A34)</f>
        <v>34</v>
      </c>
      <c r="B17">
        <v>46561299</v>
      </c>
      <c r="C17">
        <v>46561529</v>
      </c>
      <c r="D17">
        <v>45143022</v>
      </c>
      <c r="E17">
        <v>1</v>
      </c>
      <c r="F17">
        <v>1</v>
      </c>
      <c r="G17">
        <v>27</v>
      </c>
      <c r="H17">
        <v>2</v>
      </c>
      <c r="I17" t="s">
        <v>311</v>
      </c>
      <c r="J17" t="s">
        <v>312</v>
      </c>
      <c r="K17" t="s">
        <v>313</v>
      </c>
      <c r="L17">
        <v>1368</v>
      </c>
      <c r="N17">
        <v>1011</v>
      </c>
      <c r="O17" t="s">
        <v>286</v>
      </c>
      <c r="P17" t="s">
        <v>286</v>
      </c>
      <c r="Q17">
        <v>1</v>
      </c>
      <c r="W17">
        <v>0</v>
      </c>
      <c r="X17">
        <v>1349119844</v>
      </c>
      <c r="Y17">
        <v>11.25</v>
      </c>
      <c r="AA17">
        <v>0</v>
      </c>
      <c r="AB17">
        <v>10.82</v>
      </c>
      <c r="AC17">
        <v>2.97</v>
      </c>
      <c r="AD17">
        <v>0</v>
      </c>
      <c r="AE17">
        <v>0</v>
      </c>
      <c r="AF17">
        <v>10.82</v>
      </c>
      <c r="AG17">
        <v>2.97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11.25</v>
      </c>
      <c r="AU17" t="s">
        <v>3</v>
      </c>
      <c r="AV17">
        <v>0</v>
      </c>
      <c r="AW17">
        <v>2</v>
      </c>
      <c r="AX17">
        <v>46561549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Y17*Source!I34</f>
        <v>0.25312499999999999</v>
      </c>
      <c r="CY17">
        <f>AB17</f>
        <v>10.82</v>
      </c>
      <c r="CZ17">
        <f>AF17</f>
        <v>10.82</v>
      </c>
      <c r="DA17">
        <f>AJ17</f>
        <v>1</v>
      </c>
      <c r="DB17">
        <f t="shared" si="0"/>
        <v>121.73</v>
      </c>
      <c r="DC17">
        <f t="shared" si="1"/>
        <v>33.409999999999997</v>
      </c>
    </row>
    <row r="18" spans="1:107" x14ac:dyDescent="0.2">
      <c r="A18">
        <f>ROW(Source!A34)</f>
        <v>34</v>
      </c>
      <c r="B18">
        <v>46561299</v>
      </c>
      <c r="C18">
        <v>46561529</v>
      </c>
      <c r="D18">
        <v>45144711</v>
      </c>
      <c r="E18">
        <v>1</v>
      </c>
      <c r="F18">
        <v>1</v>
      </c>
      <c r="G18">
        <v>27</v>
      </c>
      <c r="H18">
        <v>3</v>
      </c>
      <c r="I18" t="s">
        <v>314</v>
      </c>
      <c r="J18" t="s">
        <v>315</v>
      </c>
      <c r="K18" t="s">
        <v>316</v>
      </c>
      <c r="L18">
        <v>1348</v>
      </c>
      <c r="N18">
        <v>1009</v>
      </c>
      <c r="O18" t="s">
        <v>65</v>
      </c>
      <c r="P18" t="s">
        <v>65</v>
      </c>
      <c r="Q18">
        <v>1000</v>
      </c>
      <c r="W18">
        <v>0</v>
      </c>
      <c r="X18">
        <v>1959613851</v>
      </c>
      <c r="Y18">
        <v>2E-3</v>
      </c>
      <c r="AA18">
        <v>49736.04</v>
      </c>
      <c r="AB18">
        <v>0</v>
      </c>
      <c r="AC18">
        <v>0</v>
      </c>
      <c r="AD18">
        <v>0</v>
      </c>
      <c r="AE18">
        <v>49736.04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2E-3</v>
      </c>
      <c r="AU18" t="s">
        <v>3</v>
      </c>
      <c r="AV18">
        <v>0</v>
      </c>
      <c r="AW18">
        <v>2</v>
      </c>
      <c r="AX18">
        <v>46561550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Y18*Source!I34</f>
        <v>4.4999999999999996E-5</v>
      </c>
      <c r="CY18">
        <f t="shared" ref="CY18:CY27" si="2">AA18</f>
        <v>49736.04</v>
      </c>
      <c r="CZ18">
        <f t="shared" ref="CZ18:CZ27" si="3">AE18</f>
        <v>49736.04</v>
      </c>
      <c r="DA18">
        <f t="shared" ref="DA18:DA27" si="4">AI18</f>
        <v>1</v>
      </c>
      <c r="DB18">
        <f t="shared" si="0"/>
        <v>99.47</v>
      </c>
      <c r="DC18">
        <f t="shared" si="1"/>
        <v>0</v>
      </c>
    </row>
    <row r="19" spans="1:107" x14ac:dyDescent="0.2">
      <c r="A19">
        <f>ROW(Source!A34)</f>
        <v>34</v>
      </c>
      <c r="B19">
        <v>46561299</v>
      </c>
      <c r="C19">
        <v>46561529</v>
      </c>
      <c r="D19">
        <v>45145459</v>
      </c>
      <c r="E19">
        <v>1</v>
      </c>
      <c r="F19">
        <v>1</v>
      </c>
      <c r="G19">
        <v>27</v>
      </c>
      <c r="H19">
        <v>3</v>
      </c>
      <c r="I19" t="s">
        <v>317</v>
      </c>
      <c r="J19" t="s">
        <v>318</v>
      </c>
      <c r="K19" t="s">
        <v>319</v>
      </c>
      <c r="L19">
        <v>1327</v>
      </c>
      <c r="N19">
        <v>1005</v>
      </c>
      <c r="O19" t="s">
        <v>40</v>
      </c>
      <c r="P19" t="s">
        <v>40</v>
      </c>
      <c r="Q19">
        <v>1</v>
      </c>
      <c r="W19">
        <v>0</v>
      </c>
      <c r="X19">
        <v>-2047649341</v>
      </c>
      <c r="Y19">
        <v>30</v>
      </c>
      <c r="AA19">
        <v>91.89</v>
      </c>
      <c r="AB19">
        <v>0</v>
      </c>
      <c r="AC19">
        <v>0</v>
      </c>
      <c r="AD19">
        <v>0</v>
      </c>
      <c r="AE19">
        <v>91.89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30</v>
      </c>
      <c r="AU19" t="s">
        <v>3</v>
      </c>
      <c r="AV19">
        <v>0</v>
      </c>
      <c r="AW19">
        <v>2</v>
      </c>
      <c r="AX19">
        <v>46561552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Y19*Source!I34</f>
        <v>0.67499999999999993</v>
      </c>
      <c r="CY19">
        <f t="shared" si="2"/>
        <v>91.89</v>
      </c>
      <c r="CZ19">
        <f t="shared" si="3"/>
        <v>91.89</v>
      </c>
      <c r="DA19">
        <f t="shared" si="4"/>
        <v>1</v>
      </c>
      <c r="DB19">
        <f t="shared" si="0"/>
        <v>2756.7</v>
      </c>
      <c r="DC19">
        <f t="shared" si="1"/>
        <v>0</v>
      </c>
    </row>
    <row r="20" spans="1:107" x14ac:dyDescent="0.2">
      <c r="A20">
        <f>ROW(Source!A34)</f>
        <v>34</v>
      </c>
      <c r="B20">
        <v>46561299</v>
      </c>
      <c r="C20">
        <v>46561529</v>
      </c>
      <c r="D20">
        <v>45145543</v>
      </c>
      <c r="E20">
        <v>1</v>
      </c>
      <c r="F20">
        <v>1</v>
      </c>
      <c r="G20">
        <v>27</v>
      </c>
      <c r="H20">
        <v>3</v>
      </c>
      <c r="I20" t="s">
        <v>320</v>
      </c>
      <c r="J20" t="s">
        <v>321</v>
      </c>
      <c r="K20" t="s">
        <v>322</v>
      </c>
      <c r="L20">
        <v>1348</v>
      </c>
      <c r="N20">
        <v>1009</v>
      </c>
      <c r="O20" t="s">
        <v>65</v>
      </c>
      <c r="P20" t="s">
        <v>65</v>
      </c>
      <c r="Q20">
        <v>1000</v>
      </c>
      <c r="W20">
        <v>0</v>
      </c>
      <c r="X20">
        <v>-672771621</v>
      </c>
      <c r="Y20">
        <v>0.16</v>
      </c>
      <c r="AA20">
        <v>110781.14</v>
      </c>
      <c r="AB20">
        <v>0</v>
      </c>
      <c r="AC20">
        <v>0</v>
      </c>
      <c r="AD20">
        <v>0</v>
      </c>
      <c r="AE20">
        <v>110781.14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0.16</v>
      </c>
      <c r="AU20" t="s">
        <v>3</v>
      </c>
      <c r="AV20">
        <v>0</v>
      </c>
      <c r="AW20">
        <v>2</v>
      </c>
      <c r="AX20">
        <v>46561553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Y20*Source!I34</f>
        <v>3.5999999999999999E-3</v>
      </c>
      <c r="CY20">
        <f t="shared" si="2"/>
        <v>110781.14</v>
      </c>
      <c r="CZ20">
        <f t="shared" si="3"/>
        <v>110781.14</v>
      </c>
      <c r="DA20">
        <f t="shared" si="4"/>
        <v>1</v>
      </c>
      <c r="DB20">
        <f t="shared" si="0"/>
        <v>17724.98</v>
      </c>
      <c r="DC20">
        <f t="shared" si="1"/>
        <v>0</v>
      </c>
    </row>
    <row r="21" spans="1:107" x14ac:dyDescent="0.2">
      <c r="A21">
        <f>ROW(Source!A34)</f>
        <v>34</v>
      </c>
      <c r="B21">
        <v>46561299</v>
      </c>
      <c r="C21">
        <v>46561529</v>
      </c>
      <c r="D21">
        <v>45143830</v>
      </c>
      <c r="E21">
        <v>1</v>
      </c>
      <c r="F21">
        <v>1</v>
      </c>
      <c r="G21">
        <v>27</v>
      </c>
      <c r="H21">
        <v>3</v>
      </c>
      <c r="I21" t="s">
        <v>323</v>
      </c>
      <c r="J21" t="s">
        <v>324</v>
      </c>
      <c r="K21" t="s">
        <v>325</v>
      </c>
      <c r="L21">
        <v>1348</v>
      </c>
      <c r="N21">
        <v>1009</v>
      </c>
      <c r="O21" t="s">
        <v>65</v>
      </c>
      <c r="P21" t="s">
        <v>65</v>
      </c>
      <c r="Q21">
        <v>1000</v>
      </c>
      <c r="W21">
        <v>0</v>
      </c>
      <c r="X21">
        <v>-459844717</v>
      </c>
      <c r="Y21">
        <v>0.01</v>
      </c>
      <c r="AA21">
        <v>4752.34</v>
      </c>
      <c r="AB21">
        <v>0</v>
      </c>
      <c r="AC21">
        <v>0</v>
      </c>
      <c r="AD21">
        <v>0</v>
      </c>
      <c r="AE21">
        <v>4752.34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0.01</v>
      </c>
      <c r="AU21" t="s">
        <v>3</v>
      </c>
      <c r="AV21">
        <v>0</v>
      </c>
      <c r="AW21">
        <v>2</v>
      </c>
      <c r="AX21">
        <v>46561551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Y21*Source!I34</f>
        <v>2.2499999999999999E-4</v>
      </c>
      <c r="CY21">
        <f t="shared" si="2"/>
        <v>4752.34</v>
      </c>
      <c r="CZ21">
        <f t="shared" si="3"/>
        <v>4752.34</v>
      </c>
      <c r="DA21">
        <f t="shared" si="4"/>
        <v>1</v>
      </c>
      <c r="DB21">
        <f t="shared" si="0"/>
        <v>47.52</v>
      </c>
      <c r="DC21">
        <f t="shared" si="1"/>
        <v>0</v>
      </c>
    </row>
    <row r="22" spans="1:107" x14ac:dyDescent="0.2">
      <c r="A22">
        <f>ROW(Source!A34)</f>
        <v>34</v>
      </c>
      <c r="B22">
        <v>46561299</v>
      </c>
      <c r="C22">
        <v>46561529</v>
      </c>
      <c r="D22">
        <v>45145636</v>
      </c>
      <c r="E22">
        <v>1</v>
      </c>
      <c r="F22">
        <v>1</v>
      </c>
      <c r="G22">
        <v>27</v>
      </c>
      <c r="H22">
        <v>3</v>
      </c>
      <c r="I22" t="s">
        <v>293</v>
      </c>
      <c r="J22" t="s">
        <v>294</v>
      </c>
      <c r="K22" t="s">
        <v>295</v>
      </c>
      <c r="L22">
        <v>1339</v>
      </c>
      <c r="N22">
        <v>1007</v>
      </c>
      <c r="O22" t="s">
        <v>29</v>
      </c>
      <c r="P22" t="s">
        <v>29</v>
      </c>
      <c r="Q22">
        <v>1</v>
      </c>
      <c r="W22">
        <v>0</v>
      </c>
      <c r="X22">
        <v>1927597627</v>
      </c>
      <c r="Y22">
        <v>0.73</v>
      </c>
      <c r="AA22">
        <v>35.25</v>
      </c>
      <c r="AB22">
        <v>0</v>
      </c>
      <c r="AC22">
        <v>0</v>
      </c>
      <c r="AD22">
        <v>0</v>
      </c>
      <c r="AE22">
        <v>35.25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0.73</v>
      </c>
      <c r="AU22" t="s">
        <v>3</v>
      </c>
      <c r="AV22">
        <v>0</v>
      </c>
      <c r="AW22">
        <v>2</v>
      </c>
      <c r="AX22">
        <v>46561554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Y22*Source!I34</f>
        <v>1.6424999999999999E-2</v>
      </c>
      <c r="CY22">
        <f t="shared" si="2"/>
        <v>35.25</v>
      </c>
      <c r="CZ22">
        <f t="shared" si="3"/>
        <v>35.25</v>
      </c>
      <c r="DA22">
        <f t="shared" si="4"/>
        <v>1</v>
      </c>
      <c r="DB22">
        <f t="shared" si="0"/>
        <v>25.73</v>
      </c>
      <c r="DC22">
        <f t="shared" si="1"/>
        <v>0</v>
      </c>
    </row>
    <row r="23" spans="1:107" x14ac:dyDescent="0.2">
      <c r="A23">
        <f>ROW(Source!A34)</f>
        <v>34</v>
      </c>
      <c r="B23">
        <v>46561299</v>
      </c>
      <c r="C23">
        <v>46561529</v>
      </c>
      <c r="D23">
        <v>45144338</v>
      </c>
      <c r="E23">
        <v>1</v>
      </c>
      <c r="F23">
        <v>1</v>
      </c>
      <c r="G23">
        <v>27</v>
      </c>
      <c r="H23">
        <v>3</v>
      </c>
      <c r="I23" t="s">
        <v>326</v>
      </c>
      <c r="J23" t="s">
        <v>327</v>
      </c>
      <c r="K23" t="s">
        <v>328</v>
      </c>
      <c r="L23">
        <v>1339</v>
      </c>
      <c r="N23">
        <v>1007</v>
      </c>
      <c r="O23" t="s">
        <v>29</v>
      </c>
      <c r="P23" t="s">
        <v>29</v>
      </c>
      <c r="Q23">
        <v>1</v>
      </c>
      <c r="W23">
        <v>0</v>
      </c>
      <c r="X23">
        <v>538447250</v>
      </c>
      <c r="Y23">
        <v>0.04</v>
      </c>
      <c r="AA23">
        <v>7098.7</v>
      </c>
      <c r="AB23">
        <v>0</v>
      </c>
      <c r="AC23">
        <v>0</v>
      </c>
      <c r="AD23">
        <v>0</v>
      </c>
      <c r="AE23">
        <v>7098.7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0.04</v>
      </c>
      <c r="AU23" t="s">
        <v>3</v>
      </c>
      <c r="AV23">
        <v>0</v>
      </c>
      <c r="AW23">
        <v>2</v>
      </c>
      <c r="AX23">
        <v>46561555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Y23*Source!I34</f>
        <v>8.9999999999999998E-4</v>
      </c>
      <c r="CY23">
        <f t="shared" si="2"/>
        <v>7098.7</v>
      </c>
      <c r="CZ23">
        <f t="shared" si="3"/>
        <v>7098.7</v>
      </c>
      <c r="DA23">
        <f t="shared" si="4"/>
        <v>1</v>
      </c>
      <c r="DB23">
        <f t="shared" si="0"/>
        <v>283.95</v>
      </c>
      <c r="DC23">
        <f t="shared" si="1"/>
        <v>0</v>
      </c>
    </row>
    <row r="24" spans="1:107" x14ac:dyDescent="0.2">
      <c r="A24">
        <f>ROW(Source!A34)</f>
        <v>34</v>
      </c>
      <c r="B24">
        <v>46561299</v>
      </c>
      <c r="C24">
        <v>46561529</v>
      </c>
      <c r="D24">
        <v>45146605</v>
      </c>
      <c r="E24">
        <v>1</v>
      </c>
      <c r="F24">
        <v>1</v>
      </c>
      <c r="G24">
        <v>27</v>
      </c>
      <c r="H24">
        <v>3</v>
      </c>
      <c r="I24" t="s">
        <v>55</v>
      </c>
      <c r="J24" t="s">
        <v>57</v>
      </c>
      <c r="K24" t="s">
        <v>56</v>
      </c>
      <c r="L24">
        <v>1339</v>
      </c>
      <c r="N24">
        <v>1007</v>
      </c>
      <c r="O24" t="s">
        <v>29</v>
      </c>
      <c r="P24" t="s">
        <v>29</v>
      </c>
      <c r="Q24">
        <v>1</v>
      </c>
      <c r="W24">
        <v>1</v>
      </c>
      <c r="X24">
        <v>426331755</v>
      </c>
      <c r="Y24">
        <v>-101.5</v>
      </c>
      <c r="AA24">
        <v>3714.73</v>
      </c>
      <c r="AB24">
        <v>0</v>
      </c>
      <c r="AC24">
        <v>0</v>
      </c>
      <c r="AD24">
        <v>0</v>
      </c>
      <c r="AE24">
        <v>3714.73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-101.5</v>
      </c>
      <c r="AU24" t="s">
        <v>3</v>
      </c>
      <c r="AV24">
        <v>0</v>
      </c>
      <c r="AW24">
        <v>2</v>
      </c>
      <c r="AX24">
        <v>46561556</v>
      </c>
      <c r="AY24">
        <v>1</v>
      </c>
      <c r="AZ24">
        <v>6144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Y24*Source!I34</f>
        <v>-2.2837499999999999</v>
      </c>
      <c r="CY24">
        <f t="shared" si="2"/>
        <v>3714.73</v>
      </c>
      <c r="CZ24">
        <f t="shared" si="3"/>
        <v>3714.73</v>
      </c>
      <c r="DA24">
        <f t="shared" si="4"/>
        <v>1</v>
      </c>
      <c r="DB24">
        <f t="shared" si="0"/>
        <v>-377045.1</v>
      </c>
      <c r="DC24">
        <f t="shared" si="1"/>
        <v>0</v>
      </c>
    </row>
    <row r="25" spans="1:107" x14ac:dyDescent="0.2">
      <c r="A25">
        <f>ROW(Source!A34)</f>
        <v>34</v>
      </c>
      <c r="B25">
        <v>46561299</v>
      </c>
      <c r="C25">
        <v>46561529</v>
      </c>
      <c r="D25">
        <v>45146619</v>
      </c>
      <c r="E25">
        <v>1</v>
      </c>
      <c r="F25">
        <v>1</v>
      </c>
      <c r="G25">
        <v>27</v>
      </c>
      <c r="H25">
        <v>3</v>
      </c>
      <c r="I25" t="s">
        <v>51</v>
      </c>
      <c r="J25" t="s">
        <v>53</v>
      </c>
      <c r="K25" t="s">
        <v>52</v>
      </c>
      <c r="L25">
        <v>1339</v>
      </c>
      <c r="N25">
        <v>1007</v>
      </c>
      <c r="O25" t="s">
        <v>29</v>
      </c>
      <c r="P25" t="s">
        <v>29</v>
      </c>
      <c r="Q25">
        <v>1</v>
      </c>
      <c r="W25">
        <v>0</v>
      </c>
      <c r="X25">
        <v>-793492541</v>
      </c>
      <c r="Y25">
        <v>101.5</v>
      </c>
      <c r="AA25">
        <v>3884.73</v>
      </c>
      <c r="AB25">
        <v>0</v>
      </c>
      <c r="AC25">
        <v>0</v>
      </c>
      <c r="AD25">
        <v>0</v>
      </c>
      <c r="AE25">
        <v>3884.73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</v>
      </c>
      <c r="AT25">
        <v>101.5</v>
      </c>
      <c r="AU25" t="s">
        <v>3</v>
      </c>
      <c r="AV25">
        <v>0</v>
      </c>
      <c r="AW25">
        <v>1</v>
      </c>
      <c r="AX25">
        <v>-1</v>
      </c>
      <c r="AY25">
        <v>0</v>
      </c>
      <c r="AZ25">
        <v>0</v>
      </c>
      <c r="BA25" t="s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Y25*Source!I34</f>
        <v>2.2837499999999999</v>
      </c>
      <c r="CY25">
        <f t="shared" si="2"/>
        <v>3884.73</v>
      </c>
      <c r="CZ25">
        <f t="shared" si="3"/>
        <v>3884.73</v>
      </c>
      <c r="DA25">
        <f t="shared" si="4"/>
        <v>1</v>
      </c>
      <c r="DB25">
        <f t="shared" si="0"/>
        <v>394300.1</v>
      </c>
      <c r="DC25">
        <f t="shared" si="1"/>
        <v>0</v>
      </c>
    </row>
    <row r="26" spans="1:107" x14ac:dyDescent="0.2">
      <c r="A26">
        <f>ROW(Source!A34)</f>
        <v>34</v>
      </c>
      <c r="B26">
        <v>46561299</v>
      </c>
      <c r="C26">
        <v>46561529</v>
      </c>
      <c r="D26">
        <v>45146856</v>
      </c>
      <c r="E26">
        <v>1</v>
      </c>
      <c r="F26">
        <v>1</v>
      </c>
      <c r="G26">
        <v>27</v>
      </c>
      <c r="H26">
        <v>3</v>
      </c>
      <c r="I26" t="s">
        <v>329</v>
      </c>
      <c r="J26" t="s">
        <v>330</v>
      </c>
      <c r="K26" t="s">
        <v>331</v>
      </c>
      <c r="L26">
        <v>1348</v>
      </c>
      <c r="N26">
        <v>1009</v>
      </c>
      <c r="O26" t="s">
        <v>65</v>
      </c>
      <c r="P26" t="s">
        <v>65</v>
      </c>
      <c r="Q26">
        <v>1000</v>
      </c>
      <c r="W26">
        <v>0</v>
      </c>
      <c r="X26">
        <v>653530504</v>
      </c>
      <c r="Y26">
        <v>8.1</v>
      </c>
      <c r="AA26">
        <v>34634.379999999997</v>
      </c>
      <c r="AB26">
        <v>0</v>
      </c>
      <c r="AC26">
        <v>0</v>
      </c>
      <c r="AD26">
        <v>0</v>
      </c>
      <c r="AE26">
        <v>34634.379999999997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8.1</v>
      </c>
      <c r="AU26" t="s">
        <v>3</v>
      </c>
      <c r="AV26">
        <v>0</v>
      </c>
      <c r="AW26">
        <v>2</v>
      </c>
      <c r="AX26">
        <v>46561557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Y26*Source!I34</f>
        <v>0.18225</v>
      </c>
      <c r="CY26">
        <f t="shared" si="2"/>
        <v>34634.379999999997</v>
      </c>
      <c r="CZ26">
        <f t="shared" si="3"/>
        <v>34634.379999999997</v>
      </c>
      <c r="DA26">
        <f t="shared" si="4"/>
        <v>1</v>
      </c>
      <c r="DB26">
        <f t="shared" si="0"/>
        <v>280538.48</v>
      </c>
      <c r="DC26">
        <f t="shared" si="1"/>
        <v>0</v>
      </c>
    </row>
    <row r="27" spans="1:107" x14ac:dyDescent="0.2">
      <c r="A27">
        <f>ROW(Source!A34)</f>
        <v>34</v>
      </c>
      <c r="B27">
        <v>46561299</v>
      </c>
      <c r="C27">
        <v>46561529</v>
      </c>
      <c r="D27">
        <v>45148767</v>
      </c>
      <c r="E27">
        <v>1</v>
      </c>
      <c r="F27">
        <v>1</v>
      </c>
      <c r="G27">
        <v>27</v>
      </c>
      <c r="H27">
        <v>3</v>
      </c>
      <c r="I27" t="s">
        <v>332</v>
      </c>
      <c r="J27" t="s">
        <v>333</v>
      </c>
      <c r="K27" t="s">
        <v>334</v>
      </c>
      <c r="L27">
        <v>1327</v>
      </c>
      <c r="N27">
        <v>1005</v>
      </c>
      <c r="O27" t="s">
        <v>40</v>
      </c>
      <c r="P27" t="s">
        <v>40</v>
      </c>
      <c r="Q27">
        <v>1</v>
      </c>
      <c r="W27">
        <v>0</v>
      </c>
      <c r="X27">
        <v>1680411856</v>
      </c>
      <c r="Y27">
        <v>3.6</v>
      </c>
      <c r="AA27">
        <v>473.82</v>
      </c>
      <c r="AB27">
        <v>0</v>
      </c>
      <c r="AC27">
        <v>0</v>
      </c>
      <c r="AD27">
        <v>0</v>
      </c>
      <c r="AE27">
        <v>473.82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3.6</v>
      </c>
      <c r="AU27" t="s">
        <v>3</v>
      </c>
      <c r="AV27">
        <v>0</v>
      </c>
      <c r="AW27">
        <v>2</v>
      </c>
      <c r="AX27">
        <v>46561558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Y27*Source!I34</f>
        <v>8.1000000000000003E-2</v>
      </c>
      <c r="CY27">
        <f t="shared" si="2"/>
        <v>473.82</v>
      </c>
      <c r="CZ27">
        <f t="shared" si="3"/>
        <v>473.82</v>
      </c>
      <c r="DA27">
        <f t="shared" si="4"/>
        <v>1</v>
      </c>
      <c r="DB27">
        <f t="shared" si="0"/>
        <v>1705.75</v>
      </c>
      <c r="DC27">
        <f t="shared" si="1"/>
        <v>0</v>
      </c>
    </row>
    <row r="28" spans="1:107" x14ac:dyDescent="0.2">
      <c r="A28">
        <f>ROW(Source!A37)</f>
        <v>37</v>
      </c>
      <c r="B28">
        <v>46561299</v>
      </c>
      <c r="C28">
        <v>46561592</v>
      </c>
      <c r="D28">
        <v>45130551</v>
      </c>
      <c r="E28">
        <v>27</v>
      </c>
      <c r="F28">
        <v>1</v>
      </c>
      <c r="G28">
        <v>27</v>
      </c>
      <c r="H28">
        <v>1</v>
      </c>
      <c r="I28" t="s">
        <v>280</v>
      </c>
      <c r="J28" t="s">
        <v>3</v>
      </c>
      <c r="K28" t="s">
        <v>281</v>
      </c>
      <c r="L28">
        <v>1191</v>
      </c>
      <c r="N28">
        <v>1013</v>
      </c>
      <c r="O28" t="s">
        <v>282</v>
      </c>
      <c r="P28" t="s">
        <v>282</v>
      </c>
      <c r="Q28">
        <v>1</v>
      </c>
      <c r="W28">
        <v>0</v>
      </c>
      <c r="X28">
        <v>476480486</v>
      </c>
      <c r="Y28">
        <v>2.97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2.97</v>
      </c>
      <c r="AU28" t="s">
        <v>3</v>
      </c>
      <c r="AV28">
        <v>1</v>
      </c>
      <c r="AW28">
        <v>2</v>
      </c>
      <c r="AX28">
        <v>46561607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Y28*Source!I37</f>
        <v>371.84400000000005</v>
      </c>
      <c r="CY28">
        <f>AD28</f>
        <v>0</v>
      </c>
      <c r="CZ28">
        <f>AH28</f>
        <v>0</v>
      </c>
      <c r="DA28">
        <f>AL28</f>
        <v>1</v>
      </c>
      <c r="DB28">
        <f t="shared" si="0"/>
        <v>0</v>
      </c>
      <c r="DC28">
        <f t="shared" si="1"/>
        <v>0</v>
      </c>
    </row>
    <row r="29" spans="1:107" x14ac:dyDescent="0.2">
      <c r="A29">
        <f>ROW(Source!A37)</f>
        <v>37</v>
      </c>
      <c r="B29">
        <v>46561299</v>
      </c>
      <c r="C29">
        <v>46561592</v>
      </c>
      <c r="D29">
        <v>45143190</v>
      </c>
      <c r="E29">
        <v>1</v>
      </c>
      <c r="F29">
        <v>1</v>
      </c>
      <c r="G29">
        <v>27</v>
      </c>
      <c r="H29">
        <v>2</v>
      </c>
      <c r="I29" t="s">
        <v>335</v>
      </c>
      <c r="J29" t="s">
        <v>336</v>
      </c>
      <c r="K29" t="s">
        <v>337</v>
      </c>
      <c r="L29">
        <v>1368</v>
      </c>
      <c r="N29">
        <v>1011</v>
      </c>
      <c r="O29" t="s">
        <v>286</v>
      </c>
      <c r="P29" t="s">
        <v>286</v>
      </c>
      <c r="Q29">
        <v>1</v>
      </c>
      <c r="W29">
        <v>0</v>
      </c>
      <c r="X29">
        <v>-711828296</v>
      </c>
      <c r="Y29">
        <v>0.38400000000000001</v>
      </c>
      <c r="AA29">
        <v>0</v>
      </c>
      <c r="AB29">
        <v>351.29</v>
      </c>
      <c r="AC29">
        <v>7.02</v>
      </c>
      <c r="AD29">
        <v>0</v>
      </c>
      <c r="AE29">
        <v>0</v>
      </c>
      <c r="AF29">
        <v>351.29</v>
      </c>
      <c r="AG29">
        <v>7.02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0.38400000000000001</v>
      </c>
      <c r="AU29" t="s">
        <v>3</v>
      </c>
      <c r="AV29">
        <v>0</v>
      </c>
      <c r="AW29">
        <v>2</v>
      </c>
      <c r="AX29">
        <v>46561608</v>
      </c>
      <c r="AY29">
        <v>1</v>
      </c>
      <c r="AZ29">
        <v>0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Y29*Source!I37</f>
        <v>48.076799999999999</v>
      </c>
      <c r="CY29">
        <f>AB29</f>
        <v>351.29</v>
      </c>
      <c r="CZ29">
        <f>AF29</f>
        <v>351.29</v>
      </c>
      <c r="DA29">
        <f>AJ29</f>
        <v>1</v>
      </c>
      <c r="DB29">
        <f t="shared" si="0"/>
        <v>134.9</v>
      </c>
      <c r="DC29">
        <f t="shared" si="1"/>
        <v>2.7</v>
      </c>
    </row>
    <row r="30" spans="1:107" x14ac:dyDescent="0.2">
      <c r="A30">
        <f>ROW(Source!A37)</f>
        <v>37</v>
      </c>
      <c r="B30">
        <v>46561299</v>
      </c>
      <c r="C30">
        <v>46561592</v>
      </c>
      <c r="D30">
        <v>45143575</v>
      </c>
      <c r="E30">
        <v>1</v>
      </c>
      <c r="F30">
        <v>1</v>
      </c>
      <c r="G30">
        <v>27</v>
      </c>
      <c r="H30">
        <v>2</v>
      </c>
      <c r="I30" t="s">
        <v>338</v>
      </c>
      <c r="J30" t="s">
        <v>339</v>
      </c>
      <c r="K30" t="s">
        <v>340</v>
      </c>
      <c r="L30">
        <v>1368</v>
      </c>
      <c r="N30">
        <v>1011</v>
      </c>
      <c r="O30" t="s">
        <v>286</v>
      </c>
      <c r="P30" t="s">
        <v>286</v>
      </c>
      <c r="Q30">
        <v>1</v>
      </c>
      <c r="W30">
        <v>0</v>
      </c>
      <c r="X30">
        <v>-764600179</v>
      </c>
      <c r="Y30">
        <v>0.115</v>
      </c>
      <c r="AA30">
        <v>0</v>
      </c>
      <c r="AB30">
        <v>5.94</v>
      </c>
      <c r="AC30">
        <v>0.02</v>
      </c>
      <c r="AD30">
        <v>0</v>
      </c>
      <c r="AE30">
        <v>0</v>
      </c>
      <c r="AF30">
        <v>5.94</v>
      </c>
      <c r="AG30">
        <v>0.02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0.115</v>
      </c>
      <c r="AU30" t="s">
        <v>3</v>
      </c>
      <c r="AV30">
        <v>0</v>
      </c>
      <c r="AW30">
        <v>2</v>
      </c>
      <c r="AX30">
        <v>46561609</v>
      </c>
      <c r="AY30">
        <v>1</v>
      </c>
      <c r="AZ30">
        <v>0</v>
      </c>
      <c r="BA30">
        <v>29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Y30*Source!I37</f>
        <v>14.398000000000001</v>
      </c>
      <c r="CY30">
        <f>AB30</f>
        <v>5.94</v>
      </c>
      <c r="CZ30">
        <f>AF30</f>
        <v>5.94</v>
      </c>
      <c r="DA30">
        <f>AJ30</f>
        <v>1</v>
      </c>
      <c r="DB30">
        <f t="shared" si="0"/>
        <v>0.68</v>
      </c>
      <c r="DC30">
        <f t="shared" si="1"/>
        <v>0</v>
      </c>
    </row>
    <row r="31" spans="1:107" x14ac:dyDescent="0.2">
      <c r="A31">
        <f>ROW(Source!A37)</f>
        <v>37</v>
      </c>
      <c r="B31">
        <v>46561299</v>
      </c>
      <c r="C31">
        <v>46561592</v>
      </c>
      <c r="D31">
        <v>45143598</v>
      </c>
      <c r="E31">
        <v>1</v>
      </c>
      <c r="F31">
        <v>1</v>
      </c>
      <c r="G31">
        <v>27</v>
      </c>
      <c r="H31">
        <v>2</v>
      </c>
      <c r="I31" t="s">
        <v>341</v>
      </c>
      <c r="J31" t="s">
        <v>342</v>
      </c>
      <c r="K31" t="s">
        <v>343</v>
      </c>
      <c r="L31">
        <v>1368</v>
      </c>
      <c r="N31">
        <v>1011</v>
      </c>
      <c r="O31" t="s">
        <v>286</v>
      </c>
      <c r="P31" t="s">
        <v>286</v>
      </c>
      <c r="Q31">
        <v>1</v>
      </c>
      <c r="W31">
        <v>0</v>
      </c>
      <c r="X31">
        <v>676633484</v>
      </c>
      <c r="Y31">
        <v>0.504</v>
      </c>
      <c r="AA31">
        <v>0</v>
      </c>
      <c r="AB31">
        <v>652.16</v>
      </c>
      <c r="AC31">
        <v>581.9</v>
      </c>
      <c r="AD31">
        <v>0</v>
      </c>
      <c r="AE31">
        <v>0</v>
      </c>
      <c r="AF31">
        <v>652.16</v>
      </c>
      <c r="AG31">
        <v>581.9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0.504</v>
      </c>
      <c r="AU31" t="s">
        <v>3</v>
      </c>
      <c r="AV31">
        <v>0</v>
      </c>
      <c r="AW31">
        <v>2</v>
      </c>
      <c r="AX31">
        <v>46561610</v>
      </c>
      <c r="AY31">
        <v>1</v>
      </c>
      <c r="AZ31">
        <v>0</v>
      </c>
      <c r="BA31">
        <v>30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Y31*Source!I37</f>
        <v>63.1008</v>
      </c>
      <c r="CY31">
        <f>AB31</f>
        <v>652.16</v>
      </c>
      <c r="CZ31">
        <f>AF31</f>
        <v>652.16</v>
      </c>
      <c r="DA31">
        <f>AJ31</f>
        <v>1</v>
      </c>
      <c r="DB31">
        <f t="shared" si="0"/>
        <v>328.69</v>
      </c>
      <c r="DC31">
        <f t="shared" si="1"/>
        <v>293.27999999999997</v>
      </c>
    </row>
    <row r="32" spans="1:107" x14ac:dyDescent="0.2">
      <c r="A32">
        <f>ROW(Source!A37)</f>
        <v>37</v>
      </c>
      <c r="B32">
        <v>46561299</v>
      </c>
      <c r="C32">
        <v>46561592</v>
      </c>
      <c r="D32">
        <v>45144496</v>
      </c>
      <c r="E32">
        <v>1</v>
      </c>
      <c r="F32">
        <v>1</v>
      </c>
      <c r="G32">
        <v>27</v>
      </c>
      <c r="H32">
        <v>3</v>
      </c>
      <c r="I32" t="s">
        <v>68</v>
      </c>
      <c r="J32" t="s">
        <v>70</v>
      </c>
      <c r="K32" t="s">
        <v>69</v>
      </c>
      <c r="L32">
        <v>1348</v>
      </c>
      <c r="N32">
        <v>1009</v>
      </c>
      <c r="O32" t="s">
        <v>65</v>
      </c>
      <c r="P32" t="s">
        <v>65</v>
      </c>
      <c r="Q32">
        <v>1000</v>
      </c>
      <c r="W32">
        <v>0</v>
      </c>
      <c r="X32">
        <v>1459204131</v>
      </c>
      <c r="Y32">
        <v>7.267E-3</v>
      </c>
      <c r="AA32">
        <v>32819.879999999997</v>
      </c>
      <c r="AB32">
        <v>0</v>
      </c>
      <c r="AC32">
        <v>0</v>
      </c>
      <c r="AD32">
        <v>0</v>
      </c>
      <c r="AE32">
        <v>32819.879999999997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3</v>
      </c>
      <c r="AT32">
        <v>7.267E-3</v>
      </c>
      <c r="AU32" t="s">
        <v>3</v>
      </c>
      <c r="AV32">
        <v>0</v>
      </c>
      <c r="AW32">
        <v>1</v>
      </c>
      <c r="AX32">
        <v>-1</v>
      </c>
      <c r="AY32">
        <v>0</v>
      </c>
      <c r="AZ32">
        <v>0</v>
      </c>
      <c r="BA32" t="s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Y32*Source!I37</f>
        <v>0.90982839999999998</v>
      </c>
      <c r="CY32">
        <f t="shared" ref="CY32:CY40" si="5">AA32</f>
        <v>32819.879999999997</v>
      </c>
      <c r="CZ32">
        <f t="shared" ref="CZ32:CZ40" si="6">AE32</f>
        <v>32819.879999999997</v>
      </c>
      <c r="DA32">
        <f t="shared" ref="DA32:DA40" si="7">AI32</f>
        <v>1</v>
      </c>
      <c r="DB32">
        <f t="shared" si="0"/>
        <v>238.5</v>
      </c>
      <c r="DC32">
        <f t="shared" si="1"/>
        <v>0</v>
      </c>
    </row>
    <row r="33" spans="1:107" x14ac:dyDescent="0.2">
      <c r="A33">
        <f>ROW(Source!A37)</f>
        <v>37</v>
      </c>
      <c r="B33">
        <v>46561299</v>
      </c>
      <c r="C33">
        <v>46561592</v>
      </c>
      <c r="D33">
        <v>45144555</v>
      </c>
      <c r="E33">
        <v>1</v>
      </c>
      <c r="F33">
        <v>1</v>
      </c>
      <c r="G33">
        <v>27</v>
      </c>
      <c r="H33">
        <v>3</v>
      </c>
      <c r="I33" t="s">
        <v>344</v>
      </c>
      <c r="J33" t="s">
        <v>345</v>
      </c>
      <c r="K33" t="s">
        <v>346</v>
      </c>
      <c r="L33">
        <v>1348</v>
      </c>
      <c r="N33">
        <v>1009</v>
      </c>
      <c r="O33" t="s">
        <v>65</v>
      </c>
      <c r="P33" t="s">
        <v>65</v>
      </c>
      <c r="Q33">
        <v>1000</v>
      </c>
      <c r="W33">
        <v>0</v>
      </c>
      <c r="X33">
        <v>-1210277159</v>
      </c>
      <c r="Y33">
        <v>1.01E-3</v>
      </c>
      <c r="AA33">
        <v>38268.54</v>
      </c>
      <c r="AB33">
        <v>0</v>
      </c>
      <c r="AC33">
        <v>0</v>
      </c>
      <c r="AD33">
        <v>0</v>
      </c>
      <c r="AE33">
        <v>38268.54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1.01E-3</v>
      </c>
      <c r="AU33" t="s">
        <v>3</v>
      </c>
      <c r="AV33">
        <v>0</v>
      </c>
      <c r="AW33">
        <v>2</v>
      </c>
      <c r="AX33">
        <v>46561611</v>
      </c>
      <c r="AY33">
        <v>1</v>
      </c>
      <c r="AZ33">
        <v>0</v>
      </c>
      <c r="BA33">
        <v>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Y33*Source!I37</f>
        <v>0.12645200000000001</v>
      </c>
      <c r="CY33">
        <f t="shared" si="5"/>
        <v>38268.54</v>
      </c>
      <c r="CZ33">
        <f t="shared" si="6"/>
        <v>38268.54</v>
      </c>
      <c r="DA33">
        <f t="shared" si="7"/>
        <v>1</v>
      </c>
      <c r="DB33">
        <f t="shared" si="0"/>
        <v>38.65</v>
      </c>
      <c r="DC33">
        <f t="shared" si="1"/>
        <v>0</v>
      </c>
    </row>
    <row r="34" spans="1:107" x14ac:dyDescent="0.2">
      <c r="A34">
        <f>ROW(Source!A37)</f>
        <v>37</v>
      </c>
      <c r="B34">
        <v>46561299</v>
      </c>
      <c r="C34">
        <v>46561592</v>
      </c>
      <c r="D34">
        <v>45144413</v>
      </c>
      <c r="E34">
        <v>1</v>
      </c>
      <c r="F34">
        <v>1</v>
      </c>
      <c r="G34">
        <v>27</v>
      </c>
      <c r="H34">
        <v>3</v>
      </c>
      <c r="I34" t="s">
        <v>84</v>
      </c>
      <c r="J34" t="s">
        <v>86</v>
      </c>
      <c r="K34" t="s">
        <v>85</v>
      </c>
      <c r="L34">
        <v>1348</v>
      </c>
      <c r="N34">
        <v>1009</v>
      </c>
      <c r="O34" t="s">
        <v>65</v>
      </c>
      <c r="P34" t="s">
        <v>65</v>
      </c>
      <c r="Q34">
        <v>1000</v>
      </c>
      <c r="W34">
        <v>1</v>
      </c>
      <c r="X34">
        <v>-2126876791</v>
      </c>
      <c r="Y34">
        <v>-0.14899999999999999</v>
      </c>
      <c r="AA34">
        <v>37537.54</v>
      </c>
      <c r="AB34">
        <v>0</v>
      </c>
      <c r="AC34">
        <v>0</v>
      </c>
      <c r="AD34">
        <v>0</v>
      </c>
      <c r="AE34">
        <v>37537.54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-0.14899999999999999</v>
      </c>
      <c r="AU34" t="s">
        <v>3</v>
      </c>
      <c r="AV34">
        <v>0</v>
      </c>
      <c r="AW34">
        <v>2</v>
      </c>
      <c r="AX34">
        <v>46561612</v>
      </c>
      <c r="AY34">
        <v>1</v>
      </c>
      <c r="AZ34">
        <v>6144</v>
      </c>
      <c r="BA34">
        <v>32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Y34*Source!I37</f>
        <v>-18.654799999999998</v>
      </c>
      <c r="CY34">
        <f t="shared" si="5"/>
        <v>37537.54</v>
      </c>
      <c r="CZ34">
        <f t="shared" si="6"/>
        <v>37537.54</v>
      </c>
      <c r="DA34">
        <f t="shared" si="7"/>
        <v>1</v>
      </c>
      <c r="DB34">
        <f t="shared" si="0"/>
        <v>-5593.09</v>
      </c>
      <c r="DC34">
        <f t="shared" si="1"/>
        <v>0</v>
      </c>
    </row>
    <row r="35" spans="1:107" x14ac:dyDescent="0.2">
      <c r="A35">
        <f>ROW(Source!A37)</f>
        <v>37</v>
      </c>
      <c r="B35">
        <v>46561299</v>
      </c>
      <c r="C35">
        <v>46561592</v>
      </c>
      <c r="D35">
        <v>45144419</v>
      </c>
      <c r="E35">
        <v>1</v>
      </c>
      <c r="F35">
        <v>1</v>
      </c>
      <c r="G35">
        <v>27</v>
      </c>
      <c r="H35">
        <v>3</v>
      </c>
      <c r="I35" t="s">
        <v>72</v>
      </c>
      <c r="J35" t="s">
        <v>74</v>
      </c>
      <c r="K35" t="s">
        <v>73</v>
      </c>
      <c r="L35">
        <v>1348</v>
      </c>
      <c r="N35">
        <v>1009</v>
      </c>
      <c r="O35" t="s">
        <v>65</v>
      </c>
      <c r="P35" t="s">
        <v>65</v>
      </c>
      <c r="Q35">
        <v>1000</v>
      </c>
      <c r="W35">
        <v>0</v>
      </c>
      <c r="X35">
        <v>-1203325895</v>
      </c>
      <c r="Y35">
        <v>1.6383000000000002E-2</v>
      </c>
      <c r="AA35">
        <v>40597.550000000003</v>
      </c>
      <c r="AB35">
        <v>0</v>
      </c>
      <c r="AC35">
        <v>0</v>
      </c>
      <c r="AD35">
        <v>0</v>
      </c>
      <c r="AE35">
        <v>40597.550000000003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</v>
      </c>
      <c r="AT35">
        <v>1.6383000000000002E-2</v>
      </c>
      <c r="AU35" t="s">
        <v>3</v>
      </c>
      <c r="AV35">
        <v>0</v>
      </c>
      <c r="AW35">
        <v>1</v>
      </c>
      <c r="AX35">
        <v>-1</v>
      </c>
      <c r="AY35">
        <v>0</v>
      </c>
      <c r="AZ35">
        <v>0</v>
      </c>
      <c r="BA35" t="s">
        <v>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Y35*Source!I37</f>
        <v>2.0511516000000003</v>
      </c>
      <c r="CY35">
        <f t="shared" si="5"/>
        <v>40597.550000000003</v>
      </c>
      <c r="CZ35">
        <f t="shared" si="6"/>
        <v>40597.550000000003</v>
      </c>
      <c r="DA35">
        <f t="shared" si="7"/>
        <v>1</v>
      </c>
      <c r="DB35">
        <f t="shared" si="0"/>
        <v>665.11</v>
      </c>
      <c r="DC35">
        <f t="shared" si="1"/>
        <v>0</v>
      </c>
    </row>
    <row r="36" spans="1:107" x14ac:dyDescent="0.2">
      <c r="A36">
        <f>ROW(Source!A37)</f>
        <v>37</v>
      </c>
      <c r="B36">
        <v>46561299</v>
      </c>
      <c r="C36">
        <v>46561592</v>
      </c>
      <c r="D36">
        <v>45144432</v>
      </c>
      <c r="E36">
        <v>1</v>
      </c>
      <c r="F36">
        <v>1</v>
      </c>
      <c r="G36">
        <v>27</v>
      </c>
      <c r="H36">
        <v>3</v>
      </c>
      <c r="I36" t="s">
        <v>63</v>
      </c>
      <c r="J36" t="s">
        <v>66</v>
      </c>
      <c r="K36" t="s">
        <v>64</v>
      </c>
      <c r="L36">
        <v>1348</v>
      </c>
      <c r="N36">
        <v>1009</v>
      </c>
      <c r="O36" t="s">
        <v>65</v>
      </c>
      <c r="P36" t="s">
        <v>65</v>
      </c>
      <c r="Q36">
        <v>1000</v>
      </c>
      <c r="W36">
        <v>0</v>
      </c>
      <c r="X36">
        <v>1662963478</v>
      </c>
      <c r="Y36">
        <v>5.5890000000000002E-3</v>
      </c>
      <c r="AA36">
        <v>37329.29</v>
      </c>
      <c r="AB36">
        <v>0</v>
      </c>
      <c r="AC36">
        <v>0</v>
      </c>
      <c r="AD36">
        <v>0</v>
      </c>
      <c r="AE36">
        <v>37329.29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</v>
      </c>
      <c r="AT36">
        <v>5.5890000000000002E-3</v>
      </c>
      <c r="AU36" t="s">
        <v>3</v>
      </c>
      <c r="AV36">
        <v>0</v>
      </c>
      <c r="AW36">
        <v>1</v>
      </c>
      <c r="AX36">
        <v>-1</v>
      </c>
      <c r="AY36">
        <v>0</v>
      </c>
      <c r="AZ36">
        <v>0</v>
      </c>
      <c r="BA36" t="s"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Y36*Source!I37</f>
        <v>0.6997428</v>
      </c>
      <c r="CY36">
        <f t="shared" si="5"/>
        <v>37329.29</v>
      </c>
      <c r="CZ36">
        <f t="shared" si="6"/>
        <v>37329.29</v>
      </c>
      <c r="DA36">
        <f t="shared" si="7"/>
        <v>1</v>
      </c>
      <c r="DB36">
        <f t="shared" si="0"/>
        <v>208.63</v>
      </c>
      <c r="DC36">
        <f t="shared" si="1"/>
        <v>0</v>
      </c>
    </row>
    <row r="37" spans="1:107" x14ac:dyDescent="0.2">
      <c r="A37">
        <f>ROW(Source!A37)</f>
        <v>37</v>
      </c>
      <c r="B37">
        <v>46561299</v>
      </c>
      <c r="C37">
        <v>46561592</v>
      </c>
      <c r="D37">
        <v>45145543</v>
      </c>
      <c r="E37">
        <v>1</v>
      </c>
      <c r="F37">
        <v>1</v>
      </c>
      <c r="G37">
        <v>27</v>
      </c>
      <c r="H37">
        <v>3</v>
      </c>
      <c r="I37" t="s">
        <v>320</v>
      </c>
      <c r="J37" t="s">
        <v>321</v>
      </c>
      <c r="K37" t="s">
        <v>322</v>
      </c>
      <c r="L37">
        <v>1348</v>
      </c>
      <c r="N37">
        <v>1009</v>
      </c>
      <c r="O37" t="s">
        <v>65</v>
      </c>
      <c r="P37" t="s">
        <v>65</v>
      </c>
      <c r="Q37">
        <v>1000</v>
      </c>
      <c r="W37">
        <v>0</v>
      </c>
      <c r="X37">
        <v>-672771621</v>
      </c>
      <c r="Y37">
        <v>5.0000000000000001E-4</v>
      </c>
      <c r="AA37">
        <v>110781.14</v>
      </c>
      <c r="AB37">
        <v>0</v>
      </c>
      <c r="AC37">
        <v>0</v>
      </c>
      <c r="AD37">
        <v>0</v>
      </c>
      <c r="AE37">
        <v>110781.14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5.0000000000000001E-4</v>
      </c>
      <c r="AU37" t="s">
        <v>3</v>
      </c>
      <c r="AV37">
        <v>0</v>
      </c>
      <c r="AW37">
        <v>2</v>
      </c>
      <c r="AX37">
        <v>46561613</v>
      </c>
      <c r="AY37">
        <v>1</v>
      </c>
      <c r="AZ37">
        <v>0</v>
      </c>
      <c r="BA37">
        <v>33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Y37*Source!I37</f>
        <v>6.2600000000000003E-2</v>
      </c>
      <c r="CY37">
        <f t="shared" si="5"/>
        <v>110781.14</v>
      </c>
      <c r="CZ37">
        <f t="shared" si="6"/>
        <v>110781.14</v>
      </c>
      <c r="DA37">
        <f t="shared" si="7"/>
        <v>1</v>
      </c>
      <c r="DB37">
        <f t="shared" ref="DB37:DB53" si="8">ROUND(ROUND(AT37*CZ37,2),6)</f>
        <v>55.39</v>
      </c>
      <c r="DC37">
        <f t="shared" ref="DC37:DC53" si="9">ROUND(ROUND(AT37*AG37,2),6)</f>
        <v>0</v>
      </c>
    </row>
    <row r="38" spans="1:107" x14ac:dyDescent="0.2">
      <c r="A38">
        <f>ROW(Source!A37)</f>
        <v>37</v>
      </c>
      <c r="B38">
        <v>46561299</v>
      </c>
      <c r="C38">
        <v>46561592</v>
      </c>
      <c r="D38">
        <v>45147864</v>
      </c>
      <c r="E38">
        <v>1</v>
      </c>
      <c r="F38">
        <v>1</v>
      </c>
      <c r="G38">
        <v>27</v>
      </c>
      <c r="H38">
        <v>3</v>
      </c>
      <c r="I38" t="s">
        <v>347</v>
      </c>
      <c r="J38" t="s">
        <v>348</v>
      </c>
      <c r="K38" t="s">
        <v>349</v>
      </c>
      <c r="L38">
        <v>1354</v>
      </c>
      <c r="N38">
        <v>1010</v>
      </c>
      <c r="O38" t="s">
        <v>350</v>
      </c>
      <c r="P38" t="s">
        <v>350</v>
      </c>
      <c r="Q38">
        <v>1</v>
      </c>
      <c r="W38">
        <v>0</v>
      </c>
      <c r="X38">
        <v>969740417</v>
      </c>
      <c r="Y38">
        <v>1.4E-2</v>
      </c>
      <c r="AA38">
        <v>16.54</v>
      </c>
      <c r="AB38">
        <v>0</v>
      </c>
      <c r="AC38">
        <v>0</v>
      </c>
      <c r="AD38">
        <v>0</v>
      </c>
      <c r="AE38">
        <v>16.54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1.4E-2</v>
      </c>
      <c r="AU38" t="s">
        <v>3</v>
      </c>
      <c r="AV38">
        <v>0</v>
      </c>
      <c r="AW38">
        <v>2</v>
      </c>
      <c r="AX38">
        <v>46561614</v>
      </c>
      <c r="AY38">
        <v>1</v>
      </c>
      <c r="AZ38">
        <v>0</v>
      </c>
      <c r="BA38">
        <v>34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Y38*Source!I37</f>
        <v>1.7528000000000001</v>
      </c>
      <c r="CY38">
        <f t="shared" si="5"/>
        <v>16.54</v>
      </c>
      <c r="CZ38">
        <f t="shared" si="6"/>
        <v>16.54</v>
      </c>
      <c r="DA38">
        <f t="shared" si="7"/>
        <v>1</v>
      </c>
      <c r="DB38">
        <f t="shared" si="8"/>
        <v>0.23</v>
      </c>
      <c r="DC38">
        <f t="shared" si="9"/>
        <v>0</v>
      </c>
    </row>
    <row r="39" spans="1:107" x14ac:dyDescent="0.2">
      <c r="A39">
        <f>ROW(Source!A37)</f>
        <v>37</v>
      </c>
      <c r="B39">
        <v>46561299</v>
      </c>
      <c r="C39">
        <v>46561592</v>
      </c>
      <c r="D39">
        <v>0</v>
      </c>
      <c r="E39">
        <v>27</v>
      </c>
      <c r="F39">
        <v>1</v>
      </c>
      <c r="G39">
        <v>27</v>
      </c>
      <c r="H39">
        <v>3</v>
      </c>
      <c r="I39" t="s">
        <v>76</v>
      </c>
      <c r="J39" t="s">
        <v>3</v>
      </c>
      <c r="K39" t="s">
        <v>77</v>
      </c>
      <c r="L39">
        <v>1371</v>
      </c>
      <c r="N39">
        <v>1013</v>
      </c>
      <c r="O39" t="s">
        <v>78</v>
      </c>
      <c r="P39" t="s">
        <v>78</v>
      </c>
      <c r="Q39">
        <v>1</v>
      </c>
      <c r="W39">
        <v>0</v>
      </c>
      <c r="X39">
        <v>-1591933177</v>
      </c>
      <c r="Y39">
        <v>0.199681</v>
      </c>
      <c r="AA39">
        <v>37.5</v>
      </c>
      <c r="AB39">
        <v>0</v>
      </c>
      <c r="AC39">
        <v>0</v>
      </c>
      <c r="AD39">
        <v>0</v>
      </c>
      <c r="AE39">
        <v>37.5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3</v>
      </c>
      <c r="AT39">
        <v>0.199681</v>
      </c>
      <c r="AU39" t="s">
        <v>3</v>
      </c>
      <c r="AV39">
        <v>0</v>
      </c>
      <c r="AW39">
        <v>1</v>
      </c>
      <c r="AX39">
        <v>-1</v>
      </c>
      <c r="AY39">
        <v>0</v>
      </c>
      <c r="AZ39">
        <v>0</v>
      </c>
      <c r="BA39" t="s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Y39*Source!I37</f>
        <v>25.000061200000001</v>
      </c>
      <c r="CY39">
        <f t="shared" si="5"/>
        <v>37.5</v>
      </c>
      <c r="CZ39">
        <f t="shared" si="6"/>
        <v>37.5</v>
      </c>
      <c r="DA39">
        <f t="shared" si="7"/>
        <v>1</v>
      </c>
      <c r="DB39">
        <f t="shared" si="8"/>
        <v>7.49</v>
      </c>
      <c r="DC39">
        <f t="shared" si="9"/>
        <v>0</v>
      </c>
    </row>
    <row r="40" spans="1:107" x14ac:dyDescent="0.2">
      <c r="A40">
        <f>ROW(Source!A37)</f>
        <v>37</v>
      </c>
      <c r="B40">
        <v>46561299</v>
      </c>
      <c r="C40">
        <v>46561592</v>
      </c>
      <c r="D40">
        <v>0</v>
      </c>
      <c r="E40">
        <v>27</v>
      </c>
      <c r="F40">
        <v>1</v>
      </c>
      <c r="G40">
        <v>27</v>
      </c>
      <c r="H40">
        <v>3</v>
      </c>
      <c r="I40" t="s">
        <v>76</v>
      </c>
      <c r="J40" t="s">
        <v>3</v>
      </c>
      <c r="K40" t="s">
        <v>81</v>
      </c>
      <c r="L40">
        <v>1371</v>
      </c>
      <c r="N40">
        <v>1013</v>
      </c>
      <c r="O40" t="s">
        <v>78</v>
      </c>
      <c r="P40" t="s">
        <v>78</v>
      </c>
      <c r="Q40">
        <v>1</v>
      </c>
      <c r="W40">
        <v>0</v>
      </c>
      <c r="X40">
        <v>-1949902326</v>
      </c>
      <c r="Y40">
        <v>0.76677300000000004</v>
      </c>
      <c r="AA40">
        <v>16.53</v>
      </c>
      <c r="AB40">
        <v>0</v>
      </c>
      <c r="AC40">
        <v>0</v>
      </c>
      <c r="AD40">
        <v>0</v>
      </c>
      <c r="AE40">
        <v>16.53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3</v>
      </c>
      <c r="AT40">
        <v>0.76677300000000004</v>
      </c>
      <c r="AU40" t="s">
        <v>3</v>
      </c>
      <c r="AV40">
        <v>0</v>
      </c>
      <c r="AW40">
        <v>1</v>
      </c>
      <c r="AX40">
        <v>-1</v>
      </c>
      <c r="AY40">
        <v>0</v>
      </c>
      <c r="AZ40">
        <v>0</v>
      </c>
      <c r="BA40" t="s">
        <v>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Y40*Source!I37</f>
        <v>95.999979600000003</v>
      </c>
      <c r="CY40">
        <f t="shared" si="5"/>
        <v>16.53</v>
      </c>
      <c r="CZ40">
        <f t="shared" si="6"/>
        <v>16.53</v>
      </c>
      <c r="DA40">
        <f t="shared" si="7"/>
        <v>1</v>
      </c>
      <c r="DB40">
        <f t="shared" si="8"/>
        <v>12.67</v>
      </c>
      <c r="DC40">
        <f t="shared" si="9"/>
        <v>0</v>
      </c>
    </row>
    <row r="41" spans="1:107" x14ac:dyDescent="0.2">
      <c r="A41">
        <f>ROW(Source!A44)</f>
        <v>44</v>
      </c>
      <c r="B41">
        <v>46561299</v>
      </c>
      <c r="C41">
        <v>46591601</v>
      </c>
      <c r="D41">
        <v>45130551</v>
      </c>
      <c r="E41">
        <v>27</v>
      </c>
      <c r="F41">
        <v>1</v>
      </c>
      <c r="G41">
        <v>27</v>
      </c>
      <c r="H41">
        <v>1</v>
      </c>
      <c r="I41" t="s">
        <v>280</v>
      </c>
      <c r="J41" t="s">
        <v>3</v>
      </c>
      <c r="K41" t="s">
        <v>281</v>
      </c>
      <c r="L41">
        <v>1191</v>
      </c>
      <c r="N41">
        <v>1013</v>
      </c>
      <c r="O41" t="s">
        <v>282</v>
      </c>
      <c r="P41" t="s">
        <v>282</v>
      </c>
      <c r="Q41">
        <v>1</v>
      </c>
      <c r="W41">
        <v>0</v>
      </c>
      <c r="X41">
        <v>476480486</v>
      </c>
      <c r="Y41">
        <v>6.11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6.11</v>
      </c>
      <c r="AU41" t="s">
        <v>3</v>
      </c>
      <c r="AV41">
        <v>1</v>
      </c>
      <c r="AW41">
        <v>2</v>
      </c>
      <c r="AX41">
        <v>46591602</v>
      </c>
      <c r="AY41">
        <v>1</v>
      </c>
      <c r="AZ41">
        <v>0</v>
      </c>
      <c r="BA41">
        <v>35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Y41*Source!I44</f>
        <v>7.6497200000000003</v>
      </c>
      <c r="CY41">
        <f>AD41</f>
        <v>0</v>
      </c>
      <c r="CZ41">
        <f>AH41</f>
        <v>0</v>
      </c>
      <c r="DA41">
        <f>AL41</f>
        <v>1</v>
      </c>
      <c r="DB41">
        <f t="shared" si="8"/>
        <v>0</v>
      </c>
      <c r="DC41">
        <f t="shared" si="9"/>
        <v>0</v>
      </c>
    </row>
    <row r="42" spans="1:107" x14ac:dyDescent="0.2">
      <c r="A42">
        <f>ROW(Source!A44)</f>
        <v>44</v>
      </c>
      <c r="B42">
        <v>46561299</v>
      </c>
      <c r="C42">
        <v>46591601</v>
      </c>
      <c r="D42">
        <v>45143099</v>
      </c>
      <c r="E42">
        <v>1</v>
      </c>
      <c r="F42">
        <v>1</v>
      </c>
      <c r="G42">
        <v>27</v>
      </c>
      <c r="H42">
        <v>2</v>
      </c>
      <c r="I42" t="s">
        <v>351</v>
      </c>
      <c r="J42" t="s">
        <v>352</v>
      </c>
      <c r="K42" t="s">
        <v>353</v>
      </c>
      <c r="L42">
        <v>1368</v>
      </c>
      <c r="N42">
        <v>1011</v>
      </c>
      <c r="O42" t="s">
        <v>286</v>
      </c>
      <c r="P42" t="s">
        <v>286</v>
      </c>
      <c r="Q42">
        <v>1</v>
      </c>
      <c r="W42">
        <v>0</v>
      </c>
      <c r="X42">
        <v>-2137968664</v>
      </c>
      <c r="Y42">
        <v>1.4</v>
      </c>
      <c r="AA42">
        <v>0</v>
      </c>
      <c r="AB42">
        <v>98.05</v>
      </c>
      <c r="AC42">
        <v>33.06</v>
      </c>
      <c r="AD42">
        <v>0</v>
      </c>
      <c r="AE42">
        <v>0</v>
      </c>
      <c r="AF42">
        <v>98.05</v>
      </c>
      <c r="AG42">
        <v>33.06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1.4</v>
      </c>
      <c r="AU42" t="s">
        <v>3</v>
      </c>
      <c r="AV42">
        <v>0</v>
      </c>
      <c r="AW42">
        <v>2</v>
      </c>
      <c r="AX42">
        <v>46591603</v>
      </c>
      <c r="AY42">
        <v>1</v>
      </c>
      <c r="AZ42">
        <v>0</v>
      </c>
      <c r="BA42">
        <v>36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Y42*Source!I44</f>
        <v>1.7527999999999999</v>
      </c>
      <c r="CY42">
        <f>AB42</f>
        <v>98.05</v>
      </c>
      <c r="CZ42">
        <f>AF42</f>
        <v>98.05</v>
      </c>
      <c r="DA42">
        <f>AJ42</f>
        <v>1</v>
      </c>
      <c r="DB42">
        <f t="shared" si="8"/>
        <v>137.27000000000001</v>
      </c>
      <c r="DC42">
        <f t="shared" si="9"/>
        <v>46.28</v>
      </c>
    </row>
    <row r="43" spans="1:107" x14ac:dyDescent="0.2">
      <c r="A43">
        <f>ROW(Source!A44)</f>
        <v>44</v>
      </c>
      <c r="B43">
        <v>46561299</v>
      </c>
      <c r="C43">
        <v>46591601</v>
      </c>
      <c r="D43">
        <v>45142852</v>
      </c>
      <c r="E43">
        <v>1</v>
      </c>
      <c r="F43">
        <v>1</v>
      </c>
      <c r="G43">
        <v>27</v>
      </c>
      <c r="H43">
        <v>2</v>
      </c>
      <c r="I43" t="s">
        <v>308</v>
      </c>
      <c r="J43" t="s">
        <v>309</v>
      </c>
      <c r="K43" t="s">
        <v>310</v>
      </c>
      <c r="L43">
        <v>1368</v>
      </c>
      <c r="N43">
        <v>1011</v>
      </c>
      <c r="O43" t="s">
        <v>286</v>
      </c>
      <c r="P43" t="s">
        <v>286</v>
      </c>
      <c r="Q43">
        <v>1</v>
      </c>
      <c r="W43">
        <v>0</v>
      </c>
      <c r="X43">
        <v>-1323805330</v>
      </c>
      <c r="Y43">
        <v>0.01</v>
      </c>
      <c r="AA43">
        <v>0</v>
      </c>
      <c r="AB43">
        <v>683.9</v>
      </c>
      <c r="AC43">
        <v>371.27</v>
      </c>
      <c r="AD43">
        <v>0</v>
      </c>
      <c r="AE43">
        <v>0</v>
      </c>
      <c r="AF43">
        <v>683.9</v>
      </c>
      <c r="AG43">
        <v>371.27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0.01</v>
      </c>
      <c r="AU43" t="s">
        <v>3</v>
      </c>
      <c r="AV43">
        <v>0</v>
      </c>
      <c r="AW43">
        <v>2</v>
      </c>
      <c r="AX43">
        <v>46591604</v>
      </c>
      <c r="AY43">
        <v>1</v>
      </c>
      <c r="AZ43">
        <v>0</v>
      </c>
      <c r="BA43">
        <v>37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Y43*Source!I44</f>
        <v>1.252E-2</v>
      </c>
      <c r="CY43">
        <f>AB43</f>
        <v>683.9</v>
      </c>
      <c r="CZ43">
        <f>AF43</f>
        <v>683.9</v>
      </c>
      <c r="DA43">
        <f>AJ43</f>
        <v>1</v>
      </c>
      <c r="DB43">
        <f t="shared" si="8"/>
        <v>6.84</v>
      </c>
      <c r="DC43">
        <f t="shared" si="9"/>
        <v>3.71</v>
      </c>
    </row>
    <row r="44" spans="1:107" x14ac:dyDescent="0.2">
      <c r="A44">
        <f>ROW(Source!A44)</f>
        <v>44</v>
      </c>
      <c r="B44">
        <v>46561299</v>
      </c>
      <c r="C44">
        <v>46591601</v>
      </c>
      <c r="D44">
        <v>45142866</v>
      </c>
      <c r="E44">
        <v>1</v>
      </c>
      <c r="F44">
        <v>1</v>
      </c>
      <c r="G44">
        <v>27</v>
      </c>
      <c r="H44">
        <v>2</v>
      </c>
      <c r="I44" t="s">
        <v>354</v>
      </c>
      <c r="J44" t="s">
        <v>355</v>
      </c>
      <c r="K44" t="s">
        <v>356</v>
      </c>
      <c r="L44">
        <v>1368</v>
      </c>
      <c r="N44">
        <v>1011</v>
      </c>
      <c r="O44" t="s">
        <v>286</v>
      </c>
      <c r="P44" t="s">
        <v>286</v>
      </c>
      <c r="Q44">
        <v>1</v>
      </c>
      <c r="W44">
        <v>0</v>
      </c>
      <c r="X44">
        <v>-54802859</v>
      </c>
      <c r="Y44">
        <v>0.01</v>
      </c>
      <c r="AA44">
        <v>0</v>
      </c>
      <c r="AB44">
        <v>16.920000000000002</v>
      </c>
      <c r="AC44">
        <v>0.09</v>
      </c>
      <c r="AD44">
        <v>0</v>
      </c>
      <c r="AE44">
        <v>0</v>
      </c>
      <c r="AF44">
        <v>16.920000000000002</v>
      </c>
      <c r="AG44">
        <v>0.09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0.01</v>
      </c>
      <c r="AU44" t="s">
        <v>3</v>
      </c>
      <c r="AV44">
        <v>0</v>
      </c>
      <c r="AW44">
        <v>2</v>
      </c>
      <c r="AX44">
        <v>46591605</v>
      </c>
      <c r="AY44">
        <v>1</v>
      </c>
      <c r="AZ44">
        <v>0</v>
      </c>
      <c r="BA44">
        <v>38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Y44*Source!I44</f>
        <v>1.252E-2</v>
      </c>
      <c r="CY44">
        <f>AB44</f>
        <v>16.920000000000002</v>
      </c>
      <c r="CZ44">
        <f>AF44</f>
        <v>16.920000000000002</v>
      </c>
      <c r="DA44">
        <f>AJ44</f>
        <v>1</v>
      </c>
      <c r="DB44">
        <f t="shared" si="8"/>
        <v>0.17</v>
      </c>
      <c r="DC44">
        <f t="shared" si="9"/>
        <v>0</v>
      </c>
    </row>
    <row r="45" spans="1:107" x14ac:dyDescent="0.2">
      <c r="A45">
        <f>ROW(Source!A44)</f>
        <v>44</v>
      </c>
      <c r="B45">
        <v>46561299</v>
      </c>
      <c r="C45">
        <v>46591601</v>
      </c>
      <c r="D45">
        <v>45131998</v>
      </c>
      <c r="E45">
        <v>27</v>
      </c>
      <c r="F45">
        <v>1</v>
      </c>
      <c r="G45">
        <v>27</v>
      </c>
      <c r="H45">
        <v>3</v>
      </c>
      <c r="I45" t="s">
        <v>357</v>
      </c>
      <c r="J45" t="s">
        <v>3</v>
      </c>
      <c r="K45" t="s">
        <v>358</v>
      </c>
      <c r="L45">
        <v>1346</v>
      </c>
      <c r="N45">
        <v>1009</v>
      </c>
      <c r="O45" t="s">
        <v>359</v>
      </c>
      <c r="P45" t="s">
        <v>359</v>
      </c>
      <c r="Q45">
        <v>1</v>
      </c>
      <c r="W45">
        <v>0</v>
      </c>
      <c r="X45">
        <v>-126270252</v>
      </c>
      <c r="Y45">
        <v>1.5</v>
      </c>
      <c r="AA45">
        <v>99.3</v>
      </c>
      <c r="AB45">
        <v>0</v>
      </c>
      <c r="AC45">
        <v>0</v>
      </c>
      <c r="AD45">
        <v>0</v>
      </c>
      <c r="AE45">
        <v>99.303030000000007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1.5</v>
      </c>
      <c r="AU45" t="s">
        <v>3</v>
      </c>
      <c r="AV45">
        <v>0</v>
      </c>
      <c r="AW45">
        <v>2</v>
      </c>
      <c r="AX45">
        <v>46591607</v>
      </c>
      <c r="AY45">
        <v>1</v>
      </c>
      <c r="AZ45">
        <v>0</v>
      </c>
      <c r="BA45">
        <v>39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Y45*Source!I44</f>
        <v>1.8780000000000001</v>
      </c>
      <c r="CY45">
        <f>AA45</f>
        <v>99.3</v>
      </c>
      <c r="CZ45">
        <f>AE45</f>
        <v>99.303030000000007</v>
      </c>
      <c r="DA45">
        <f>AI45</f>
        <v>1</v>
      </c>
      <c r="DB45">
        <f t="shared" si="8"/>
        <v>148.94999999999999</v>
      </c>
      <c r="DC45">
        <f t="shared" si="9"/>
        <v>0</v>
      </c>
    </row>
    <row r="46" spans="1:107" x14ac:dyDescent="0.2">
      <c r="A46">
        <f>ROW(Source!A44)</f>
        <v>44</v>
      </c>
      <c r="B46">
        <v>46561299</v>
      </c>
      <c r="C46">
        <v>46591601</v>
      </c>
      <c r="D46">
        <v>45144050</v>
      </c>
      <c r="E46">
        <v>1</v>
      </c>
      <c r="F46">
        <v>1</v>
      </c>
      <c r="G46">
        <v>27</v>
      </c>
      <c r="H46">
        <v>3</v>
      </c>
      <c r="I46" t="s">
        <v>360</v>
      </c>
      <c r="J46" t="s">
        <v>361</v>
      </c>
      <c r="K46" t="s">
        <v>362</v>
      </c>
      <c r="L46">
        <v>1348</v>
      </c>
      <c r="N46">
        <v>1009</v>
      </c>
      <c r="O46" t="s">
        <v>65</v>
      </c>
      <c r="P46" t="s">
        <v>65</v>
      </c>
      <c r="Q46">
        <v>1000</v>
      </c>
      <c r="W46">
        <v>0</v>
      </c>
      <c r="X46">
        <v>-383061258</v>
      </c>
      <c r="Y46">
        <v>8.9999999999999993E-3</v>
      </c>
      <c r="AA46">
        <v>97017.58</v>
      </c>
      <c r="AB46">
        <v>0</v>
      </c>
      <c r="AC46">
        <v>0</v>
      </c>
      <c r="AD46">
        <v>0</v>
      </c>
      <c r="AE46">
        <v>97017.58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8.9999999999999993E-3</v>
      </c>
      <c r="AU46" t="s">
        <v>3</v>
      </c>
      <c r="AV46">
        <v>0</v>
      </c>
      <c r="AW46">
        <v>2</v>
      </c>
      <c r="AX46">
        <v>46591606</v>
      </c>
      <c r="AY46">
        <v>1</v>
      </c>
      <c r="AZ46">
        <v>0</v>
      </c>
      <c r="BA46">
        <v>40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Y46*Source!I44</f>
        <v>1.1267999999999999E-2</v>
      </c>
      <c r="CY46">
        <f>AA46</f>
        <v>97017.58</v>
      </c>
      <c r="CZ46">
        <f>AE46</f>
        <v>97017.58</v>
      </c>
      <c r="DA46">
        <f>AI46</f>
        <v>1</v>
      </c>
      <c r="DB46">
        <f t="shared" si="8"/>
        <v>873.16</v>
      </c>
      <c r="DC46">
        <f t="shared" si="9"/>
        <v>0</v>
      </c>
    </row>
    <row r="47" spans="1:107" x14ac:dyDescent="0.2">
      <c r="A47">
        <f>ROW(Source!A45)</f>
        <v>45</v>
      </c>
      <c r="B47">
        <v>46561299</v>
      </c>
      <c r="C47">
        <v>46591614</v>
      </c>
      <c r="D47">
        <v>45130551</v>
      </c>
      <c r="E47">
        <v>27</v>
      </c>
      <c r="F47">
        <v>1</v>
      </c>
      <c r="G47">
        <v>27</v>
      </c>
      <c r="H47">
        <v>1</v>
      </c>
      <c r="I47" t="s">
        <v>280</v>
      </c>
      <c r="J47" t="s">
        <v>3</v>
      </c>
      <c r="K47" t="s">
        <v>281</v>
      </c>
      <c r="L47">
        <v>1191</v>
      </c>
      <c r="N47">
        <v>1013</v>
      </c>
      <c r="O47" t="s">
        <v>282</v>
      </c>
      <c r="P47" t="s">
        <v>282</v>
      </c>
      <c r="Q47">
        <v>1</v>
      </c>
      <c r="W47">
        <v>0</v>
      </c>
      <c r="X47">
        <v>476480486</v>
      </c>
      <c r="Y47">
        <v>2.4500000000000002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2.4500000000000002</v>
      </c>
      <c r="AU47" t="s">
        <v>3</v>
      </c>
      <c r="AV47">
        <v>1</v>
      </c>
      <c r="AW47">
        <v>2</v>
      </c>
      <c r="AX47">
        <v>46591615</v>
      </c>
      <c r="AY47">
        <v>1</v>
      </c>
      <c r="AZ47">
        <v>0</v>
      </c>
      <c r="BA47">
        <v>41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Y47*Source!I45</f>
        <v>3.0674000000000001</v>
      </c>
      <c r="CY47">
        <f>AD47</f>
        <v>0</v>
      </c>
      <c r="CZ47">
        <f>AH47</f>
        <v>0</v>
      </c>
      <c r="DA47">
        <f>AL47</f>
        <v>1</v>
      </c>
      <c r="DB47">
        <f t="shared" si="8"/>
        <v>0</v>
      </c>
      <c r="DC47">
        <f t="shared" si="9"/>
        <v>0</v>
      </c>
    </row>
    <row r="48" spans="1:107" x14ac:dyDescent="0.2">
      <c r="A48">
        <f>ROW(Source!A45)</f>
        <v>45</v>
      </c>
      <c r="B48">
        <v>46561299</v>
      </c>
      <c r="C48">
        <v>46591614</v>
      </c>
      <c r="D48">
        <v>45142852</v>
      </c>
      <c r="E48">
        <v>1</v>
      </c>
      <c r="F48">
        <v>1</v>
      </c>
      <c r="G48">
        <v>27</v>
      </c>
      <c r="H48">
        <v>2</v>
      </c>
      <c r="I48" t="s">
        <v>308</v>
      </c>
      <c r="J48" t="s">
        <v>309</v>
      </c>
      <c r="K48" t="s">
        <v>310</v>
      </c>
      <c r="L48">
        <v>1368</v>
      </c>
      <c r="N48">
        <v>1011</v>
      </c>
      <c r="O48" t="s">
        <v>286</v>
      </c>
      <c r="P48" t="s">
        <v>286</v>
      </c>
      <c r="Q48">
        <v>1</v>
      </c>
      <c r="W48">
        <v>0</v>
      </c>
      <c r="X48">
        <v>-1323805330</v>
      </c>
      <c r="Y48">
        <v>0.01</v>
      </c>
      <c r="AA48">
        <v>0</v>
      </c>
      <c r="AB48">
        <v>683.9</v>
      </c>
      <c r="AC48">
        <v>371.27</v>
      </c>
      <c r="AD48">
        <v>0</v>
      </c>
      <c r="AE48">
        <v>0</v>
      </c>
      <c r="AF48">
        <v>683.9</v>
      </c>
      <c r="AG48">
        <v>371.27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0.01</v>
      </c>
      <c r="AU48" t="s">
        <v>3</v>
      </c>
      <c r="AV48">
        <v>0</v>
      </c>
      <c r="AW48">
        <v>2</v>
      </c>
      <c r="AX48">
        <v>46591616</v>
      </c>
      <c r="AY48">
        <v>1</v>
      </c>
      <c r="AZ48">
        <v>0</v>
      </c>
      <c r="BA48">
        <v>42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Y48*Source!I45</f>
        <v>1.252E-2</v>
      </c>
      <c r="CY48">
        <f>AB48</f>
        <v>683.9</v>
      </c>
      <c r="CZ48">
        <f>AF48</f>
        <v>683.9</v>
      </c>
      <c r="DA48">
        <f>AJ48</f>
        <v>1</v>
      </c>
      <c r="DB48">
        <f t="shared" si="8"/>
        <v>6.84</v>
      </c>
      <c r="DC48">
        <f t="shared" si="9"/>
        <v>3.71</v>
      </c>
    </row>
    <row r="49" spans="1:107" x14ac:dyDescent="0.2">
      <c r="A49">
        <f>ROW(Source!A45)</f>
        <v>45</v>
      </c>
      <c r="B49">
        <v>46561299</v>
      </c>
      <c r="C49">
        <v>46591614</v>
      </c>
      <c r="D49">
        <v>45144148</v>
      </c>
      <c r="E49">
        <v>1</v>
      </c>
      <c r="F49">
        <v>1</v>
      </c>
      <c r="G49">
        <v>27</v>
      </c>
      <c r="H49">
        <v>3</v>
      </c>
      <c r="I49" t="s">
        <v>363</v>
      </c>
      <c r="J49" t="s">
        <v>364</v>
      </c>
      <c r="K49" t="s">
        <v>365</v>
      </c>
      <c r="L49">
        <v>1348</v>
      </c>
      <c r="N49">
        <v>1009</v>
      </c>
      <c r="O49" t="s">
        <v>65</v>
      </c>
      <c r="P49" t="s">
        <v>65</v>
      </c>
      <c r="Q49">
        <v>1000</v>
      </c>
      <c r="W49">
        <v>0</v>
      </c>
      <c r="X49">
        <v>1958569313</v>
      </c>
      <c r="Y49">
        <v>1.48E-3</v>
      </c>
      <c r="AA49">
        <v>63195.54</v>
      </c>
      <c r="AB49">
        <v>0</v>
      </c>
      <c r="AC49">
        <v>0</v>
      </c>
      <c r="AD49">
        <v>0</v>
      </c>
      <c r="AE49">
        <v>63195.54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1.48E-3</v>
      </c>
      <c r="AU49" t="s">
        <v>3</v>
      </c>
      <c r="AV49">
        <v>0</v>
      </c>
      <c r="AW49">
        <v>2</v>
      </c>
      <c r="AX49">
        <v>46591617</v>
      </c>
      <c r="AY49">
        <v>1</v>
      </c>
      <c r="AZ49">
        <v>0</v>
      </c>
      <c r="BA49">
        <v>43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Y49*Source!I45</f>
        <v>1.8529600000000001E-3</v>
      </c>
      <c r="CY49">
        <f>AA49</f>
        <v>63195.54</v>
      </c>
      <c r="CZ49">
        <f>AE49</f>
        <v>63195.54</v>
      </c>
      <c r="DA49">
        <f>AI49</f>
        <v>1</v>
      </c>
      <c r="DB49">
        <f t="shared" si="8"/>
        <v>93.53</v>
      </c>
      <c r="DC49">
        <f t="shared" si="9"/>
        <v>0</v>
      </c>
    </row>
    <row r="50" spans="1:107" x14ac:dyDescent="0.2">
      <c r="A50">
        <f>ROW(Source!A45)</f>
        <v>45</v>
      </c>
      <c r="B50">
        <v>46561299</v>
      </c>
      <c r="C50">
        <v>46591614</v>
      </c>
      <c r="D50">
        <v>45144173</v>
      </c>
      <c r="E50">
        <v>1</v>
      </c>
      <c r="F50">
        <v>1</v>
      </c>
      <c r="G50">
        <v>27</v>
      </c>
      <c r="H50">
        <v>3</v>
      </c>
      <c r="I50" t="s">
        <v>366</v>
      </c>
      <c r="J50" t="s">
        <v>367</v>
      </c>
      <c r="K50" t="s">
        <v>368</v>
      </c>
      <c r="L50">
        <v>1346</v>
      </c>
      <c r="N50">
        <v>1009</v>
      </c>
      <c r="O50" t="s">
        <v>359</v>
      </c>
      <c r="P50" t="s">
        <v>359</v>
      </c>
      <c r="Q50">
        <v>1</v>
      </c>
      <c r="W50">
        <v>0</v>
      </c>
      <c r="X50">
        <v>-1364504988</v>
      </c>
      <c r="Y50">
        <v>9</v>
      </c>
      <c r="AA50">
        <v>105.32</v>
      </c>
      <c r="AB50">
        <v>0</v>
      </c>
      <c r="AC50">
        <v>0</v>
      </c>
      <c r="AD50">
        <v>0</v>
      </c>
      <c r="AE50">
        <v>105.32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9</v>
      </c>
      <c r="AU50" t="s">
        <v>3</v>
      </c>
      <c r="AV50">
        <v>0</v>
      </c>
      <c r="AW50">
        <v>2</v>
      </c>
      <c r="AX50">
        <v>46591618</v>
      </c>
      <c r="AY50">
        <v>1</v>
      </c>
      <c r="AZ50">
        <v>0</v>
      </c>
      <c r="BA50">
        <v>44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Y50*Source!I45</f>
        <v>11.268000000000001</v>
      </c>
      <c r="CY50">
        <f>AA50</f>
        <v>105.32</v>
      </c>
      <c r="CZ50">
        <f>AE50</f>
        <v>105.32</v>
      </c>
      <c r="DA50">
        <f>AI50</f>
        <v>1</v>
      </c>
      <c r="DB50">
        <f t="shared" si="8"/>
        <v>947.88</v>
      </c>
      <c r="DC50">
        <f t="shared" si="9"/>
        <v>0</v>
      </c>
    </row>
    <row r="51" spans="1:107" x14ac:dyDescent="0.2">
      <c r="A51">
        <f>ROW(Source!A80)</f>
        <v>80</v>
      </c>
      <c r="B51">
        <v>46561299</v>
      </c>
      <c r="C51">
        <v>46607038</v>
      </c>
      <c r="D51">
        <v>45130551</v>
      </c>
      <c r="E51">
        <v>27</v>
      </c>
      <c r="F51">
        <v>1</v>
      </c>
      <c r="G51">
        <v>27</v>
      </c>
      <c r="H51">
        <v>1</v>
      </c>
      <c r="I51" t="s">
        <v>280</v>
      </c>
      <c r="J51" t="s">
        <v>3</v>
      </c>
      <c r="K51" t="s">
        <v>281</v>
      </c>
      <c r="L51">
        <v>1191</v>
      </c>
      <c r="N51">
        <v>1013</v>
      </c>
      <c r="O51" t="s">
        <v>282</v>
      </c>
      <c r="P51" t="s">
        <v>282</v>
      </c>
      <c r="Q51">
        <v>1</v>
      </c>
      <c r="W51">
        <v>0</v>
      </c>
      <c r="X51">
        <v>476480486</v>
      </c>
      <c r="Y51">
        <v>221.6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221.6</v>
      </c>
      <c r="AU51" t="s">
        <v>3</v>
      </c>
      <c r="AV51">
        <v>1</v>
      </c>
      <c r="AW51">
        <v>2</v>
      </c>
      <c r="AX51">
        <v>46607040</v>
      </c>
      <c r="AY51">
        <v>1</v>
      </c>
      <c r="AZ51">
        <v>0</v>
      </c>
      <c r="BA51">
        <v>45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Y51*Source!I80</f>
        <v>5.7615999999999996</v>
      </c>
      <c r="CY51">
        <f>AD51</f>
        <v>0</v>
      </c>
      <c r="CZ51">
        <f>AH51</f>
        <v>0</v>
      </c>
      <c r="DA51">
        <f>AL51</f>
        <v>1</v>
      </c>
      <c r="DB51">
        <f t="shared" si="8"/>
        <v>0</v>
      </c>
      <c r="DC51">
        <f t="shared" si="9"/>
        <v>0</v>
      </c>
    </row>
    <row r="52" spans="1:107" x14ac:dyDescent="0.2">
      <c r="A52">
        <f>ROW(Source!A81)</f>
        <v>81</v>
      </c>
      <c r="B52">
        <v>46561299</v>
      </c>
      <c r="C52">
        <v>46607041</v>
      </c>
      <c r="D52">
        <v>45130551</v>
      </c>
      <c r="E52">
        <v>27</v>
      </c>
      <c r="F52">
        <v>1</v>
      </c>
      <c r="G52">
        <v>27</v>
      </c>
      <c r="H52">
        <v>1</v>
      </c>
      <c r="I52" t="s">
        <v>280</v>
      </c>
      <c r="J52" t="s">
        <v>3</v>
      </c>
      <c r="K52" t="s">
        <v>281</v>
      </c>
      <c r="L52">
        <v>1191</v>
      </c>
      <c r="N52">
        <v>1013</v>
      </c>
      <c r="O52" t="s">
        <v>282</v>
      </c>
      <c r="P52" t="s">
        <v>282</v>
      </c>
      <c r="Q52">
        <v>1</v>
      </c>
      <c r="W52">
        <v>0</v>
      </c>
      <c r="X52">
        <v>476480486</v>
      </c>
      <c r="Y52">
        <v>83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83</v>
      </c>
      <c r="AU52" t="s">
        <v>3</v>
      </c>
      <c r="AV52">
        <v>1</v>
      </c>
      <c r="AW52">
        <v>2</v>
      </c>
      <c r="AX52">
        <v>46607043</v>
      </c>
      <c r="AY52">
        <v>1</v>
      </c>
      <c r="AZ52">
        <v>0</v>
      </c>
      <c r="BA52">
        <v>46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Y52*Source!I81</f>
        <v>2.1579999999999999</v>
      </c>
      <c r="CY52">
        <f>AD52</f>
        <v>0</v>
      </c>
      <c r="CZ52">
        <f>AH52</f>
        <v>0</v>
      </c>
      <c r="DA52">
        <f>AL52</f>
        <v>1</v>
      </c>
      <c r="DB52">
        <f t="shared" si="8"/>
        <v>0</v>
      </c>
      <c r="DC52">
        <f t="shared" si="9"/>
        <v>0</v>
      </c>
    </row>
    <row r="53" spans="1:107" x14ac:dyDescent="0.2">
      <c r="A53">
        <f>ROW(Source!A82)</f>
        <v>82</v>
      </c>
      <c r="B53">
        <v>46561299</v>
      </c>
      <c r="C53">
        <v>46607044</v>
      </c>
      <c r="D53">
        <v>45143535</v>
      </c>
      <c r="E53">
        <v>1</v>
      </c>
      <c r="F53">
        <v>1</v>
      </c>
      <c r="G53">
        <v>27</v>
      </c>
      <c r="H53">
        <v>2</v>
      </c>
      <c r="I53" t="s">
        <v>283</v>
      </c>
      <c r="J53" t="s">
        <v>284</v>
      </c>
      <c r="K53" t="s">
        <v>285</v>
      </c>
      <c r="L53">
        <v>1368</v>
      </c>
      <c r="N53">
        <v>1011</v>
      </c>
      <c r="O53" t="s">
        <v>286</v>
      </c>
      <c r="P53" t="s">
        <v>286</v>
      </c>
      <c r="Q53">
        <v>1</v>
      </c>
      <c r="W53">
        <v>0</v>
      </c>
      <c r="X53">
        <v>486337296</v>
      </c>
      <c r="Y53">
        <v>3.1E-2</v>
      </c>
      <c r="AA53">
        <v>0</v>
      </c>
      <c r="AB53">
        <v>1014.12</v>
      </c>
      <c r="AC53">
        <v>317.13</v>
      </c>
      <c r="AD53">
        <v>0</v>
      </c>
      <c r="AE53">
        <v>0</v>
      </c>
      <c r="AF53">
        <v>1014.12</v>
      </c>
      <c r="AG53">
        <v>317.13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3.1E-2</v>
      </c>
      <c r="AU53" t="s">
        <v>3</v>
      </c>
      <c r="AV53">
        <v>0</v>
      </c>
      <c r="AW53">
        <v>2</v>
      </c>
      <c r="AX53">
        <v>46607046</v>
      </c>
      <c r="AY53">
        <v>1</v>
      </c>
      <c r="AZ53">
        <v>0</v>
      </c>
      <c r="BA53">
        <v>47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Y53*Source!I82</f>
        <v>8.0600000000000005E-2</v>
      </c>
      <c r="CY53">
        <f>AB53</f>
        <v>1014.12</v>
      </c>
      <c r="CZ53">
        <f>AF53</f>
        <v>1014.12</v>
      </c>
      <c r="DA53">
        <f>AJ53</f>
        <v>1</v>
      </c>
      <c r="DB53">
        <f t="shared" si="8"/>
        <v>31.44</v>
      </c>
      <c r="DC53">
        <f t="shared" si="9"/>
        <v>9.83</v>
      </c>
    </row>
    <row r="54" spans="1:107" x14ac:dyDescent="0.2">
      <c r="A54">
        <f>ROW(Source!A83)</f>
        <v>83</v>
      </c>
      <c r="B54">
        <v>46561299</v>
      </c>
      <c r="C54">
        <v>46607047</v>
      </c>
      <c r="D54">
        <v>45143535</v>
      </c>
      <c r="E54">
        <v>1</v>
      </c>
      <c r="F54">
        <v>1</v>
      </c>
      <c r="G54">
        <v>27</v>
      </c>
      <c r="H54">
        <v>2</v>
      </c>
      <c r="I54" t="s">
        <v>283</v>
      </c>
      <c r="J54" t="s">
        <v>284</v>
      </c>
      <c r="K54" t="s">
        <v>285</v>
      </c>
      <c r="L54">
        <v>1368</v>
      </c>
      <c r="N54">
        <v>1011</v>
      </c>
      <c r="O54" t="s">
        <v>286</v>
      </c>
      <c r="P54" t="s">
        <v>286</v>
      </c>
      <c r="Q54">
        <v>1</v>
      </c>
      <c r="W54">
        <v>0</v>
      </c>
      <c r="X54">
        <v>486337296</v>
      </c>
      <c r="Y54">
        <v>0.32</v>
      </c>
      <c r="AA54">
        <v>0</v>
      </c>
      <c r="AB54">
        <v>1014.12</v>
      </c>
      <c r="AC54">
        <v>317.13</v>
      </c>
      <c r="AD54">
        <v>0</v>
      </c>
      <c r="AE54">
        <v>0</v>
      </c>
      <c r="AF54">
        <v>1014.12</v>
      </c>
      <c r="AG54">
        <v>317.13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S54" t="s">
        <v>3</v>
      </c>
      <c r="AT54">
        <v>0.01</v>
      </c>
      <c r="AU54" t="s">
        <v>36</v>
      </c>
      <c r="AV54">
        <v>0</v>
      </c>
      <c r="AW54">
        <v>2</v>
      </c>
      <c r="AX54">
        <v>46607049</v>
      </c>
      <c r="AY54">
        <v>1</v>
      </c>
      <c r="AZ54">
        <v>0</v>
      </c>
      <c r="BA54">
        <v>48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Y54*Source!I83</f>
        <v>0.83200000000000007</v>
      </c>
      <c r="CY54">
        <f>AB54</f>
        <v>1014.12</v>
      </c>
      <c r="CZ54">
        <f>AF54</f>
        <v>1014.12</v>
      </c>
      <c r="DA54">
        <f>AJ54</f>
        <v>1</v>
      </c>
      <c r="DB54">
        <f>ROUND((ROUND(AT54*CZ54,2)*32),6)</f>
        <v>324.48</v>
      </c>
      <c r="DC54">
        <f>ROUND((ROUND(AT54*AG54,2)*32),6)</f>
        <v>101.44</v>
      </c>
    </row>
    <row r="55" spans="1:107" x14ac:dyDescent="0.2">
      <c r="A55">
        <f>ROW(Source!A84)</f>
        <v>84</v>
      </c>
      <c r="B55">
        <v>46561299</v>
      </c>
      <c r="C55">
        <v>46607050</v>
      </c>
      <c r="D55">
        <v>45130551</v>
      </c>
      <c r="E55">
        <v>27</v>
      </c>
      <c r="F55">
        <v>1</v>
      </c>
      <c r="G55">
        <v>27</v>
      </c>
      <c r="H55">
        <v>1</v>
      </c>
      <c r="I55" t="s">
        <v>280</v>
      </c>
      <c r="J55" t="s">
        <v>3</v>
      </c>
      <c r="K55" t="s">
        <v>281</v>
      </c>
      <c r="L55">
        <v>1191</v>
      </c>
      <c r="N55">
        <v>1013</v>
      </c>
      <c r="O55" t="s">
        <v>282</v>
      </c>
      <c r="P55" t="s">
        <v>282</v>
      </c>
      <c r="Q55">
        <v>1</v>
      </c>
      <c r="W55">
        <v>0</v>
      </c>
      <c r="X55">
        <v>476480486</v>
      </c>
      <c r="Y55">
        <v>1.25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1.25</v>
      </c>
      <c r="AU55" t="s">
        <v>3</v>
      </c>
      <c r="AV55">
        <v>1</v>
      </c>
      <c r="AW55">
        <v>2</v>
      </c>
      <c r="AX55">
        <v>46607055</v>
      </c>
      <c r="AY55">
        <v>1</v>
      </c>
      <c r="AZ55">
        <v>0</v>
      </c>
      <c r="BA55">
        <v>49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Y55*Source!I84</f>
        <v>2.75</v>
      </c>
      <c r="CY55">
        <f>AD55</f>
        <v>0</v>
      </c>
      <c r="CZ55">
        <f>AH55</f>
        <v>0</v>
      </c>
      <c r="DA55">
        <f>AL55</f>
        <v>1</v>
      </c>
      <c r="DB55">
        <f t="shared" ref="DB55:DB100" si="10">ROUND(ROUND(AT55*CZ55,2),6)</f>
        <v>0</v>
      </c>
      <c r="DC55">
        <f t="shared" ref="DC55:DC100" si="11">ROUND(ROUND(AT55*AG55,2),6)</f>
        <v>0</v>
      </c>
    </row>
    <row r="56" spans="1:107" x14ac:dyDescent="0.2">
      <c r="A56">
        <f>ROW(Source!A84)</f>
        <v>84</v>
      </c>
      <c r="B56">
        <v>46561299</v>
      </c>
      <c r="C56">
        <v>46607050</v>
      </c>
      <c r="D56">
        <v>45144915</v>
      </c>
      <c r="E56">
        <v>1</v>
      </c>
      <c r="F56">
        <v>1</v>
      </c>
      <c r="G56">
        <v>27</v>
      </c>
      <c r="H56">
        <v>3</v>
      </c>
      <c r="I56" t="s">
        <v>287</v>
      </c>
      <c r="J56" t="s">
        <v>288</v>
      </c>
      <c r="K56" t="s">
        <v>289</v>
      </c>
      <c r="L56">
        <v>1339</v>
      </c>
      <c r="N56">
        <v>1007</v>
      </c>
      <c r="O56" t="s">
        <v>29</v>
      </c>
      <c r="P56" t="s">
        <v>29</v>
      </c>
      <c r="Q56">
        <v>1</v>
      </c>
      <c r="W56">
        <v>0</v>
      </c>
      <c r="X56">
        <v>1099845635</v>
      </c>
      <c r="Y56">
        <v>0.06</v>
      </c>
      <c r="AA56">
        <v>1865.77</v>
      </c>
      <c r="AB56">
        <v>0</v>
      </c>
      <c r="AC56">
        <v>0</v>
      </c>
      <c r="AD56">
        <v>0</v>
      </c>
      <c r="AE56">
        <v>1865.77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0.06</v>
      </c>
      <c r="AU56" t="s">
        <v>3</v>
      </c>
      <c r="AV56">
        <v>0</v>
      </c>
      <c r="AW56">
        <v>2</v>
      </c>
      <c r="AX56">
        <v>46607056</v>
      </c>
      <c r="AY56">
        <v>1</v>
      </c>
      <c r="AZ56">
        <v>0</v>
      </c>
      <c r="BA56">
        <v>50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Y56*Source!I84</f>
        <v>0.13200000000000001</v>
      </c>
      <c r="CY56">
        <f>AA56</f>
        <v>1865.77</v>
      </c>
      <c r="CZ56">
        <f>AE56</f>
        <v>1865.77</v>
      </c>
      <c r="DA56">
        <f>AI56</f>
        <v>1</v>
      </c>
      <c r="DB56">
        <f t="shared" si="10"/>
        <v>111.95</v>
      </c>
      <c r="DC56">
        <f t="shared" si="11"/>
        <v>0</v>
      </c>
    </row>
    <row r="57" spans="1:107" x14ac:dyDescent="0.2">
      <c r="A57">
        <f>ROW(Source!A84)</f>
        <v>84</v>
      </c>
      <c r="B57">
        <v>46561299</v>
      </c>
      <c r="C57">
        <v>46607050</v>
      </c>
      <c r="D57">
        <v>45144916</v>
      </c>
      <c r="E57">
        <v>1</v>
      </c>
      <c r="F57">
        <v>1</v>
      </c>
      <c r="G57">
        <v>27</v>
      </c>
      <c r="H57">
        <v>3</v>
      </c>
      <c r="I57" t="s">
        <v>290</v>
      </c>
      <c r="J57" t="s">
        <v>291</v>
      </c>
      <c r="K57" t="s">
        <v>292</v>
      </c>
      <c r="L57">
        <v>1339</v>
      </c>
      <c r="N57">
        <v>1007</v>
      </c>
      <c r="O57" t="s">
        <v>29</v>
      </c>
      <c r="P57" t="s">
        <v>29</v>
      </c>
      <c r="Q57">
        <v>1</v>
      </c>
      <c r="W57">
        <v>0</v>
      </c>
      <c r="X57">
        <v>-886425656</v>
      </c>
      <c r="Y57">
        <v>0.24</v>
      </c>
      <c r="AA57">
        <v>1763.75</v>
      </c>
      <c r="AB57">
        <v>0</v>
      </c>
      <c r="AC57">
        <v>0</v>
      </c>
      <c r="AD57">
        <v>0</v>
      </c>
      <c r="AE57">
        <v>1763.75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0.24</v>
      </c>
      <c r="AU57" t="s">
        <v>3</v>
      </c>
      <c r="AV57">
        <v>0</v>
      </c>
      <c r="AW57">
        <v>2</v>
      </c>
      <c r="AX57">
        <v>46607057</v>
      </c>
      <c r="AY57">
        <v>1</v>
      </c>
      <c r="AZ57">
        <v>0</v>
      </c>
      <c r="BA57">
        <v>51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Y57*Source!I84</f>
        <v>0.52800000000000002</v>
      </c>
      <c r="CY57">
        <f>AA57</f>
        <v>1763.75</v>
      </c>
      <c r="CZ57">
        <f>AE57</f>
        <v>1763.75</v>
      </c>
      <c r="DA57">
        <f>AI57</f>
        <v>1</v>
      </c>
      <c r="DB57">
        <f t="shared" si="10"/>
        <v>423.3</v>
      </c>
      <c r="DC57">
        <f t="shared" si="11"/>
        <v>0</v>
      </c>
    </row>
    <row r="58" spans="1:107" x14ac:dyDescent="0.2">
      <c r="A58">
        <f>ROW(Source!A84)</f>
        <v>84</v>
      </c>
      <c r="B58">
        <v>46561299</v>
      </c>
      <c r="C58">
        <v>46607050</v>
      </c>
      <c r="D58">
        <v>45145636</v>
      </c>
      <c r="E58">
        <v>1</v>
      </c>
      <c r="F58">
        <v>1</v>
      </c>
      <c r="G58">
        <v>27</v>
      </c>
      <c r="H58">
        <v>3</v>
      </c>
      <c r="I58" t="s">
        <v>293</v>
      </c>
      <c r="J58" t="s">
        <v>294</v>
      </c>
      <c r="K58" t="s">
        <v>295</v>
      </c>
      <c r="L58">
        <v>1339</v>
      </c>
      <c r="N58">
        <v>1007</v>
      </c>
      <c r="O58" t="s">
        <v>29</v>
      </c>
      <c r="P58" t="s">
        <v>29</v>
      </c>
      <c r="Q58">
        <v>1</v>
      </c>
      <c r="W58">
        <v>0</v>
      </c>
      <c r="X58">
        <v>1927597627</v>
      </c>
      <c r="Y58">
        <v>0.03</v>
      </c>
      <c r="AA58">
        <v>35.25</v>
      </c>
      <c r="AB58">
        <v>0</v>
      </c>
      <c r="AC58">
        <v>0</v>
      </c>
      <c r="AD58">
        <v>0</v>
      </c>
      <c r="AE58">
        <v>35.25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0.03</v>
      </c>
      <c r="AU58" t="s">
        <v>3</v>
      </c>
      <c r="AV58">
        <v>0</v>
      </c>
      <c r="AW58">
        <v>2</v>
      </c>
      <c r="AX58">
        <v>46607058</v>
      </c>
      <c r="AY58">
        <v>1</v>
      </c>
      <c r="AZ58">
        <v>0</v>
      </c>
      <c r="BA58">
        <v>52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Y58*Source!I84</f>
        <v>6.6000000000000003E-2</v>
      </c>
      <c r="CY58">
        <f>AA58</f>
        <v>35.25</v>
      </c>
      <c r="CZ58">
        <f>AE58</f>
        <v>35.25</v>
      </c>
      <c r="DA58">
        <f>AI58</f>
        <v>1</v>
      </c>
      <c r="DB58">
        <f t="shared" si="10"/>
        <v>1.06</v>
      </c>
      <c r="DC58">
        <f t="shared" si="11"/>
        <v>0</v>
      </c>
    </row>
    <row r="59" spans="1:107" x14ac:dyDescent="0.2">
      <c r="A59">
        <f>ROW(Source!A85)</f>
        <v>85</v>
      </c>
      <c r="B59">
        <v>46561299</v>
      </c>
      <c r="C59">
        <v>46607059</v>
      </c>
      <c r="D59">
        <v>45130551</v>
      </c>
      <c r="E59">
        <v>27</v>
      </c>
      <c r="F59">
        <v>1</v>
      </c>
      <c r="G59">
        <v>27</v>
      </c>
      <c r="H59">
        <v>1</v>
      </c>
      <c r="I59" t="s">
        <v>280</v>
      </c>
      <c r="J59" t="s">
        <v>3</v>
      </c>
      <c r="K59" t="s">
        <v>281</v>
      </c>
      <c r="L59">
        <v>1191</v>
      </c>
      <c r="N59">
        <v>1013</v>
      </c>
      <c r="O59" t="s">
        <v>282</v>
      </c>
      <c r="P59" t="s">
        <v>282</v>
      </c>
      <c r="Q59">
        <v>1</v>
      </c>
      <c r="W59">
        <v>0</v>
      </c>
      <c r="X59">
        <v>476480486</v>
      </c>
      <c r="Y59">
        <v>0.37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0.37</v>
      </c>
      <c r="AU59" t="s">
        <v>3</v>
      </c>
      <c r="AV59">
        <v>1</v>
      </c>
      <c r="AW59">
        <v>2</v>
      </c>
      <c r="AX59">
        <v>46607064</v>
      </c>
      <c r="AY59">
        <v>1</v>
      </c>
      <c r="AZ59">
        <v>0</v>
      </c>
      <c r="BA59">
        <v>53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Y59*Source!I85</f>
        <v>0.81400000000000006</v>
      </c>
      <c r="CY59">
        <f>AD59</f>
        <v>0</v>
      </c>
      <c r="CZ59">
        <f>AH59</f>
        <v>0</v>
      </c>
      <c r="DA59">
        <f>AL59</f>
        <v>1</v>
      </c>
      <c r="DB59">
        <f t="shared" si="10"/>
        <v>0</v>
      </c>
      <c r="DC59">
        <f t="shared" si="11"/>
        <v>0</v>
      </c>
    </row>
    <row r="60" spans="1:107" x14ac:dyDescent="0.2">
      <c r="A60">
        <f>ROW(Source!A85)</f>
        <v>85</v>
      </c>
      <c r="B60">
        <v>46561299</v>
      </c>
      <c r="C60">
        <v>46607059</v>
      </c>
      <c r="D60">
        <v>45142937</v>
      </c>
      <c r="E60">
        <v>1</v>
      </c>
      <c r="F60">
        <v>1</v>
      </c>
      <c r="G60">
        <v>27</v>
      </c>
      <c r="H60">
        <v>2</v>
      </c>
      <c r="I60" t="s">
        <v>296</v>
      </c>
      <c r="J60" t="s">
        <v>297</v>
      </c>
      <c r="K60" t="s">
        <v>298</v>
      </c>
      <c r="L60">
        <v>1368</v>
      </c>
      <c r="N60">
        <v>1011</v>
      </c>
      <c r="O60" t="s">
        <v>286</v>
      </c>
      <c r="P60" t="s">
        <v>286</v>
      </c>
      <c r="Q60">
        <v>1</v>
      </c>
      <c r="W60">
        <v>0</v>
      </c>
      <c r="X60">
        <v>112346818</v>
      </c>
      <c r="Y60">
        <v>3.0000000000000001E-3</v>
      </c>
      <c r="AA60">
        <v>0</v>
      </c>
      <c r="AB60">
        <v>1270.56</v>
      </c>
      <c r="AC60">
        <v>493.86</v>
      </c>
      <c r="AD60">
        <v>0</v>
      </c>
      <c r="AE60">
        <v>0</v>
      </c>
      <c r="AF60">
        <v>1270.56</v>
      </c>
      <c r="AG60">
        <v>493.86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3.0000000000000001E-3</v>
      </c>
      <c r="AU60" t="s">
        <v>3</v>
      </c>
      <c r="AV60">
        <v>0</v>
      </c>
      <c r="AW60">
        <v>2</v>
      </c>
      <c r="AX60">
        <v>46607065</v>
      </c>
      <c r="AY60">
        <v>1</v>
      </c>
      <c r="AZ60">
        <v>0</v>
      </c>
      <c r="BA60">
        <v>54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Y60*Source!I85</f>
        <v>6.6000000000000008E-3</v>
      </c>
      <c r="CY60">
        <f>AB60</f>
        <v>1270.56</v>
      </c>
      <c r="CZ60">
        <f>AF60</f>
        <v>1270.56</v>
      </c>
      <c r="DA60">
        <f>AJ60</f>
        <v>1</v>
      </c>
      <c r="DB60">
        <f t="shared" si="10"/>
        <v>3.81</v>
      </c>
      <c r="DC60">
        <f t="shared" si="11"/>
        <v>1.48</v>
      </c>
    </row>
    <row r="61" spans="1:107" x14ac:dyDescent="0.2">
      <c r="A61">
        <f>ROW(Source!A85)</f>
        <v>85</v>
      </c>
      <c r="B61">
        <v>46561299</v>
      </c>
      <c r="C61">
        <v>46607059</v>
      </c>
      <c r="D61">
        <v>45144891</v>
      </c>
      <c r="E61">
        <v>1</v>
      </c>
      <c r="F61">
        <v>1</v>
      </c>
      <c r="G61">
        <v>27</v>
      </c>
      <c r="H61">
        <v>3</v>
      </c>
      <c r="I61" t="s">
        <v>299</v>
      </c>
      <c r="J61" t="s">
        <v>300</v>
      </c>
      <c r="K61" t="s">
        <v>301</v>
      </c>
      <c r="L61">
        <v>1339</v>
      </c>
      <c r="N61">
        <v>1007</v>
      </c>
      <c r="O61" t="s">
        <v>29</v>
      </c>
      <c r="P61" t="s">
        <v>29</v>
      </c>
      <c r="Q61">
        <v>1</v>
      </c>
      <c r="W61">
        <v>0</v>
      </c>
      <c r="X61">
        <v>909340900</v>
      </c>
      <c r="Y61">
        <v>0.105</v>
      </c>
      <c r="AA61">
        <v>590.78</v>
      </c>
      <c r="AB61">
        <v>0</v>
      </c>
      <c r="AC61">
        <v>0</v>
      </c>
      <c r="AD61">
        <v>0</v>
      </c>
      <c r="AE61">
        <v>590.78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0.105</v>
      </c>
      <c r="AU61" t="s">
        <v>3</v>
      </c>
      <c r="AV61">
        <v>0</v>
      </c>
      <c r="AW61">
        <v>2</v>
      </c>
      <c r="AX61">
        <v>46607066</v>
      </c>
      <c r="AY61">
        <v>1</v>
      </c>
      <c r="AZ61">
        <v>0</v>
      </c>
      <c r="BA61">
        <v>55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Y61*Source!I85</f>
        <v>0.23100000000000001</v>
      </c>
      <c r="CY61">
        <f>AA61</f>
        <v>590.78</v>
      </c>
      <c r="CZ61">
        <f>AE61</f>
        <v>590.78</v>
      </c>
      <c r="DA61">
        <f>AI61</f>
        <v>1</v>
      </c>
      <c r="DB61">
        <f t="shared" si="10"/>
        <v>62.03</v>
      </c>
      <c r="DC61">
        <f t="shared" si="11"/>
        <v>0</v>
      </c>
    </row>
    <row r="62" spans="1:107" x14ac:dyDescent="0.2">
      <c r="A62">
        <f>ROW(Source!A85)</f>
        <v>85</v>
      </c>
      <c r="B62">
        <v>46561299</v>
      </c>
      <c r="C62">
        <v>46607059</v>
      </c>
      <c r="D62">
        <v>45145636</v>
      </c>
      <c r="E62">
        <v>1</v>
      </c>
      <c r="F62">
        <v>1</v>
      </c>
      <c r="G62">
        <v>27</v>
      </c>
      <c r="H62">
        <v>3</v>
      </c>
      <c r="I62" t="s">
        <v>293</v>
      </c>
      <c r="J62" t="s">
        <v>294</v>
      </c>
      <c r="K62" t="s">
        <v>295</v>
      </c>
      <c r="L62">
        <v>1339</v>
      </c>
      <c r="N62">
        <v>1007</v>
      </c>
      <c r="O62" t="s">
        <v>29</v>
      </c>
      <c r="P62" t="s">
        <v>29</v>
      </c>
      <c r="Q62">
        <v>1</v>
      </c>
      <c r="W62">
        <v>0</v>
      </c>
      <c r="X62">
        <v>1927597627</v>
      </c>
      <c r="Y62">
        <v>0.01</v>
      </c>
      <c r="AA62">
        <v>35.25</v>
      </c>
      <c r="AB62">
        <v>0</v>
      </c>
      <c r="AC62">
        <v>0</v>
      </c>
      <c r="AD62">
        <v>0</v>
      </c>
      <c r="AE62">
        <v>35.25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0.01</v>
      </c>
      <c r="AU62" t="s">
        <v>3</v>
      </c>
      <c r="AV62">
        <v>0</v>
      </c>
      <c r="AW62">
        <v>2</v>
      </c>
      <c r="AX62">
        <v>46607067</v>
      </c>
      <c r="AY62">
        <v>1</v>
      </c>
      <c r="AZ62">
        <v>0</v>
      </c>
      <c r="BA62">
        <v>56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Y62*Source!I85</f>
        <v>2.2000000000000002E-2</v>
      </c>
      <c r="CY62">
        <f>AA62</f>
        <v>35.25</v>
      </c>
      <c r="CZ62">
        <f>AE62</f>
        <v>35.25</v>
      </c>
      <c r="DA62">
        <f>AI62</f>
        <v>1</v>
      </c>
      <c r="DB62">
        <f t="shared" si="10"/>
        <v>0.35</v>
      </c>
      <c r="DC62">
        <f t="shared" si="11"/>
        <v>0</v>
      </c>
    </row>
    <row r="63" spans="1:107" x14ac:dyDescent="0.2">
      <c r="A63">
        <f>ROW(Source!A86)</f>
        <v>86</v>
      </c>
      <c r="B63">
        <v>46561299</v>
      </c>
      <c r="C63">
        <v>46607068</v>
      </c>
      <c r="D63">
        <v>45130551</v>
      </c>
      <c r="E63">
        <v>27</v>
      </c>
      <c r="F63">
        <v>1</v>
      </c>
      <c r="G63">
        <v>27</v>
      </c>
      <c r="H63">
        <v>1</v>
      </c>
      <c r="I63" t="s">
        <v>280</v>
      </c>
      <c r="J63" t="s">
        <v>3</v>
      </c>
      <c r="K63" t="s">
        <v>281</v>
      </c>
      <c r="L63">
        <v>1191</v>
      </c>
      <c r="N63">
        <v>1013</v>
      </c>
      <c r="O63" t="s">
        <v>282</v>
      </c>
      <c r="P63" t="s">
        <v>282</v>
      </c>
      <c r="Q63">
        <v>1</v>
      </c>
      <c r="W63">
        <v>0</v>
      </c>
      <c r="X63">
        <v>476480486</v>
      </c>
      <c r="Y63">
        <v>205.85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205.85</v>
      </c>
      <c r="AU63" t="s">
        <v>3</v>
      </c>
      <c r="AV63">
        <v>1</v>
      </c>
      <c r="AW63">
        <v>2</v>
      </c>
      <c r="AX63">
        <v>46607084</v>
      </c>
      <c r="AY63">
        <v>1</v>
      </c>
      <c r="AZ63">
        <v>0</v>
      </c>
      <c r="BA63">
        <v>57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Y63*Source!I86</f>
        <v>4.4463600000000003</v>
      </c>
      <c r="CY63">
        <f>AD63</f>
        <v>0</v>
      </c>
      <c r="CZ63">
        <f>AH63</f>
        <v>0</v>
      </c>
      <c r="DA63">
        <f>AL63</f>
        <v>1</v>
      </c>
      <c r="DB63">
        <f t="shared" si="10"/>
        <v>0</v>
      </c>
      <c r="DC63">
        <f t="shared" si="11"/>
        <v>0</v>
      </c>
    </row>
    <row r="64" spans="1:107" x14ac:dyDescent="0.2">
      <c r="A64">
        <f>ROW(Source!A86)</f>
        <v>86</v>
      </c>
      <c r="B64">
        <v>46561299</v>
      </c>
      <c r="C64">
        <v>46607068</v>
      </c>
      <c r="D64">
        <v>45143189</v>
      </c>
      <c r="E64">
        <v>1</v>
      </c>
      <c r="F64">
        <v>1</v>
      </c>
      <c r="G64">
        <v>27</v>
      </c>
      <c r="H64">
        <v>2</v>
      </c>
      <c r="I64" t="s">
        <v>302</v>
      </c>
      <c r="J64" t="s">
        <v>303</v>
      </c>
      <c r="K64" t="s">
        <v>304</v>
      </c>
      <c r="L64">
        <v>1368</v>
      </c>
      <c r="N64">
        <v>1011</v>
      </c>
      <c r="O64" t="s">
        <v>286</v>
      </c>
      <c r="P64" t="s">
        <v>286</v>
      </c>
      <c r="Q64">
        <v>1</v>
      </c>
      <c r="W64">
        <v>0</v>
      </c>
      <c r="X64">
        <v>-1757825014</v>
      </c>
      <c r="Y64">
        <v>150</v>
      </c>
      <c r="AA64">
        <v>0</v>
      </c>
      <c r="AB64">
        <v>27.21</v>
      </c>
      <c r="AC64">
        <v>0.13</v>
      </c>
      <c r="AD64">
        <v>0</v>
      </c>
      <c r="AE64">
        <v>0</v>
      </c>
      <c r="AF64">
        <v>27.21</v>
      </c>
      <c r="AG64">
        <v>0.13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150</v>
      </c>
      <c r="AU64" t="s">
        <v>3</v>
      </c>
      <c r="AV64">
        <v>0</v>
      </c>
      <c r="AW64">
        <v>2</v>
      </c>
      <c r="AX64">
        <v>46607085</v>
      </c>
      <c r="AY64">
        <v>1</v>
      </c>
      <c r="AZ64">
        <v>0</v>
      </c>
      <c r="BA64">
        <v>58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Y64*Source!I86</f>
        <v>3.24</v>
      </c>
      <c r="CY64">
        <f>AB64</f>
        <v>27.21</v>
      </c>
      <c r="CZ64">
        <f>AF64</f>
        <v>27.21</v>
      </c>
      <c r="DA64">
        <f>AJ64</f>
        <v>1</v>
      </c>
      <c r="DB64">
        <f t="shared" si="10"/>
        <v>4081.5</v>
      </c>
      <c r="DC64">
        <f t="shared" si="11"/>
        <v>19.5</v>
      </c>
    </row>
    <row r="65" spans="1:107" x14ac:dyDescent="0.2">
      <c r="A65">
        <f>ROW(Source!A86)</f>
        <v>86</v>
      </c>
      <c r="B65">
        <v>46561299</v>
      </c>
      <c r="C65">
        <v>46607068</v>
      </c>
      <c r="D65">
        <v>45143582</v>
      </c>
      <c r="E65">
        <v>1</v>
      </c>
      <c r="F65">
        <v>1</v>
      </c>
      <c r="G65">
        <v>27</v>
      </c>
      <c r="H65">
        <v>2</v>
      </c>
      <c r="I65" t="s">
        <v>305</v>
      </c>
      <c r="J65" t="s">
        <v>306</v>
      </c>
      <c r="K65" t="s">
        <v>307</v>
      </c>
      <c r="L65">
        <v>1368</v>
      </c>
      <c r="N65">
        <v>1011</v>
      </c>
      <c r="O65" t="s">
        <v>286</v>
      </c>
      <c r="P65" t="s">
        <v>286</v>
      </c>
      <c r="Q65">
        <v>1</v>
      </c>
      <c r="W65">
        <v>0</v>
      </c>
      <c r="X65">
        <v>1598319406</v>
      </c>
      <c r="Y65">
        <v>0.12</v>
      </c>
      <c r="AA65">
        <v>0</v>
      </c>
      <c r="AB65">
        <v>3.67</v>
      </c>
      <c r="AC65">
        <v>0.01</v>
      </c>
      <c r="AD65">
        <v>0</v>
      </c>
      <c r="AE65">
        <v>0</v>
      </c>
      <c r="AF65">
        <v>3.67</v>
      </c>
      <c r="AG65">
        <v>0.01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0.12</v>
      </c>
      <c r="AU65" t="s">
        <v>3</v>
      </c>
      <c r="AV65">
        <v>0</v>
      </c>
      <c r="AW65">
        <v>2</v>
      </c>
      <c r="AX65">
        <v>46607086</v>
      </c>
      <c r="AY65">
        <v>1</v>
      </c>
      <c r="AZ65">
        <v>0</v>
      </c>
      <c r="BA65">
        <v>59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Y65*Source!I86</f>
        <v>2.5920000000000001E-3</v>
      </c>
      <c r="CY65">
        <f>AB65</f>
        <v>3.67</v>
      </c>
      <c r="CZ65">
        <f>AF65</f>
        <v>3.67</v>
      </c>
      <c r="DA65">
        <f>AJ65</f>
        <v>1</v>
      </c>
      <c r="DB65">
        <f t="shared" si="10"/>
        <v>0.44</v>
      </c>
      <c r="DC65">
        <f t="shared" si="11"/>
        <v>0</v>
      </c>
    </row>
    <row r="66" spans="1:107" x14ac:dyDescent="0.2">
      <c r="A66">
        <f>ROW(Source!A86)</f>
        <v>86</v>
      </c>
      <c r="B66">
        <v>46561299</v>
      </c>
      <c r="C66">
        <v>46607068</v>
      </c>
      <c r="D66">
        <v>45142852</v>
      </c>
      <c r="E66">
        <v>1</v>
      </c>
      <c r="F66">
        <v>1</v>
      </c>
      <c r="G66">
        <v>27</v>
      </c>
      <c r="H66">
        <v>2</v>
      </c>
      <c r="I66" t="s">
        <v>308</v>
      </c>
      <c r="J66" t="s">
        <v>309</v>
      </c>
      <c r="K66" t="s">
        <v>310</v>
      </c>
      <c r="L66">
        <v>1368</v>
      </c>
      <c r="N66">
        <v>1011</v>
      </c>
      <c r="O66" t="s">
        <v>286</v>
      </c>
      <c r="P66" t="s">
        <v>286</v>
      </c>
      <c r="Q66">
        <v>1</v>
      </c>
      <c r="W66">
        <v>0</v>
      </c>
      <c r="X66">
        <v>-1323805330</v>
      </c>
      <c r="Y66">
        <v>0.31</v>
      </c>
      <c r="AA66">
        <v>0</v>
      </c>
      <c r="AB66">
        <v>683.9</v>
      </c>
      <c r="AC66">
        <v>371.27</v>
      </c>
      <c r="AD66">
        <v>0</v>
      </c>
      <c r="AE66">
        <v>0</v>
      </c>
      <c r="AF66">
        <v>683.9</v>
      </c>
      <c r="AG66">
        <v>371.27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0.31</v>
      </c>
      <c r="AU66" t="s">
        <v>3</v>
      </c>
      <c r="AV66">
        <v>0</v>
      </c>
      <c r="AW66">
        <v>2</v>
      </c>
      <c r="AX66">
        <v>46607087</v>
      </c>
      <c r="AY66">
        <v>1</v>
      </c>
      <c r="AZ66">
        <v>0</v>
      </c>
      <c r="BA66">
        <v>60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Y66*Source!I86</f>
        <v>6.6960000000000006E-3</v>
      </c>
      <c r="CY66">
        <f>AB66</f>
        <v>683.9</v>
      </c>
      <c r="CZ66">
        <f>AF66</f>
        <v>683.9</v>
      </c>
      <c r="DA66">
        <f>AJ66</f>
        <v>1</v>
      </c>
      <c r="DB66">
        <f t="shared" si="10"/>
        <v>212.01</v>
      </c>
      <c r="DC66">
        <f t="shared" si="11"/>
        <v>115.09</v>
      </c>
    </row>
    <row r="67" spans="1:107" x14ac:dyDescent="0.2">
      <c r="A67">
        <f>ROW(Source!A86)</f>
        <v>86</v>
      </c>
      <c r="B67">
        <v>46561299</v>
      </c>
      <c r="C67">
        <v>46607068</v>
      </c>
      <c r="D67">
        <v>45143022</v>
      </c>
      <c r="E67">
        <v>1</v>
      </c>
      <c r="F67">
        <v>1</v>
      </c>
      <c r="G67">
        <v>27</v>
      </c>
      <c r="H67">
        <v>2</v>
      </c>
      <c r="I67" t="s">
        <v>311</v>
      </c>
      <c r="J67" t="s">
        <v>312</v>
      </c>
      <c r="K67" t="s">
        <v>313</v>
      </c>
      <c r="L67">
        <v>1368</v>
      </c>
      <c r="N67">
        <v>1011</v>
      </c>
      <c r="O67" t="s">
        <v>286</v>
      </c>
      <c r="P67" t="s">
        <v>286</v>
      </c>
      <c r="Q67">
        <v>1</v>
      </c>
      <c r="W67">
        <v>0</v>
      </c>
      <c r="X67">
        <v>1349119844</v>
      </c>
      <c r="Y67">
        <v>11.25</v>
      </c>
      <c r="AA67">
        <v>0</v>
      </c>
      <c r="AB67">
        <v>10.82</v>
      </c>
      <c r="AC67">
        <v>2.97</v>
      </c>
      <c r="AD67">
        <v>0</v>
      </c>
      <c r="AE67">
        <v>0</v>
      </c>
      <c r="AF67">
        <v>10.82</v>
      </c>
      <c r="AG67">
        <v>2.97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11.25</v>
      </c>
      <c r="AU67" t="s">
        <v>3</v>
      </c>
      <c r="AV67">
        <v>0</v>
      </c>
      <c r="AW67">
        <v>2</v>
      </c>
      <c r="AX67">
        <v>46607088</v>
      </c>
      <c r="AY67">
        <v>1</v>
      </c>
      <c r="AZ67">
        <v>0</v>
      </c>
      <c r="BA67">
        <v>61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Y67*Source!I86</f>
        <v>0.24300000000000002</v>
      </c>
      <c r="CY67">
        <f>AB67</f>
        <v>10.82</v>
      </c>
      <c r="CZ67">
        <f>AF67</f>
        <v>10.82</v>
      </c>
      <c r="DA67">
        <f>AJ67</f>
        <v>1</v>
      </c>
      <c r="DB67">
        <f t="shared" si="10"/>
        <v>121.73</v>
      </c>
      <c r="DC67">
        <f t="shared" si="11"/>
        <v>33.409999999999997</v>
      </c>
    </row>
    <row r="68" spans="1:107" x14ac:dyDescent="0.2">
      <c r="A68">
        <f>ROW(Source!A86)</f>
        <v>86</v>
      </c>
      <c r="B68">
        <v>46561299</v>
      </c>
      <c r="C68">
        <v>46607068</v>
      </c>
      <c r="D68">
        <v>45144711</v>
      </c>
      <c r="E68">
        <v>1</v>
      </c>
      <c r="F68">
        <v>1</v>
      </c>
      <c r="G68">
        <v>27</v>
      </c>
      <c r="H68">
        <v>3</v>
      </c>
      <c r="I68" t="s">
        <v>314</v>
      </c>
      <c r="J68" t="s">
        <v>315</v>
      </c>
      <c r="K68" t="s">
        <v>316</v>
      </c>
      <c r="L68">
        <v>1348</v>
      </c>
      <c r="N68">
        <v>1009</v>
      </c>
      <c r="O68" t="s">
        <v>65</v>
      </c>
      <c r="P68" t="s">
        <v>65</v>
      </c>
      <c r="Q68">
        <v>1000</v>
      </c>
      <c r="W68">
        <v>0</v>
      </c>
      <c r="X68">
        <v>1959613851</v>
      </c>
      <c r="Y68">
        <v>2E-3</v>
      </c>
      <c r="AA68">
        <v>49736.04</v>
      </c>
      <c r="AB68">
        <v>0</v>
      </c>
      <c r="AC68">
        <v>0</v>
      </c>
      <c r="AD68">
        <v>0</v>
      </c>
      <c r="AE68">
        <v>49736.04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2E-3</v>
      </c>
      <c r="AU68" t="s">
        <v>3</v>
      </c>
      <c r="AV68">
        <v>0</v>
      </c>
      <c r="AW68">
        <v>2</v>
      </c>
      <c r="AX68">
        <v>46607089</v>
      </c>
      <c r="AY68">
        <v>1</v>
      </c>
      <c r="AZ68">
        <v>0</v>
      </c>
      <c r="BA68">
        <v>62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Y68*Source!I86</f>
        <v>4.3200000000000007E-5</v>
      </c>
      <c r="CY68">
        <f t="shared" ref="CY68:CY77" si="12">AA68</f>
        <v>49736.04</v>
      </c>
      <c r="CZ68">
        <f t="shared" ref="CZ68:CZ77" si="13">AE68</f>
        <v>49736.04</v>
      </c>
      <c r="DA68">
        <f t="shared" ref="DA68:DA77" si="14">AI68</f>
        <v>1</v>
      </c>
      <c r="DB68">
        <f t="shared" si="10"/>
        <v>99.47</v>
      </c>
      <c r="DC68">
        <f t="shared" si="11"/>
        <v>0</v>
      </c>
    </row>
    <row r="69" spans="1:107" x14ac:dyDescent="0.2">
      <c r="A69">
        <f>ROW(Source!A86)</f>
        <v>86</v>
      </c>
      <c r="B69">
        <v>46561299</v>
      </c>
      <c r="C69">
        <v>46607068</v>
      </c>
      <c r="D69">
        <v>45145459</v>
      </c>
      <c r="E69">
        <v>1</v>
      </c>
      <c r="F69">
        <v>1</v>
      </c>
      <c r="G69">
        <v>27</v>
      </c>
      <c r="H69">
        <v>3</v>
      </c>
      <c r="I69" t="s">
        <v>317</v>
      </c>
      <c r="J69" t="s">
        <v>318</v>
      </c>
      <c r="K69" t="s">
        <v>319</v>
      </c>
      <c r="L69">
        <v>1327</v>
      </c>
      <c r="N69">
        <v>1005</v>
      </c>
      <c r="O69" t="s">
        <v>40</v>
      </c>
      <c r="P69" t="s">
        <v>40</v>
      </c>
      <c r="Q69">
        <v>1</v>
      </c>
      <c r="W69">
        <v>0</v>
      </c>
      <c r="X69">
        <v>-2047649341</v>
      </c>
      <c r="Y69">
        <v>30</v>
      </c>
      <c r="AA69">
        <v>91.89</v>
      </c>
      <c r="AB69">
        <v>0</v>
      </c>
      <c r="AC69">
        <v>0</v>
      </c>
      <c r="AD69">
        <v>0</v>
      </c>
      <c r="AE69">
        <v>91.89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30</v>
      </c>
      <c r="AU69" t="s">
        <v>3</v>
      </c>
      <c r="AV69">
        <v>0</v>
      </c>
      <c r="AW69">
        <v>2</v>
      </c>
      <c r="AX69">
        <v>46607091</v>
      </c>
      <c r="AY69">
        <v>1</v>
      </c>
      <c r="AZ69">
        <v>0</v>
      </c>
      <c r="BA69">
        <v>63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Y69*Source!I86</f>
        <v>0.64800000000000002</v>
      </c>
      <c r="CY69">
        <f t="shared" si="12"/>
        <v>91.89</v>
      </c>
      <c r="CZ69">
        <f t="shared" si="13"/>
        <v>91.89</v>
      </c>
      <c r="DA69">
        <f t="shared" si="14"/>
        <v>1</v>
      </c>
      <c r="DB69">
        <f t="shared" si="10"/>
        <v>2756.7</v>
      </c>
      <c r="DC69">
        <f t="shared" si="11"/>
        <v>0</v>
      </c>
    </row>
    <row r="70" spans="1:107" x14ac:dyDescent="0.2">
      <c r="A70">
        <f>ROW(Source!A86)</f>
        <v>86</v>
      </c>
      <c r="B70">
        <v>46561299</v>
      </c>
      <c r="C70">
        <v>46607068</v>
      </c>
      <c r="D70">
        <v>45145543</v>
      </c>
      <c r="E70">
        <v>1</v>
      </c>
      <c r="F70">
        <v>1</v>
      </c>
      <c r="G70">
        <v>27</v>
      </c>
      <c r="H70">
        <v>3</v>
      </c>
      <c r="I70" t="s">
        <v>320</v>
      </c>
      <c r="J70" t="s">
        <v>321</v>
      </c>
      <c r="K70" t="s">
        <v>322</v>
      </c>
      <c r="L70">
        <v>1348</v>
      </c>
      <c r="N70">
        <v>1009</v>
      </c>
      <c r="O70" t="s">
        <v>65</v>
      </c>
      <c r="P70" t="s">
        <v>65</v>
      </c>
      <c r="Q70">
        <v>1000</v>
      </c>
      <c r="W70">
        <v>0</v>
      </c>
      <c r="X70">
        <v>-672771621</v>
      </c>
      <c r="Y70">
        <v>0.16</v>
      </c>
      <c r="AA70">
        <v>110781.14</v>
      </c>
      <c r="AB70">
        <v>0</v>
      </c>
      <c r="AC70">
        <v>0</v>
      </c>
      <c r="AD70">
        <v>0</v>
      </c>
      <c r="AE70">
        <v>110781.14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0.16</v>
      </c>
      <c r="AU70" t="s">
        <v>3</v>
      </c>
      <c r="AV70">
        <v>0</v>
      </c>
      <c r="AW70">
        <v>2</v>
      </c>
      <c r="AX70">
        <v>46607092</v>
      </c>
      <c r="AY70">
        <v>1</v>
      </c>
      <c r="AZ70">
        <v>0</v>
      </c>
      <c r="BA70">
        <v>64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Y70*Source!I86</f>
        <v>3.4560000000000003E-3</v>
      </c>
      <c r="CY70">
        <f t="shared" si="12"/>
        <v>110781.14</v>
      </c>
      <c r="CZ70">
        <f t="shared" si="13"/>
        <v>110781.14</v>
      </c>
      <c r="DA70">
        <f t="shared" si="14"/>
        <v>1</v>
      </c>
      <c r="DB70">
        <f t="shared" si="10"/>
        <v>17724.98</v>
      </c>
      <c r="DC70">
        <f t="shared" si="11"/>
        <v>0</v>
      </c>
    </row>
    <row r="71" spans="1:107" x14ac:dyDescent="0.2">
      <c r="A71">
        <f>ROW(Source!A86)</f>
        <v>86</v>
      </c>
      <c r="B71">
        <v>46561299</v>
      </c>
      <c r="C71">
        <v>46607068</v>
      </c>
      <c r="D71">
        <v>45143830</v>
      </c>
      <c r="E71">
        <v>1</v>
      </c>
      <c r="F71">
        <v>1</v>
      </c>
      <c r="G71">
        <v>27</v>
      </c>
      <c r="H71">
        <v>3</v>
      </c>
      <c r="I71" t="s">
        <v>323</v>
      </c>
      <c r="J71" t="s">
        <v>324</v>
      </c>
      <c r="K71" t="s">
        <v>325</v>
      </c>
      <c r="L71">
        <v>1348</v>
      </c>
      <c r="N71">
        <v>1009</v>
      </c>
      <c r="O71" t="s">
        <v>65</v>
      </c>
      <c r="P71" t="s">
        <v>65</v>
      </c>
      <c r="Q71">
        <v>1000</v>
      </c>
      <c r="W71">
        <v>0</v>
      </c>
      <c r="X71">
        <v>-459844717</v>
      </c>
      <c r="Y71">
        <v>0.01</v>
      </c>
      <c r="AA71">
        <v>4752.34</v>
      </c>
      <c r="AB71">
        <v>0</v>
      </c>
      <c r="AC71">
        <v>0</v>
      </c>
      <c r="AD71">
        <v>0</v>
      </c>
      <c r="AE71">
        <v>4752.34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0.01</v>
      </c>
      <c r="AU71" t="s">
        <v>3</v>
      </c>
      <c r="AV71">
        <v>0</v>
      </c>
      <c r="AW71">
        <v>2</v>
      </c>
      <c r="AX71">
        <v>46607090</v>
      </c>
      <c r="AY71">
        <v>1</v>
      </c>
      <c r="AZ71">
        <v>0</v>
      </c>
      <c r="BA71">
        <v>65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Y71*Source!I86</f>
        <v>2.1600000000000002E-4</v>
      </c>
      <c r="CY71">
        <f t="shared" si="12"/>
        <v>4752.34</v>
      </c>
      <c r="CZ71">
        <f t="shared" si="13"/>
        <v>4752.34</v>
      </c>
      <c r="DA71">
        <f t="shared" si="14"/>
        <v>1</v>
      </c>
      <c r="DB71">
        <f t="shared" si="10"/>
        <v>47.52</v>
      </c>
      <c r="DC71">
        <f t="shared" si="11"/>
        <v>0</v>
      </c>
    </row>
    <row r="72" spans="1:107" x14ac:dyDescent="0.2">
      <c r="A72">
        <f>ROW(Source!A86)</f>
        <v>86</v>
      </c>
      <c r="B72">
        <v>46561299</v>
      </c>
      <c r="C72">
        <v>46607068</v>
      </c>
      <c r="D72">
        <v>45145636</v>
      </c>
      <c r="E72">
        <v>1</v>
      </c>
      <c r="F72">
        <v>1</v>
      </c>
      <c r="G72">
        <v>27</v>
      </c>
      <c r="H72">
        <v>3</v>
      </c>
      <c r="I72" t="s">
        <v>293</v>
      </c>
      <c r="J72" t="s">
        <v>294</v>
      </c>
      <c r="K72" t="s">
        <v>295</v>
      </c>
      <c r="L72">
        <v>1339</v>
      </c>
      <c r="N72">
        <v>1007</v>
      </c>
      <c r="O72" t="s">
        <v>29</v>
      </c>
      <c r="P72" t="s">
        <v>29</v>
      </c>
      <c r="Q72">
        <v>1</v>
      </c>
      <c r="W72">
        <v>0</v>
      </c>
      <c r="X72">
        <v>1927597627</v>
      </c>
      <c r="Y72">
        <v>0.73</v>
      </c>
      <c r="AA72">
        <v>35.25</v>
      </c>
      <c r="AB72">
        <v>0</v>
      </c>
      <c r="AC72">
        <v>0</v>
      </c>
      <c r="AD72">
        <v>0</v>
      </c>
      <c r="AE72">
        <v>35.25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0.73</v>
      </c>
      <c r="AU72" t="s">
        <v>3</v>
      </c>
      <c r="AV72">
        <v>0</v>
      </c>
      <c r="AW72">
        <v>2</v>
      </c>
      <c r="AX72">
        <v>46607093</v>
      </c>
      <c r="AY72">
        <v>1</v>
      </c>
      <c r="AZ72">
        <v>0</v>
      </c>
      <c r="BA72">
        <v>66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Y72*Source!I86</f>
        <v>1.5768000000000001E-2</v>
      </c>
      <c r="CY72">
        <f t="shared" si="12"/>
        <v>35.25</v>
      </c>
      <c r="CZ72">
        <f t="shared" si="13"/>
        <v>35.25</v>
      </c>
      <c r="DA72">
        <f t="shared" si="14"/>
        <v>1</v>
      </c>
      <c r="DB72">
        <f t="shared" si="10"/>
        <v>25.73</v>
      </c>
      <c r="DC72">
        <f t="shared" si="11"/>
        <v>0</v>
      </c>
    </row>
    <row r="73" spans="1:107" x14ac:dyDescent="0.2">
      <c r="A73">
        <f>ROW(Source!A86)</f>
        <v>86</v>
      </c>
      <c r="B73">
        <v>46561299</v>
      </c>
      <c r="C73">
        <v>46607068</v>
      </c>
      <c r="D73">
        <v>45144338</v>
      </c>
      <c r="E73">
        <v>1</v>
      </c>
      <c r="F73">
        <v>1</v>
      </c>
      <c r="G73">
        <v>27</v>
      </c>
      <c r="H73">
        <v>3</v>
      </c>
      <c r="I73" t="s">
        <v>326</v>
      </c>
      <c r="J73" t="s">
        <v>327</v>
      </c>
      <c r="K73" t="s">
        <v>328</v>
      </c>
      <c r="L73">
        <v>1339</v>
      </c>
      <c r="N73">
        <v>1007</v>
      </c>
      <c r="O73" t="s">
        <v>29</v>
      </c>
      <c r="P73" t="s">
        <v>29</v>
      </c>
      <c r="Q73">
        <v>1</v>
      </c>
      <c r="W73">
        <v>0</v>
      </c>
      <c r="X73">
        <v>538447250</v>
      </c>
      <c r="Y73">
        <v>0.04</v>
      </c>
      <c r="AA73">
        <v>7098.7</v>
      </c>
      <c r="AB73">
        <v>0</v>
      </c>
      <c r="AC73">
        <v>0</v>
      </c>
      <c r="AD73">
        <v>0</v>
      </c>
      <c r="AE73">
        <v>7098.7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0.04</v>
      </c>
      <c r="AU73" t="s">
        <v>3</v>
      </c>
      <c r="AV73">
        <v>0</v>
      </c>
      <c r="AW73">
        <v>2</v>
      </c>
      <c r="AX73">
        <v>46607094</v>
      </c>
      <c r="AY73">
        <v>1</v>
      </c>
      <c r="AZ73">
        <v>0</v>
      </c>
      <c r="BA73">
        <v>67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Y73*Source!I86</f>
        <v>8.6400000000000008E-4</v>
      </c>
      <c r="CY73">
        <f t="shared" si="12"/>
        <v>7098.7</v>
      </c>
      <c r="CZ73">
        <f t="shared" si="13"/>
        <v>7098.7</v>
      </c>
      <c r="DA73">
        <f t="shared" si="14"/>
        <v>1</v>
      </c>
      <c r="DB73">
        <f t="shared" si="10"/>
        <v>283.95</v>
      </c>
      <c r="DC73">
        <f t="shared" si="11"/>
        <v>0</v>
      </c>
    </row>
    <row r="74" spans="1:107" x14ac:dyDescent="0.2">
      <c r="A74">
        <f>ROW(Source!A86)</f>
        <v>86</v>
      </c>
      <c r="B74">
        <v>46561299</v>
      </c>
      <c r="C74">
        <v>46607068</v>
      </c>
      <c r="D74">
        <v>45146605</v>
      </c>
      <c r="E74">
        <v>1</v>
      </c>
      <c r="F74">
        <v>1</v>
      </c>
      <c r="G74">
        <v>27</v>
      </c>
      <c r="H74">
        <v>3</v>
      </c>
      <c r="I74" t="s">
        <v>55</v>
      </c>
      <c r="J74" t="s">
        <v>57</v>
      </c>
      <c r="K74" t="s">
        <v>56</v>
      </c>
      <c r="L74">
        <v>1339</v>
      </c>
      <c r="N74">
        <v>1007</v>
      </c>
      <c r="O74" t="s">
        <v>29</v>
      </c>
      <c r="P74" t="s">
        <v>29</v>
      </c>
      <c r="Q74">
        <v>1</v>
      </c>
      <c r="W74">
        <v>1</v>
      </c>
      <c r="X74">
        <v>426331755</v>
      </c>
      <c r="Y74">
        <v>-101.5</v>
      </c>
      <c r="AA74">
        <v>3714.73</v>
      </c>
      <c r="AB74">
        <v>0</v>
      </c>
      <c r="AC74">
        <v>0</v>
      </c>
      <c r="AD74">
        <v>0</v>
      </c>
      <c r="AE74">
        <v>3714.73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-101.5</v>
      </c>
      <c r="AU74" t="s">
        <v>3</v>
      </c>
      <c r="AV74">
        <v>0</v>
      </c>
      <c r="AW74">
        <v>2</v>
      </c>
      <c r="AX74">
        <v>46607095</v>
      </c>
      <c r="AY74">
        <v>1</v>
      </c>
      <c r="AZ74">
        <v>6144</v>
      </c>
      <c r="BA74">
        <v>68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Y74*Source!I86</f>
        <v>-2.1924000000000001</v>
      </c>
      <c r="CY74">
        <f t="shared" si="12"/>
        <v>3714.73</v>
      </c>
      <c r="CZ74">
        <f t="shared" si="13"/>
        <v>3714.73</v>
      </c>
      <c r="DA74">
        <f t="shared" si="14"/>
        <v>1</v>
      </c>
      <c r="DB74">
        <f t="shared" si="10"/>
        <v>-377045.1</v>
      </c>
      <c r="DC74">
        <f t="shared" si="11"/>
        <v>0</v>
      </c>
    </row>
    <row r="75" spans="1:107" x14ac:dyDescent="0.2">
      <c r="A75">
        <f>ROW(Source!A86)</f>
        <v>86</v>
      </c>
      <c r="B75">
        <v>46561299</v>
      </c>
      <c r="C75">
        <v>46607068</v>
      </c>
      <c r="D75">
        <v>45146619</v>
      </c>
      <c r="E75">
        <v>1</v>
      </c>
      <c r="F75">
        <v>1</v>
      </c>
      <c r="G75">
        <v>27</v>
      </c>
      <c r="H75">
        <v>3</v>
      </c>
      <c r="I75" t="s">
        <v>51</v>
      </c>
      <c r="J75" t="s">
        <v>53</v>
      </c>
      <c r="K75" t="s">
        <v>52</v>
      </c>
      <c r="L75">
        <v>1339</v>
      </c>
      <c r="N75">
        <v>1007</v>
      </c>
      <c r="O75" t="s">
        <v>29</v>
      </c>
      <c r="P75" t="s">
        <v>29</v>
      </c>
      <c r="Q75">
        <v>1</v>
      </c>
      <c r="W75">
        <v>0</v>
      </c>
      <c r="X75">
        <v>-793492541</v>
      </c>
      <c r="Y75">
        <v>101.5</v>
      </c>
      <c r="AA75">
        <v>3884.73</v>
      </c>
      <c r="AB75">
        <v>0</v>
      </c>
      <c r="AC75">
        <v>0</v>
      </c>
      <c r="AD75">
        <v>0</v>
      </c>
      <c r="AE75">
        <v>3884.73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3</v>
      </c>
      <c r="AT75">
        <v>101.5</v>
      </c>
      <c r="AU75" t="s">
        <v>3</v>
      </c>
      <c r="AV75">
        <v>0</v>
      </c>
      <c r="AW75">
        <v>1</v>
      </c>
      <c r="AX75">
        <v>-1</v>
      </c>
      <c r="AY75">
        <v>0</v>
      </c>
      <c r="AZ75">
        <v>0</v>
      </c>
      <c r="BA75" t="s">
        <v>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Y75*Source!I86</f>
        <v>2.1924000000000001</v>
      </c>
      <c r="CY75">
        <f t="shared" si="12"/>
        <v>3884.73</v>
      </c>
      <c r="CZ75">
        <f t="shared" si="13"/>
        <v>3884.73</v>
      </c>
      <c r="DA75">
        <f t="shared" si="14"/>
        <v>1</v>
      </c>
      <c r="DB75">
        <f t="shared" si="10"/>
        <v>394300.1</v>
      </c>
      <c r="DC75">
        <f t="shared" si="11"/>
        <v>0</v>
      </c>
    </row>
    <row r="76" spans="1:107" x14ac:dyDescent="0.2">
      <c r="A76">
        <f>ROW(Source!A86)</f>
        <v>86</v>
      </c>
      <c r="B76">
        <v>46561299</v>
      </c>
      <c r="C76">
        <v>46607068</v>
      </c>
      <c r="D76">
        <v>45146856</v>
      </c>
      <c r="E76">
        <v>1</v>
      </c>
      <c r="F76">
        <v>1</v>
      </c>
      <c r="G76">
        <v>27</v>
      </c>
      <c r="H76">
        <v>3</v>
      </c>
      <c r="I76" t="s">
        <v>329</v>
      </c>
      <c r="J76" t="s">
        <v>330</v>
      </c>
      <c r="K76" t="s">
        <v>331</v>
      </c>
      <c r="L76">
        <v>1348</v>
      </c>
      <c r="N76">
        <v>1009</v>
      </c>
      <c r="O76" t="s">
        <v>65</v>
      </c>
      <c r="P76" t="s">
        <v>65</v>
      </c>
      <c r="Q76">
        <v>1000</v>
      </c>
      <c r="W76">
        <v>0</v>
      </c>
      <c r="X76">
        <v>653530504</v>
      </c>
      <c r="Y76">
        <v>8.1</v>
      </c>
      <c r="AA76">
        <v>34634.379999999997</v>
      </c>
      <c r="AB76">
        <v>0</v>
      </c>
      <c r="AC76">
        <v>0</v>
      </c>
      <c r="AD76">
        <v>0</v>
      </c>
      <c r="AE76">
        <v>34634.379999999997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8.1</v>
      </c>
      <c r="AU76" t="s">
        <v>3</v>
      </c>
      <c r="AV76">
        <v>0</v>
      </c>
      <c r="AW76">
        <v>2</v>
      </c>
      <c r="AX76">
        <v>46607096</v>
      </c>
      <c r="AY76">
        <v>1</v>
      </c>
      <c r="AZ76">
        <v>0</v>
      </c>
      <c r="BA76">
        <v>69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Y76*Source!I86</f>
        <v>0.17496</v>
      </c>
      <c r="CY76">
        <f t="shared" si="12"/>
        <v>34634.379999999997</v>
      </c>
      <c r="CZ76">
        <f t="shared" si="13"/>
        <v>34634.379999999997</v>
      </c>
      <c r="DA76">
        <f t="shared" si="14"/>
        <v>1</v>
      </c>
      <c r="DB76">
        <f t="shared" si="10"/>
        <v>280538.48</v>
      </c>
      <c r="DC76">
        <f t="shared" si="11"/>
        <v>0</v>
      </c>
    </row>
    <row r="77" spans="1:107" x14ac:dyDescent="0.2">
      <c r="A77">
        <f>ROW(Source!A86)</f>
        <v>86</v>
      </c>
      <c r="B77">
        <v>46561299</v>
      </c>
      <c r="C77">
        <v>46607068</v>
      </c>
      <c r="D77">
        <v>45148767</v>
      </c>
      <c r="E77">
        <v>1</v>
      </c>
      <c r="F77">
        <v>1</v>
      </c>
      <c r="G77">
        <v>27</v>
      </c>
      <c r="H77">
        <v>3</v>
      </c>
      <c r="I77" t="s">
        <v>332</v>
      </c>
      <c r="J77" t="s">
        <v>333</v>
      </c>
      <c r="K77" t="s">
        <v>334</v>
      </c>
      <c r="L77">
        <v>1327</v>
      </c>
      <c r="N77">
        <v>1005</v>
      </c>
      <c r="O77" t="s">
        <v>40</v>
      </c>
      <c r="P77" t="s">
        <v>40</v>
      </c>
      <c r="Q77">
        <v>1</v>
      </c>
      <c r="W77">
        <v>0</v>
      </c>
      <c r="X77">
        <v>1680411856</v>
      </c>
      <c r="Y77">
        <v>3.6</v>
      </c>
      <c r="AA77">
        <v>473.82</v>
      </c>
      <c r="AB77">
        <v>0</v>
      </c>
      <c r="AC77">
        <v>0</v>
      </c>
      <c r="AD77">
        <v>0</v>
      </c>
      <c r="AE77">
        <v>473.82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3.6</v>
      </c>
      <c r="AU77" t="s">
        <v>3</v>
      </c>
      <c r="AV77">
        <v>0</v>
      </c>
      <c r="AW77">
        <v>2</v>
      </c>
      <c r="AX77">
        <v>46607097</v>
      </c>
      <c r="AY77">
        <v>1</v>
      </c>
      <c r="AZ77">
        <v>0</v>
      </c>
      <c r="BA77">
        <v>70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Y77*Source!I86</f>
        <v>7.776000000000001E-2</v>
      </c>
      <c r="CY77">
        <f t="shared" si="12"/>
        <v>473.82</v>
      </c>
      <c r="CZ77">
        <f t="shared" si="13"/>
        <v>473.82</v>
      </c>
      <c r="DA77">
        <f t="shared" si="14"/>
        <v>1</v>
      </c>
      <c r="DB77">
        <f t="shared" si="10"/>
        <v>1705.75</v>
      </c>
      <c r="DC77">
        <f t="shared" si="11"/>
        <v>0</v>
      </c>
    </row>
    <row r="78" spans="1:107" x14ac:dyDescent="0.2">
      <c r="A78">
        <f>ROW(Source!A89)</f>
        <v>89</v>
      </c>
      <c r="B78">
        <v>46561299</v>
      </c>
      <c r="C78">
        <v>46607100</v>
      </c>
      <c r="D78">
        <v>45130551</v>
      </c>
      <c r="E78">
        <v>27</v>
      </c>
      <c r="F78">
        <v>1</v>
      </c>
      <c r="G78">
        <v>27</v>
      </c>
      <c r="H78">
        <v>1</v>
      </c>
      <c r="I78" t="s">
        <v>280</v>
      </c>
      <c r="J78" t="s">
        <v>3</v>
      </c>
      <c r="K78" t="s">
        <v>281</v>
      </c>
      <c r="L78">
        <v>1191</v>
      </c>
      <c r="N78">
        <v>1013</v>
      </c>
      <c r="O78" t="s">
        <v>282</v>
      </c>
      <c r="P78" t="s">
        <v>282</v>
      </c>
      <c r="Q78">
        <v>1</v>
      </c>
      <c r="W78">
        <v>0</v>
      </c>
      <c r="X78">
        <v>476480486</v>
      </c>
      <c r="Y78">
        <v>2.97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2.97</v>
      </c>
      <c r="AU78" t="s">
        <v>3</v>
      </c>
      <c r="AV78">
        <v>1</v>
      </c>
      <c r="AW78">
        <v>2</v>
      </c>
      <c r="AX78">
        <v>46607114</v>
      </c>
      <c r="AY78">
        <v>1</v>
      </c>
      <c r="AZ78">
        <v>0</v>
      </c>
      <c r="BA78">
        <v>71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Y78*Source!I89</f>
        <v>343.92599999999999</v>
      </c>
      <c r="CY78">
        <f>AD78</f>
        <v>0</v>
      </c>
      <c r="CZ78">
        <f>AH78</f>
        <v>0</v>
      </c>
      <c r="DA78">
        <f>AL78</f>
        <v>1</v>
      </c>
      <c r="DB78">
        <f t="shared" si="10"/>
        <v>0</v>
      </c>
      <c r="DC78">
        <f t="shared" si="11"/>
        <v>0</v>
      </c>
    </row>
    <row r="79" spans="1:107" x14ac:dyDescent="0.2">
      <c r="A79">
        <f>ROW(Source!A89)</f>
        <v>89</v>
      </c>
      <c r="B79">
        <v>46561299</v>
      </c>
      <c r="C79">
        <v>46607100</v>
      </c>
      <c r="D79">
        <v>45143190</v>
      </c>
      <c r="E79">
        <v>1</v>
      </c>
      <c r="F79">
        <v>1</v>
      </c>
      <c r="G79">
        <v>27</v>
      </c>
      <c r="H79">
        <v>2</v>
      </c>
      <c r="I79" t="s">
        <v>335</v>
      </c>
      <c r="J79" t="s">
        <v>336</v>
      </c>
      <c r="K79" t="s">
        <v>337</v>
      </c>
      <c r="L79">
        <v>1368</v>
      </c>
      <c r="N79">
        <v>1011</v>
      </c>
      <c r="O79" t="s">
        <v>286</v>
      </c>
      <c r="P79" t="s">
        <v>286</v>
      </c>
      <c r="Q79">
        <v>1</v>
      </c>
      <c r="W79">
        <v>0</v>
      </c>
      <c r="X79">
        <v>-711828296</v>
      </c>
      <c r="Y79">
        <v>0.38400000000000001</v>
      </c>
      <c r="AA79">
        <v>0</v>
      </c>
      <c r="AB79">
        <v>351.29</v>
      </c>
      <c r="AC79">
        <v>7.02</v>
      </c>
      <c r="AD79">
        <v>0</v>
      </c>
      <c r="AE79">
        <v>0</v>
      </c>
      <c r="AF79">
        <v>351.29</v>
      </c>
      <c r="AG79">
        <v>7.02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0.38400000000000001</v>
      </c>
      <c r="AU79" t="s">
        <v>3</v>
      </c>
      <c r="AV79">
        <v>0</v>
      </c>
      <c r="AW79">
        <v>2</v>
      </c>
      <c r="AX79">
        <v>46607115</v>
      </c>
      <c r="AY79">
        <v>1</v>
      </c>
      <c r="AZ79">
        <v>0</v>
      </c>
      <c r="BA79">
        <v>72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Y79*Source!I89</f>
        <v>44.467199999999998</v>
      </c>
      <c r="CY79">
        <f>AB79</f>
        <v>351.29</v>
      </c>
      <c r="CZ79">
        <f>AF79</f>
        <v>351.29</v>
      </c>
      <c r="DA79">
        <f>AJ79</f>
        <v>1</v>
      </c>
      <c r="DB79">
        <f t="shared" si="10"/>
        <v>134.9</v>
      </c>
      <c r="DC79">
        <f t="shared" si="11"/>
        <v>2.7</v>
      </c>
    </row>
    <row r="80" spans="1:107" x14ac:dyDescent="0.2">
      <c r="A80">
        <f>ROW(Source!A89)</f>
        <v>89</v>
      </c>
      <c r="B80">
        <v>46561299</v>
      </c>
      <c r="C80">
        <v>46607100</v>
      </c>
      <c r="D80">
        <v>45143575</v>
      </c>
      <c r="E80">
        <v>1</v>
      </c>
      <c r="F80">
        <v>1</v>
      </c>
      <c r="G80">
        <v>27</v>
      </c>
      <c r="H80">
        <v>2</v>
      </c>
      <c r="I80" t="s">
        <v>338</v>
      </c>
      <c r="J80" t="s">
        <v>339</v>
      </c>
      <c r="K80" t="s">
        <v>340</v>
      </c>
      <c r="L80">
        <v>1368</v>
      </c>
      <c r="N80">
        <v>1011</v>
      </c>
      <c r="O80" t="s">
        <v>286</v>
      </c>
      <c r="P80" t="s">
        <v>286</v>
      </c>
      <c r="Q80">
        <v>1</v>
      </c>
      <c r="W80">
        <v>0</v>
      </c>
      <c r="X80">
        <v>-764600179</v>
      </c>
      <c r="Y80">
        <v>0.115</v>
      </c>
      <c r="AA80">
        <v>0</v>
      </c>
      <c r="AB80">
        <v>5.94</v>
      </c>
      <c r="AC80">
        <v>0.02</v>
      </c>
      <c r="AD80">
        <v>0</v>
      </c>
      <c r="AE80">
        <v>0</v>
      </c>
      <c r="AF80">
        <v>5.94</v>
      </c>
      <c r="AG80">
        <v>0.02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0.115</v>
      </c>
      <c r="AU80" t="s">
        <v>3</v>
      </c>
      <c r="AV80">
        <v>0</v>
      </c>
      <c r="AW80">
        <v>2</v>
      </c>
      <c r="AX80">
        <v>46607116</v>
      </c>
      <c r="AY80">
        <v>1</v>
      </c>
      <c r="AZ80">
        <v>0</v>
      </c>
      <c r="BA80">
        <v>73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Y80*Source!I89</f>
        <v>13.317</v>
      </c>
      <c r="CY80">
        <f>AB80</f>
        <v>5.94</v>
      </c>
      <c r="CZ80">
        <f>AF80</f>
        <v>5.94</v>
      </c>
      <c r="DA80">
        <f>AJ80</f>
        <v>1</v>
      </c>
      <c r="DB80">
        <f t="shared" si="10"/>
        <v>0.68</v>
      </c>
      <c r="DC80">
        <f t="shared" si="11"/>
        <v>0</v>
      </c>
    </row>
    <row r="81" spans="1:107" x14ac:dyDescent="0.2">
      <c r="A81">
        <f>ROW(Source!A89)</f>
        <v>89</v>
      </c>
      <c r="B81">
        <v>46561299</v>
      </c>
      <c r="C81">
        <v>46607100</v>
      </c>
      <c r="D81">
        <v>45143598</v>
      </c>
      <c r="E81">
        <v>1</v>
      </c>
      <c r="F81">
        <v>1</v>
      </c>
      <c r="G81">
        <v>27</v>
      </c>
      <c r="H81">
        <v>2</v>
      </c>
      <c r="I81" t="s">
        <v>341</v>
      </c>
      <c r="J81" t="s">
        <v>342</v>
      </c>
      <c r="K81" t="s">
        <v>343</v>
      </c>
      <c r="L81">
        <v>1368</v>
      </c>
      <c r="N81">
        <v>1011</v>
      </c>
      <c r="O81" t="s">
        <v>286</v>
      </c>
      <c r="P81" t="s">
        <v>286</v>
      </c>
      <c r="Q81">
        <v>1</v>
      </c>
      <c r="W81">
        <v>0</v>
      </c>
      <c r="X81">
        <v>676633484</v>
      </c>
      <c r="Y81">
        <v>0.504</v>
      </c>
      <c r="AA81">
        <v>0</v>
      </c>
      <c r="AB81">
        <v>652.16</v>
      </c>
      <c r="AC81">
        <v>581.9</v>
      </c>
      <c r="AD81">
        <v>0</v>
      </c>
      <c r="AE81">
        <v>0</v>
      </c>
      <c r="AF81">
        <v>652.16</v>
      </c>
      <c r="AG81">
        <v>581.9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0.504</v>
      </c>
      <c r="AU81" t="s">
        <v>3</v>
      </c>
      <c r="AV81">
        <v>0</v>
      </c>
      <c r="AW81">
        <v>2</v>
      </c>
      <c r="AX81">
        <v>46607117</v>
      </c>
      <c r="AY81">
        <v>1</v>
      </c>
      <c r="AZ81">
        <v>0</v>
      </c>
      <c r="BA81">
        <v>74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Y81*Source!I89</f>
        <v>58.363199999999999</v>
      </c>
      <c r="CY81">
        <f>AB81</f>
        <v>652.16</v>
      </c>
      <c r="CZ81">
        <f>AF81</f>
        <v>652.16</v>
      </c>
      <c r="DA81">
        <f>AJ81</f>
        <v>1</v>
      </c>
      <c r="DB81">
        <f t="shared" si="10"/>
        <v>328.69</v>
      </c>
      <c r="DC81">
        <f t="shared" si="11"/>
        <v>293.27999999999997</v>
      </c>
    </row>
    <row r="82" spans="1:107" x14ac:dyDescent="0.2">
      <c r="A82">
        <f>ROW(Source!A89)</f>
        <v>89</v>
      </c>
      <c r="B82">
        <v>46561299</v>
      </c>
      <c r="C82">
        <v>46607100</v>
      </c>
      <c r="D82">
        <v>45144496</v>
      </c>
      <c r="E82">
        <v>1</v>
      </c>
      <c r="F82">
        <v>1</v>
      </c>
      <c r="G82">
        <v>27</v>
      </c>
      <c r="H82">
        <v>3</v>
      </c>
      <c r="I82" t="s">
        <v>68</v>
      </c>
      <c r="J82" t="s">
        <v>70</v>
      </c>
      <c r="K82" t="s">
        <v>162</v>
      </c>
      <c r="L82">
        <v>1348</v>
      </c>
      <c r="N82">
        <v>1009</v>
      </c>
      <c r="O82" t="s">
        <v>65</v>
      </c>
      <c r="P82" t="s">
        <v>65</v>
      </c>
      <c r="Q82">
        <v>1000</v>
      </c>
      <c r="W82">
        <v>0</v>
      </c>
      <c r="X82">
        <v>526509494</v>
      </c>
      <c r="Y82">
        <v>7.3749999999999996E-3</v>
      </c>
      <c r="AA82">
        <v>32819.879999999997</v>
      </c>
      <c r="AB82">
        <v>0</v>
      </c>
      <c r="AC82">
        <v>0</v>
      </c>
      <c r="AD82">
        <v>0</v>
      </c>
      <c r="AE82">
        <v>32819.879999999997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3</v>
      </c>
      <c r="AT82">
        <v>7.3749999999999996E-3</v>
      </c>
      <c r="AU82" t="s">
        <v>3</v>
      </c>
      <c r="AV82">
        <v>0</v>
      </c>
      <c r="AW82">
        <v>1</v>
      </c>
      <c r="AX82">
        <v>-1</v>
      </c>
      <c r="AY82">
        <v>0</v>
      </c>
      <c r="AZ82">
        <v>0</v>
      </c>
      <c r="BA82" t="s">
        <v>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Y82*Source!I89</f>
        <v>0.85402499999999992</v>
      </c>
      <c r="CY82">
        <f t="shared" ref="CY82:CY90" si="15">AA82</f>
        <v>32819.879999999997</v>
      </c>
      <c r="CZ82">
        <f t="shared" ref="CZ82:CZ90" si="16">AE82</f>
        <v>32819.879999999997</v>
      </c>
      <c r="DA82">
        <f t="shared" ref="DA82:DA90" si="17">AI82</f>
        <v>1</v>
      </c>
      <c r="DB82">
        <f t="shared" si="10"/>
        <v>242.05</v>
      </c>
      <c r="DC82">
        <f t="shared" si="11"/>
        <v>0</v>
      </c>
    </row>
    <row r="83" spans="1:107" x14ac:dyDescent="0.2">
      <c r="A83">
        <f>ROW(Source!A89)</f>
        <v>89</v>
      </c>
      <c r="B83">
        <v>46561299</v>
      </c>
      <c r="C83">
        <v>46607100</v>
      </c>
      <c r="D83">
        <v>45144555</v>
      </c>
      <c r="E83">
        <v>1</v>
      </c>
      <c r="F83">
        <v>1</v>
      </c>
      <c r="G83">
        <v>27</v>
      </c>
      <c r="H83">
        <v>3</v>
      </c>
      <c r="I83" t="s">
        <v>344</v>
      </c>
      <c r="J83" t="s">
        <v>345</v>
      </c>
      <c r="K83" t="s">
        <v>346</v>
      </c>
      <c r="L83">
        <v>1348</v>
      </c>
      <c r="N83">
        <v>1009</v>
      </c>
      <c r="O83" t="s">
        <v>65</v>
      </c>
      <c r="P83" t="s">
        <v>65</v>
      </c>
      <c r="Q83">
        <v>1000</v>
      </c>
      <c r="W83">
        <v>0</v>
      </c>
      <c r="X83">
        <v>-1210277159</v>
      </c>
      <c r="Y83">
        <v>1.01E-3</v>
      </c>
      <c r="AA83">
        <v>38268.54</v>
      </c>
      <c r="AB83">
        <v>0</v>
      </c>
      <c r="AC83">
        <v>0</v>
      </c>
      <c r="AD83">
        <v>0</v>
      </c>
      <c r="AE83">
        <v>38268.54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1.01E-3</v>
      </c>
      <c r="AU83" t="s">
        <v>3</v>
      </c>
      <c r="AV83">
        <v>0</v>
      </c>
      <c r="AW83">
        <v>2</v>
      </c>
      <c r="AX83">
        <v>46607118</v>
      </c>
      <c r="AY83">
        <v>1</v>
      </c>
      <c r="AZ83">
        <v>0</v>
      </c>
      <c r="BA83">
        <v>75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Y83*Source!I89</f>
        <v>0.11695800000000001</v>
      </c>
      <c r="CY83">
        <f t="shared" si="15"/>
        <v>38268.54</v>
      </c>
      <c r="CZ83">
        <f t="shared" si="16"/>
        <v>38268.54</v>
      </c>
      <c r="DA83">
        <f t="shared" si="17"/>
        <v>1</v>
      </c>
      <c r="DB83">
        <f t="shared" si="10"/>
        <v>38.65</v>
      </c>
      <c r="DC83">
        <f t="shared" si="11"/>
        <v>0</v>
      </c>
    </row>
    <row r="84" spans="1:107" x14ac:dyDescent="0.2">
      <c r="A84">
        <f>ROW(Source!A89)</f>
        <v>89</v>
      </c>
      <c r="B84">
        <v>46561299</v>
      </c>
      <c r="C84">
        <v>46607100</v>
      </c>
      <c r="D84">
        <v>45144413</v>
      </c>
      <c r="E84">
        <v>1</v>
      </c>
      <c r="F84">
        <v>1</v>
      </c>
      <c r="G84">
        <v>27</v>
      </c>
      <c r="H84">
        <v>3</v>
      </c>
      <c r="I84" t="s">
        <v>84</v>
      </c>
      <c r="J84" t="s">
        <v>86</v>
      </c>
      <c r="K84" t="s">
        <v>85</v>
      </c>
      <c r="L84">
        <v>1348</v>
      </c>
      <c r="N84">
        <v>1009</v>
      </c>
      <c r="O84" t="s">
        <v>65</v>
      </c>
      <c r="P84" t="s">
        <v>65</v>
      </c>
      <c r="Q84">
        <v>1000</v>
      </c>
      <c r="W84">
        <v>1</v>
      </c>
      <c r="X84">
        <v>-2126876791</v>
      </c>
      <c r="Y84">
        <v>-0.14899999999999999</v>
      </c>
      <c r="AA84">
        <v>37537.54</v>
      </c>
      <c r="AB84">
        <v>0</v>
      </c>
      <c r="AC84">
        <v>0</v>
      </c>
      <c r="AD84">
        <v>0</v>
      </c>
      <c r="AE84">
        <v>37537.54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-0.14899999999999999</v>
      </c>
      <c r="AU84" t="s">
        <v>3</v>
      </c>
      <c r="AV84">
        <v>0</v>
      </c>
      <c r="AW84">
        <v>2</v>
      </c>
      <c r="AX84">
        <v>46607119</v>
      </c>
      <c r="AY84">
        <v>1</v>
      </c>
      <c r="AZ84">
        <v>6144</v>
      </c>
      <c r="BA84">
        <v>76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Y84*Source!I89</f>
        <v>-17.254199999999997</v>
      </c>
      <c r="CY84">
        <f t="shared" si="15"/>
        <v>37537.54</v>
      </c>
      <c r="CZ84">
        <f t="shared" si="16"/>
        <v>37537.54</v>
      </c>
      <c r="DA84">
        <f t="shared" si="17"/>
        <v>1</v>
      </c>
      <c r="DB84">
        <f t="shared" si="10"/>
        <v>-5593.09</v>
      </c>
      <c r="DC84">
        <f t="shared" si="11"/>
        <v>0</v>
      </c>
    </row>
    <row r="85" spans="1:107" x14ac:dyDescent="0.2">
      <c r="A85">
        <f>ROW(Source!A89)</f>
        <v>89</v>
      </c>
      <c r="B85">
        <v>46561299</v>
      </c>
      <c r="C85">
        <v>46607100</v>
      </c>
      <c r="D85">
        <v>45144419</v>
      </c>
      <c r="E85">
        <v>1</v>
      </c>
      <c r="F85">
        <v>1</v>
      </c>
      <c r="G85">
        <v>27</v>
      </c>
      <c r="H85">
        <v>3</v>
      </c>
      <c r="I85" t="s">
        <v>72</v>
      </c>
      <c r="J85" t="s">
        <v>74</v>
      </c>
      <c r="K85" t="s">
        <v>164</v>
      </c>
      <c r="L85">
        <v>1348</v>
      </c>
      <c r="N85">
        <v>1009</v>
      </c>
      <c r="O85" t="s">
        <v>65</v>
      </c>
      <c r="P85" t="s">
        <v>65</v>
      </c>
      <c r="Q85">
        <v>1000</v>
      </c>
      <c r="W85">
        <v>0</v>
      </c>
      <c r="X85">
        <v>-49825837</v>
      </c>
      <c r="Y85">
        <v>1.6275000000000001E-2</v>
      </c>
      <c r="AA85">
        <v>40597.550000000003</v>
      </c>
      <c r="AB85">
        <v>0</v>
      </c>
      <c r="AC85">
        <v>0</v>
      </c>
      <c r="AD85">
        <v>0</v>
      </c>
      <c r="AE85">
        <v>40597.550000000003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3</v>
      </c>
      <c r="AT85">
        <v>1.6275000000000001E-2</v>
      </c>
      <c r="AU85" t="s">
        <v>3</v>
      </c>
      <c r="AV85">
        <v>0</v>
      </c>
      <c r="AW85">
        <v>1</v>
      </c>
      <c r="AX85">
        <v>-1</v>
      </c>
      <c r="AY85">
        <v>0</v>
      </c>
      <c r="AZ85">
        <v>0</v>
      </c>
      <c r="BA85" t="s">
        <v>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Y85*Source!I89</f>
        <v>1.8846450000000001</v>
      </c>
      <c r="CY85">
        <f t="shared" si="15"/>
        <v>40597.550000000003</v>
      </c>
      <c r="CZ85">
        <f t="shared" si="16"/>
        <v>40597.550000000003</v>
      </c>
      <c r="DA85">
        <f t="shared" si="17"/>
        <v>1</v>
      </c>
      <c r="DB85">
        <f t="shared" si="10"/>
        <v>660.73</v>
      </c>
      <c r="DC85">
        <f t="shared" si="11"/>
        <v>0</v>
      </c>
    </row>
    <row r="86" spans="1:107" x14ac:dyDescent="0.2">
      <c r="A86">
        <f>ROW(Source!A89)</f>
        <v>89</v>
      </c>
      <c r="B86">
        <v>46561299</v>
      </c>
      <c r="C86">
        <v>46607100</v>
      </c>
      <c r="D86">
        <v>45144432</v>
      </c>
      <c r="E86">
        <v>1</v>
      </c>
      <c r="F86">
        <v>1</v>
      </c>
      <c r="G86">
        <v>27</v>
      </c>
      <c r="H86">
        <v>3</v>
      </c>
      <c r="I86" t="s">
        <v>63</v>
      </c>
      <c r="J86" t="s">
        <v>66</v>
      </c>
      <c r="K86" t="s">
        <v>160</v>
      </c>
      <c r="L86">
        <v>1348</v>
      </c>
      <c r="N86">
        <v>1009</v>
      </c>
      <c r="O86" t="s">
        <v>65</v>
      </c>
      <c r="P86" t="s">
        <v>65</v>
      </c>
      <c r="Q86">
        <v>1000</v>
      </c>
      <c r="W86">
        <v>0</v>
      </c>
      <c r="X86">
        <v>-2136427542</v>
      </c>
      <c r="Y86">
        <v>5.8009999999999997E-3</v>
      </c>
      <c r="AA86">
        <v>37329.29</v>
      </c>
      <c r="AB86">
        <v>0</v>
      </c>
      <c r="AC86">
        <v>0</v>
      </c>
      <c r="AD86">
        <v>0</v>
      </c>
      <c r="AE86">
        <v>37329.29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3</v>
      </c>
      <c r="AT86">
        <v>5.8009999999999997E-3</v>
      </c>
      <c r="AU86" t="s">
        <v>3</v>
      </c>
      <c r="AV86">
        <v>0</v>
      </c>
      <c r="AW86">
        <v>1</v>
      </c>
      <c r="AX86">
        <v>-1</v>
      </c>
      <c r="AY86">
        <v>0</v>
      </c>
      <c r="AZ86">
        <v>0</v>
      </c>
      <c r="BA86" t="s"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Y86*Source!I89</f>
        <v>0.6717557999999999</v>
      </c>
      <c r="CY86">
        <f t="shared" si="15"/>
        <v>37329.29</v>
      </c>
      <c r="CZ86">
        <f t="shared" si="16"/>
        <v>37329.29</v>
      </c>
      <c r="DA86">
        <f t="shared" si="17"/>
        <v>1</v>
      </c>
      <c r="DB86">
        <f t="shared" si="10"/>
        <v>216.55</v>
      </c>
      <c r="DC86">
        <f t="shared" si="11"/>
        <v>0</v>
      </c>
    </row>
    <row r="87" spans="1:107" x14ac:dyDescent="0.2">
      <c r="A87">
        <f>ROW(Source!A89)</f>
        <v>89</v>
      </c>
      <c r="B87">
        <v>46561299</v>
      </c>
      <c r="C87">
        <v>46607100</v>
      </c>
      <c r="D87">
        <v>45145543</v>
      </c>
      <c r="E87">
        <v>1</v>
      </c>
      <c r="F87">
        <v>1</v>
      </c>
      <c r="G87">
        <v>27</v>
      </c>
      <c r="H87">
        <v>3</v>
      </c>
      <c r="I87" t="s">
        <v>320</v>
      </c>
      <c r="J87" t="s">
        <v>321</v>
      </c>
      <c r="K87" t="s">
        <v>322</v>
      </c>
      <c r="L87">
        <v>1348</v>
      </c>
      <c r="N87">
        <v>1009</v>
      </c>
      <c r="O87" t="s">
        <v>65</v>
      </c>
      <c r="P87" t="s">
        <v>65</v>
      </c>
      <c r="Q87">
        <v>1000</v>
      </c>
      <c r="W87">
        <v>0</v>
      </c>
      <c r="X87">
        <v>-672771621</v>
      </c>
      <c r="Y87">
        <v>5.0000000000000001E-4</v>
      </c>
      <c r="AA87">
        <v>110781.14</v>
      </c>
      <c r="AB87">
        <v>0</v>
      </c>
      <c r="AC87">
        <v>0</v>
      </c>
      <c r="AD87">
        <v>0</v>
      </c>
      <c r="AE87">
        <v>110781.14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5.0000000000000001E-4</v>
      </c>
      <c r="AU87" t="s">
        <v>3</v>
      </c>
      <c r="AV87">
        <v>0</v>
      </c>
      <c r="AW87">
        <v>2</v>
      </c>
      <c r="AX87">
        <v>46607120</v>
      </c>
      <c r="AY87">
        <v>1</v>
      </c>
      <c r="AZ87">
        <v>0</v>
      </c>
      <c r="BA87">
        <v>77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Y87*Source!I89</f>
        <v>5.79E-2</v>
      </c>
      <c r="CY87">
        <f t="shared" si="15"/>
        <v>110781.14</v>
      </c>
      <c r="CZ87">
        <f t="shared" si="16"/>
        <v>110781.14</v>
      </c>
      <c r="DA87">
        <f t="shared" si="17"/>
        <v>1</v>
      </c>
      <c r="DB87">
        <f t="shared" si="10"/>
        <v>55.39</v>
      </c>
      <c r="DC87">
        <f t="shared" si="11"/>
        <v>0</v>
      </c>
    </row>
    <row r="88" spans="1:107" x14ac:dyDescent="0.2">
      <c r="A88">
        <f>ROW(Source!A89)</f>
        <v>89</v>
      </c>
      <c r="B88">
        <v>46561299</v>
      </c>
      <c r="C88">
        <v>46607100</v>
      </c>
      <c r="D88">
        <v>45147864</v>
      </c>
      <c r="E88">
        <v>1</v>
      </c>
      <c r="F88">
        <v>1</v>
      </c>
      <c r="G88">
        <v>27</v>
      </c>
      <c r="H88">
        <v>3</v>
      </c>
      <c r="I88" t="s">
        <v>347</v>
      </c>
      <c r="J88" t="s">
        <v>348</v>
      </c>
      <c r="K88" t="s">
        <v>349</v>
      </c>
      <c r="L88">
        <v>1354</v>
      </c>
      <c r="N88">
        <v>1010</v>
      </c>
      <c r="O88" t="s">
        <v>350</v>
      </c>
      <c r="P88" t="s">
        <v>350</v>
      </c>
      <c r="Q88">
        <v>1</v>
      </c>
      <c r="W88">
        <v>0</v>
      </c>
      <c r="X88">
        <v>969740417</v>
      </c>
      <c r="Y88">
        <v>1.4E-2</v>
      </c>
      <c r="AA88">
        <v>16.54</v>
      </c>
      <c r="AB88">
        <v>0</v>
      </c>
      <c r="AC88">
        <v>0</v>
      </c>
      <c r="AD88">
        <v>0</v>
      </c>
      <c r="AE88">
        <v>16.54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1.4E-2</v>
      </c>
      <c r="AU88" t="s">
        <v>3</v>
      </c>
      <c r="AV88">
        <v>0</v>
      </c>
      <c r="AW88">
        <v>2</v>
      </c>
      <c r="AX88">
        <v>46607121</v>
      </c>
      <c r="AY88">
        <v>1</v>
      </c>
      <c r="AZ88">
        <v>0</v>
      </c>
      <c r="BA88">
        <v>78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Y88*Source!I89</f>
        <v>1.6212</v>
      </c>
      <c r="CY88">
        <f t="shared" si="15"/>
        <v>16.54</v>
      </c>
      <c r="CZ88">
        <f t="shared" si="16"/>
        <v>16.54</v>
      </c>
      <c r="DA88">
        <f t="shared" si="17"/>
        <v>1</v>
      </c>
      <c r="DB88">
        <f t="shared" si="10"/>
        <v>0.23</v>
      </c>
      <c r="DC88">
        <f t="shared" si="11"/>
        <v>0</v>
      </c>
    </row>
    <row r="89" spans="1:107" x14ac:dyDescent="0.2">
      <c r="A89">
        <f>ROW(Source!A89)</f>
        <v>89</v>
      </c>
      <c r="B89">
        <v>46561299</v>
      </c>
      <c r="C89">
        <v>46607100</v>
      </c>
      <c r="D89">
        <v>0</v>
      </c>
      <c r="E89">
        <v>27</v>
      </c>
      <c r="F89">
        <v>1</v>
      </c>
      <c r="G89">
        <v>27</v>
      </c>
      <c r="H89">
        <v>3</v>
      </c>
      <c r="I89" t="s">
        <v>76</v>
      </c>
      <c r="J89" t="s">
        <v>3</v>
      </c>
      <c r="K89" t="s">
        <v>77</v>
      </c>
      <c r="L89">
        <v>1371</v>
      </c>
      <c r="N89">
        <v>1013</v>
      </c>
      <c r="O89" t="s">
        <v>78</v>
      </c>
      <c r="P89" t="s">
        <v>78</v>
      </c>
      <c r="Q89">
        <v>1</v>
      </c>
      <c r="W89">
        <v>0</v>
      </c>
      <c r="X89">
        <v>-1591933177</v>
      </c>
      <c r="Y89">
        <v>0.20725399999999999</v>
      </c>
      <c r="AA89">
        <v>37.5</v>
      </c>
      <c r="AB89">
        <v>0</v>
      </c>
      <c r="AC89">
        <v>0</v>
      </c>
      <c r="AD89">
        <v>0</v>
      </c>
      <c r="AE89">
        <v>37.5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3</v>
      </c>
      <c r="AT89">
        <v>0.20725399999999999</v>
      </c>
      <c r="AU89" t="s">
        <v>3</v>
      </c>
      <c r="AV89">
        <v>0</v>
      </c>
      <c r="AW89">
        <v>1</v>
      </c>
      <c r="AX89">
        <v>-1</v>
      </c>
      <c r="AY89">
        <v>0</v>
      </c>
      <c r="AZ89">
        <v>0</v>
      </c>
      <c r="BA89" t="s">
        <v>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Y89*Source!I89</f>
        <v>24.000013199999998</v>
      </c>
      <c r="CY89">
        <f t="shared" si="15"/>
        <v>37.5</v>
      </c>
      <c r="CZ89">
        <f t="shared" si="16"/>
        <v>37.5</v>
      </c>
      <c r="DA89">
        <f t="shared" si="17"/>
        <v>1</v>
      </c>
      <c r="DB89">
        <f t="shared" si="10"/>
        <v>7.77</v>
      </c>
      <c r="DC89">
        <f t="shared" si="11"/>
        <v>0</v>
      </c>
    </row>
    <row r="90" spans="1:107" x14ac:dyDescent="0.2">
      <c r="A90">
        <f>ROW(Source!A89)</f>
        <v>89</v>
      </c>
      <c r="B90">
        <v>46561299</v>
      </c>
      <c r="C90">
        <v>46607100</v>
      </c>
      <c r="D90">
        <v>0</v>
      </c>
      <c r="E90">
        <v>27</v>
      </c>
      <c r="F90">
        <v>1</v>
      </c>
      <c r="G90">
        <v>27</v>
      </c>
      <c r="H90">
        <v>3</v>
      </c>
      <c r="I90" t="s">
        <v>76</v>
      </c>
      <c r="J90" t="s">
        <v>3</v>
      </c>
      <c r="K90" t="s">
        <v>81</v>
      </c>
      <c r="L90">
        <v>1371</v>
      </c>
      <c r="N90">
        <v>1013</v>
      </c>
      <c r="O90" t="s">
        <v>78</v>
      </c>
      <c r="P90" t="s">
        <v>78</v>
      </c>
      <c r="Q90">
        <v>1</v>
      </c>
      <c r="W90">
        <v>0</v>
      </c>
      <c r="X90">
        <v>-1949902326</v>
      </c>
      <c r="Y90">
        <v>0.79447299999999998</v>
      </c>
      <c r="AA90">
        <v>16.53</v>
      </c>
      <c r="AB90">
        <v>0</v>
      </c>
      <c r="AC90">
        <v>0</v>
      </c>
      <c r="AD90">
        <v>0</v>
      </c>
      <c r="AE90">
        <v>16.53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3</v>
      </c>
      <c r="AT90">
        <v>0.79447299999999998</v>
      </c>
      <c r="AU90" t="s">
        <v>3</v>
      </c>
      <c r="AV90">
        <v>0</v>
      </c>
      <c r="AW90">
        <v>1</v>
      </c>
      <c r="AX90">
        <v>-1</v>
      </c>
      <c r="AY90">
        <v>0</v>
      </c>
      <c r="AZ90">
        <v>0</v>
      </c>
      <c r="BA90" t="s">
        <v>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Y90*Source!I89</f>
        <v>91.999973400000002</v>
      </c>
      <c r="CY90">
        <f t="shared" si="15"/>
        <v>16.53</v>
      </c>
      <c r="CZ90">
        <f t="shared" si="16"/>
        <v>16.53</v>
      </c>
      <c r="DA90">
        <f t="shared" si="17"/>
        <v>1</v>
      </c>
      <c r="DB90">
        <f t="shared" si="10"/>
        <v>13.13</v>
      </c>
      <c r="DC90">
        <f t="shared" si="11"/>
        <v>0</v>
      </c>
    </row>
    <row r="91" spans="1:107" x14ac:dyDescent="0.2">
      <c r="A91">
        <f>ROW(Source!A96)</f>
        <v>96</v>
      </c>
      <c r="B91">
        <v>46561299</v>
      </c>
      <c r="C91">
        <v>46607128</v>
      </c>
      <c r="D91">
        <v>45130551</v>
      </c>
      <c r="E91">
        <v>27</v>
      </c>
      <c r="F91">
        <v>1</v>
      </c>
      <c r="G91">
        <v>27</v>
      </c>
      <c r="H91">
        <v>1</v>
      </c>
      <c r="I91" t="s">
        <v>280</v>
      </c>
      <c r="J91" t="s">
        <v>3</v>
      </c>
      <c r="K91" t="s">
        <v>281</v>
      </c>
      <c r="L91">
        <v>1191</v>
      </c>
      <c r="N91">
        <v>1013</v>
      </c>
      <c r="O91" t="s">
        <v>282</v>
      </c>
      <c r="P91" t="s">
        <v>282</v>
      </c>
      <c r="Q91">
        <v>1</v>
      </c>
      <c r="W91">
        <v>0</v>
      </c>
      <c r="X91">
        <v>476480486</v>
      </c>
      <c r="Y91">
        <v>6.11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6.11</v>
      </c>
      <c r="AU91" t="s">
        <v>3</v>
      </c>
      <c r="AV91">
        <v>1</v>
      </c>
      <c r="AW91">
        <v>2</v>
      </c>
      <c r="AX91">
        <v>46607135</v>
      </c>
      <c r="AY91">
        <v>1</v>
      </c>
      <c r="AZ91">
        <v>0</v>
      </c>
      <c r="BA91">
        <v>79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Y91*Source!I96</f>
        <v>7.07538</v>
      </c>
      <c r="CY91">
        <f>AD91</f>
        <v>0</v>
      </c>
      <c r="CZ91">
        <f>AH91</f>
        <v>0</v>
      </c>
      <c r="DA91">
        <f>AL91</f>
        <v>1</v>
      </c>
      <c r="DB91">
        <f t="shared" si="10"/>
        <v>0</v>
      </c>
      <c r="DC91">
        <f t="shared" si="11"/>
        <v>0</v>
      </c>
    </row>
    <row r="92" spans="1:107" x14ac:dyDescent="0.2">
      <c r="A92">
        <f>ROW(Source!A96)</f>
        <v>96</v>
      </c>
      <c r="B92">
        <v>46561299</v>
      </c>
      <c r="C92">
        <v>46607128</v>
      </c>
      <c r="D92">
        <v>45143099</v>
      </c>
      <c r="E92">
        <v>1</v>
      </c>
      <c r="F92">
        <v>1</v>
      </c>
      <c r="G92">
        <v>27</v>
      </c>
      <c r="H92">
        <v>2</v>
      </c>
      <c r="I92" t="s">
        <v>351</v>
      </c>
      <c r="J92" t="s">
        <v>352</v>
      </c>
      <c r="K92" t="s">
        <v>353</v>
      </c>
      <c r="L92">
        <v>1368</v>
      </c>
      <c r="N92">
        <v>1011</v>
      </c>
      <c r="O92" t="s">
        <v>286</v>
      </c>
      <c r="P92" t="s">
        <v>286</v>
      </c>
      <c r="Q92">
        <v>1</v>
      </c>
      <c r="W92">
        <v>0</v>
      </c>
      <c r="X92">
        <v>-2137968664</v>
      </c>
      <c r="Y92">
        <v>1.4</v>
      </c>
      <c r="AA92">
        <v>0</v>
      </c>
      <c r="AB92">
        <v>98.05</v>
      </c>
      <c r="AC92">
        <v>33.06</v>
      </c>
      <c r="AD92">
        <v>0</v>
      </c>
      <c r="AE92">
        <v>0</v>
      </c>
      <c r="AF92">
        <v>98.05</v>
      </c>
      <c r="AG92">
        <v>33.06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1.4</v>
      </c>
      <c r="AU92" t="s">
        <v>3</v>
      </c>
      <c r="AV92">
        <v>0</v>
      </c>
      <c r="AW92">
        <v>2</v>
      </c>
      <c r="AX92">
        <v>46607136</v>
      </c>
      <c r="AY92">
        <v>1</v>
      </c>
      <c r="AZ92">
        <v>0</v>
      </c>
      <c r="BA92">
        <v>80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Y92*Source!I96</f>
        <v>1.6211999999999998</v>
      </c>
      <c r="CY92">
        <f>AB92</f>
        <v>98.05</v>
      </c>
      <c r="CZ92">
        <f>AF92</f>
        <v>98.05</v>
      </c>
      <c r="DA92">
        <f>AJ92</f>
        <v>1</v>
      </c>
      <c r="DB92">
        <f t="shared" si="10"/>
        <v>137.27000000000001</v>
      </c>
      <c r="DC92">
        <f t="shared" si="11"/>
        <v>46.28</v>
      </c>
    </row>
    <row r="93" spans="1:107" x14ac:dyDescent="0.2">
      <c r="A93">
        <f>ROW(Source!A96)</f>
        <v>96</v>
      </c>
      <c r="B93">
        <v>46561299</v>
      </c>
      <c r="C93">
        <v>46607128</v>
      </c>
      <c r="D93">
        <v>45142852</v>
      </c>
      <c r="E93">
        <v>1</v>
      </c>
      <c r="F93">
        <v>1</v>
      </c>
      <c r="G93">
        <v>27</v>
      </c>
      <c r="H93">
        <v>2</v>
      </c>
      <c r="I93" t="s">
        <v>308</v>
      </c>
      <c r="J93" t="s">
        <v>309</v>
      </c>
      <c r="K93" t="s">
        <v>310</v>
      </c>
      <c r="L93">
        <v>1368</v>
      </c>
      <c r="N93">
        <v>1011</v>
      </c>
      <c r="O93" t="s">
        <v>286</v>
      </c>
      <c r="P93" t="s">
        <v>286</v>
      </c>
      <c r="Q93">
        <v>1</v>
      </c>
      <c r="W93">
        <v>0</v>
      </c>
      <c r="X93">
        <v>-1323805330</v>
      </c>
      <c r="Y93">
        <v>0.01</v>
      </c>
      <c r="AA93">
        <v>0</v>
      </c>
      <c r="AB93">
        <v>683.9</v>
      </c>
      <c r="AC93">
        <v>371.27</v>
      </c>
      <c r="AD93">
        <v>0</v>
      </c>
      <c r="AE93">
        <v>0</v>
      </c>
      <c r="AF93">
        <v>683.9</v>
      </c>
      <c r="AG93">
        <v>371.27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0.01</v>
      </c>
      <c r="AU93" t="s">
        <v>3</v>
      </c>
      <c r="AV93">
        <v>0</v>
      </c>
      <c r="AW93">
        <v>2</v>
      </c>
      <c r="AX93">
        <v>46607137</v>
      </c>
      <c r="AY93">
        <v>1</v>
      </c>
      <c r="AZ93">
        <v>0</v>
      </c>
      <c r="BA93">
        <v>81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Y93*Source!I96</f>
        <v>1.158E-2</v>
      </c>
      <c r="CY93">
        <f>AB93</f>
        <v>683.9</v>
      </c>
      <c r="CZ93">
        <f>AF93</f>
        <v>683.9</v>
      </c>
      <c r="DA93">
        <f>AJ93</f>
        <v>1</v>
      </c>
      <c r="DB93">
        <f t="shared" si="10"/>
        <v>6.84</v>
      </c>
      <c r="DC93">
        <f t="shared" si="11"/>
        <v>3.71</v>
      </c>
    </row>
    <row r="94" spans="1:107" x14ac:dyDescent="0.2">
      <c r="A94">
        <f>ROW(Source!A96)</f>
        <v>96</v>
      </c>
      <c r="B94">
        <v>46561299</v>
      </c>
      <c r="C94">
        <v>46607128</v>
      </c>
      <c r="D94">
        <v>45142866</v>
      </c>
      <c r="E94">
        <v>1</v>
      </c>
      <c r="F94">
        <v>1</v>
      </c>
      <c r="G94">
        <v>27</v>
      </c>
      <c r="H94">
        <v>2</v>
      </c>
      <c r="I94" t="s">
        <v>354</v>
      </c>
      <c r="J94" t="s">
        <v>355</v>
      </c>
      <c r="K94" t="s">
        <v>356</v>
      </c>
      <c r="L94">
        <v>1368</v>
      </c>
      <c r="N94">
        <v>1011</v>
      </c>
      <c r="O94" t="s">
        <v>286</v>
      </c>
      <c r="P94" t="s">
        <v>286</v>
      </c>
      <c r="Q94">
        <v>1</v>
      </c>
      <c r="W94">
        <v>0</v>
      </c>
      <c r="X94">
        <v>-54802859</v>
      </c>
      <c r="Y94">
        <v>0.01</v>
      </c>
      <c r="AA94">
        <v>0</v>
      </c>
      <c r="AB94">
        <v>16.920000000000002</v>
      </c>
      <c r="AC94">
        <v>0.09</v>
      </c>
      <c r="AD94">
        <v>0</v>
      </c>
      <c r="AE94">
        <v>0</v>
      </c>
      <c r="AF94">
        <v>16.920000000000002</v>
      </c>
      <c r="AG94">
        <v>0.09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0.01</v>
      </c>
      <c r="AU94" t="s">
        <v>3</v>
      </c>
      <c r="AV94">
        <v>0</v>
      </c>
      <c r="AW94">
        <v>2</v>
      </c>
      <c r="AX94">
        <v>46607138</v>
      </c>
      <c r="AY94">
        <v>1</v>
      </c>
      <c r="AZ94">
        <v>0</v>
      </c>
      <c r="BA94">
        <v>82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Y94*Source!I96</f>
        <v>1.158E-2</v>
      </c>
      <c r="CY94">
        <f>AB94</f>
        <v>16.920000000000002</v>
      </c>
      <c r="CZ94">
        <f>AF94</f>
        <v>16.920000000000002</v>
      </c>
      <c r="DA94">
        <f>AJ94</f>
        <v>1</v>
      </c>
      <c r="DB94">
        <f t="shared" si="10"/>
        <v>0.17</v>
      </c>
      <c r="DC94">
        <f t="shared" si="11"/>
        <v>0</v>
      </c>
    </row>
    <row r="95" spans="1:107" x14ac:dyDescent="0.2">
      <c r="A95">
        <f>ROW(Source!A96)</f>
        <v>96</v>
      </c>
      <c r="B95">
        <v>46561299</v>
      </c>
      <c r="C95">
        <v>46607128</v>
      </c>
      <c r="D95">
        <v>45131998</v>
      </c>
      <c r="E95">
        <v>27</v>
      </c>
      <c r="F95">
        <v>1</v>
      </c>
      <c r="G95">
        <v>27</v>
      </c>
      <c r="H95">
        <v>3</v>
      </c>
      <c r="I95" t="s">
        <v>357</v>
      </c>
      <c r="J95" t="s">
        <v>3</v>
      </c>
      <c r="K95" t="s">
        <v>358</v>
      </c>
      <c r="L95">
        <v>1346</v>
      </c>
      <c r="N95">
        <v>1009</v>
      </c>
      <c r="O95" t="s">
        <v>359</v>
      </c>
      <c r="P95" t="s">
        <v>359</v>
      </c>
      <c r="Q95">
        <v>1</v>
      </c>
      <c r="W95">
        <v>0</v>
      </c>
      <c r="X95">
        <v>-126270252</v>
      </c>
      <c r="Y95">
        <v>1.5</v>
      </c>
      <c r="AA95">
        <v>99.3</v>
      </c>
      <c r="AB95">
        <v>0</v>
      </c>
      <c r="AC95">
        <v>0</v>
      </c>
      <c r="AD95">
        <v>0</v>
      </c>
      <c r="AE95">
        <v>99.303030000000007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1.5</v>
      </c>
      <c r="AU95" t="s">
        <v>3</v>
      </c>
      <c r="AV95">
        <v>0</v>
      </c>
      <c r="AW95">
        <v>2</v>
      </c>
      <c r="AX95">
        <v>46607139</v>
      </c>
      <c r="AY95">
        <v>1</v>
      </c>
      <c r="AZ95">
        <v>0</v>
      </c>
      <c r="BA95">
        <v>83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Y95*Source!I96</f>
        <v>1.7369999999999999</v>
      </c>
      <c r="CY95">
        <f>AA95</f>
        <v>99.3</v>
      </c>
      <c r="CZ95">
        <f>AE95</f>
        <v>99.303030000000007</v>
      </c>
      <c r="DA95">
        <f>AI95</f>
        <v>1</v>
      </c>
      <c r="DB95">
        <f t="shared" si="10"/>
        <v>148.94999999999999</v>
      </c>
      <c r="DC95">
        <f t="shared" si="11"/>
        <v>0</v>
      </c>
    </row>
    <row r="96" spans="1:107" x14ac:dyDescent="0.2">
      <c r="A96">
        <f>ROW(Source!A96)</f>
        <v>96</v>
      </c>
      <c r="B96">
        <v>46561299</v>
      </c>
      <c r="C96">
        <v>46607128</v>
      </c>
      <c r="D96">
        <v>45144050</v>
      </c>
      <c r="E96">
        <v>1</v>
      </c>
      <c r="F96">
        <v>1</v>
      </c>
      <c r="G96">
        <v>27</v>
      </c>
      <c r="H96">
        <v>3</v>
      </c>
      <c r="I96" t="s">
        <v>360</v>
      </c>
      <c r="J96" t="s">
        <v>361</v>
      </c>
      <c r="K96" t="s">
        <v>362</v>
      </c>
      <c r="L96">
        <v>1348</v>
      </c>
      <c r="N96">
        <v>1009</v>
      </c>
      <c r="O96" t="s">
        <v>65</v>
      </c>
      <c r="P96" t="s">
        <v>65</v>
      </c>
      <c r="Q96">
        <v>1000</v>
      </c>
      <c r="W96">
        <v>0</v>
      </c>
      <c r="X96">
        <v>-383061258</v>
      </c>
      <c r="Y96">
        <v>8.9999999999999993E-3</v>
      </c>
      <c r="AA96">
        <v>97017.58</v>
      </c>
      <c r="AB96">
        <v>0</v>
      </c>
      <c r="AC96">
        <v>0</v>
      </c>
      <c r="AD96">
        <v>0</v>
      </c>
      <c r="AE96">
        <v>97017.58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8.9999999999999993E-3</v>
      </c>
      <c r="AU96" t="s">
        <v>3</v>
      </c>
      <c r="AV96">
        <v>0</v>
      </c>
      <c r="AW96">
        <v>2</v>
      </c>
      <c r="AX96">
        <v>46607140</v>
      </c>
      <c r="AY96">
        <v>1</v>
      </c>
      <c r="AZ96">
        <v>0</v>
      </c>
      <c r="BA96">
        <v>84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Y96*Source!I96</f>
        <v>1.0421999999999999E-2</v>
      </c>
      <c r="CY96">
        <f>AA96</f>
        <v>97017.58</v>
      </c>
      <c r="CZ96">
        <f>AE96</f>
        <v>97017.58</v>
      </c>
      <c r="DA96">
        <f>AI96</f>
        <v>1</v>
      </c>
      <c r="DB96">
        <f t="shared" si="10"/>
        <v>873.16</v>
      </c>
      <c r="DC96">
        <f t="shared" si="11"/>
        <v>0</v>
      </c>
    </row>
    <row r="97" spans="1:107" x14ac:dyDescent="0.2">
      <c r="A97">
        <f>ROW(Source!A97)</f>
        <v>97</v>
      </c>
      <c r="B97">
        <v>46561299</v>
      </c>
      <c r="C97">
        <v>46607141</v>
      </c>
      <c r="D97">
        <v>45130551</v>
      </c>
      <c r="E97">
        <v>27</v>
      </c>
      <c r="F97">
        <v>1</v>
      </c>
      <c r="G97">
        <v>27</v>
      </c>
      <c r="H97">
        <v>1</v>
      </c>
      <c r="I97" t="s">
        <v>280</v>
      </c>
      <c r="J97" t="s">
        <v>3</v>
      </c>
      <c r="K97" t="s">
        <v>281</v>
      </c>
      <c r="L97">
        <v>1191</v>
      </c>
      <c r="N97">
        <v>1013</v>
      </c>
      <c r="O97" t="s">
        <v>282</v>
      </c>
      <c r="P97" t="s">
        <v>282</v>
      </c>
      <c r="Q97">
        <v>1</v>
      </c>
      <c r="W97">
        <v>0</v>
      </c>
      <c r="X97">
        <v>476480486</v>
      </c>
      <c r="Y97">
        <v>2.4500000000000002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2.4500000000000002</v>
      </c>
      <c r="AU97" t="s">
        <v>3</v>
      </c>
      <c r="AV97">
        <v>1</v>
      </c>
      <c r="AW97">
        <v>2</v>
      </c>
      <c r="AX97">
        <v>46607146</v>
      </c>
      <c r="AY97">
        <v>1</v>
      </c>
      <c r="AZ97">
        <v>0</v>
      </c>
      <c r="BA97">
        <v>85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Y97*Source!I97</f>
        <v>2.8371</v>
      </c>
      <c r="CY97">
        <f>AD97</f>
        <v>0</v>
      </c>
      <c r="CZ97">
        <f>AH97</f>
        <v>0</v>
      </c>
      <c r="DA97">
        <f>AL97</f>
        <v>1</v>
      </c>
      <c r="DB97">
        <f t="shared" si="10"/>
        <v>0</v>
      </c>
      <c r="DC97">
        <f t="shared" si="11"/>
        <v>0</v>
      </c>
    </row>
    <row r="98" spans="1:107" x14ac:dyDescent="0.2">
      <c r="A98">
        <f>ROW(Source!A97)</f>
        <v>97</v>
      </c>
      <c r="B98">
        <v>46561299</v>
      </c>
      <c r="C98">
        <v>46607141</v>
      </c>
      <c r="D98">
        <v>45142852</v>
      </c>
      <c r="E98">
        <v>1</v>
      </c>
      <c r="F98">
        <v>1</v>
      </c>
      <c r="G98">
        <v>27</v>
      </c>
      <c r="H98">
        <v>2</v>
      </c>
      <c r="I98" t="s">
        <v>308</v>
      </c>
      <c r="J98" t="s">
        <v>309</v>
      </c>
      <c r="K98" t="s">
        <v>310</v>
      </c>
      <c r="L98">
        <v>1368</v>
      </c>
      <c r="N98">
        <v>1011</v>
      </c>
      <c r="O98" t="s">
        <v>286</v>
      </c>
      <c r="P98" t="s">
        <v>286</v>
      </c>
      <c r="Q98">
        <v>1</v>
      </c>
      <c r="W98">
        <v>0</v>
      </c>
      <c r="X98">
        <v>-1323805330</v>
      </c>
      <c r="Y98">
        <v>0.01</v>
      </c>
      <c r="AA98">
        <v>0</v>
      </c>
      <c r="AB98">
        <v>683.9</v>
      </c>
      <c r="AC98">
        <v>371.27</v>
      </c>
      <c r="AD98">
        <v>0</v>
      </c>
      <c r="AE98">
        <v>0</v>
      </c>
      <c r="AF98">
        <v>683.9</v>
      </c>
      <c r="AG98">
        <v>371.27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0.01</v>
      </c>
      <c r="AU98" t="s">
        <v>3</v>
      </c>
      <c r="AV98">
        <v>0</v>
      </c>
      <c r="AW98">
        <v>2</v>
      </c>
      <c r="AX98">
        <v>46607147</v>
      </c>
      <c r="AY98">
        <v>1</v>
      </c>
      <c r="AZ98">
        <v>0</v>
      </c>
      <c r="BA98">
        <v>86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Y98*Source!I97</f>
        <v>1.158E-2</v>
      </c>
      <c r="CY98">
        <f>AB98</f>
        <v>683.9</v>
      </c>
      <c r="CZ98">
        <f>AF98</f>
        <v>683.9</v>
      </c>
      <c r="DA98">
        <f>AJ98</f>
        <v>1</v>
      </c>
      <c r="DB98">
        <f t="shared" si="10"/>
        <v>6.84</v>
      </c>
      <c r="DC98">
        <f t="shared" si="11"/>
        <v>3.71</v>
      </c>
    </row>
    <row r="99" spans="1:107" x14ac:dyDescent="0.2">
      <c r="A99">
        <f>ROW(Source!A97)</f>
        <v>97</v>
      </c>
      <c r="B99">
        <v>46561299</v>
      </c>
      <c r="C99">
        <v>46607141</v>
      </c>
      <c r="D99">
        <v>45144148</v>
      </c>
      <c r="E99">
        <v>1</v>
      </c>
      <c r="F99">
        <v>1</v>
      </c>
      <c r="G99">
        <v>27</v>
      </c>
      <c r="H99">
        <v>3</v>
      </c>
      <c r="I99" t="s">
        <v>363</v>
      </c>
      <c r="J99" t="s">
        <v>364</v>
      </c>
      <c r="K99" t="s">
        <v>365</v>
      </c>
      <c r="L99">
        <v>1348</v>
      </c>
      <c r="N99">
        <v>1009</v>
      </c>
      <c r="O99" t="s">
        <v>65</v>
      </c>
      <c r="P99" t="s">
        <v>65</v>
      </c>
      <c r="Q99">
        <v>1000</v>
      </c>
      <c r="W99">
        <v>0</v>
      </c>
      <c r="X99">
        <v>1958569313</v>
      </c>
      <c r="Y99">
        <v>1.48E-3</v>
      </c>
      <c r="AA99">
        <v>63195.54</v>
      </c>
      <c r="AB99">
        <v>0</v>
      </c>
      <c r="AC99">
        <v>0</v>
      </c>
      <c r="AD99">
        <v>0</v>
      </c>
      <c r="AE99">
        <v>63195.54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1.48E-3</v>
      </c>
      <c r="AU99" t="s">
        <v>3</v>
      </c>
      <c r="AV99">
        <v>0</v>
      </c>
      <c r="AW99">
        <v>2</v>
      </c>
      <c r="AX99">
        <v>46607148</v>
      </c>
      <c r="AY99">
        <v>1</v>
      </c>
      <c r="AZ99">
        <v>0</v>
      </c>
      <c r="BA99">
        <v>87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Y99*Source!I97</f>
        <v>1.7138399999999999E-3</v>
      </c>
      <c r="CY99">
        <f>AA99</f>
        <v>63195.54</v>
      </c>
      <c r="CZ99">
        <f>AE99</f>
        <v>63195.54</v>
      </c>
      <c r="DA99">
        <f>AI99</f>
        <v>1</v>
      </c>
      <c r="DB99">
        <f t="shared" si="10"/>
        <v>93.53</v>
      </c>
      <c r="DC99">
        <f t="shared" si="11"/>
        <v>0</v>
      </c>
    </row>
    <row r="100" spans="1:107" x14ac:dyDescent="0.2">
      <c r="A100">
        <f>ROW(Source!A97)</f>
        <v>97</v>
      </c>
      <c r="B100">
        <v>46561299</v>
      </c>
      <c r="C100">
        <v>46607141</v>
      </c>
      <c r="D100">
        <v>45144173</v>
      </c>
      <c r="E100">
        <v>1</v>
      </c>
      <c r="F100">
        <v>1</v>
      </c>
      <c r="G100">
        <v>27</v>
      </c>
      <c r="H100">
        <v>3</v>
      </c>
      <c r="I100" t="s">
        <v>366</v>
      </c>
      <c r="J100" t="s">
        <v>367</v>
      </c>
      <c r="K100" t="s">
        <v>368</v>
      </c>
      <c r="L100">
        <v>1346</v>
      </c>
      <c r="N100">
        <v>1009</v>
      </c>
      <c r="O100" t="s">
        <v>359</v>
      </c>
      <c r="P100" t="s">
        <v>359</v>
      </c>
      <c r="Q100">
        <v>1</v>
      </c>
      <c r="W100">
        <v>0</v>
      </c>
      <c r="X100">
        <v>-1364504988</v>
      </c>
      <c r="Y100">
        <v>9</v>
      </c>
      <c r="AA100">
        <v>105.32</v>
      </c>
      <c r="AB100">
        <v>0</v>
      </c>
      <c r="AC100">
        <v>0</v>
      </c>
      <c r="AD100">
        <v>0</v>
      </c>
      <c r="AE100">
        <v>105.32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9</v>
      </c>
      <c r="AU100" t="s">
        <v>3</v>
      </c>
      <c r="AV100">
        <v>0</v>
      </c>
      <c r="AW100">
        <v>2</v>
      </c>
      <c r="AX100">
        <v>46607149</v>
      </c>
      <c r="AY100">
        <v>1</v>
      </c>
      <c r="AZ100">
        <v>0</v>
      </c>
      <c r="BA100">
        <v>88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Y100*Source!I97</f>
        <v>10.421999999999999</v>
      </c>
      <c r="CY100">
        <f>AA100</f>
        <v>105.32</v>
      </c>
      <c r="CZ100">
        <f>AE100</f>
        <v>105.32</v>
      </c>
      <c r="DA100">
        <f>AI100</f>
        <v>1</v>
      </c>
      <c r="DB100">
        <f t="shared" si="10"/>
        <v>947.88</v>
      </c>
      <c r="DC100">
        <f t="shared" si="11"/>
        <v>0</v>
      </c>
    </row>
    <row r="101" spans="1:107" x14ac:dyDescent="0.2">
      <c r="A101">
        <f>ROW(Source!A132)</f>
        <v>132</v>
      </c>
      <c r="B101">
        <v>46561299</v>
      </c>
      <c r="C101">
        <v>46607216</v>
      </c>
      <c r="D101">
        <v>45130551</v>
      </c>
      <c r="E101">
        <v>27</v>
      </c>
      <c r="F101">
        <v>1</v>
      </c>
      <c r="G101">
        <v>27</v>
      </c>
      <c r="H101">
        <v>1</v>
      </c>
      <c r="I101" t="s">
        <v>280</v>
      </c>
      <c r="J101" t="s">
        <v>3</v>
      </c>
      <c r="K101" t="s">
        <v>281</v>
      </c>
      <c r="L101">
        <v>1191</v>
      </c>
      <c r="N101">
        <v>1013</v>
      </c>
      <c r="O101" t="s">
        <v>282</v>
      </c>
      <c r="P101" t="s">
        <v>282</v>
      </c>
      <c r="Q101">
        <v>1</v>
      </c>
      <c r="W101">
        <v>0</v>
      </c>
      <c r="X101">
        <v>476480486</v>
      </c>
      <c r="Y101">
        <v>0.59400000000000008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 t="s">
        <v>3</v>
      </c>
      <c r="AT101">
        <v>2.97</v>
      </c>
      <c r="AU101" t="s">
        <v>174</v>
      </c>
      <c r="AV101">
        <v>1</v>
      </c>
      <c r="AW101">
        <v>2</v>
      </c>
      <c r="AX101">
        <v>46607225</v>
      </c>
      <c r="AY101">
        <v>1</v>
      </c>
      <c r="AZ101">
        <v>0</v>
      </c>
      <c r="BA101">
        <v>89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Y101*Source!I132</f>
        <v>43.421400000000006</v>
      </c>
      <c r="CY101">
        <f>AD101</f>
        <v>0</v>
      </c>
      <c r="CZ101">
        <f>AH101</f>
        <v>0</v>
      </c>
      <c r="DA101">
        <f>AL101</f>
        <v>1</v>
      </c>
      <c r="DB101">
        <f>ROUND((ROUND(AT101*CZ101,2)*0.2),6)</f>
        <v>0</v>
      </c>
      <c r="DC101">
        <f>ROUND((ROUND(AT101*AG101,2)*0.2),6)</f>
        <v>0</v>
      </c>
    </row>
    <row r="102" spans="1:107" x14ac:dyDescent="0.2">
      <c r="A102">
        <f>ROW(Source!A132)</f>
        <v>132</v>
      </c>
      <c r="B102">
        <v>46561299</v>
      </c>
      <c r="C102">
        <v>46607216</v>
      </c>
      <c r="D102">
        <v>45143190</v>
      </c>
      <c r="E102">
        <v>1</v>
      </c>
      <c r="F102">
        <v>1</v>
      </c>
      <c r="G102">
        <v>27</v>
      </c>
      <c r="H102">
        <v>2</v>
      </c>
      <c r="I102" t="s">
        <v>335</v>
      </c>
      <c r="J102" t="s">
        <v>336</v>
      </c>
      <c r="K102" t="s">
        <v>337</v>
      </c>
      <c r="L102">
        <v>1368</v>
      </c>
      <c r="N102">
        <v>1011</v>
      </c>
      <c r="O102" t="s">
        <v>286</v>
      </c>
      <c r="P102" t="s">
        <v>286</v>
      </c>
      <c r="Q102">
        <v>1</v>
      </c>
      <c r="W102">
        <v>0</v>
      </c>
      <c r="X102">
        <v>-711828296</v>
      </c>
      <c r="Y102">
        <v>7.6800000000000007E-2</v>
      </c>
      <c r="AA102">
        <v>0</v>
      </c>
      <c r="AB102">
        <v>351.29</v>
      </c>
      <c r="AC102">
        <v>7.02</v>
      </c>
      <c r="AD102">
        <v>0</v>
      </c>
      <c r="AE102">
        <v>0</v>
      </c>
      <c r="AF102">
        <v>351.29</v>
      </c>
      <c r="AG102">
        <v>7.02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 t="s">
        <v>3</v>
      </c>
      <c r="AT102">
        <v>0.38400000000000001</v>
      </c>
      <c r="AU102" t="s">
        <v>174</v>
      </c>
      <c r="AV102">
        <v>0</v>
      </c>
      <c r="AW102">
        <v>2</v>
      </c>
      <c r="AX102">
        <v>46607226</v>
      </c>
      <c r="AY102">
        <v>1</v>
      </c>
      <c r="AZ102">
        <v>0</v>
      </c>
      <c r="BA102">
        <v>90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Y102*Source!I132</f>
        <v>5.6140800000000004</v>
      </c>
      <c r="CY102">
        <f>AB102</f>
        <v>351.29</v>
      </c>
      <c r="CZ102">
        <f>AF102</f>
        <v>351.29</v>
      </c>
      <c r="DA102">
        <f>AJ102</f>
        <v>1</v>
      </c>
      <c r="DB102">
        <f>ROUND((ROUND(AT102*CZ102,2)*0.2),6)</f>
        <v>26.98</v>
      </c>
      <c r="DC102">
        <f>ROUND((ROUND(AT102*AG102,2)*0.2),6)</f>
        <v>0.54</v>
      </c>
    </row>
    <row r="103" spans="1:107" x14ac:dyDescent="0.2">
      <c r="A103">
        <f>ROW(Source!A132)</f>
        <v>132</v>
      </c>
      <c r="B103">
        <v>46561299</v>
      </c>
      <c r="C103">
        <v>46607216</v>
      </c>
      <c r="D103">
        <v>45143575</v>
      </c>
      <c r="E103">
        <v>1</v>
      </c>
      <c r="F103">
        <v>1</v>
      </c>
      <c r="G103">
        <v>27</v>
      </c>
      <c r="H103">
        <v>2</v>
      </c>
      <c r="I103" t="s">
        <v>338</v>
      </c>
      <c r="J103" t="s">
        <v>339</v>
      </c>
      <c r="K103" t="s">
        <v>340</v>
      </c>
      <c r="L103">
        <v>1368</v>
      </c>
      <c r="N103">
        <v>1011</v>
      </c>
      <c r="O103" t="s">
        <v>286</v>
      </c>
      <c r="P103" t="s">
        <v>286</v>
      </c>
      <c r="Q103">
        <v>1</v>
      </c>
      <c r="W103">
        <v>0</v>
      </c>
      <c r="X103">
        <v>-764600179</v>
      </c>
      <c r="Y103">
        <v>2.3000000000000003E-2</v>
      </c>
      <c r="AA103">
        <v>0</v>
      </c>
      <c r="AB103">
        <v>5.94</v>
      </c>
      <c r="AC103">
        <v>0.02</v>
      </c>
      <c r="AD103">
        <v>0</v>
      </c>
      <c r="AE103">
        <v>0</v>
      </c>
      <c r="AF103">
        <v>5.94</v>
      </c>
      <c r="AG103">
        <v>0.02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 t="s">
        <v>3</v>
      </c>
      <c r="AT103">
        <v>0.115</v>
      </c>
      <c r="AU103" t="s">
        <v>174</v>
      </c>
      <c r="AV103">
        <v>0</v>
      </c>
      <c r="AW103">
        <v>2</v>
      </c>
      <c r="AX103">
        <v>46607227</v>
      </c>
      <c r="AY103">
        <v>1</v>
      </c>
      <c r="AZ103">
        <v>0</v>
      </c>
      <c r="BA103">
        <v>91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Y103*Source!I132</f>
        <v>1.6813</v>
      </c>
      <c r="CY103">
        <f>AB103</f>
        <v>5.94</v>
      </c>
      <c r="CZ103">
        <f>AF103</f>
        <v>5.94</v>
      </c>
      <c r="DA103">
        <f>AJ103</f>
        <v>1</v>
      </c>
      <c r="DB103">
        <f>ROUND((ROUND(AT103*CZ103,2)*0.2),6)</f>
        <v>0.13600000000000001</v>
      </c>
      <c r="DC103">
        <f>ROUND((ROUND(AT103*AG103,2)*0.2),6)</f>
        <v>0</v>
      </c>
    </row>
    <row r="104" spans="1:107" x14ac:dyDescent="0.2">
      <c r="A104">
        <f>ROW(Source!A132)</f>
        <v>132</v>
      </c>
      <c r="B104">
        <v>46561299</v>
      </c>
      <c r="C104">
        <v>46607216</v>
      </c>
      <c r="D104">
        <v>45143598</v>
      </c>
      <c r="E104">
        <v>1</v>
      </c>
      <c r="F104">
        <v>1</v>
      </c>
      <c r="G104">
        <v>27</v>
      </c>
      <c r="H104">
        <v>2</v>
      </c>
      <c r="I104" t="s">
        <v>341</v>
      </c>
      <c r="J104" t="s">
        <v>342</v>
      </c>
      <c r="K104" t="s">
        <v>343</v>
      </c>
      <c r="L104">
        <v>1368</v>
      </c>
      <c r="N104">
        <v>1011</v>
      </c>
      <c r="O104" t="s">
        <v>286</v>
      </c>
      <c r="P104" t="s">
        <v>286</v>
      </c>
      <c r="Q104">
        <v>1</v>
      </c>
      <c r="W104">
        <v>0</v>
      </c>
      <c r="X104">
        <v>676633484</v>
      </c>
      <c r="Y104">
        <v>0.1008</v>
      </c>
      <c r="AA104">
        <v>0</v>
      </c>
      <c r="AB104">
        <v>652.16</v>
      </c>
      <c r="AC104">
        <v>581.9</v>
      </c>
      <c r="AD104">
        <v>0</v>
      </c>
      <c r="AE104">
        <v>0</v>
      </c>
      <c r="AF104">
        <v>652.16</v>
      </c>
      <c r="AG104">
        <v>581.9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S104" t="s">
        <v>3</v>
      </c>
      <c r="AT104">
        <v>0.504</v>
      </c>
      <c r="AU104" t="s">
        <v>174</v>
      </c>
      <c r="AV104">
        <v>0</v>
      </c>
      <c r="AW104">
        <v>2</v>
      </c>
      <c r="AX104">
        <v>46607228</v>
      </c>
      <c r="AY104">
        <v>1</v>
      </c>
      <c r="AZ104">
        <v>0</v>
      </c>
      <c r="BA104">
        <v>92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Y104*Source!I132</f>
        <v>7.3684799999999999</v>
      </c>
      <c r="CY104">
        <f>AB104</f>
        <v>652.16</v>
      </c>
      <c r="CZ104">
        <f>AF104</f>
        <v>652.16</v>
      </c>
      <c r="DA104">
        <f>AJ104</f>
        <v>1</v>
      </c>
      <c r="DB104">
        <f>ROUND((ROUND(AT104*CZ104,2)*0.2),6)</f>
        <v>65.738</v>
      </c>
      <c r="DC104">
        <f>ROUND((ROUND(AT104*AG104,2)*0.2),6)</f>
        <v>58.655999999999999</v>
      </c>
    </row>
    <row r="105" spans="1:107" x14ac:dyDescent="0.2">
      <c r="A105">
        <f>ROW(Source!A132)</f>
        <v>132</v>
      </c>
      <c r="B105">
        <v>46561299</v>
      </c>
      <c r="C105">
        <v>46607216</v>
      </c>
      <c r="D105">
        <v>45144555</v>
      </c>
      <c r="E105">
        <v>1</v>
      </c>
      <c r="F105">
        <v>1</v>
      </c>
      <c r="G105">
        <v>27</v>
      </c>
      <c r="H105">
        <v>3</v>
      </c>
      <c r="I105" t="s">
        <v>344</v>
      </c>
      <c r="J105" t="s">
        <v>345</v>
      </c>
      <c r="K105" t="s">
        <v>346</v>
      </c>
      <c r="L105">
        <v>1348</v>
      </c>
      <c r="N105">
        <v>1009</v>
      </c>
      <c r="O105" t="s">
        <v>65</v>
      </c>
      <c r="P105" t="s">
        <v>65</v>
      </c>
      <c r="Q105">
        <v>1000</v>
      </c>
      <c r="W105">
        <v>0</v>
      </c>
      <c r="X105">
        <v>-1210277159</v>
      </c>
      <c r="Y105">
        <v>0</v>
      </c>
      <c r="AA105">
        <v>38268.54</v>
      </c>
      <c r="AB105">
        <v>0</v>
      </c>
      <c r="AC105">
        <v>0</v>
      </c>
      <c r="AD105">
        <v>0</v>
      </c>
      <c r="AE105">
        <v>38268.54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S105" t="s">
        <v>3</v>
      </c>
      <c r="AT105">
        <v>1.01E-3</v>
      </c>
      <c r="AU105" t="s">
        <v>173</v>
      </c>
      <c r="AV105">
        <v>0</v>
      </c>
      <c r="AW105">
        <v>2</v>
      </c>
      <c r="AX105">
        <v>46607229</v>
      </c>
      <c r="AY105">
        <v>1</v>
      </c>
      <c r="AZ105">
        <v>0</v>
      </c>
      <c r="BA105">
        <v>93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Y105*Source!I132</f>
        <v>0</v>
      </c>
      <c r="CY105">
        <f>AA105</f>
        <v>38268.54</v>
      </c>
      <c r="CZ105">
        <f>AE105</f>
        <v>38268.54</v>
      </c>
      <c r="DA105">
        <f>AI105</f>
        <v>1</v>
      </c>
      <c r="DB105">
        <f>ROUND((ROUND(AT105*CZ105,2)*0),6)</f>
        <v>0</v>
      </c>
      <c r="DC105">
        <f>ROUND((ROUND(AT105*AG105,2)*0),6)</f>
        <v>0</v>
      </c>
    </row>
    <row r="106" spans="1:107" x14ac:dyDescent="0.2">
      <c r="A106">
        <f>ROW(Source!A132)</f>
        <v>132</v>
      </c>
      <c r="B106">
        <v>46561299</v>
      </c>
      <c r="C106">
        <v>46607216</v>
      </c>
      <c r="D106">
        <v>45144413</v>
      </c>
      <c r="E106">
        <v>1</v>
      </c>
      <c r="F106">
        <v>1</v>
      </c>
      <c r="G106">
        <v>27</v>
      </c>
      <c r="H106">
        <v>3</v>
      </c>
      <c r="I106" t="s">
        <v>84</v>
      </c>
      <c r="J106" t="s">
        <v>86</v>
      </c>
      <c r="K106" t="s">
        <v>85</v>
      </c>
      <c r="L106">
        <v>1348</v>
      </c>
      <c r="N106">
        <v>1009</v>
      </c>
      <c r="O106" t="s">
        <v>65</v>
      </c>
      <c r="P106" t="s">
        <v>65</v>
      </c>
      <c r="Q106">
        <v>1000</v>
      </c>
      <c r="W106">
        <v>0</v>
      </c>
      <c r="X106">
        <v>-2126876791</v>
      </c>
      <c r="Y106">
        <v>0</v>
      </c>
      <c r="AA106">
        <v>37537.54</v>
      </c>
      <c r="AB106">
        <v>0</v>
      </c>
      <c r="AC106">
        <v>0</v>
      </c>
      <c r="AD106">
        <v>0</v>
      </c>
      <c r="AE106">
        <v>37537.54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1</v>
      </c>
      <c r="AQ106">
        <v>0</v>
      </c>
      <c r="AR106">
        <v>0</v>
      </c>
      <c r="AS106" t="s">
        <v>3</v>
      </c>
      <c r="AT106">
        <v>0.14899999999999999</v>
      </c>
      <c r="AU106" t="s">
        <v>173</v>
      </c>
      <c r="AV106">
        <v>0</v>
      </c>
      <c r="AW106">
        <v>2</v>
      </c>
      <c r="AX106">
        <v>46607230</v>
      </c>
      <c r="AY106">
        <v>1</v>
      </c>
      <c r="AZ106">
        <v>0</v>
      </c>
      <c r="BA106">
        <v>94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Y106*Source!I132</f>
        <v>0</v>
      </c>
      <c r="CY106">
        <f>AA106</f>
        <v>37537.54</v>
      </c>
      <c r="CZ106">
        <f>AE106</f>
        <v>37537.54</v>
      </c>
      <c r="DA106">
        <f>AI106</f>
        <v>1</v>
      </c>
      <c r="DB106">
        <f>ROUND((ROUND(AT106*CZ106,2)*0),6)</f>
        <v>0</v>
      </c>
      <c r="DC106">
        <f>ROUND((ROUND(AT106*AG106,2)*0),6)</f>
        <v>0</v>
      </c>
    </row>
    <row r="107" spans="1:107" x14ac:dyDescent="0.2">
      <c r="A107">
        <f>ROW(Source!A132)</f>
        <v>132</v>
      </c>
      <c r="B107">
        <v>46561299</v>
      </c>
      <c r="C107">
        <v>46607216</v>
      </c>
      <c r="D107">
        <v>45145543</v>
      </c>
      <c r="E107">
        <v>1</v>
      </c>
      <c r="F107">
        <v>1</v>
      </c>
      <c r="G107">
        <v>27</v>
      </c>
      <c r="H107">
        <v>3</v>
      </c>
      <c r="I107" t="s">
        <v>320</v>
      </c>
      <c r="J107" t="s">
        <v>321</v>
      </c>
      <c r="K107" t="s">
        <v>322</v>
      </c>
      <c r="L107">
        <v>1348</v>
      </c>
      <c r="N107">
        <v>1009</v>
      </c>
      <c r="O107" t="s">
        <v>65</v>
      </c>
      <c r="P107" t="s">
        <v>65</v>
      </c>
      <c r="Q107">
        <v>1000</v>
      </c>
      <c r="W107">
        <v>0</v>
      </c>
      <c r="X107">
        <v>-672771621</v>
      </c>
      <c r="Y107">
        <v>0</v>
      </c>
      <c r="AA107">
        <v>110781.14</v>
      </c>
      <c r="AB107">
        <v>0</v>
      </c>
      <c r="AC107">
        <v>0</v>
      </c>
      <c r="AD107">
        <v>0</v>
      </c>
      <c r="AE107">
        <v>110781.14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S107" t="s">
        <v>3</v>
      </c>
      <c r="AT107">
        <v>5.0000000000000001E-4</v>
      </c>
      <c r="AU107" t="s">
        <v>173</v>
      </c>
      <c r="AV107">
        <v>0</v>
      </c>
      <c r="AW107">
        <v>2</v>
      </c>
      <c r="AX107">
        <v>46607231</v>
      </c>
      <c r="AY107">
        <v>1</v>
      </c>
      <c r="AZ107">
        <v>0</v>
      </c>
      <c r="BA107">
        <v>95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Y107*Source!I132</f>
        <v>0</v>
      </c>
      <c r="CY107">
        <f>AA107</f>
        <v>110781.14</v>
      </c>
      <c r="CZ107">
        <f>AE107</f>
        <v>110781.14</v>
      </c>
      <c r="DA107">
        <f>AI107</f>
        <v>1</v>
      </c>
      <c r="DB107">
        <f>ROUND((ROUND(AT107*CZ107,2)*0),6)</f>
        <v>0</v>
      </c>
      <c r="DC107">
        <f>ROUND((ROUND(AT107*AG107,2)*0),6)</f>
        <v>0</v>
      </c>
    </row>
    <row r="108" spans="1:107" x14ac:dyDescent="0.2">
      <c r="A108">
        <f>ROW(Source!A132)</f>
        <v>132</v>
      </c>
      <c r="B108">
        <v>46561299</v>
      </c>
      <c r="C108">
        <v>46607216</v>
      </c>
      <c r="D108">
        <v>45147864</v>
      </c>
      <c r="E108">
        <v>1</v>
      </c>
      <c r="F108">
        <v>1</v>
      </c>
      <c r="G108">
        <v>27</v>
      </c>
      <c r="H108">
        <v>3</v>
      </c>
      <c r="I108" t="s">
        <v>347</v>
      </c>
      <c r="J108" t="s">
        <v>348</v>
      </c>
      <c r="K108" t="s">
        <v>349</v>
      </c>
      <c r="L108">
        <v>1354</v>
      </c>
      <c r="N108">
        <v>1010</v>
      </c>
      <c r="O108" t="s">
        <v>350</v>
      </c>
      <c r="P108" t="s">
        <v>350</v>
      </c>
      <c r="Q108">
        <v>1</v>
      </c>
      <c r="W108">
        <v>0</v>
      </c>
      <c r="X108">
        <v>969740417</v>
      </c>
      <c r="Y108">
        <v>0</v>
      </c>
      <c r="AA108">
        <v>16.54</v>
      </c>
      <c r="AB108">
        <v>0</v>
      </c>
      <c r="AC108">
        <v>0</v>
      </c>
      <c r="AD108">
        <v>0</v>
      </c>
      <c r="AE108">
        <v>16.54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S108" t="s">
        <v>3</v>
      </c>
      <c r="AT108">
        <v>1.4E-2</v>
      </c>
      <c r="AU108" t="s">
        <v>173</v>
      </c>
      <c r="AV108">
        <v>0</v>
      </c>
      <c r="AW108">
        <v>2</v>
      </c>
      <c r="AX108">
        <v>46607232</v>
      </c>
      <c r="AY108">
        <v>1</v>
      </c>
      <c r="AZ108">
        <v>0</v>
      </c>
      <c r="BA108">
        <v>96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Y108*Source!I132</f>
        <v>0</v>
      </c>
      <c r="CY108">
        <f>AA108</f>
        <v>16.54</v>
      </c>
      <c r="CZ108">
        <f>AE108</f>
        <v>16.54</v>
      </c>
      <c r="DA108">
        <f>AI108</f>
        <v>1</v>
      </c>
      <c r="DB108">
        <f>ROUND((ROUND(AT108*CZ108,2)*0),6)</f>
        <v>0</v>
      </c>
      <c r="DC108">
        <f>ROUND((ROUND(AT108*AG108,2)*0),6)</f>
        <v>0</v>
      </c>
    </row>
    <row r="109" spans="1:107" x14ac:dyDescent="0.2">
      <c r="A109">
        <f>ROW(Source!A133)</f>
        <v>133</v>
      </c>
      <c r="B109">
        <v>46561299</v>
      </c>
      <c r="C109">
        <v>46607233</v>
      </c>
      <c r="D109">
        <v>45130551</v>
      </c>
      <c r="E109">
        <v>27</v>
      </c>
      <c r="F109">
        <v>1</v>
      </c>
      <c r="G109">
        <v>27</v>
      </c>
      <c r="H109">
        <v>1</v>
      </c>
      <c r="I109" t="s">
        <v>280</v>
      </c>
      <c r="J109" t="s">
        <v>3</v>
      </c>
      <c r="K109" t="s">
        <v>281</v>
      </c>
      <c r="L109">
        <v>1191</v>
      </c>
      <c r="N109">
        <v>1013</v>
      </c>
      <c r="O109" t="s">
        <v>282</v>
      </c>
      <c r="P109" t="s">
        <v>282</v>
      </c>
      <c r="Q109">
        <v>1</v>
      </c>
      <c r="W109">
        <v>0</v>
      </c>
      <c r="X109">
        <v>476480486</v>
      </c>
      <c r="Y109">
        <v>8.27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8.27</v>
      </c>
      <c r="AU109" t="s">
        <v>3</v>
      </c>
      <c r="AV109">
        <v>1</v>
      </c>
      <c r="AW109">
        <v>2</v>
      </c>
      <c r="AX109">
        <v>46607238</v>
      </c>
      <c r="AY109">
        <v>1</v>
      </c>
      <c r="AZ109">
        <v>0</v>
      </c>
      <c r="BA109">
        <v>97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Y109*Source!I133</f>
        <v>7.4429999999999996</v>
      </c>
      <c r="CY109">
        <f>AD109</f>
        <v>0</v>
      </c>
      <c r="CZ109">
        <f>AH109</f>
        <v>0</v>
      </c>
      <c r="DA109">
        <f>AL109</f>
        <v>1</v>
      </c>
      <c r="DB109">
        <f t="shared" ref="DB109:DB116" si="18">ROUND(ROUND(AT109*CZ109,2),6)</f>
        <v>0</v>
      </c>
      <c r="DC109">
        <f t="shared" ref="DC109:DC116" si="19">ROUND(ROUND(AT109*AG109,2),6)</f>
        <v>0</v>
      </c>
    </row>
    <row r="110" spans="1:107" x14ac:dyDescent="0.2">
      <c r="A110">
        <f>ROW(Source!A133)</f>
        <v>133</v>
      </c>
      <c r="B110">
        <v>46561299</v>
      </c>
      <c r="C110">
        <v>46607233</v>
      </c>
      <c r="D110">
        <v>45143091</v>
      </c>
      <c r="E110">
        <v>1</v>
      </c>
      <c r="F110">
        <v>1</v>
      </c>
      <c r="G110">
        <v>27</v>
      </c>
      <c r="H110">
        <v>2</v>
      </c>
      <c r="I110" t="s">
        <v>369</v>
      </c>
      <c r="J110" t="s">
        <v>370</v>
      </c>
      <c r="K110" t="s">
        <v>371</v>
      </c>
      <c r="L110">
        <v>1368</v>
      </c>
      <c r="N110">
        <v>1011</v>
      </c>
      <c r="O110" t="s">
        <v>286</v>
      </c>
      <c r="P110" t="s">
        <v>286</v>
      </c>
      <c r="Q110">
        <v>1</v>
      </c>
      <c r="W110">
        <v>0</v>
      </c>
      <c r="X110">
        <v>830483721</v>
      </c>
      <c r="Y110">
        <v>1.95</v>
      </c>
      <c r="AA110">
        <v>0</v>
      </c>
      <c r="AB110">
        <v>470.71</v>
      </c>
      <c r="AC110">
        <v>359.8</v>
      </c>
      <c r="AD110">
        <v>0</v>
      </c>
      <c r="AE110">
        <v>0</v>
      </c>
      <c r="AF110">
        <v>470.71</v>
      </c>
      <c r="AG110">
        <v>359.8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1.95</v>
      </c>
      <c r="AU110" t="s">
        <v>3</v>
      </c>
      <c r="AV110">
        <v>0</v>
      </c>
      <c r="AW110">
        <v>2</v>
      </c>
      <c r="AX110">
        <v>46607239</v>
      </c>
      <c r="AY110">
        <v>1</v>
      </c>
      <c r="AZ110">
        <v>0</v>
      </c>
      <c r="BA110">
        <v>98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Y110*Source!I133</f>
        <v>1.7549999999999999</v>
      </c>
      <c r="CY110">
        <f>AB110</f>
        <v>470.71</v>
      </c>
      <c r="CZ110">
        <f>AF110</f>
        <v>470.71</v>
      </c>
      <c r="DA110">
        <f>AJ110</f>
        <v>1</v>
      </c>
      <c r="DB110">
        <f t="shared" si="18"/>
        <v>917.88</v>
      </c>
      <c r="DC110">
        <f t="shared" si="19"/>
        <v>701.61</v>
      </c>
    </row>
    <row r="111" spans="1:107" x14ac:dyDescent="0.2">
      <c r="A111">
        <f>ROW(Source!A133)</f>
        <v>133</v>
      </c>
      <c r="B111">
        <v>46561299</v>
      </c>
      <c r="C111">
        <v>46607233</v>
      </c>
      <c r="D111">
        <v>45143607</v>
      </c>
      <c r="E111">
        <v>1</v>
      </c>
      <c r="F111">
        <v>1</v>
      </c>
      <c r="G111">
        <v>27</v>
      </c>
      <c r="H111">
        <v>2</v>
      </c>
      <c r="I111" t="s">
        <v>372</v>
      </c>
      <c r="J111" t="s">
        <v>373</v>
      </c>
      <c r="K111" t="s">
        <v>374</v>
      </c>
      <c r="L111">
        <v>1368</v>
      </c>
      <c r="N111">
        <v>1011</v>
      </c>
      <c r="O111" t="s">
        <v>286</v>
      </c>
      <c r="P111" t="s">
        <v>286</v>
      </c>
      <c r="Q111">
        <v>1</v>
      </c>
      <c r="W111">
        <v>0</v>
      </c>
      <c r="X111">
        <v>-352447613</v>
      </c>
      <c r="Y111">
        <v>1.95</v>
      </c>
      <c r="AA111">
        <v>0</v>
      </c>
      <c r="AB111">
        <v>6.02</v>
      </c>
      <c r="AC111">
        <v>0.02</v>
      </c>
      <c r="AD111">
        <v>0</v>
      </c>
      <c r="AE111">
        <v>0</v>
      </c>
      <c r="AF111">
        <v>6.02</v>
      </c>
      <c r="AG111">
        <v>0.02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1.95</v>
      </c>
      <c r="AU111" t="s">
        <v>3</v>
      </c>
      <c r="AV111">
        <v>0</v>
      </c>
      <c r="AW111">
        <v>2</v>
      </c>
      <c r="AX111">
        <v>46607240</v>
      </c>
      <c r="AY111">
        <v>1</v>
      </c>
      <c r="AZ111">
        <v>0</v>
      </c>
      <c r="BA111">
        <v>99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Y111*Source!I133</f>
        <v>1.7549999999999999</v>
      </c>
      <c r="CY111">
        <f>AB111</f>
        <v>6.02</v>
      </c>
      <c r="CZ111">
        <f>AF111</f>
        <v>6.02</v>
      </c>
      <c r="DA111">
        <f>AJ111</f>
        <v>1</v>
      </c>
      <c r="DB111">
        <f t="shared" si="18"/>
        <v>11.74</v>
      </c>
      <c r="DC111">
        <f t="shared" si="19"/>
        <v>0.04</v>
      </c>
    </row>
    <row r="112" spans="1:107" x14ac:dyDescent="0.2">
      <c r="A112">
        <f>ROW(Source!A133)</f>
        <v>133</v>
      </c>
      <c r="B112">
        <v>46561299</v>
      </c>
      <c r="C112">
        <v>46607233</v>
      </c>
      <c r="D112">
        <v>45132303</v>
      </c>
      <c r="E112">
        <v>27</v>
      </c>
      <c r="F112">
        <v>1</v>
      </c>
      <c r="G112">
        <v>27</v>
      </c>
      <c r="H112">
        <v>3</v>
      </c>
      <c r="I112" t="s">
        <v>375</v>
      </c>
      <c r="J112" t="s">
        <v>3</v>
      </c>
      <c r="K112" t="s">
        <v>376</v>
      </c>
      <c r="L112">
        <v>1348</v>
      </c>
      <c r="N112">
        <v>1009</v>
      </c>
      <c r="O112" t="s">
        <v>65</v>
      </c>
      <c r="P112" t="s">
        <v>65</v>
      </c>
      <c r="Q112">
        <v>1000</v>
      </c>
      <c r="W112">
        <v>0</v>
      </c>
      <c r="X112">
        <v>1489638031</v>
      </c>
      <c r="Y112">
        <v>2.4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2.4</v>
      </c>
      <c r="AU112" t="s">
        <v>3</v>
      </c>
      <c r="AV112">
        <v>0</v>
      </c>
      <c r="AW112">
        <v>2</v>
      </c>
      <c r="AX112">
        <v>46607241</v>
      </c>
      <c r="AY112">
        <v>1</v>
      </c>
      <c r="AZ112">
        <v>0</v>
      </c>
      <c r="BA112">
        <v>100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Y112*Source!I133</f>
        <v>2.16</v>
      </c>
      <c r="CY112">
        <f>AA112</f>
        <v>0</v>
      </c>
      <c r="CZ112">
        <f>AE112</f>
        <v>0</v>
      </c>
      <c r="DA112">
        <f>AI112</f>
        <v>1</v>
      </c>
      <c r="DB112">
        <f t="shared" si="18"/>
        <v>0</v>
      </c>
      <c r="DC112">
        <f t="shared" si="19"/>
        <v>0</v>
      </c>
    </row>
    <row r="113" spans="1:107" x14ac:dyDescent="0.2">
      <c r="A113">
        <f>ROW(Source!A134)</f>
        <v>134</v>
      </c>
      <c r="B113">
        <v>46561299</v>
      </c>
      <c r="C113">
        <v>46607242</v>
      </c>
      <c r="D113">
        <v>45130551</v>
      </c>
      <c r="E113">
        <v>27</v>
      </c>
      <c r="F113">
        <v>1</v>
      </c>
      <c r="G113">
        <v>27</v>
      </c>
      <c r="H113">
        <v>1</v>
      </c>
      <c r="I113" t="s">
        <v>280</v>
      </c>
      <c r="J113" t="s">
        <v>3</v>
      </c>
      <c r="K113" t="s">
        <v>281</v>
      </c>
      <c r="L113">
        <v>1191</v>
      </c>
      <c r="N113">
        <v>1013</v>
      </c>
      <c r="O113" t="s">
        <v>282</v>
      </c>
      <c r="P113" t="s">
        <v>282</v>
      </c>
      <c r="Q113">
        <v>1</v>
      </c>
      <c r="W113">
        <v>0</v>
      </c>
      <c r="X113">
        <v>476480486</v>
      </c>
      <c r="Y113">
        <v>221.6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221.6</v>
      </c>
      <c r="AU113" t="s">
        <v>3</v>
      </c>
      <c r="AV113">
        <v>1</v>
      </c>
      <c r="AW113">
        <v>2</v>
      </c>
      <c r="AX113">
        <v>46607244</v>
      </c>
      <c r="AY113">
        <v>1</v>
      </c>
      <c r="AZ113">
        <v>0</v>
      </c>
      <c r="BA113">
        <v>101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Y113*Source!I134</f>
        <v>5.0968</v>
      </c>
      <c r="CY113">
        <f>AD113</f>
        <v>0</v>
      </c>
      <c r="CZ113">
        <f>AH113</f>
        <v>0</v>
      </c>
      <c r="DA113">
        <f>AL113</f>
        <v>1</v>
      </c>
      <c r="DB113">
        <f t="shared" si="18"/>
        <v>0</v>
      </c>
      <c r="DC113">
        <f t="shared" si="19"/>
        <v>0</v>
      </c>
    </row>
    <row r="114" spans="1:107" x14ac:dyDescent="0.2">
      <c r="A114">
        <f>ROW(Source!A135)</f>
        <v>135</v>
      </c>
      <c r="B114">
        <v>46561299</v>
      </c>
      <c r="C114">
        <v>46607245</v>
      </c>
      <c r="D114">
        <v>45130551</v>
      </c>
      <c r="E114">
        <v>27</v>
      </c>
      <c r="F114">
        <v>1</v>
      </c>
      <c r="G114">
        <v>27</v>
      </c>
      <c r="H114">
        <v>1</v>
      </c>
      <c r="I114" t="s">
        <v>280</v>
      </c>
      <c r="J114" t="s">
        <v>3</v>
      </c>
      <c r="K114" t="s">
        <v>281</v>
      </c>
      <c r="L114">
        <v>1191</v>
      </c>
      <c r="N114">
        <v>1013</v>
      </c>
      <c r="O114" t="s">
        <v>282</v>
      </c>
      <c r="P114" t="s">
        <v>282</v>
      </c>
      <c r="Q114">
        <v>1</v>
      </c>
      <c r="W114">
        <v>0</v>
      </c>
      <c r="X114">
        <v>476480486</v>
      </c>
      <c r="Y114">
        <v>123.1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123.1</v>
      </c>
      <c r="AU114" t="s">
        <v>3</v>
      </c>
      <c r="AV114">
        <v>1</v>
      </c>
      <c r="AW114">
        <v>2</v>
      </c>
      <c r="AX114">
        <v>46607247</v>
      </c>
      <c r="AY114">
        <v>1</v>
      </c>
      <c r="AZ114">
        <v>0</v>
      </c>
      <c r="BA114">
        <v>102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Y114*Source!I135</f>
        <v>1.1078999999999999</v>
      </c>
      <c r="CY114">
        <f>AD114</f>
        <v>0</v>
      </c>
      <c r="CZ114">
        <f>AH114</f>
        <v>0</v>
      </c>
      <c r="DA114">
        <f>AL114</f>
        <v>1</v>
      </c>
      <c r="DB114">
        <f t="shared" si="18"/>
        <v>0</v>
      </c>
      <c r="DC114">
        <f t="shared" si="19"/>
        <v>0</v>
      </c>
    </row>
    <row r="115" spans="1:107" x14ac:dyDescent="0.2">
      <c r="A115">
        <f>ROW(Source!A136)</f>
        <v>136</v>
      </c>
      <c r="B115">
        <v>46561299</v>
      </c>
      <c r="C115">
        <v>46607248</v>
      </c>
      <c r="D115">
        <v>45130551</v>
      </c>
      <c r="E115">
        <v>27</v>
      </c>
      <c r="F115">
        <v>1</v>
      </c>
      <c r="G115">
        <v>27</v>
      </c>
      <c r="H115">
        <v>1</v>
      </c>
      <c r="I115" t="s">
        <v>280</v>
      </c>
      <c r="J115" t="s">
        <v>3</v>
      </c>
      <c r="K115" t="s">
        <v>281</v>
      </c>
      <c r="L115">
        <v>1191</v>
      </c>
      <c r="N115">
        <v>1013</v>
      </c>
      <c r="O115" t="s">
        <v>282</v>
      </c>
      <c r="P115" t="s">
        <v>282</v>
      </c>
      <c r="Q115">
        <v>1</v>
      </c>
      <c r="W115">
        <v>0</v>
      </c>
      <c r="X115">
        <v>476480486</v>
      </c>
      <c r="Y115">
        <v>83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83</v>
      </c>
      <c r="AU115" t="s">
        <v>3</v>
      </c>
      <c r="AV115">
        <v>1</v>
      </c>
      <c r="AW115">
        <v>2</v>
      </c>
      <c r="AX115">
        <v>46607250</v>
      </c>
      <c r="AY115">
        <v>1</v>
      </c>
      <c r="AZ115">
        <v>0</v>
      </c>
      <c r="BA115">
        <v>103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Y115*Source!I136</f>
        <v>1.1619999999999999</v>
      </c>
      <c r="CY115">
        <f>AD115</f>
        <v>0</v>
      </c>
      <c r="CZ115">
        <f>AH115</f>
        <v>0</v>
      </c>
      <c r="DA115">
        <f>AL115</f>
        <v>1</v>
      </c>
      <c r="DB115">
        <f t="shared" si="18"/>
        <v>0</v>
      </c>
      <c r="DC115">
        <f t="shared" si="19"/>
        <v>0</v>
      </c>
    </row>
    <row r="116" spans="1:107" x14ac:dyDescent="0.2">
      <c r="A116">
        <f>ROW(Source!A137)</f>
        <v>137</v>
      </c>
      <c r="B116">
        <v>46561299</v>
      </c>
      <c r="C116">
        <v>46607251</v>
      </c>
      <c r="D116">
        <v>45143535</v>
      </c>
      <c r="E116">
        <v>1</v>
      </c>
      <c r="F116">
        <v>1</v>
      </c>
      <c r="G116">
        <v>27</v>
      </c>
      <c r="H116">
        <v>2</v>
      </c>
      <c r="I116" t="s">
        <v>283</v>
      </c>
      <c r="J116" t="s">
        <v>284</v>
      </c>
      <c r="K116" t="s">
        <v>285</v>
      </c>
      <c r="L116">
        <v>1368</v>
      </c>
      <c r="N116">
        <v>1011</v>
      </c>
      <c r="O116" t="s">
        <v>286</v>
      </c>
      <c r="P116" t="s">
        <v>286</v>
      </c>
      <c r="Q116">
        <v>1</v>
      </c>
      <c r="W116">
        <v>0</v>
      </c>
      <c r="X116">
        <v>486337296</v>
      </c>
      <c r="Y116">
        <v>3.1E-2</v>
      </c>
      <c r="AA116">
        <v>0</v>
      </c>
      <c r="AB116">
        <v>1014.12</v>
      </c>
      <c r="AC116">
        <v>317.13</v>
      </c>
      <c r="AD116">
        <v>0</v>
      </c>
      <c r="AE116">
        <v>0</v>
      </c>
      <c r="AF116">
        <v>1014.12</v>
      </c>
      <c r="AG116">
        <v>317.13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3.1E-2</v>
      </c>
      <c r="AU116" t="s">
        <v>3</v>
      </c>
      <c r="AV116">
        <v>0</v>
      </c>
      <c r="AW116">
        <v>2</v>
      </c>
      <c r="AX116">
        <v>46607253</v>
      </c>
      <c r="AY116">
        <v>1</v>
      </c>
      <c r="AZ116">
        <v>0</v>
      </c>
      <c r="BA116">
        <v>104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Y116*Source!I137</f>
        <v>4.3399999999999994E-2</v>
      </c>
      <c r="CY116">
        <f>AB116</f>
        <v>1014.12</v>
      </c>
      <c r="CZ116">
        <f>AF116</f>
        <v>1014.12</v>
      </c>
      <c r="DA116">
        <f>AJ116</f>
        <v>1</v>
      </c>
      <c r="DB116">
        <f t="shared" si="18"/>
        <v>31.44</v>
      </c>
      <c r="DC116">
        <f t="shared" si="19"/>
        <v>9.83</v>
      </c>
    </row>
    <row r="117" spans="1:107" x14ac:dyDescent="0.2">
      <c r="A117">
        <f>ROW(Source!A138)</f>
        <v>138</v>
      </c>
      <c r="B117">
        <v>46561299</v>
      </c>
      <c r="C117">
        <v>46607254</v>
      </c>
      <c r="D117">
        <v>45143535</v>
      </c>
      <c r="E117">
        <v>1</v>
      </c>
      <c r="F117">
        <v>1</v>
      </c>
      <c r="G117">
        <v>27</v>
      </c>
      <c r="H117">
        <v>2</v>
      </c>
      <c r="I117" t="s">
        <v>283</v>
      </c>
      <c r="J117" t="s">
        <v>284</v>
      </c>
      <c r="K117" t="s">
        <v>285</v>
      </c>
      <c r="L117">
        <v>1368</v>
      </c>
      <c r="N117">
        <v>1011</v>
      </c>
      <c r="O117" t="s">
        <v>286</v>
      </c>
      <c r="P117" t="s">
        <v>286</v>
      </c>
      <c r="Q117">
        <v>1</v>
      </c>
      <c r="W117">
        <v>0</v>
      </c>
      <c r="X117">
        <v>486337296</v>
      </c>
      <c r="Y117">
        <v>0.32</v>
      </c>
      <c r="AA117">
        <v>0</v>
      </c>
      <c r="AB117">
        <v>1014.12</v>
      </c>
      <c r="AC117">
        <v>317.13</v>
      </c>
      <c r="AD117">
        <v>0</v>
      </c>
      <c r="AE117">
        <v>0</v>
      </c>
      <c r="AF117">
        <v>1014.12</v>
      </c>
      <c r="AG117">
        <v>317.13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1</v>
      </c>
      <c r="AQ117">
        <v>0</v>
      </c>
      <c r="AR117">
        <v>0</v>
      </c>
      <c r="AS117" t="s">
        <v>3</v>
      </c>
      <c r="AT117">
        <v>0.01</v>
      </c>
      <c r="AU117" t="s">
        <v>36</v>
      </c>
      <c r="AV117">
        <v>0</v>
      </c>
      <c r="AW117">
        <v>2</v>
      </c>
      <c r="AX117">
        <v>46607256</v>
      </c>
      <c r="AY117">
        <v>1</v>
      </c>
      <c r="AZ117">
        <v>0</v>
      </c>
      <c r="BA117">
        <v>105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Y117*Source!I138</f>
        <v>0.44799999999999995</v>
      </c>
      <c r="CY117">
        <f>AB117</f>
        <v>1014.12</v>
      </c>
      <c r="CZ117">
        <f>AF117</f>
        <v>1014.12</v>
      </c>
      <c r="DA117">
        <f>AJ117</f>
        <v>1</v>
      </c>
      <c r="DB117">
        <f>ROUND((ROUND(AT117*CZ117,2)*32),6)</f>
        <v>324.48</v>
      </c>
      <c r="DC117">
        <f>ROUND((ROUND(AT117*AG117,2)*32),6)</f>
        <v>101.44</v>
      </c>
    </row>
    <row r="118" spans="1:107" x14ac:dyDescent="0.2">
      <c r="A118">
        <f>ROW(Source!A139)</f>
        <v>139</v>
      </c>
      <c r="B118">
        <v>46561299</v>
      </c>
      <c r="C118">
        <v>46607257</v>
      </c>
      <c r="D118">
        <v>45130551</v>
      </c>
      <c r="E118">
        <v>27</v>
      </c>
      <c r="F118">
        <v>1</v>
      </c>
      <c r="G118">
        <v>27</v>
      </c>
      <c r="H118">
        <v>1</v>
      </c>
      <c r="I118" t="s">
        <v>280</v>
      </c>
      <c r="J118" t="s">
        <v>3</v>
      </c>
      <c r="K118" t="s">
        <v>281</v>
      </c>
      <c r="L118">
        <v>1191</v>
      </c>
      <c r="N118">
        <v>1013</v>
      </c>
      <c r="O118" t="s">
        <v>282</v>
      </c>
      <c r="P118" t="s">
        <v>282</v>
      </c>
      <c r="Q118">
        <v>1</v>
      </c>
      <c r="W118">
        <v>0</v>
      </c>
      <c r="X118">
        <v>476480486</v>
      </c>
      <c r="Y118">
        <v>1.25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1.25</v>
      </c>
      <c r="AU118" t="s">
        <v>3</v>
      </c>
      <c r="AV118">
        <v>1</v>
      </c>
      <c r="AW118">
        <v>2</v>
      </c>
      <c r="AX118">
        <v>46607262</v>
      </c>
      <c r="AY118">
        <v>1</v>
      </c>
      <c r="AZ118">
        <v>0</v>
      </c>
      <c r="BA118">
        <v>106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Y118*Source!I139</f>
        <v>2.375</v>
      </c>
      <c r="CY118">
        <f>AD118</f>
        <v>0</v>
      </c>
      <c r="CZ118">
        <f>AH118</f>
        <v>0</v>
      </c>
      <c r="DA118">
        <f>AL118</f>
        <v>1</v>
      </c>
      <c r="DB118">
        <f t="shared" ref="DB118:DB149" si="20">ROUND(ROUND(AT118*CZ118,2),6)</f>
        <v>0</v>
      </c>
      <c r="DC118">
        <f t="shared" ref="DC118:DC149" si="21">ROUND(ROUND(AT118*AG118,2),6)</f>
        <v>0</v>
      </c>
    </row>
    <row r="119" spans="1:107" x14ac:dyDescent="0.2">
      <c r="A119">
        <f>ROW(Source!A139)</f>
        <v>139</v>
      </c>
      <c r="B119">
        <v>46561299</v>
      </c>
      <c r="C119">
        <v>46607257</v>
      </c>
      <c r="D119">
        <v>45144915</v>
      </c>
      <c r="E119">
        <v>1</v>
      </c>
      <c r="F119">
        <v>1</v>
      </c>
      <c r="G119">
        <v>27</v>
      </c>
      <c r="H119">
        <v>3</v>
      </c>
      <c r="I119" t="s">
        <v>287</v>
      </c>
      <c r="J119" t="s">
        <v>288</v>
      </c>
      <c r="K119" t="s">
        <v>289</v>
      </c>
      <c r="L119">
        <v>1339</v>
      </c>
      <c r="N119">
        <v>1007</v>
      </c>
      <c r="O119" t="s">
        <v>29</v>
      </c>
      <c r="P119" t="s">
        <v>29</v>
      </c>
      <c r="Q119">
        <v>1</v>
      </c>
      <c r="W119">
        <v>0</v>
      </c>
      <c r="X119">
        <v>1099845635</v>
      </c>
      <c r="Y119">
        <v>0.06</v>
      </c>
      <c r="AA119">
        <v>1865.77</v>
      </c>
      <c r="AB119">
        <v>0</v>
      </c>
      <c r="AC119">
        <v>0</v>
      </c>
      <c r="AD119">
        <v>0</v>
      </c>
      <c r="AE119">
        <v>1865.77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0.06</v>
      </c>
      <c r="AU119" t="s">
        <v>3</v>
      </c>
      <c r="AV119">
        <v>0</v>
      </c>
      <c r="AW119">
        <v>2</v>
      </c>
      <c r="AX119">
        <v>46607263</v>
      </c>
      <c r="AY119">
        <v>1</v>
      </c>
      <c r="AZ119">
        <v>0</v>
      </c>
      <c r="BA119">
        <v>107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Y119*Source!I139</f>
        <v>0.11399999999999999</v>
      </c>
      <c r="CY119">
        <f>AA119</f>
        <v>1865.77</v>
      </c>
      <c r="CZ119">
        <f>AE119</f>
        <v>1865.77</v>
      </c>
      <c r="DA119">
        <f>AI119</f>
        <v>1</v>
      </c>
      <c r="DB119">
        <f t="shared" si="20"/>
        <v>111.95</v>
      </c>
      <c r="DC119">
        <f t="shared" si="21"/>
        <v>0</v>
      </c>
    </row>
    <row r="120" spans="1:107" x14ac:dyDescent="0.2">
      <c r="A120">
        <f>ROW(Source!A139)</f>
        <v>139</v>
      </c>
      <c r="B120">
        <v>46561299</v>
      </c>
      <c r="C120">
        <v>46607257</v>
      </c>
      <c r="D120">
        <v>45144916</v>
      </c>
      <c r="E120">
        <v>1</v>
      </c>
      <c r="F120">
        <v>1</v>
      </c>
      <c r="G120">
        <v>27</v>
      </c>
      <c r="H120">
        <v>3</v>
      </c>
      <c r="I120" t="s">
        <v>290</v>
      </c>
      <c r="J120" t="s">
        <v>291</v>
      </c>
      <c r="K120" t="s">
        <v>292</v>
      </c>
      <c r="L120">
        <v>1339</v>
      </c>
      <c r="N120">
        <v>1007</v>
      </c>
      <c r="O120" t="s">
        <v>29</v>
      </c>
      <c r="P120" t="s">
        <v>29</v>
      </c>
      <c r="Q120">
        <v>1</v>
      </c>
      <c r="W120">
        <v>0</v>
      </c>
      <c r="X120">
        <v>-886425656</v>
      </c>
      <c r="Y120">
        <v>0.24</v>
      </c>
      <c r="AA120">
        <v>1763.75</v>
      </c>
      <c r="AB120">
        <v>0</v>
      </c>
      <c r="AC120">
        <v>0</v>
      </c>
      <c r="AD120">
        <v>0</v>
      </c>
      <c r="AE120">
        <v>1763.75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0.24</v>
      </c>
      <c r="AU120" t="s">
        <v>3</v>
      </c>
      <c r="AV120">
        <v>0</v>
      </c>
      <c r="AW120">
        <v>2</v>
      </c>
      <c r="AX120">
        <v>46607264</v>
      </c>
      <c r="AY120">
        <v>1</v>
      </c>
      <c r="AZ120">
        <v>0</v>
      </c>
      <c r="BA120">
        <v>108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Y120*Source!I139</f>
        <v>0.45599999999999996</v>
      </c>
      <c r="CY120">
        <f>AA120</f>
        <v>1763.75</v>
      </c>
      <c r="CZ120">
        <f>AE120</f>
        <v>1763.75</v>
      </c>
      <c r="DA120">
        <f>AI120</f>
        <v>1</v>
      </c>
      <c r="DB120">
        <f t="shared" si="20"/>
        <v>423.3</v>
      </c>
      <c r="DC120">
        <f t="shared" si="21"/>
        <v>0</v>
      </c>
    </row>
    <row r="121" spans="1:107" x14ac:dyDescent="0.2">
      <c r="A121">
        <f>ROW(Source!A139)</f>
        <v>139</v>
      </c>
      <c r="B121">
        <v>46561299</v>
      </c>
      <c r="C121">
        <v>46607257</v>
      </c>
      <c r="D121">
        <v>45145636</v>
      </c>
      <c r="E121">
        <v>1</v>
      </c>
      <c r="F121">
        <v>1</v>
      </c>
      <c r="G121">
        <v>27</v>
      </c>
      <c r="H121">
        <v>3</v>
      </c>
      <c r="I121" t="s">
        <v>293</v>
      </c>
      <c r="J121" t="s">
        <v>294</v>
      </c>
      <c r="K121" t="s">
        <v>295</v>
      </c>
      <c r="L121">
        <v>1339</v>
      </c>
      <c r="N121">
        <v>1007</v>
      </c>
      <c r="O121" t="s">
        <v>29</v>
      </c>
      <c r="P121" t="s">
        <v>29</v>
      </c>
      <c r="Q121">
        <v>1</v>
      </c>
      <c r="W121">
        <v>0</v>
      </c>
      <c r="X121">
        <v>1927597627</v>
      </c>
      <c r="Y121">
        <v>0.03</v>
      </c>
      <c r="AA121">
        <v>35.25</v>
      </c>
      <c r="AB121">
        <v>0</v>
      </c>
      <c r="AC121">
        <v>0</v>
      </c>
      <c r="AD121">
        <v>0</v>
      </c>
      <c r="AE121">
        <v>35.25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0.03</v>
      </c>
      <c r="AU121" t="s">
        <v>3</v>
      </c>
      <c r="AV121">
        <v>0</v>
      </c>
      <c r="AW121">
        <v>2</v>
      </c>
      <c r="AX121">
        <v>46607265</v>
      </c>
      <c r="AY121">
        <v>1</v>
      </c>
      <c r="AZ121">
        <v>0</v>
      </c>
      <c r="BA121">
        <v>109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Y121*Source!I139</f>
        <v>5.6999999999999995E-2</v>
      </c>
      <c r="CY121">
        <f>AA121</f>
        <v>35.25</v>
      </c>
      <c r="CZ121">
        <f>AE121</f>
        <v>35.25</v>
      </c>
      <c r="DA121">
        <f>AI121</f>
        <v>1</v>
      </c>
      <c r="DB121">
        <f t="shared" si="20"/>
        <v>1.06</v>
      </c>
      <c r="DC121">
        <f t="shared" si="21"/>
        <v>0</v>
      </c>
    </row>
    <row r="122" spans="1:107" x14ac:dyDescent="0.2">
      <c r="A122">
        <f>ROW(Source!A140)</f>
        <v>140</v>
      </c>
      <c r="B122">
        <v>46561299</v>
      </c>
      <c r="C122">
        <v>46607266</v>
      </c>
      <c r="D122">
        <v>45130551</v>
      </c>
      <c r="E122">
        <v>27</v>
      </c>
      <c r="F122">
        <v>1</v>
      </c>
      <c r="G122">
        <v>27</v>
      </c>
      <c r="H122">
        <v>1</v>
      </c>
      <c r="I122" t="s">
        <v>280</v>
      </c>
      <c r="J122" t="s">
        <v>3</v>
      </c>
      <c r="K122" t="s">
        <v>281</v>
      </c>
      <c r="L122">
        <v>1191</v>
      </c>
      <c r="N122">
        <v>1013</v>
      </c>
      <c r="O122" t="s">
        <v>282</v>
      </c>
      <c r="P122" t="s">
        <v>282</v>
      </c>
      <c r="Q122">
        <v>1</v>
      </c>
      <c r="W122">
        <v>0</v>
      </c>
      <c r="X122">
        <v>476480486</v>
      </c>
      <c r="Y122">
        <v>0.37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0.37</v>
      </c>
      <c r="AU122" t="s">
        <v>3</v>
      </c>
      <c r="AV122">
        <v>1</v>
      </c>
      <c r="AW122">
        <v>2</v>
      </c>
      <c r="AX122">
        <v>46607271</v>
      </c>
      <c r="AY122">
        <v>1</v>
      </c>
      <c r="AZ122">
        <v>0</v>
      </c>
      <c r="BA122">
        <v>110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Y122*Source!I140</f>
        <v>0.70299999999999996</v>
      </c>
      <c r="CY122">
        <f>AD122</f>
        <v>0</v>
      </c>
      <c r="CZ122">
        <f>AH122</f>
        <v>0</v>
      </c>
      <c r="DA122">
        <f>AL122</f>
        <v>1</v>
      </c>
      <c r="DB122">
        <f t="shared" si="20"/>
        <v>0</v>
      </c>
      <c r="DC122">
        <f t="shared" si="21"/>
        <v>0</v>
      </c>
    </row>
    <row r="123" spans="1:107" x14ac:dyDescent="0.2">
      <c r="A123">
        <f>ROW(Source!A140)</f>
        <v>140</v>
      </c>
      <c r="B123">
        <v>46561299</v>
      </c>
      <c r="C123">
        <v>46607266</v>
      </c>
      <c r="D123">
        <v>45142937</v>
      </c>
      <c r="E123">
        <v>1</v>
      </c>
      <c r="F123">
        <v>1</v>
      </c>
      <c r="G123">
        <v>27</v>
      </c>
      <c r="H123">
        <v>2</v>
      </c>
      <c r="I123" t="s">
        <v>296</v>
      </c>
      <c r="J123" t="s">
        <v>297</v>
      </c>
      <c r="K123" t="s">
        <v>298</v>
      </c>
      <c r="L123">
        <v>1368</v>
      </c>
      <c r="N123">
        <v>1011</v>
      </c>
      <c r="O123" t="s">
        <v>286</v>
      </c>
      <c r="P123" t="s">
        <v>286</v>
      </c>
      <c r="Q123">
        <v>1</v>
      </c>
      <c r="W123">
        <v>0</v>
      </c>
      <c r="X123">
        <v>112346818</v>
      </c>
      <c r="Y123">
        <v>3.0000000000000001E-3</v>
      </c>
      <c r="AA123">
        <v>0</v>
      </c>
      <c r="AB123">
        <v>1270.56</v>
      </c>
      <c r="AC123">
        <v>493.86</v>
      </c>
      <c r="AD123">
        <v>0</v>
      </c>
      <c r="AE123">
        <v>0</v>
      </c>
      <c r="AF123">
        <v>1270.56</v>
      </c>
      <c r="AG123">
        <v>493.86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3.0000000000000001E-3</v>
      </c>
      <c r="AU123" t="s">
        <v>3</v>
      </c>
      <c r="AV123">
        <v>0</v>
      </c>
      <c r="AW123">
        <v>2</v>
      </c>
      <c r="AX123">
        <v>46607272</v>
      </c>
      <c r="AY123">
        <v>1</v>
      </c>
      <c r="AZ123">
        <v>0</v>
      </c>
      <c r="BA123">
        <v>111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Y123*Source!I140</f>
        <v>5.7000000000000002E-3</v>
      </c>
      <c r="CY123">
        <f>AB123</f>
        <v>1270.56</v>
      </c>
      <c r="CZ123">
        <f>AF123</f>
        <v>1270.56</v>
      </c>
      <c r="DA123">
        <f>AJ123</f>
        <v>1</v>
      </c>
      <c r="DB123">
        <f t="shared" si="20"/>
        <v>3.81</v>
      </c>
      <c r="DC123">
        <f t="shared" si="21"/>
        <v>1.48</v>
      </c>
    </row>
    <row r="124" spans="1:107" x14ac:dyDescent="0.2">
      <c r="A124">
        <f>ROW(Source!A140)</f>
        <v>140</v>
      </c>
      <c r="B124">
        <v>46561299</v>
      </c>
      <c r="C124">
        <v>46607266</v>
      </c>
      <c r="D124">
        <v>45144891</v>
      </c>
      <c r="E124">
        <v>1</v>
      </c>
      <c r="F124">
        <v>1</v>
      </c>
      <c r="G124">
        <v>27</v>
      </c>
      <c r="H124">
        <v>3</v>
      </c>
      <c r="I124" t="s">
        <v>299</v>
      </c>
      <c r="J124" t="s">
        <v>300</v>
      </c>
      <c r="K124" t="s">
        <v>301</v>
      </c>
      <c r="L124">
        <v>1339</v>
      </c>
      <c r="N124">
        <v>1007</v>
      </c>
      <c r="O124" t="s">
        <v>29</v>
      </c>
      <c r="P124" t="s">
        <v>29</v>
      </c>
      <c r="Q124">
        <v>1</v>
      </c>
      <c r="W124">
        <v>0</v>
      </c>
      <c r="X124">
        <v>909340900</v>
      </c>
      <c r="Y124">
        <v>0.105</v>
      </c>
      <c r="AA124">
        <v>590.78</v>
      </c>
      <c r="AB124">
        <v>0</v>
      </c>
      <c r="AC124">
        <v>0</v>
      </c>
      <c r="AD124">
        <v>0</v>
      </c>
      <c r="AE124">
        <v>590.78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0.105</v>
      </c>
      <c r="AU124" t="s">
        <v>3</v>
      </c>
      <c r="AV124">
        <v>0</v>
      </c>
      <c r="AW124">
        <v>2</v>
      </c>
      <c r="AX124">
        <v>46607273</v>
      </c>
      <c r="AY124">
        <v>1</v>
      </c>
      <c r="AZ124">
        <v>0</v>
      </c>
      <c r="BA124">
        <v>112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Y124*Source!I140</f>
        <v>0.19949999999999998</v>
      </c>
      <c r="CY124">
        <f>AA124</f>
        <v>590.78</v>
      </c>
      <c r="CZ124">
        <f>AE124</f>
        <v>590.78</v>
      </c>
      <c r="DA124">
        <f>AI124</f>
        <v>1</v>
      </c>
      <c r="DB124">
        <f t="shared" si="20"/>
        <v>62.03</v>
      </c>
      <c r="DC124">
        <f t="shared" si="21"/>
        <v>0</v>
      </c>
    </row>
    <row r="125" spans="1:107" x14ac:dyDescent="0.2">
      <c r="A125">
        <f>ROW(Source!A140)</f>
        <v>140</v>
      </c>
      <c r="B125">
        <v>46561299</v>
      </c>
      <c r="C125">
        <v>46607266</v>
      </c>
      <c r="D125">
        <v>45145636</v>
      </c>
      <c r="E125">
        <v>1</v>
      </c>
      <c r="F125">
        <v>1</v>
      </c>
      <c r="G125">
        <v>27</v>
      </c>
      <c r="H125">
        <v>3</v>
      </c>
      <c r="I125" t="s">
        <v>293</v>
      </c>
      <c r="J125" t="s">
        <v>294</v>
      </c>
      <c r="K125" t="s">
        <v>295</v>
      </c>
      <c r="L125">
        <v>1339</v>
      </c>
      <c r="N125">
        <v>1007</v>
      </c>
      <c r="O125" t="s">
        <v>29</v>
      </c>
      <c r="P125" t="s">
        <v>29</v>
      </c>
      <c r="Q125">
        <v>1</v>
      </c>
      <c r="W125">
        <v>0</v>
      </c>
      <c r="X125">
        <v>1927597627</v>
      </c>
      <c r="Y125">
        <v>0.01</v>
      </c>
      <c r="AA125">
        <v>35.25</v>
      </c>
      <c r="AB125">
        <v>0</v>
      </c>
      <c r="AC125">
        <v>0</v>
      </c>
      <c r="AD125">
        <v>0</v>
      </c>
      <c r="AE125">
        <v>35.25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0.01</v>
      </c>
      <c r="AU125" t="s">
        <v>3</v>
      </c>
      <c r="AV125">
        <v>0</v>
      </c>
      <c r="AW125">
        <v>2</v>
      </c>
      <c r="AX125">
        <v>46607274</v>
      </c>
      <c r="AY125">
        <v>1</v>
      </c>
      <c r="AZ125">
        <v>0</v>
      </c>
      <c r="BA125">
        <v>113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Y125*Source!I140</f>
        <v>1.9E-2</v>
      </c>
      <c r="CY125">
        <f>AA125</f>
        <v>35.25</v>
      </c>
      <c r="CZ125">
        <f>AE125</f>
        <v>35.25</v>
      </c>
      <c r="DA125">
        <f>AI125</f>
        <v>1</v>
      </c>
      <c r="DB125">
        <f t="shared" si="20"/>
        <v>0.35</v>
      </c>
      <c r="DC125">
        <f t="shared" si="21"/>
        <v>0</v>
      </c>
    </row>
    <row r="126" spans="1:107" x14ac:dyDescent="0.2">
      <c r="A126">
        <f>ROW(Source!A141)</f>
        <v>141</v>
      </c>
      <c r="B126">
        <v>46561299</v>
      </c>
      <c r="C126">
        <v>46607275</v>
      </c>
      <c r="D126">
        <v>45130551</v>
      </c>
      <c r="E126">
        <v>27</v>
      </c>
      <c r="F126">
        <v>1</v>
      </c>
      <c r="G126">
        <v>27</v>
      </c>
      <c r="H126">
        <v>1</v>
      </c>
      <c r="I126" t="s">
        <v>280</v>
      </c>
      <c r="J126" t="s">
        <v>3</v>
      </c>
      <c r="K126" t="s">
        <v>281</v>
      </c>
      <c r="L126">
        <v>1191</v>
      </c>
      <c r="N126">
        <v>1013</v>
      </c>
      <c r="O126" t="s">
        <v>282</v>
      </c>
      <c r="P126" t="s">
        <v>282</v>
      </c>
      <c r="Q126">
        <v>1</v>
      </c>
      <c r="W126">
        <v>0</v>
      </c>
      <c r="X126">
        <v>476480486</v>
      </c>
      <c r="Y126">
        <v>205.85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205.85</v>
      </c>
      <c r="AU126" t="s">
        <v>3</v>
      </c>
      <c r="AV126">
        <v>1</v>
      </c>
      <c r="AW126">
        <v>2</v>
      </c>
      <c r="AX126">
        <v>46607291</v>
      </c>
      <c r="AY126">
        <v>1</v>
      </c>
      <c r="AZ126">
        <v>0</v>
      </c>
      <c r="BA126">
        <v>114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Y126*Source!I141</f>
        <v>3.8905650000000001</v>
      </c>
      <c r="CY126">
        <f>AD126</f>
        <v>0</v>
      </c>
      <c r="CZ126">
        <f>AH126</f>
        <v>0</v>
      </c>
      <c r="DA126">
        <f>AL126</f>
        <v>1</v>
      </c>
      <c r="DB126">
        <f t="shared" si="20"/>
        <v>0</v>
      </c>
      <c r="DC126">
        <f t="shared" si="21"/>
        <v>0</v>
      </c>
    </row>
    <row r="127" spans="1:107" x14ac:dyDescent="0.2">
      <c r="A127">
        <f>ROW(Source!A141)</f>
        <v>141</v>
      </c>
      <c r="B127">
        <v>46561299</v>
      </c>
      <c r="C127">
        <v>46607275</v>
      </c>
      <c r="D127">
        <v>45143189</v>
      </c>
      <c r="E127">
        <v>1</v>
      </c>
      <c r="F127">
        <v>1</v>
      </c>
      <c r="G127">
        <v>27</v>
      </c>
      <c r="H127">
        <v>2</v>
      </c>
      <c r="I127" t="s">
        <v>302</v>
      </c>
      <c r="J127" t="s">
        <v>303</v>
      </c>
      <c r="K127" t="s">
        <v>304</v>
      </c>
      <c r="L127">
        <v>1368</v>
      </c>
      <c r="N127">
        <v>1011</v>
      </c>
      <c r="O127" t="s">
        <v>286</v>
      </c>
      <c r="P127" t="s">
        <v>286</v>
      </c>
      <c r="Q127">
        <v>1</v>
      </c>
      <c r="W127">
        <v>0</v>
      </c>
      <c r="X127">
        <v>-1757825014</v>
      </c>
      <c r="Y127">
        <v>150</v>
      </c>
      <c r="AA127">
        <v>0</v>
      </c>
      <c r="AB127">
        <v>27.21</v>
      </c>
      <c r="AC127">
        <v>0.13</v>
      </c>
      <c r="AD127">
        <v>0</v>
      </c>
      <c r="AE127">
        <v>0</v>
      </c>
      <c r="AF127">
        <v>27.21</v>
      </c>
      <c r="AG127">
        <v>0.13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150</v>
      </c>
      <c r="AU127" t="s">
        <v>3</v>
      </c>
      <c r="AV127">
        <v>0</v>
      </c>
      <c r="AW127">
        <v>2</v>
      </c>
      <c r="AX127">
        <v>46607292</v>
      </c>
      <c r="AY127">
        <v>1</v>
      </c>
      <c r="AZ127">
        <v>0</v>
      </c>
      <c r="BA127">
        <v>115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Y127*Source!I141</f>
        <v>2.835</v>
      </c>
      <c r="CY127">
        <f>AB127</f>
        <v>27.21</v>
      </c>
      <c r="CZ127">
        <f>AF127</f>
        <v>27.21</v>
      </c>
      <c r="DA127">
        <f>AJ127</f>
        <v>1</v>
      </c>
      <c r="DB127">
        <f t="shared" si="20"/>
        <v>4081.5</v>
      </c>
      <c r="DC127">
        <f t="shared" si="21"/>
        <v>19.5</v>
      </c>
    </row>
    <row r="128" spans="1:107" x14ac:dyDescent="0.2">
      <c r="A128">
        <f>ROW(Source!A141)</f>
        <v>141</v>
      </c>
      <c r="B128">
        <v>46561299</v>
      </c>
      <c r="C128">
        <v>46607275</v>
      </c>
      <c r="D128">
        <v>45143582</v>
      </c>
      <c r="E128">
        <v>1</v>
      </c>
      <c r="F128">
        <v>1</v>
      </c>
      <c r="G128">
        <v>27</v>
      </c>
      <c r="H128">
        <v>2</v>
      </c>
      <c r="I128" t="s">
        <v>305</v>
      </c>
      <c r="J128" t="s">
        <v>306</v>
      </c>
      <c r="K128" t="s">
        <v>307</v>
      </c>
      <c r="L128">
        <v>1368</v>
      </c>
      <c r="N128">
        <v>1011</v>
      </c>
      <c r="O128" t="s">
        <v>286</v>
      </c>
      <c r="P128" t="s">
        <v>286</v>
      </c>
      <c r="Q128">
        <v>1</v>
      </c>
      <c r="W128">
        <v>0</v>
      </c>
      <c r="X128">
        <v>1598319406</v>
      </c>
      <c r="Y128">
        <v>0.12</v>
      </c>
      <c r="AA128">
        <v>0</v>
      </c>
      <c r="AB128">
        <v>3.67</v>
      </c>
      <c r="AC128">
        <v>0.01</v>
      </c>
      <c r="AD128">
        <v>0</v>
      </c>
      <c r="AE128">
        <v>0</v>
      </c>
      <c r="AF128">
        <v>3.67</v>
      </c>
      <c r="AG128">
        <v>0.01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0.12</v>
      </c>
      <c r="AU128" t="s">
        <v>3</v>
      </c>
      <c r="AV128">
        <v>0</v>
      </c>
      <c r="AW128">
        <v>2</v>
      </c>
      <c r="AX128">
        <v>46607293</v>
      </c>
      <c r="AY128">
        <v>1</v>
      </c>
      <c r="AZ128">
        <v>0</v>
      </c>
      <c r="BA128">
        <v>116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Y128*Source!I141</f>
        <v>2.2680000000000001E-3</v>
      </c>
      <c r="CY128">
        <f>AB128</f>
        <v>3.67</v>
      </c>
      <c r="CZ128">
        <f>AF128</f>
        <v>3.67</v>
      </c>
      <c r="DA128">
        <f>AJ128</f>
        <v>1</v>
      </c>
      <c r="DB128">
        <f t="shared" si="20"/>
        <v>0.44</v>
      </c>
      <c r="DC128">
        <f t="shared" si="21"/>
        <v>0</v>
      </c>
    </row>
    <row r="129" spans="1:107" x14ac:dyDescent="0.2">
      <c r="A129">
        <f>ROW(Source!A141)</f>
        <v>141</v>
      </c>
      <c r="B129">
        <v>46561299</v>
      </c>
      <c r="C129">
        <v>46607275</v>
      </c>
      <c r="D129">
        <v>45142852</v>
      </c>
      <c r="E129">
        <v>1</v>
      </c>
      <c r="F129">
        <v>1</v>
      </c>
      <c r="G129">
        <v>27</v>
      </c>
      <c r="H129">
        <v>2</v>
      </c>
      <c r="I129" t="s">
        <v>308</v>
      </c>
      <c r="J129" t="s">
        <v>309</v>
      </c>
      <c r="K129" t="s">
        <v>310</v>
      </c>
      <c r="L129">
        <v>1368</v>
      </c>
      <c r="N129">
        <v>1011</v>
      </c>
      <c r="O129" t="s">
        <v>286</v>
      </c>
      <c r="P129" t="s">
        <v>286</v>
      </c>
      <c r="Q129">
        <v>1</v>
      </c>
      <c r="W129">
        <v>0</v>
      </c>
      <c r="X129">
        <v>-1323805330</v>
      </c>
      <c r="Y129">
        <v>0.31</v>
      </c>
      <c r="AA129">
        <v>0</v>
      </c>
      <c r="AB129">
        <v>683.9</v>
      </c>
      <c r="AC129">
        <v>371.27</v>
      </c>
      <c r="AD129">
        <v>0</v>
      </c>
      <c r="AE129">
        <v>0</v>
      </c>
      <c r="AF129">
        <v>683.9</v>
      </c>
      <c r="AG129">
        <v>371.27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0.31</v>
      </c>
      <c r="AU129" t="s">
        <v>3</v>
      </c>
      <c r="AV129">
        <v>0</v>
      </c>
      <c r="AW129">
        <v>2</v>
      </c>
      <c r="AX129">
        <v>46607294</v>
      </c>
      <c r="AY129">
        <v>1</v>
      </c>
      <c r="AZ129">
        <v>0</v>
      </c>
      <c r="BA129">
        <v>117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Y129*Source!I141</f>
        <v>5.8589999999999996E-3</v>
      </c>
      <c r="CY129">
        <f>AB129</f>
        <v>683.9</v>
      </c>
      <c r="CZ129">
        <f>AF129</f>
        <v>683.9</v>
      </c>
      <c r="DA129">
        <f>AJ129</f>
        <v>1</v>
      </c>
      <c r="DB129">
        <f t="shared" si="20"/>
        <v>212.01</v>
      </c>
      <c r="DC129">
        <f t="shared" si="21"/>
        <v>115.09</v>
      </c>
    </row>
    <row r="130" spans="1:107" x14ac:dyDescent="0.2">
      <c r="A130">
        <f>ROW(Source!A141)</f>
        <v>141</v>
      </c>
      <c r="B130">
        <v>46561299</v>
      </c>
      <c r="C130">
        <v>46607275</v>
      </c>
      <c r="D130">
        <v>45143022</v>
      </c>
      <c r="E130">
        <v>1</v>
      </c>
      <c r="F130">
        <v>1</v>
      </c>
      <c r="G130">
        <v>27</v>
      </c>
      <c r="H130">
        <v>2</v>
      </c>
      <c r="I130" t="s">
        <v>311</v>
      </c>
      <c r="J130" t="s">
        <v>312</v>
      </c>
      <c r="K130" t="s">
        <v>313</v>
      </c>
      <c r="L130">
        <v>1368</v>
      </c>
      <c r="N130">
        <v>1011</v>
      </c>
      <c r="O130" t="s">
        <v>286</v>
      </c>
      <c r="P130" t="s">
        <v>286</v>
      </c>
      <c r="Q130">
        <v>1</v>
      </c>
      <c r="W130">
        <v>0</v>
      </c>
      <c r="X130">
        <v>1349119844</v>
      </c>
      <c r="Y130">
        <v>11.25</v>
      </c>
      <c r="AA130">
        <v>0</v>
      </c>
      <c r="AB130">
        <v>10.82</v>
      </c>
      <c r="AC130">
        <v>2.97</v>
      </c>
      <c r="AD130">
        <v>0</v>
      </c>
      <c r="AE130">
        <v>0</v>
      </c>
      <c r="AF130">
        <v>10.82</v>
      </c>
      <c r="AG130">
        <v>2.97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11.25</v>
      </c>
      <c r="AU130" t="s">
        <v>3</v>
      </c>
      <c r="AV130">
        <v>0</v>
      </c>
      <c r="AW130">
        <v>2</v>
      </c>
      <c r="AX130">
        <v>46607295</v>
      </c>
      <c r="AY130">
        <v>1</v>
      </c>
      <c r="AZ130">
        <v>0</v>
      </c>
      <c r="BA130">
        <v>118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Y130*Source!I141</f>
        <v>0.21262500000000001</v>
      </c>
      <c r="CY130">
        <f>AB130</f>
        <v>10.82</v>
      </c>
      <c r="CZ130">
        <f>AF130</f>
        <v>10.82</v>
      </c>
      <c r="DA130">
        <f>AJ130</f>
        <v>1</v>
      </c>
      <c r="DB130">
        <f t="shared" si="20"/>
        <v>121.73</v>
      </c>
      <c r="DC130">
        <f t="shared" si="21"/>
        <v>33.409999999999997</v>
      </c>
    </row>
    <row r="131" spans="1:107" x14ac:dyDescent="0.2">
      <c r="A131">
        <f>ROW(Source!A141)</f>
        <v>141</v>
      </c>
      <c r="B131">
        <v>46561299</v>
      </c>
      <c r="C131">
        <v>46607275</v>
      </c>
      <c r="D131">
        <v>45144711</v>
      </c>
      <c r="E131">
        <v>1</v>
      </c>
      <c r="F131">
        <v>1</v>
      </c>
      <c r="G131">
        <v>27</v>
      </c>
      <c r="H131">
        <v>3</v>
      </c>
      <c r="I131" t="s">
        <v>314</v>
      </c>
      <c r="J131" t="s">
        <v>315</v>
      </c>
      <c r="K131" t="s">
        <v>316</v>
      </c>
      <c r="L131">
        <v>1348</v>
      </c>
      <c r="N131">
        <v>1009</v>
      </c>
      <c r="O131" t="s">
        <v>65</v>
      </c>
      <c r="P131" t="s">
        <v>65</v>
      </c>
      <c r="Q131">
        <v>1000</v>
      </c>
      <c r="W131">
        <v>0</v>
      </c>
      <c r="X131">
        <v>1959613851</v>
      </c>
      <c r="Y131">
        <v>2E-3</v>
      </c>
      <c r="AA131">
        <v>49736.04</v>
      </c>
      <c r="AB131">
        <v>0</v>
      </c>
      <c r="AC131">
        <v>0</v>
      </c>
      <c r="AD131">
        <v>0</v>
      </c>
      <c r="AE131">
        <v>49736.04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2E-3</v>
      </c>
      <c r="AU131" t="s">
        <v>3</v>
      </c>
      <c r="AV131">
        <v>0</v>
      </c>
      <c r="AW131">
        <v>2</v>
      </c>
      <c r="AX131">
        <v>46607296</v>
      </c>
      <c r="AY131">
        <v>1</v>
      </c>
      <c r="AZ131">
        <v>0</v>
      </c>
      <c r="BA131">
        <v>119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Y131*Source!I141</f>
        <v>3.7800000000000004E-5</v>
      </c>
      <c r="CY131">
        <f t="shared" ref="CY131:CY140" si="22">AA131</f>
        <v>49736.04</v>
      </c>
      <c r="CZ131">
        <f t="shared" ref="CZ131:CZ140" si="23">AE131</f>
        <v>49736.04</v>
      </c>
      <c r="DA131">
        <f t="shared" ref="DA131:DA140" si="24">AI131</f>
        <v>1</v>
      </c>
      <c r="DB131">
        <f t="shared" si="20"/>
        <v>99.47</v>
      </c>
      <c r="DC131">
        <f t="shared" si="21"/>
        <v>0</v>
      </c>
    </row>
    <row r="132" spans="1:107" x14ac:dyDescent="0.2">
      <c r="A132">
        <f>ROW(Source!A141)</f>
        <v>141</v>
      </c>
      <c r="B132">
        <v>46561299</v>
      </c>
      <c r="C132">
        <v>46607275</v>
      </c>
      <c r="D132">
        <v>45145459</v>
      </c>
      <c r="E132">
        <v>1</v>
      </c>
      <c r="F132">
        <v>1</v>
      </c>
      <c r="G132">
        <v>27</v>
      </c>
      <c r="H132">
        <v>3</v>
      </c>
      <c r="I132" t="s">
        <v>317</v>
      </c>
      <c r="J132" t="s">
        <v>318</v>
      </c>
      <c r="K132" t="s">
        <v>319</v>
      </c>
      <c r="L132">
        <v>1327</v>
      </c>
      <c r="N132">
        <v>1005</v>
      </c>
      <c r="O132" t="s">
        <v>40</v>
      </c>
      <c r="P132" t="s">
        <v>40</v>
      </c>
      <c r="Q132">
        <v>1</v>
      </c>
      <c r="W132">
        <v>0</v>
      </c>
      <c r="X132">
        <v>-2047649341</v>
      </c>
      <c r="Y132">
        <v>30</v>
      </c>
      <c r="AA132">
        <v>91.89</v>
      </c>
      <c r="AB132">
        <v>0</v>
      </c>
      <c r="AC132">
        <v>0</v>
      </c>
      <c r="AD132">
        <v>0</v>
      </c>
      <c r="AE132">
        <v>91.89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30</v>
      </c>
      <c r="AU132" t="s">
        <v>3</v>
      </c>
      <c r="AV132">
        <v>0</v>
      </c>
      <c r="AW132">
        <v>2</v>
      </c>
      <c r="AX132">
        <v>46607298</v>
      </c>
      <c r="AY132">
        <v>1</v>
      </c>
      <c r="AZ132">
        <v>0</v>
      </c>
      <c r="BA132">
        <v>120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Y132*Source!I141</f>
        <v>0.56699999999999995</v>
      </c>
      <c r="CY132">
        <f t="shared" si="22"/>
        <v>91.89</v>
      </c>
      <c r="CZ132">
        <f t="shared" si="23"/>
        <v>91.89</v>
      </c>
      <c r="DA132">
        <f t="shared" si="24"/>
        <v>1</v>
      </c>
      <c r="DB132">
        <f t="shared" si="20"/>
        <v>2756.7</v>
      </c>
      <c r="DC132">
        <f t="shared" si="21"/>
        <v>0</v>
      </c>
    </row>
    <row r="133" spans="1:107" x14ac:dyDescent="0.2">
      <c r="A133">
        <f>ROW(Source!A141)</f>
        <v>141</v>
      </c>
      <c r="B133">
        <v>46561299</v>
      </c>
      <c r="C133">
        <v>46607275</v>
      </c>
      <c r="D133">
        <v>45145543</v>
      </c>
      <c r="E133">
        <v>1</v>
      </c>
      <c r="F133">
        <v>1</v>
      </c>
      <c r="G133">
        <v>27</v>
      </c>
      <c r="H133">
        <v>3</v>
      </c>
      <c r="I133" t="s">
        <v>320</v>
      </c>
      <c r="J133" t="s">
        <v>321</v>
      </c>
      <c r="K133" t="s">
        <v>322</v>
      </c>
      <c r="L133">
        <v>1348</v>
      </c>
      <c r="N133">
        <v>1009</v>
      </c>
      <c r="O133" t="s">
        <v>65</v>
      </c>
      <c r="P133" t="s">
        <v>65</v>
      </c>
      <c r="Q133">
        <v>1000</v>
      </c>
      <c r="W133">
        <v>0</v>
      </c>
      <c r="X133">
        <v>-672771621</v>
      </c>
      <c r="Y133">
        <v>0.16</v>
      </c>
      <c r="AA133">
        <v>110781.14</v>
      </c>
      <c r="AB133">
        <v>0</v>
      </c>
      <c r="AC133">
        <v>0</v>
      </c>
      <c r="AD133">
        <v>0</v>
      </c>
      <c r="AE133">
        <v>110781.14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0.16</v>
      </c>
      <c r="AU133" t="s">
        <v>3</v>
      </c>
      <c r="AV133">
        <v>0</v>
      </c>
      <c r="AW133">
        <v>2</v>
      </c>
      <c r="AX133">
        <v>46607299</v>
      </c>
      <c r="AY133">
        <v>1</v>
      </c>
      <c r="AZ133">
        <v>0</v>
      </c>
      <c r="BA133">
        <v>121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Y133*Source!I141</f>
        <v>3.0240000000000002E-3</v>
      </c>
      <c r="CY133">
        <f t="shared" si="22"/>
        <v>110781.14</v>
      </c>
      <c r="CZ133">
        <f t="shared" si="23"/>
        <v>110781.14</v>
      </c>
      <c r="DA133">
        <f t="shared" si="24"/>
        <v>1</v>
      </c>
      <c r="DB133">
        <f t="shared" si="20"/>
        <v>17724.98</v>
      </c>
      <c r="DC133">
        <f t="shared" si="21"/>
        <v>0</v>
      </c>
    </row>
    <row r="134" spans="1:107" x14ac:dyDescent="0.2">
      <c r="A134">
        <f>ROW(Source!A141)</f>
        <v>141</v>
      </c>
      <c r="B134">
        <v>46561299</v>
      </c>
      <c r="C134">
        <v>46607275</v>
      </c>
      <c r="D134">
        <v>45143830</v>
      </c>
      <c r="E134">
        <v>1</v>
      </c>
      <c r="F134">
        <v>1</v>
      </c>
      <c r="G134">
        <v>27</v>
      </c>
      <c r="H134">
        <v>3</v>
      </c>
      <c r="I134" t="s">
        <v>323</v>
      </c>
      <c r="J134" t="s">
        <v>324</v>
      </c>
      <c r="K134" t="s">
        <v>325</v>
      </c>
      <c r="L134">
        <v>1348</v>
      </c>
      <c r="N134">
        <v>1009</v>
      </c>
      <c r="O134" t="s">
        <v>65</v>
      </c>
      <c r="P134" t="s">
        <v>65</v>
      </c>
      <c r="Q134">
        <v>1000</v>
      </c>
      <c r="W134">
        <v>0</v>
      </c>
      <c r="X134">
        <v>-459844717</v>
      </c>
      <c r="Y134">
        <v>0.01</v>
      </c>
      <c r="AA134">
        <v>4752.34</v>
      </c>
      <c r="AB134">
        <v>0</v>
      </c>
      <c r="AC134">
        <v>0</v>
      </c>
      <c r="AD134">
        <v>0</v>
      </c>
      <c r="AE134">
        <v>4752.34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0.01</v>
      </c>
      <c r="AU134" t="s">
        <v>3</v>
      </c>
      <c r="AV134">
        <v>0</v>
      </c>
      <c r="AW134">
        <v>2</v>
      </c>
      <c r="AX134">
        <v>46607297</v>
      </c>
      <c r="AY134">
        <v>1</v>
      </c>
      <c r="AZ134">
        <v>0</v>
      </c>
      <c r="BA134">
        <v>122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Y134*Source!I141</f>
        <v>1.8900000000000001E-4</v>
      </c>
      <c r="CY134">
        <f t="shared" si="22"/>
        <v>4752.34</v>
      </c>
      <c r="CZ134">
        <f t="shared" si="23"/>
        <v>4752.34</v>
      </c>
      <c r="DA134">
        <f t="shared" si="24"/>
        <v>1</v>
      </c>
      <c r="DB134">
        <f t="shared" si="20"/>
        <v>47.52</v>
      </c>
      <c r="DC134">
        <f t="shared" si="21"/>
        <v>0</v>
      </c>
    </row>
    <row r="135" spans="1:107" x14ac:dyDescent="0.2">
      <c r="A135">
        <f>ROW(Source!A141)</f>
        <v>141</v>
      </c>
      <c r="B135">
        <v>46561299</v>
      </c>
      <c r="C135">
        <v>46607275</v>
      </c>
      <c r="D135">
        <v>45145636</v>
      </c>
      <c r="E135">
        <v>1</v>
      </c>
      <c r="F135">
        <v>1</v>
      </c>
      <c r="G135">
        <v>27</v>
      </c>
      <c r="H135">
        <v>3</v>
      </c>
      <c r="I135" t="s">
        <v>293</v>
      </c>
      <c r="J135" t="s">
        <v>294</v>
      </c>
      <c r="K135" t="s">
        <v>295</v>
      </c>
      <c r="L135">
        <v>1339</v>
      </c>
      <c r="N135">
        <v>1007</v>
      </c>
      <c r="O135" t="s">
        <v>29</v>
      </c>
      <c r="P135" t="s">
        <v>29</v>
      </c>
      <c r="Q135">
        <v>1</v>
      </c>
      <c r="W135">
        <v>0</v>
      </c>
      <c r="X135">
        <v>1927597627</v>
      </c>
      <c r="Y135">
        <v>0.73</v>
      </c>
      <c r="AA135">
        <v>35.25</v>
      </c>
      <c r="AB135">
        <v>0</v>
      </c>
      <c r="AC135">
        <v>0</v>
      </c>
      <c r="AD135">
        <v>0</v>
      </c>
      <c r="AE135">
        <v>35.25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0.73</v>
      </c>
      <c r="AU135" t="s">
        <v>3</v>
      </c>
      <c r="AV135">
        <v>0</v>
      </c>
      <c r="AW135">
        <v>2</v>
      </c>
      <c r="AX135">
        <v>46607300</v>
      </c>
      <c r="AY135">
        <v>1</v>
      </c>
      <c r="AZ135">
        <v>0</v>
      </c>
      <c r="BA135">
        <v>123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Y135*Source!I141</f>
        <v>1.3797E-2</v>
      </c>
      <c r="CY135">
        <f t="shared" si="22"/>
        <v>35.25</v>
      </c>
      <c r="CZ135">
        <f t="shared" si="23"/>
        <v>35.25</v>
      </c>
      <c r="DA135">
        <f t="shared" si="24"/>
        <v>1</v>
      </c>
      <c r="DB135">
        <f t="shared" si="20"/>
        <v>25.73</v>
      </c>
      <c r="DC135">
        <f t="shared" si="21"/>
        <v>0</v>
      </c>
    </row>
    <row r="136" spans="1:107" x14ac:dyDescent="0.2">
      <c r="A136">
        <f>ROW(Source!A141)</f>
        <v>141</v>
      </c>
      <c r="B136">
        <v>46561299</v>
      </c>
      <c r="C136">
        <v>46607275</v>
      </c>
      <c r="D136">
        <v>45144338</v>
      </c>
      <c r="E136">
        <v>1</v>
      </c>
      <c r="F136">
        <v>1</v>
      </c>
      <c r="G136">
        <v>27</v>
      </c>
      <c r="H136">
        <v>3</v>
      </c>
      <c r="I136" t="s">
        <v>326</v>
      </c>
      <c r="J136" t="s">
        <v>327</v>
      </c>
      <c r="K136" t="s">
        <v>328</v>
      </c>
      <c r="L136">
        <v>1339</v>
      </c>
      <c r="N136">
        <v>1007</v>
      </c>
      <c r="O136" t="s">
        <v>29</v>
      </c>
      <c r="P136" t="s">
        <v>29</v>
      </c>
      <c r="Q136">
        <v>1</v>
      </c>
      <c r="W136">
        <v>0</v>
      </c>
      <c r="X136">
        <v>538447250</v>
      </c>
      <c r="Y136">
        <v>0.04</v>
      </c>
      <c r="AA136">
        <v>7098.7</v>
      </c>
      <c r="AB136">
        <v>0</v>
      </c>
      <c r="AC136">
        <v>0</v>
      </c>
      <c r="AD136">
        <v>0</v>
      </c>
      <c r="AE136">
        <v>7098.7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0.04</v>
      </c>
      <c r="AU136" t="s">
        <v>3</v>
      </c>
      <c r="AV136">
        <v>0</v>
      </c>
      <c r="AW136">
        <v>2</v>
      </c>
      <c r="AX136">
        <v>46607301</v>
      </c>
      <c r="AY136">
        <v>1</v>
      </c>
      <c r="AZ136">
        <v>0</v>
      </c>
      <c r="BA136">
        <v>124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Y136*Source!I141</f>
        <v>7.5600000000000005E-4</v>
      </c>
      <c r="CY136">
        <f t="shared" si="22"/>
        <v>7098.7</v>
      </c>
      <c r="CZ136">
        <f t="shared" si="23"/>
        <v>7098.7</v>
      </c>
      <c r="DA136">
        <f t="shared" si="24"/>
        <v>1</v>
      </c>
      <c r="DB136">
        <f t="shared" si="20"/>
        <v>283.95</v>
      </c>
      <c r="DC136">
        <f t="shared" si="21"/>
        <v>0</v>
      </c>
    </row>
    <row r="137" spans="1:107" x14ac:dyDescent="0.2">
      <c r="A137">
        <f>ROW(Source!A141)</f>
        <v>141</v>
      </c>
      <c r="B137">
        <v>46561299</v>
      </c>
      <c r="C137">
        <v>46607275</v>
      </c>
      <c r="D137">
        <v>45146605</v>
      </c>
      <c r="E137">
        <v>1</v>
      </c>
      <c r="F137">
        <v>1</v>
      </c>
      <c r="G137">
        <v>27</v>
      </c>
      <c r="H137">
        <v>3</v>
      </c>
      <c r="I137" t="s">
        <v>55</v>
      </c>
      <c r="J137" t="s">
        <v>57</v>
      </c>
      <c r="K137" t="s">
        <v>56</v>
      </c>
      <c r="L137">
        <v>1339</v>
      </c>
      <c r="N137">
        <v>1007</v>
      </c>
      <c r="O137" t="s">
        <v>29</v>
      </c>
      <c r="P137" t="s">
        <v>29</v>
      </c>
      <c r="Q137">
        <v>1</v>
      </c>
      <c r="W137">
        <v>1</v>
      </c>
      <c r="X137">
        <v>426331755</v>
      </c>
      <c r="Y137">
        <v>-101.5</v>
      </c>
      <c r="AA137">
        <v>3714.73</v>
      </c>
      <c r="AB137">
        <v>0</v>
      </c>
      <c r="AC137">
        <v>0</v>
      </c>
      <c r="AD137">
        <v>0</v>
      </c>
      <c r="AE137">
        <v>3714.73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-101.5</v>
      </c>
      <c r="AU137" t="s">
        <v>3</v>
      </c>
      <c r="AV137">
        <v>0</v>
      </c>
      <c r="AW137">
        <v>2</v>
      </c>
      <c r="AX137">
        <v>46607302</v>
      </c>
      <c r="AY137">
        <v>1</v>
      </c>
      <c r="AZ137">
        <v>6144</v>
      </c>
      <c r="BA137">
        <v>125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Y137*Source!I141</f>
        <v>-1.91835</v>
      </c>
      <c r="CY137">
        <f t="shared" si="22"/>
        <v>3714.73</v>
      </c>
      <c r="CZ137">
        <f t="shared" si="23"/>
        <v>3714.73</v>
      </c>
      <c r="DA137">
        <f t="shared" si="24"/>
        <v>1</v>
      </c>
      <c r="DB137">
        <f t="shared" si="20"/>
        <v>-377045.1</v>
      </c>
      <c r="DC137">
        <f t="shared" si="21"/>
        <v>0</v>
      </c>
    </row>
    <row r="138" spans="1:107" x14ac:dyDescent="0.2">
      <c r="A138">
        <f>ROW(Source!A141)</f>
        <v>141</v>
      </c>
      <c r="B138">
        <v>46561299</v>
      </c>
      <c r="C138">
        <v>46607275</v>
      </c>
      <c r="D138">
        <v>45146619</v>
      </c>
      <c r="E138">
        <v>1</v>
      </c>
      <c r="F138">
        <v>1</v>
      </c>
      <c r="G138">
        <v>27</v>
      </c>
      <c r="H138">
        <v>3</v>
      </c>
      <c r="I138" t="s">
        <v>51</v>
      </c>
      <c r="J138" t="s">
        <v>53</v>
      </c>
      <c r="K138" t="s">
        <v>52</v>
      </c>
      <c r="L138">
        <v>1339</v>
      </c>
      <c r="N138">
        <v>1007</v>
      </c>
      <c r="O138" t="s">
        <v>29</v>
      </c>
      <c r="P138" t="s">
        <v>29</v>
      </c>
      <c r="Q138">
        <v>1</v>
      </c>
      <c r="W138">
        <v>0</v>
      </c>
      <c r="X138">
        <v>-793492541</v>
      </c>
      <c r="Y138">
        <v>101.5</v>
      </c>
      <c r="AA138">
        <v>3884.73</v>
      </c>
      <c r="AB138">
        <v>0</v>
      </c>
      <c r="AC138">
        <v>0</v>
      </c>
      <c r="AD138">
        <v>0</v>
      </c>
      <c r="AE138">
        <v>3884.73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 t="s">
        <v>3</v>
      </c>
      <c r="AT138">
        <v>101.5</v>
      </c>
      <c r="AU138" t="s">
        <v>3</v>
      </c>
      <c r="AV138">
        <v>0</v>
      </c>
      <c r="AW138">
        <v>1</v>
      </c>
      <c r="AX138">
        <v>-1</v>
      </c>
      <c r="AY138">
        <v>0</v>
      </c>
      <c r="AZ138">
        <v>0</v>
      </c>
      <c r="BA138" t="s">
        <v>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Y138*Source!I141</f>
        <v>1.91835</v>
      </c>
      <c r="CY138">
        <f t="shared" si="22"/>
        <v>3884.73</v>
      </c>
      <c r="CZ138">
        <f t="shared" si="23"/>
        <v>3884.73</v>
      </c>
      <c r="DA138">
        <f t="shared" si="24"/>
        <v>1</v>
      </c>
      <c r="DB138">
        <f t="shared" si="20"/>
        <v>394300.1</v>
      </c>
      <c r="DC138">
        <f t="shared" si="21"/>
        <v>0</v>
      </c>
    </row>
    <row r="139" spans="1:107" x14ac:dyDescent="0.2">
      <c r="A139">
        <f>ROW(Source!A141)</f>
        <v>141</v>
      </c>
      <c r="B139">
        <v>46561299</v>
      </c>
      <c r="C139">
        <v>46607275</v>
      </c>
      <c r="D139">
        <v>45146856</v>
      </c>
      <c r="E139">
        <v>1</v>
      </c>
      <c r="F139">
        <v>1</v>
      </c>
      <c r="G139">
        <v>27</v>
      </c>
      <c r="H139">
        <v>3</v>
      </c>
      <c r="I139" t="s">
        <v>329</v>
      </c>
      <c r="J139" t="s">
        <v>330</v>
      </c>
      <c r="K139" t="s">
        <v>331</v>
      </c>
      <c r="L139">
        <v>1348</v>
      </c>
      <c r="N139">
        <v>1009</v>
      </c>
      <c r="O139" t="s">
        <v>65</v>
      </c>
      <c r="P139" t="s">
        <v>65</v>
      </c>
      <c r="Q139">
        <v>1000</v>
      </c>
      <c r="W139">
        <v>0</v>
      </c>
      <c r="X139">
        <v>653530504</v>
      </c>
      <c r="Y139">
        <v>8.1</v>
      </c>
      <c r="AA139">
        <v>34634.379999999997</v>
      </c>
      <c r="AB139">
        <v>0</v>
      </c>
      <c r="AC139">
        <v>0</v>
      </c>
      <c r="AD139">
        <v>0</v>
      </c>
      <c r="AE139">
        <v>34634.379999999997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8.1</v>
      </c>
      <c r="AU139" t="s">
        <v>3</v>
      </c>
      <c r="AV139">
        <v>0</v>
      </c>
      <c r="AW139">
        <v>2</v>
      </c>
      <c r="AX139">
        <v>46607303</v>
      </c>
      <c r="AY139">
        <v>1</v>
      </c>
      <c r="AZ139">
        <v>0</v>
      </c>
      <c r="BA139">
        <v>126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Y139*Source!I141</f>
        <v>0.15309</v>
      </c>
      <c r="CY139">
        <f t="shared" si="22"/>
        <v>34634.379999999997</v>
      </c>
      <c r="CZ139">
        <f t="shared" si="23"/>
        <v>34634.379999999997</v>
      </c>
      <c r="DA139">
        <f t="shared" si="24"/>
        <v>1</v>
      </c>
      <c r="DB139">
        <f t="shared" si="20"/>
        <v>280538.48</v>
      </c>
      <c r="DC139">
        <f t="shared" si="21"/>
        <v>0</v>
      </c>
    </row>
    <row r="140" spans="1:107" x14ac:dyDescent="0.2">
      <c r="A140">
        <f>ROW(Source!A141)</f>
        <v>141</v>
      </c>
      <c r="B140">
        <v>46561299</v>
      </c>
      <c r="C140">
        <v>46607275</v>
      </c>
      <c r="D140">
        <v>45148767</v>
      </c>
      <c r="E140">
        <v>1</v>
      </c>
      <c r="F140">
        <v>1</v>
      </c>
      <c r="G140">
        <v>27</v>
      </c>
      <c r="H140">
        <v>3</v>
      </c>
      <c r="I140" t="s">
        <v>332</v>
      </c>
      <c r="J140" t="s">
        <v>333</v>
      </c>
      <c r="K140" t="s">
        <v>334</v>
      </c>
      <c r="L140">
        <v>1327</v>
      </c>
      <c r="N140">
        <v>1005</v>
      </c>
      <c r="O140" t="s">
        <v>40</v>
      </c>
      <c r="P140" t="s">
        <v>40</v>
      </c>
      <c r="Q140">
        <v>1</v>
      </c>
      <c r="W140">
        <v>0</v>
      </c>
      <c r="X140">
        <v>1680411856</v>
      </c>
      <c r="Y140">
        <v>3.6</v>
      </c>
      <c r="AA140">
        <v>473.82</v>
      </c>
      <c r="AB140">
        <v>0</v>
      </c>
      <c r="AC140">
        <v>0</v>
      </c>
      <c r="AD140">
        <v>0</v>
      </c>
      <c r="AE140">
        <v>473.82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3.6</v>
      </c>
      <c r="AU140" t="s">
        <v>3</v>
      </c>
      <c r="AV140">
        <v>0</v>
      </c>
      <c r="AW140">
        <v>2</v>
      </c>
      <c r="AX140">
        <v>46607304</v>
      </c>
      <c r="AY140">
        <v>1</v>
      </c>
      <c r="AZ140">
        <v>0</v>
      </c>
      <c r="BA140">
        <v>127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Y140*Source!I141</f>
        <v>6.8040000000000003E-2</v>
      </c>
      <c r="CY140">
        <f t="shared" si="22"/>
        <v>473.82</v>
      </c>
      <c r="CZ140">
        <f t="shared" si="23"/>
        <v>473.82</v>
      </c>
      <c r="DA140">
        <f t="shared" si="24"/>
        <v>1</v>
      </c>
      <c r="DB140">
        <f t="shared" si="20"/>
        <v>1705.75</v>
      </c>
      <c r="DC140">
        <f t="shared" si="21"/>
        <v>0</v>
      </c>
    </row>
    <row r="141" spans="1:107" x14ac:dyDescent="0.2">
      <c r="A141">
        <f>ROW(Source!A144)</f>
        <v>144</v>
      </c>
      <c r="B141">
        <v>46561299</v>
      </c>
      <c r="C141">
        <v>46607307</v>
      </c>
      <c r="D141">
        <v>45130551</v>
      </c>
      <c r="E141">
        <v>27</v>
      </c>
      <c r="F141">
        <v>1</v>
      </c>
      <c r="G141">
        <v>27</v>
      </c>
      <c r="H141">
        <v>1</v>
      </c>
      <c r="I141" t="s">
        <v>280</v>
      </c>
      <c r="J141" t="s">
        <v>3</v>
      </c>
      <c r="K141" t="s">
        <v>281</v>
      </c>
      <c r="L141">
        <v>1191</v>
      </c>
      <c r="N141">
        <v>1013</v>
      </c>
      <c r="O141" t="s">
        <v>282</v>
      </c>
      <c r="P141" t="s">
        <v>282</v>
      </c>
      <c r="Q141">
        <v>1</v>
      </c>
      <c r="W141">
        <v>0</v>
      </c>
      <c r="X141">
        <v>476480486</v>
      </c>
      <c r="Y141">
        <v>0.6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0.6</v>
      </c>
      <c r="AU141" t="s">
        <v>3</v>
      </c>
      <c r="AV141">
        <v>1</v>
      </c>
      <c r="AW141">
        <v>2</v>
      </c>
      <c r="AX141">
        <v>46607309</v>
      </c>
      <c r="AY141">
        <v>1</v>
      </c>
      <c r="AZ141">
        <v>0</v>
      </c>
      <c r="BA141">
        <v>128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Y141*Source!I144</f>
        <v>10.5</v>
      </c>
      <c r="CY141">
        <f>AD141</f>
        <v>0</v>
      </c>
      <c r="CZ141">
        <f>AH141</f>
        <v>0</v>
      </c>
      <c r="DA141">
        <f>AL141</f>
        <v>1</v>
      </c>
      <c r="DB141">
        <f t="shared" si="20"/>
        <v>0</v>
      </c>
      <c r="DC141">
        <f t="shared" si="21"/>
        <v>0</v>
      </c>
    </row>
    <row r="142" spans="1:107" x14ac:dyDescent="0.2">
      <c r="A142">
        <f>ROW(Source!A145)</f>
        <v>145</v>
      </c>
      <c r="B142">
        <v>46561299</v>
      </c>
      <c r="C142">
        <v>46607310</v>
      </c>
      <c r="D142">
        <v>45130551</v>
      </c>
      <c r="E142">
        <v>27</v>
      </c>
      <c r="F142">
        <v>1</v>
      </c>
      <c r="G142">
        <v>27</v>
      </c>
      <c r="H142">
        <v>1</v>
      </c>
      <c r="I142" t="s">
        <v>280</v>
      </c>
      <c r="J142" t="s">
        <v>3</v>
      </c>
      <c r="K142" t="s">
        <v>281</v>
      </c>
      <c r="L142">
        <v>1191</v>
      </c>
      <c r="N142">
        <v>1013</v>
      </c>
      <c r="O142" t="s">
        <v>282</v>
      </c>
      <c r="P142" t="s">
        <v>282</v>
      </c>
      <c r="Q142">
        <v>1</v>
      </c>
      <c r="W142">
        <v>0</v>
      </c>
      <c r="X142">
        <v>476480486</v>
      </c>
      <c r="Y142">
        <v>174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174</v>
      </c>
      <c r="AU142" t="s">
        <v>3</v>
      </c>
      <c r="AV142">
        <v>1</v>
      </c>
      <c r="AW142">
        <v>2</v>
      </c>
      <c r="AX142">
        <v>46607313</v>
      </c>
      <c r="AY142">
        <v>1</v>
      </c>
      <c r="AZ142">
        <v>0</v>
      </c>
      <c r="BA142">
        <v>129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Y142*Source!I145</f>
        <v>13.049999999999999</v>
      </c>
      <c r="CY142">
        <f>AD142</f>
        <v>0</v>
      </c>
      <c r="CZ142">
        <f>AH142</f>
        <v>0</v>
      </c>
      <c r="DA142">
        <f>AL142</f>
        <v>1</v>
      </c>
      <c r="DB142">
        <f t="shared" si="20"/>
        <v>0</v>
      </c>
      <c r="DC142">
        <f t="shared" si="21"/>
        <v>0</v>
      </c>
    </row>
    <row r="143" spans="1:107" x14ac:dyDescent="0.2">
      <c r="A143">
        <f>ROW(Source!A145)</f>
        <v>145</v>
      </c>
      <c r="B143">
        <v>46561299</v>
      </c>
      <c r="C143">
        <v>46607310</v>
      </c>
      <c r="D143">
        <v>45146676</v>
      </c>
      <c r="E143">
        <v>1</v>
      </c>
      <c r="F143">
        <v>1</v>
      </c>
      <c r="G143">
        <v>27</v>
      </c>
      <c r="H143">
        <v>3</v>
      </c>
      <c r="I143" t="s">
        <v>377</v>
      </c>
      <c r="J143" t="s">
        <v>378</v>
      </c>
      <c r="K143" t="s">
        <v>379</v>
      </c>
      <c r="L143">
        <v>1339</v>
      </c>
      <c r="N143">
        <v>1007</v>
      </c>
      <c r="O143" t="s">
        <v>29</v>
      </c>
      <c r="P143" t="s">
        <v>29</v>
      </c>
      <c r="Q143">
        <v>1</v>
      </c>
      <c r="W143">
        <v>0</v>
      </c>
      <c r="X143">
        <v>635135946</v>
      </c>
      <c r="Y143">
        <v>2.2000000000000002</v>
      </c>
      <c r="AA143">
        <v>3386.9</v>
      </c>
      <c r="AB143">
        <v>0</v>
      </c>
      <c r="AC143">
        <v>0</v>
      </c>
      <c r="AD143">
        <v>0</v>
      </c>
      <c r="AE143">
        <v>3386.9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2.2000000000000002</v>
      </c>
      <c r="AU143" t="s">
        <v>3</v>
      </c>
      <c r="AV143">
        <v>0</v>
      </c>
      <c r="AW143">
        <v>2</v>
      </c>
      <c r="AX143">
        <v>46607314</v>
      </c>
      <c r="AY143">
        <v>1</v>
      </c>
      <c r="AZ143">
        <v>0</v>
      </c>
      <c r="BA143">
        <v>130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Y143*Source!I145</f>
        <v>0.16500000000000001</v>
      </c>
      <c r="CY143">
        <f>AA143</f>
        <v>3386.9</v>
      </c>
      <c r="CZ143">
        <f>AE143</f>
        <v>3386.9</v>
      </c>
      <c r="DA143">
        <f>AI143</f>
        <v>1</v>
      </c>
      <c r="DB143">
        <f t="shared" si="20"/>
        <v>7451.18</v>
      </c>
      <c r="DC143">
        <f t="shared" si="21"/>
        <v>0</v>
      </c>
    </row>
    <row r="144" spans="1:107" x14ac:dyDescent="0.2">
      <c r="A144">
        <f>ROW(Source!A146)</f>
        <v>146</v>
      </c>
      <c r="B144">
        <v>46561299</v>
      </c>
      <c r="C144">
        <v>46607315</v>
      </c>
      <c r="D144">
        <v>45130551</v>
      </c>
      <c r="E144">
        <v>27</v>
      </c>
      <c r="F144">
        <v>1</v>
      </c>
      <c r="G144">
        <v>27</v>
      </c>
      <c r="H144">
        <v>1</v>
      </c>
      <c r="I144" t="s">
        <v>280</v>
      </c>
      <c r="J144" t="s">
        <v>3</v>
      </c>
      <c r="K144" t="s">
        <v>281</v>
      </c>
      <c r="L144">
        <v>1191</v>
      </c>
      <c r="N144">
        <v>1013</v>
      </c>
      <c r="O144" t="s">
        <v>282</v>
      </c>
      <c r="P144" t="s">
        <v>282</v>
      </c>
      <c r="Q144">
        <v>1</v>
      </c>
      <c r="W144">
        <v>0</v>
      </c>
      <c r="X144">
        <v>476480486</v>
      </c>
      <c r="Y144">
        <v>11.6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11.6</v>
      </c>
      <c r="AU144" t="s">
        <v>3</v>
      </c>
      <c r="AV144">
        <v>1</v>
      </c>
      <c r="AW144">
        <v>2</v>
      </c>
      <c r="AX144">
        <v>46607324</v>
      </c>
      <c r="AY144">
        <v>1</v>
      </c>
      <c r="AZ144">
        <v>0</v>
      </c>
      <c r="BA144">
        <v>131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Y144*Source!I146</f>
        <v>2.9</v>
      </c>
      <c r="CY144">
        <f>AD144</f>
        <v>0</v>
      </c>
      <c r="CZ144">
        <f>AH144</f>
        <v>0</v>
      </c>
      <c r="DA144">
        <f>AL144</f>
        <v>1</v>
      </c>
      <c r="DB144">
        <f t="shared" si="20"/>
        <v>0</v>
      </c>
      <c r="DC144">
        <f t="shared" si="21"/>
        <v>0</v>
      </c>
    </row>
    <row r="145" spans="1:107" x14ac:dyDescent="0.2">
      <c r="A145">
        <f>ROW(Source!A146)</f>
        <v>146</v>
      </c>
      <c r="B145">
        <v>46561299</v>
      </c>
      <c r="C145">
        <v>46607315</v>
      </c>
      <c r="D145">
        <v>45143099</v>
      </c>
      <c r="E145">
        <v>1</v>
      </c>
      <c r="F145">
        <v>1</v>
      </c>
      <c r="G145">
        <v>27</v>
      </c>
      <c r="H145">
        <v>2</v>
      </c>
      <c r="I145" t="s">
        <v>351</v>
      </c>
      <c r="J145" t="s">
        <v>352</v>
      </c>
      <c r="K145" t="s">
        <v>353</v>
      </c>
      <c r="L145">
        <v>1368</v>
      </c>
      <c r="N145">
        <v>1011</v>
      </c>
      <c r="O145" t="s">
        <v>286</v>
      </c>
      <c r="P145" t="s">
        <v>286</v>
      </c>
      <c r="Q145">
        <v>1</v>
      </c>
      <c r="W145">
        <v>0</v>
      </c>
      <c r="X145">
        <v>-2137968664</v>
      </c>
      <c r="Y145">
        <v>5.2</v>
      </c>
      <c r="AA145">
        <v>0</v>
      </c>
      <c r="AB145">
        <v>98.05</v>
      </c>
      <c r="AC145">
        <v>33.06</v>
      </c>
      <c r="AD145">
        <v>0</v>
      </c>
      <c r="AE145">
        <v>0</v>
      </c>
      <c r="AF145">
        <v>98.05</v>
      </c>
      <c r="AG145">
        <v>33.06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5.2</v>
      </c>
      <c r="AU145" t="s">
        <v>3</v>
      </c>
      <c r="AV145">
        <v>0</v>
      </c>
      <c r="AW145">
        <v>2</v>
      </c>
      <c r="AX145">
        <v>46607325</v>
      </c>
      <c r="AY145">
        <v>1</v>
      </c>
      <c r="AZ145">
        <v>0</v>
      </c>
      <c r="BA145">
        <v>132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Y145*Source!I146</f>
        <v>1.3</v>
      </c>
      <c r="CY145">
        <f>AB145</f>
        <v>98.05</v>
      </c>
      <c r="CZ145">
        <f>AF145</f>
        <v>98.05</v>
      </c>
      <c r="DA145">
        <f>AJ145</f>
        <v>1</v>
      </c>
      <c r="DB145">
        <f t="shared" si="20"/>
        <v>509.86</v>
      </c>
      <c r="DC145">
        <f t="shared" si="21"/>
        <v>171.91</v>
      </c>
    </row>
    <row r="146" spans="1:107" x14ac:dyDescent="0.2">
      <c r="A146">
        <f>ROW(Source!A146)</f>
        <v>146</v>
      </c>
      <c r="B146">
        <v>46561299</v>
      </c>
      <c r="C146">
        <v>46607315</v>
      </c>
      <c r="D146">
        <v>45143219</v>
      </c>
      <c r="E146">
        <v>1</v>
      </c>
      <c r="F146">
        <v>1</v>
      </c>
      <c r="G146">
        <v>27</v>
      </c>
      <c r="H146">
        <v>2</v>
      </c>
      <c r="I146" t="s">
        <v>380</v>
      </c>
      <c r="J146" t="s">
        <v>381</v>
      </c>
      <c r="K146" t="s">
        <v>382</v>
      </c>
      <c r="L146">
        <v>1368</v>
      </c>
      <c r="N146">
        <v>1011</v>
      </c>
      <c r="O146" t="s">
        <v>286</v>
      </c>
      <c r="P146" t="s">
        <v>286</v>
      </c>
      <c r="Q146">
        <v>1</v>
      </c>
      <c r="W146">
        <v>0</v>
      </c>
      <c r="X146">
        <v>-521417728</v>
      </c>
      <c r="Y146">
        <v>10.4</v>
      </c>
      <c r="AA146">
        <v>0</v>
      </c>
      <c r="AB146">
        <v>45.47</v>
      </c>
      <c r="AC146">
        <v>25.5</v>
      </c>
      <c r="AD146">
        <v>0</v>
      </c>
      <c r="AE146">
        <v>0</v>
      </c>
      <c r="AF146">
        <v>45.47</v>
      </c>
      <c r="AG146">
        <v>25.5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10.4</v>
      </c>
      <c r="AU146" t="s">
        <v>3</v>
      </c>
      <c r="AV146">
        <v>0</v>
      </c>
      <c r="AW146">
        <v>2</v>
      </c>
      <c r="AX146">
        <v>46607326</v>
      </c>
      <c r="AY146">
        <v>1</v>
      </c>
      <c r="AZ146">
        <v>0</v>
      </c>
      <c r="BA146">
        <v>133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Y146*Source!I146</f>
        <v>2.6</v>
      </c>
      <c r="CY146">
        <f>AB146</f>
        <v>45.47</v>
      </c>
      <c r="CZ146">
        <f>AF146</f>
        <v>45.47</v>
      </c>
      <c r="DA146">
        <f>AJ146</f>
        <v>1</v>
      </c>
      <c r="DB146">
        <f t="shared" si="20"/>
        <v>472.89</v>
      </c>
      <c r="DC146">
        <f t="shared" si="21"/>
        <v>265.2</v>
      </c>
    </row>
    <row r="147" spans="1:107" x14ac:dyDescent="0.2">
      <c r="A147">
        <f>ROW(Source!A146)</f>
        <v>146</v>
      </c>
      <c r="B147">
        <v>46561299</v>
      </c>
      <c r="C147">
        <v>46607315</v>
      </c>
      <c r="D147">
        <v>45142866</v>
      </c>
      <c r="E147">
        <v>1</v>
      </c>
      <c r="F147">
        <v>1</v>
      </c>
      <c r="G147">
        <v>27</v>
      </c>
      <c r="H147">
        <v>2</v>
      </c>
      <c r="I147" t="s">
        <v>354</v>
      </c>
      <c r="J147" t="s">
        <v>355</v>
      </c>
      <c r="K147" t="s">
        <v>356</v>
      </c>
      <c r="L147">
        <v>1368</v>
      </c>
      <c r="N147">
        <v>1011</v>
      </c>
      <c r="O147" t="s">
        <v>286</v>
      </c>
      <c r="P147" t="s">
        <v>286</v>
      </c>
      <c r="Q147">
        <v>1</v>
      </c>
      <c r="W147">
        <v>0</v>
      </c>
      <c r="X147">
        <v>-54802859</v>
      </c>
      <c r="Y147">
        <v>0.09</v>
      </c>
      <c r="AA147">
        <v>0</v>
      </c>
      <c r="AB147">
        <v>16.920000000000002</v>
      </c>
      <c r="AC147">
        <v>0.09</v>
      </c>
      <c r="AD147">
        <v>0</v>
      </c>
      <c r="AE147">
        <v>0</v>
      </c>
      <c r="AF147">
        <v>16.920000000000002</v>
      </c>
      <c r="AG147">
        <v>0.09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0.09</v>
      </c>
      <c r="AU147" t="s">
        <v>3</v>
      </c>
      <c r="AV147">
        <v>0</v>
      </c>
      <c r="AW147">
        <v>2</v>
      </c>
      <c r="AX147">
        <v>46607327</v>
      </c>
      <c r="AY147">
        <v>1</v>
      </c>
      <c r="AZ147">
        <v>0</v>
      </c>
      <c r="BA147">
        <v>134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Y147*Source!I146</f>
        <v>2.2499999999999999E-2</v>
      </c>
      <c r="CY147">
        <f>AB147</f>
        <v>16.920000000000002</v>
      </c>
      <c r="CZ147">
        <f>AF147</f>
        <v>16.920000000000002</v>
      </c>
      <c r="DA147">
        <f>AJ147</f>
        <v>1</v>
      </c>
      <c r="DB147">
        <f t="shared" si="20"/>
        <v>1.52</v>
      </c>
      <c r="DC147">
        <f t="shared" si="21"/>
        <v>0.01</v>
      </c>
    </row>
    <row r="148" spans="1:107" x14ac:dyDescent="0.2">
      <c r="A148">
        <f>ROW(Source!A146)</f>
        <v>146</v>
      </c>
      <c r="B148">
        <v>46561299</v>
      </c>
      <c r="C148">
        <v>46607315</v>
      </c>
      <c r="D148">
        <v>45145449</v>
      </c>
      <c r="E148">
        <v>1</v>
      </c>
      <c r="F148">
        <v>1</v>
      </c>
      <c r="G148">
        <v>27</v>
      </c>
      <c r="H148">
        <v>3</v>
      </c>
      <c r="I148" t="s">
        <v>383</v>
      </c>
      <c r="J148" t="s">
        <v>384</v>
      </c>
      <c r="K148" t="s">
        <v>385</v>
      </c>
      <c r="L148">
        <v>1346</v>
      </c>
      <c r="N148">
        <v>1009</v>
      </c>
      <c r="O148" t="s">
        <v>359</v>
      </c>
      <c r="P148" t="s">
        <v>359</v>
      </c>
      <c r="Q148">
        <v>1</v>
      </c>
      <c r="W148">
        <v>0</v>
      </c>
      <c r="X148">
        <v>44890498</v>
      </c>
      <c r="Y148">
        <v>0.41</v>
      </c>
      <c r="AA148">
        <v>28.41</v>
      </c>
      <c r="AB148">
        <v>0</v>
      </c>
      <c r="AC148">
        <v>0</v>
      </c>
      <c r="AD148">
        <v>0</v>
      </c>
      <c r="AE148">
        <v>28.41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0.41</v>
      </c>
      <c r="AU148" t="s">
        <v>3</v>
      </c>
      <c r="AV148">
        <v>0</v>
      </c>
      <c r="AW148">
        <v>2</v>
      </c>
      <c r="AX148">
        <v>46607328</v>
      </c>
      <c r="AY148">
        <v>1</v>
      </c>
      <c r="AZ148">
        <v>0</v>
      </c>
      <c r="BA148">
        <v>135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Y148*Source!I146</f>
        <v>0.10249999999999999</v>
      </c>
      <c r="CY148">
        <f>AA148</f>
        <v>28.41</v>
      </c>
      <c r="CZ148">
        <f>AE148</f>
        <v>28.41</v>
      </c>
      <c r="DA148">
        <f>AI148</f>
        <v>1</v>
      </c>
      <c r="DB148">
        <f t="shared" si="20"/>
        <v>11.65</v>
      </c>
      <c r="DC148">
        <f t="shared" si="21"/>
        <v>0</v>
      </c>
    </row>
    <row r="149" spans="1:107" x14ac:dyDescent="0.2">
      <c r="A149">
        <f>ROW(Source!A146)</f>
        <v>146</v>
      </c>
      <c r="B149">
        <v>46561299</v>
      </c>
      <c r="C149">
        <v>46607315</v>
      </c>
      <c r="D149">
        <v>45144148</v>
      </c>
      <c r="E149">
        <v>1</v>
      </c>
      <c r="F149">
        <v>1</v>
      </c>
      <c r="G149">
        <v>27</v>
      </c>
      <c r="H149">
        <v>3</v>
      </c>
      <c r="I149" t="s">
        <v>363</v>
      </c>
      <c r="J149" t="s">
        <v>364</v>
      </c>
      <c r="K149" t="s">
        <v>365</v>
      </c>
      <c r="L149">
        <v>1348</v>
      </c>
      <c r="N149">
        <v>1009</v>
      </c>
      <c r="O149" t="s">
        <v>65</v>
      </c>
      <c r="P149" t="s">
        <v>65</v>
      </c>
      <c r="Q149">
        <v>1000</v>
      </c>
      <c r="W149">
        <v>0</v>
      </c>
      <c r="X149">
        <v>1958569313</v>
      </c>
      <c r="Y149">
        <v>1.6000000000000001E-3</v>
      </c>
      <c r="AA149">
        <v>63195.54</v>
      </c>
      <c r="AB149">
        <v>0</v>
      </c>
      <c r="AC149">
        <v>0</v>
      </c>
      <c r="AD149">
        <v>0</v>
      </c>
      <c r="AE149">
        <v>63195.54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1.6000000000000001E-3</v>
      </c>
      <c r="AU149" t="s">
        <v>3</v>
      </c>
      <c r="AV149">
        <v>0</v>
      </c>
      <c r="AW149">
        <v>2</v>
      </c>
      <c r="AX149">
        <v>46607329</v>
      </c>
      <c r="AY149">
        <v>1</v>
      </c>
      <c r="AZ149">
        <v>0</v>
      </c>
      <c r="BA149">
        <v>136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Y149*Source!I146</f>
        <v>4.0000000000000002E-4</v>
      </c>
      <c r="CY149">
        <f>AA149</f>
        <v>63195.54</v>
      </c>
      <c r="CZ149">
        <f>AE149</f>
        <v>63195.54</v>
      </c>
      <c r="DA149">
        <f>AI149</f>
        <v>1</v>
      </c>
      <c r="DB149">
        <f t="shared" si="20"/>
        <v>101.11</v>
      </c>
      <c r="DC149">
        <f t="shared" si="21"/>
        <v>0</v>
      </c>
    </row>
    <row r="150" spans="1:107" x14ac:dyDescent="0.2">
      <c r="A150">
        <f>ROW(Source!A146)</f>
        <v>146</v>
      </c>
      <c r="B150">
        <v>46561299</v>
      </c>
      <c r="C150">
        <v>46607315</v>
      </c>
      <c r="D150">
        <v>45144091</v>
      </c>
      <c r="E150">
        <v>1</v>
      </c>
      <c r="F150">
        <v>1</v>
      </c>
      <c r="G150">
        <v>27</v>
      </c>
      <c r="H150">
        <v>3</v>
      </c>
      <c r="I150" t="s">
        <v>210</v>
      </c>
      <c r="J150" t="s">
        <v>212</v>
      </c>
      <c r="K150" t="s">
        <v>211</v>
      </c>
      <c r="L150">
        <v>1348</v>
      </c>
      <c r="N150">
        <v>1009</v>
      </c>
      <c r="O150" t="s">
        <v>65</v>
      </c>
      <c r="P150" t="s">
        <v>65</v>
      </c>
      <c r="Q150">
        <v>1000</v>
      </c>
      <c r="W150">
        <v>1</v>
      </c>
      <c r="X150">
        <v>1042308594</v>
      </c>
      <c r="Y150">
        <v>-5.3800000000000001E-2</v>
      </c>
      <c r="AA150">
        <v>103647.55</v>
      </c>
      <c r="AB150">
        <v>0</v>
      </c>
      <c r="AC150">
        <v>0</v>
      </c>
      <c r="AD150">
        <v>0</v>
      </c>
      <c r="AE150">
        <v>103647.55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-5.3800000000000001E-2</v>
      </c>
      <c r="AU150" t="s">
        <v>3</v>
      </c>
      <c r="AV150">
        <v>0</v>
      </c>
      <c r="AW150">
        <v>2</v>
      </c>
      <c r="AX150">
        <v>46607330</v>
      </c>
      <c r="AY150">
        <v>1</v>
      </c>
      <c r="AZ150">
        <v>6144</v>
      </c>
      <c r="BA150">
        <v>137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Y150*Source!I146</f>
        <v>-1.345E-2</v>
      </c>
      <c r="CY150">
        <f>AA150</f>
        <v>103647.55</v>
      </c>
      <c r="CZ150">
        <f>AE150</f>
        <v>103647.55</v>
      </c>
      <c r="DA150">
        <f>AI150</f>
        <v>1</v>
      </c>
      <c r="DB150">
        <f t="shared" ref="DB150:DB178" si="25">ROUND(ROUND(AT150*CZ150,2),6)</f>
        <v>-5576.24</v>
      </c>
      <c r="DC150">
        <f t="shared" ref="DC150:DC178" si="26">ROUND(ROUND(AT150*AG150,2),6)</f>
        <v>0</v>
      </c>
    </row>
    <row r="151" spans="1:107" x14ac:dyDescent="0.2">
      <c r="A151">
        <f>ROW(Source!A146)</f>
        <v>146</v>
      </c>
      <c r="B151">
        <v>46561299</v>
      </c>
      <c r="C151">
        <v>46607315</v>
      </c>
      <c r="D151">
        <v>45144094</v>
      </c>
      <c r="E151">
        <v>1</v>
      </c>
      <c r="F151">
        <v>1</v>
      </c>
      <c r="G151">
        <v>27</v>
      </c>
      <c r="H151">
        <v>3</v>
      </c>
      <c r="I151" t="s">
        <v>206</v>
      </c>
      <c r="J151" t="s">
        <v>208</v>
      </c>
      <c r="K151" t="s">
        <v>207</v>
      </c>
      <c r="L151">
        <v>1348</v>
      </c>
      <c r="N151">
        <v>1009</v>
      </c>
      <c r="O151" t="s">
        <v>65</v>
      </c>
      <c r="P151" t="s">
        <v>65</v>
      </c>
      <c r="Q151">
        <v>1000</v>
      </c>
      <c r="W151">
        <v>0</v>
      </c>
      <c r="X151">
        <v>302977583</v>
      </c>
      <c r="Y151">
        <v>5.3800000000000001E-2</v>
      </c>
      <c r="AA151">
        <v>110447.55</v>
      </c>
      <c r="AB151">
        <v>0</v>
      </c>
      <c r="AC151">
        <v>0</v>
      </c>
      <c r="AD151">
        <v>0</v>
      </c>
      <c r="AE151">
        <v>110447.55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3</v>
      </c>
      <c r="AT151">
        <v>5.3800000000000001E-2</v>
      </c>
      <c r="AU151" t="s">
        <v>3</v>
      </c>
      <c r="AV151">
        <v>0</v>
      </c>
      <c r="AW151">
        <v>1</v>
      </c>
      <c r="AX151">
        <v>-1</v>
      </c>
      <c r="AY151">
        <v>0</v>
      </c>
      <c r="AZ151">
        <v>0</v>
      </c>
      <c r="BA151" t="s">
        <v>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Y151*Source!I146</f>
        <v>1.345E-2</v>
      </c>
      <c r="CY151">
        <f>AA151</f>
        <v>110447.55</v>
      </c>
      <c r="CZ151">
        <f>AE151</f>
        <v>110447.55</v>
      </c>
      <c r="DA151">
        <f>AI151</f>
        <v>1</v>
      </c>
      <c r="DB151">
        <f t="shared" si="25"/>
        <v>5942.08</v>
      </c>
      <c r="DC151">
        <f t="shared" si="26"/>
        <v>0</v>
      </c>
    </row>
    <row r="152" spans="1:107" x14ac:dyDescent="0.2">
      <c r="A152">
        <f>ROW(Source!A149)</f>
        <v>149</v>
      </c>
      <c r="B152">
        <v>46561299</v>
      </c>
      <c r="C152">
        <v>46607333</v>
      </c>
      <c r="D152">
        <v>45130551</v>
      </c>
      <c r="E152">
        <v>27</v>
      </c>
      <c r="F152">
        <v>1</v>
      </c>
      <c r="G152">
        <v>27</v>
      </c>
      <c r="H152">
        <v>1</v>
      </c>
      <c r="I152" t="s">
        <v>280</v>
      </c>
      <c r="J152" t="s">
        <v>3</v>
      </c>
      <c r="K152" t="s">
        <v>281</v>
      </c>
      <c r="L152">
        <v>1191</v>
      </c>
      <c r="N152">
        <v>1013</v>
      </c>
      <c r="O152" t="s">
        <v>282</v>
      </c>
      <c r="P152" t="s">
        <v>282</v>
      </c>
      <c r="Q152">
        <v>1</v>
      </c>
      <c r="W152">
        <v>0</v>
      </c>
      <c r="X152">
        <v>476480486</v>
      </c>
      <c r="Y152">
        <v>111.78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111.78</v>
      </c>
      <c r="AU152" t="s">
        <v>3</v>
      </c>
      <c r="AV152">
        <v>1</v>
      </c>
      <c r="AW152">
        <v>2</v>
      </c>
      <c r="AX152">
        <v>46607336</v>
      </c>
      <c r="AY152">
        <v>1</v>
      </c>
      <c r="AZ152">
        <v>0</v>
      </c>
      <c r="BA152">
        <v>138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Y152*Source!I149</f>
        <v>3.1298400000000002</v>
      </c>
      <c r="CY152">
        <f>AD152</f>
        <v>0</v>
      </c>
      <c r="CZ152">
        <f>AH152</f>
        <v>0</v>
      </c>
      <c r="DA152">
        <f>AL152</f>
        <v>1</v>
      </c>
      <c r="DB152">
        <f t="shared" si="25"/>
        <v>0</v>
      </c>
      <c r="DC152">
        <f t="shared" si="26"/>
        <v>0</v>
      </c>
    </row>
    <row r="153" spans="1:107" x14ac:dyDescent="0.2">
      <c r="A153">
        <f>ROW(Source!A149)</f>
        <v>149</v>
      </c>
      <c r="B153">
        <v>46561299</v>
      </c>
      <c r="C153">
        <v>46607333</v>
      </c>
      <c r="D153">
        <v>45144549</v>
      </c>
      <c r="E153">
        <v>1</v>
      </c>
      <c r="F153">
        <v>1</v>
      </c>
      <c r="G153">
        <v>27</v>
      </c>
      <c r="H153">
        <v>3</v>
      </c>
      <c r="I153" t="s">
        <v>386</v>
      </c>
      <c r="J153" t="s">
        <v>387</v>
      </c>
      <c r="K153" t="s">
        <v>388</v>
      </c>
      <c r="L153">
        <v>1348</v>
      </c>
      <c r="N153">
        <v>1009</v>
      </c>
      <c r="O153" t="s">
        <v>65</v>
      </c>
      <c r="P153" t="s">
        <v>65</v>
      </c>
      <c r="Q153">
        <v>1000</v>
      </c>
      <c r="W153">
        <v>0</v>
      </c>
      <c r="X153">
        <v>-1892654938</v>
      </c>
      <c r="Y153">
        <v>0.56999999999999995</v>
      </c>
      <c r="AA153">
        <v>52115.040000000001</v>
      </c>
      <c r="AB153">
        <v>0</v>
      </c>
      <c r="AC153">
        <v>0</v>
      </c>
      <c r="AD153">
        <v>0</v>
      </c>
      <c r="AE153">
        <v>52115.040000000001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0.56999999999999995</v>
      </c>
      <c r="AU153" t="s">
        <v>3</v>
      </c>
      <c r="AV153">
        <v>0</v>
      </c>
      <c r="AW153">
        <v>2</v>
      </c>
      <c r="AX153">
        <v>46607337</v>
      </c>
      <c r="AY153">
        <v>1</v>
      </c>
      <c r="AZ153">
        <v>0</v>
      </c>
      <c r="BA153">
        <v>139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Y153*Source!I149</f>
        <v>1.5959999999999998E-2</v>
      </c>
      <c r="CY153">
        <f>AA153</f>
        <v>52115.040000000001</v>
      </c>
      <c r="CZ153">
        <f>AE153</f>
        <v>52115.040000000001</v>
      </c>
      <c r="DA153">
        <f>AI153</f>
        <v>1</v>
      </c>
      <c r="DB153">
        <f t="shared" si="25"/>
        <v>29705.57</v>
      </c>
      <c r="DC153">
        <f t="shared" si="26"/>
        <v>0</v>
      </c>
    </row>
    <row r="154" spans="1:107" x14ac:dyDescent="0.2">
      <c r="A154">
        <f>ROW(Source!A150)</f>
        <v>150</v>
      </c>
      <c r="B154">
        <v>46561299</v>
      </c>
      <c r="C154">
        <v>46607338</v>
      </c>
      <c r="D154">
        <v>45130551</v>
      </c>
      <c r="E154">
        <v>27</v>
      </c>
      <c r="F154">
        <v>1</v>
      </c>
      <c r="G154">
        <v>27</v>
      </c>
      <c r="H154">
        <v>1</v>
      </c>
      <c r="I154" t="s">
        <v>280</v>
      </c>
      <c r="J154" t="s">
        <v>3</v>
      </c>
      <c r="K154" t="s">
        <v>281</v>
      </c>
      <c r="L154">
        <v>1191</v>
      </c>
      <c r="N154">
        <v>1013</v>
      </c>
      <c r="O154" t="s">
        <v>282</v>
      </c>
      <c r="P154" t="s">
        <v>282</v>
      </c>
      <c r="Q154">
        <v>1</v>
      </c>
      <c r="W154">
        <v>0</v>
      </c>
      <c r="X154">
        <v>476480486</v>
      </c>
      <c r="Y154">
        <v>2.97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2.97</v>
      </c>
      <c r="AU154" t="s">
        <v>3</v>
      </c>
      <c r="AV154">
        <v>1</v>
      </c>
      <c r="AW154">
        <v>2</v>
      </c>
      <c r="AX154">
        <v>46607354</v>
      </c>
      <c r="AY154">
        <v>1</v>
      </c>
      <c r="AZ154">
        <v>0</v>
      </c>
      <c r="BA154">
        <v>140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Y154*Source!I150</f>
        <v>321.35400000000004</v>
      </c>
      <c r="CY154">
        <f>AD154</f>
        <v>0</v>
      </c>
      <c r="CZ154">
        <f>AH154</f>
        <v>0</v>
      </c>
      <c r="DA154">
        <f>AL154</f>
        <v>1</v>
      </c>
      <c r="DB154">
        <f t="shared" si="25"/>
        <v>0</v>
      </c>
      <c r="DC154">
        <f t="shared" si="26"/>
        <v>0</v>
      </c>
    </row>
    <row r="155" spans="1:107" x14ac:dyDescent="0.2">
      <c r="A155">
        <f>ROW(Source!A150)</f>
        <v>150</v>
      </c>
      <c r="B155">
        <v>46561299</v>
      </c>
      <c r="C155">
        <v>46607338</v>
      </c>
      <c r="D155">
        <v>45143190</v>
      </c>
      <c r="E155">
        <v>1</v>
      </c>
      <c r="F155">
        <v>1</v>
      </c>
      <c r="G155">
        <v>27</v>
      </c>
      <c r="H155">
        <v>2</v>
      </c>
      <c r="I155" t="s">
        <v>335</v>
      </c>
      <c r="J155" t="s">
        <v>336</v>
      </c>
      <c r="K155" t="s">
        <v>337</v>
      </c>
      <c r="L155">
        <v>1368</v>
      </c>
      <c r="N155">
        <v>1011</v>
      </c>
      <c r="O155" t="s">
        <v>286</v>
      </c>
      <c r="P155" t="s">
        <v>286</v>
      </c>
      <c r="Q155">
        <v>1</v>
      </c>
      <c r="W155">
        <v>0</v>
      </c>
      <c r="X155">
        <v>-711828296</v>
      </c>
      <c r="Y155">
        <v>0.38400000000000001</v>
      </c>
      <c r="AA155">
        <v>0</v>
      </c>
      <c r="AB155">
        <v>351.29</v>
      </c>
      <c r="AC155">
        <v>7.02</v>
      </c>
      <c r="AD155">
        <v>0</v>
      </c>
      <c r="AE155">
        <v>0</v>
      </c>
      <c r="AF155">
        <v>351.29</v>
      </c>
      <c r="AG155">
        <v>7.02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0.38400000000000001</v>
      </c>
      <c r="AU155" t="s">
        <v>3</v>
      </c>
      <c r="AV155">
        <v>0</v>
      </c>
      <c r="AW155">
        <v>2</v>
      </c>
      <c r="AX155">
        <v>46607355</v>
      </c>
      <c r="AY155">
        <v>1</v>
      </c>
      <c r="AZ155">
        <v>0</v>
      </c>
      <c r="BA155">
        <v>141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Y155*Source!I150</f>
        <v>41.5488</v>
      </c>
      <c r="CY155">
        <f>AB155</f>
        <v>351.29</v>
      </c>
      <c r="CZ155">
        <f>AF155</f>
        <v>351.29</v>
      </c>
      <c r="DA155">
        <f>AJ155</f>
        <v>1</v>
      </c>
      <c r="DB155">
        <f t="shared" si="25"/>
        <v>134.9</v>
      </c>
      <c r="DC155">
        <f t="shared" si="26"/>
        <v>2.7</v>
      </c>
    </row>
    <row r="156" spans="1:107" x14ac:dyDescent="0.2">
      <c r="A156">
        <f>ROW(Source!A150)</f>
        <v>150</v>
      </c>
      <c r="B156">
        <v>46561299</v>
      </c>
      <c r="C156">
        <v>46607338</v>
      </c>
      <c r="D156">
        <v>45143575</v>
      </c>
      <c r="E156">
        <v>1</v>
      </c>
      <c r="F156">
        <v>1</v>
      </c>
      <c r="G156">
        <v>27</v>
      </c>
      <c r="H156">
        <v>2</v>
      </c>
      <c r="I156" t="s">
        <v>338</v>
      </c>
      <c r="J156" t="s">
        <v>339</v>
      </c>
      <c r="K156" t="s">
        <v>340</v>
      </c>
      <c r="L156">
        <v>1368</v>
      </c>
      <c r="N156">
        <v>1011</v>
      </c>
      <c r="O156" t="s">
        <v>286</v>
      </c>
      <c r="P156" t="s">
        <v>286</v>
      </c>
      <c r="Q156">
        <v>1</v>
      </c>
      <c r="W156">
        <v>0</v>
      </c>
      <c r="X156">
        <v>-764600179</v>
      </c>
      <c r="Y156">
        <v>0.115</v>
      </c>
      <c r="AA156">
        <v>0</v>
      </c>
      <c r="AB156">
        <v>5.94</v>
      </c>
      <c r="AC156">
        <v>0.02</v>
      </c>
      <c r="AD156">
        <v>0</v>
      </c>
      <c r="AE156">
        <v>0</v>
      </c>
      <c r="AF156">
        <v>5.94</v>
      </c>
      <c r="AG156">
        <v>0.02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0.115</v>
      </c>
      <c r="AU156" t="s">
        <v>3</v>
      </c>
      <c r="AV156">
        <v>0</v>
      </c>
      <c r="AW156">
        <v>2</v>
      </c>
      <c r="AX156">
        <v>46607356</v>
      </c>
      <c r="AY156">
        <v>1</v>
      </c>
      <c r="AZ156">
        <v>0</v>
      </c>
      <c r="BA156">
        <v>142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Y156*Source!I150</f>
        <v>12.443000000000001</v>
      </c>
      <c r="CY156">
        <f>AB156</f>
        <v>5.94</v>
      </c>
      <c r="CZ156">
        <f>AF156</f>
        <v>5.94</v>
      </c>
      <c r="DA156">
        <f>AJ156</f>
        <v>1</v>
      </c>
      <c r="DB156">
        <f t="shared" si="25"/>
        <v>0.68</v>
      </c>
      <c r="DC156">
        <f t="shared" si="26"/>
        <v>0</v>
      </c>
    </row>
    <row r="157" spans="1:107" x14ac:dyDescent="0.2">
      <c r="A157">
        <f>ROW(Source!A150)</f>
        <v>150</v>
      </c>
      <c r="B157">
        <v>46561299</v>
      </c>
      <c r="C157">
        <v>46607338</v>
      </c>
      <c r="D157">
        <v>45143598</v>
      </c>
      <c r="E157">
        <v>1</v>
      </c>
      <c r="F157">
        <v>1</v>
      </c>
      <c r="G157">
        <v>27</v>
      </c>
      <c r="H157">
        <v>2</v>
      </c>
      <c r="I157" t="s">
        <v>341</v>
      </c>
      <c r="J157" t="s">
        <v>342</v>
      </c>
      <c r="K157" t="s">
        <v>343</v>
      </c>
      <c r="L157">
        <v>1368</v>
      </c>
      <c r="N157">
        <v>1011</v>
      </c>
      <c r="O157" t="s">
        <v>286</v>
      </c>
      <c r="P157" t="s">
        <v>286</v>
      </c>
      <c r="Q157">
        <v>1</v>
      </c>
      <c r="W157">
        <v>0</v>
      </c>
      <c r="X157">
        <v>676633484</v>
      </c>
      <c r="Y157">
        <v>0.504</v>
      </c>
      <c r="AA157">
        <v>0</v>
      </c>
      <c r="AB157">
        <v>652.16</v>
      </c>
      <c r="AC157">
        <v>581.9</v>
      </c>
      <c r="AD157">
        <v>0</v>
      </c>
      <c r="AE157">
        <v>0</v>
      </c>
      <c r="AF157">
        <v>652.16</v>
      </c>
      <c r="AG157">
        <v>581.9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0.504</v>
      </c>
      <c r="AU157" t="s">
        <v>3</v>
      </c>
      <c r="AV157">
        <v>0</v>
      </c>
      <c r="AW157">
        <v>2</v>
      </c>
      <c r="AX157">
        <v>46607357</v>
      </c>
      <c r="AY157">
        <v>1</v>
      </c>
      <c r="AZ157">
        <v>0</v>
      </c>
      <c r="BA157">
        <v>143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Y157*Source!I150</f>
        <v>54.532800000000002</v>
      </c>
      <c r="CY157">
        <f>AB157</f>
        <v>652.16</v>
      </c>
      <c r="CZ157">
        <f>AF157</f>
        <v>652.16</v>
      </c>
      <c r="DA157">
        <f>AJ157</f>
        <v>1</v>
      </c>
      <c r="DB157">
        <f t="shared" si="25"/>
        <v>328.69</v>
      </c>
      <c r="DC157">
        <f t="shared" si="26"/>
        <v>293.27999999999997</v>
      </c>
    </row>
    <row r="158" spans="1:107" x14ac:dyDescent="0.2">
      <c r="A158">
        <f>ROW(Source!A150)</f>
        <v>150</v>
      </c>
      <c r="B158">
        <v>46561299</v>
      </c>
      <c r="C158">
        <v>46607338</v>
      </c>
      <c r="D158">
        <v>45144496</v>
      </c>
      <c r="E158">
        <v>1</v>
      </c>
      <c r="F158">
        <v>1</v>
      </c>
      <c r="G158">
        <v>27</v>
      </c>
      <c r="H158">
        <v>3</v>
      </c>
      <c r="I158" t="s">
        <v>68</v>
      </c>
      <c r="J158" t="s">
        <v>70</v>
      </c>
      <c r="K158" t="s">
        <v>221</v>
      </c>
      <c r="L158">
        <v>1348</v>
      </c>
      <c r="N158">
        <v>1009</v>
      </c>
      <c r="O158" t="s">
        <v>65</v>
      </c>
      <c r="P158" t="s">
        <v>65</v>
      </c>
      <c r="Q158">
        <v>1000</v>
      </c>
      <c r="W158">
        <v>0</v>
      </c>
      <c r="X158">
        <v>1148419560</v>
      </c>
      <c r="Y158">
        <v>7.6540000000000002E-3</v>
      </c>
      <c r="AA158">
        <v>32819.879999999997</v>
      </c>
      <c r="AB158">
        <v>0</v>
      </c>
      <c r="AC158">
        <v>0</v>
      </c>
      <c r="AD158">
        <v>0</v>
      </c>
      <c r="AE158">
        <v>32819.879999999997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3</v>
      </c>
      <c r="AT158">
        <v>7.6540000000000002E-3</v>
      </c>
      <c r="AU158" t="s">
        <v>3</v>
      </c>
      <c r="AV158">
        <v>0</v>
      </c>
      <c r="AW158">
        <v>1</v>
      </c>
      <c r="AX158">
        <v>-1</v>
      </c>
      <c r="AY158">
        <v>0</v>
      </c>
      <c r="AZ158">
        <v>0</v>
      </c>
      <c r="BA158" t="s">
        <v>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Y158*Source!I150</f>
        <v>0.82816280000000009</v>
      </c>
      <c r="CY158">
        <f t="shared" ref="CY158:CY168" si="27">AA158</f>
        <v>32819.879999999997</v>
      </c>
      <c r="CZ158">
        <f t="shared" ref="CZ158:CZ168" si="28">AE158</f>
        <v>32819.879999999997</v>
      </c>
      <c r="DA158">
        <f t="shared" ref="DA158:DA168" si="29">AI158</f>
        <v>1</v>
      </c>
      <c r="DB158">
        <f t="shared" si="25"/>
        <v>251.2</v>
      </c>
      <c r="DC158">
        <f t="shared" si="26"/>
        <v>0</v>
      </c>
    </row>
    <row r="159" spans="1:107" x14ac:dyDescent="0.2">
      <c r="A159">
        <f>ROW(Source!A150)</f>
        <v>150</v>
      </c>
      <c r="B159">
        <v>46561299</v>
      </c>
      <c r="C159">
        <v>46607338</v>
      </c>
      <c r="D159">
        <v>45144555</v>
      </c>
      <c r="E159">
        <v>1</v>
      </c>
      <c r="F159">
        <v>1</v>
      </c>
      <c r="G159">
        <v>27</v>
      </c>
      <c r="H159">
        <v>3</v>
      </c>
      <c r="I159" t="s">
        <v>344</v>
      </c>
      <c r="J159" t="s">
        <v>345</v>
      </c>
      <c r="K159" t="s">
        <v>346</v>
      </c>
      <c r="L159">
        <v>1348</v>
      </c>
      <c r="N159">
        <v>1009</v>
      </c>
      <c r="O159" t="s">
        <v>65</v>
      </c>
      <c r="P159" t="s">
        <v>65</v>
      </c>
      <c r="Q159">
        <v>1000</v>
      </c>
      <c r="W159">
        <v>0</v>
      </c>
      <c r="X159">
        <v>-1210277159</v>
      </c>
      <c r="Y159">
        <v>1.01E-3</v>
      </c>
      <c r="AA159">
        <v>38268.54</v>
      </c>
      <c r="AB159">
        <v>0</v>
      </c>
      <c r="AC159">
        <v>0</v>
      </c>
      <c r="AD159">
        <v>0</v>
      </c>
      <c r="AE159">
        <v>38268.54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1.01E-3</v>
      </c>
      <c r="AU159" t="s">
        <v>3</v>
      </c>
      <c r="AV159">
        <v>0</v>
      </c>
      <c r="AW159">
        <v>2</v>
      </c>
      <c r="AX159">
        <v>46607358</v>
      </c>
      <c r="AY159">
        <v>1</v>
      </c>
      <c r="AZ159">
        <v>0</v>
      </c>
      <c r="BA159">
        <v>144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Y159*Source!I150</f>
        <v>0.109282</v>
      </c>
      <c r="CY159">
        <f t="shared" si="27"/>
        <v>38268.54</v>
      </c>
      <c r="CZ159">
        <f t="shared" si="28"/>
        <v>38268.54</v>
      </c>
      <c r="DA159">
        <f t="shared" si="29"/>
        <v>1</v>
      </c>
      <c r="DB159">
        <f t="shared" si="25"/>
        <v>38.65</v>
      </c>
      <c r="DC159">
        <f t="shared" si="26"/>
        <v>0</v>
      </c>
    </row>
    <row r="160" spans="1:107" x14ac:dyDescent="0.2">
      <c r="A160">
        <f>ROW(Source!A150)</f>
        <v>150</v>
      </c>
      <c r="B160">
        <v>46561299</v>
      </c>
      <c r="C160">
        <v>46607338</v>
      </c>
      <c r="D160">
        <v>45144413</v>
      </c>
      <c r="E160">
        <v>1</v>
      </c>
      <c r="F160">
        <v>1</v>
      </c>
      <c r="G160">
        <v>27</v>
      </c>
      <c r="H160">
        <v>3</v>
      </c>
      <c r="I160" t="s">
        <v>84</v>
      </c>
      <c r="J160" t="s">
        <v>86</v>
      </c>
      <c r="K160" t="s">
        <v>85</v>
      </c>
      <c r="L160">
        <v>1348</v>
      </c>
      <c r="N160">
        <v>1009</v>
      </c>
      <c r="O160" t="s">
        <v>65</v>
      </c>
      <c r="P160" t="s">
        <v>65</v>
      </c>
      <c r="Q160">
        <v>1000</v>
      </c>
      <c r="W160">
        <v>1</v>
      </c>
      <c r="X160">
        <v>-2126876791</v>
      </c>
      <c r="Y160">
        <v>-0.14899999999999999</v>
      </c>
      <c r="AA160">
        <v>37537.54</v>
      </c>
      <c r="AB160">
        <v>0</v>
      </c>
      <c r="AC160">
        <v>0</v>
      </c>
      <c r="AD160">
        <v>0</v>
      </c>
      <c r="AE160">
        <v>37537.54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-0.14899999999999999</v>
      </c>
      <c r="AU160" t="s">
        <v>3</v>
      </c>
      <c r="AV160">
        <v>0</v>
      </c>
      <c r="AW160">
        <v>2</v>
      </c>
      <c r="AX160">
        <v>46607359</v>
      </c>
      <c r="AY160">
        <v>1</v>
      </c>
      <c r="AZ160">
        <v>6144</v>
      </c>
      <c r="BA160">
        <v>145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Y160*Source!I150</f>
        <v>-16.1218</v>
      </c>
      <c r="CY160">
        <f t="shared" si="27"/>
        <v>37537.54</v>
      </c>
      <c r="CZ160">
        <f t="shared" si="28"/>
        <v>37537.54</v>
      </c>
      <c r="DA160">
        <f t="shared" si="29"/>
        <v>1</v>
      </c>
      <c r="DB160">
        <f t="shared" si="25"/>
        <v>-5593.09</v>
      </c>
      <c r="DC160">
        <f t="shared" si="26"/>
        <v>0</v>
      </c>
    </row>
    <row r="161" spans="1:107" x14ac:dyDescent="0.2">
      <c r="A161">
        <f>ROW(Source!A150)</f>
        <v>150</v>
      </c>
      <c r="B161">
        <v>46561299</v>
      </c>
      <c r="C161">
        <v>46607338</v>
      </c>
      <c r="D161">
        <v>45144419</v>
      </c>
      <c r="E161">
        <v>1</v>
      </c>
      <c r="F161">
        <v>1</v>
      </c>
      <c r="G161">
        <v>27</v>
      </c>
      <c r="H161">
        <v>3</v>
      </c>
      <c r="I161" t="s">
        <v>72</v>
      </c>
      <c r="J161" t="s">
        <v>74</v>
      </c>
      <c r="K161" t="s">
        <v>223</v>
      </c>
      <c r="L161">
        <v>1348</v>
      </c>
      <c r="N161">
        <v>1009</v>
      </c>
      <c r="O161" t="s">
        <v>65</v>
      </c>
      <c r="P161" t="s">
        <v>65</v>
      </c>
      <c r="Q161">
        <v>1000</v>
      </c>
      <c r="W161">
        <v>0</v>
      </c>
      <c r="X161">
        <v>-532271667</v>
      </c>
      <c r="Y161">
        <v>1.6559999999999998E-2</v>
      </c>
      <c r="AA161">
        <v>40597.550000000003</v>
      </c>
      <c r="AB161">
        <v>0</v>
      </c>
      <c r="AC161">
        <v>0</v>
      </c>
      <c r="AD161">
        <v>0</v>
      </c>
      <c r="AE161">
        <v>40597.550000000003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 t="s">
        <v>3</v>
      </c>
      <c r="AT161">
        <v>1.6559999999999998E-2</v>
      </c>
      <c r="AU161" t="s">
        <v>3</v>
      </c>
      <c r="AV161">
        <v>0</v>
      </c>
      <c r="AW161">
        <v>1</v>
      </c>
      <c r="AX161">
        <v>-1</v>
      </c>
      <c r="AY161">
        <v>0</v>
      </c>
      <c r="AZ161">
        <v>0</v>
      </c>
      <c r="BA161" t="s">
        <v>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Y161*Source!I150</f>
        <v>1.7917919999999998</v>
      </c>
      <c r="CY161">
        <f t="shared" si="27"/>
        <v>40597.550000000003</v>
      </c>
      <c r="CZ161">
        <f t="shared" si="28"/>
        <v>40597.550000000003</v>
      </c>
      <c r="DA161">
        <f t="shared" si="29"/>
        <v>1</v>
      </c>
      <c r="DB161">
        <f t="shared" si="25"/>
        <v>672.3</v>
      </c>
      <c r="DC161">
        <f t="shared" si="26"/>
        <v>0</v>
      </c>
    </row>
    <row r="162" spans="1:107" x14ac:dyDescent="0.2">
      <c r="A162">
        <f>ROW(Source!A150)</f>
        <v>150</v>
      </c>
      <c r="B162">
        <v>46561299</v>
      </c>
      <c r="C162">
        <v>46607338</v>
      </c>
      <c r="D162">
        <v>45144432</v>
      </c>
      <c r="E162">
        <v>1</v>
      </c>
      <c r="F162">
        <v>1</v>
      </c>
      <c r="G162">
        <v>27</v>
      </c>
      <c r="H162">
        <v>3</v>
      </c>
      <c r="I162" t="s">
        <v>63</v>
      </c>
      <c r="J162" t="s">
        <v>66</v>
      </c>
      <c r="K162" t="s">
        <v>219</v>
      </c>
      <c r="L162">
        <v>1348</v>
      </c>
      <c r="N162">
        <v>1009</v>
      </c>
      <c r="O162" t="s">
        <v>65</v>
      </c>
      <c r="P162" t="s">
        <v>65</v>
      </c>
      <c r="Q162">
        <v>1000</v>
      </c>
      <c r="W162">
        <v>0</v>
      </c>
      <c r="X162">
        <v>351161841</v>
      </c>
      <c r="Y162">
        <v>5.9500000000000004E-3</v>
      </c>
      <c r="AA162">
        <v>37329.29</v>
      </c>
      <c r="AB162">
        <v>0</v>
      </c>
      <c r="AC162">
        <v>0</v>
      </c>
      <c r="AD162">
        <v>0</v>
      </c>
      <c r="AE162">
        <v>37329.29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 t="s">
        <v>3</v>
      </c>
      <c r="AT162">
        <v>5.9500000000000004E-3</v>
      </c>
      <c r="AU162" t="s">
        <v>3</v>
      </c>
      <c r="AV162">
        <v>0</v>
      </c>
      <c r="AW162">
        <v>1</v>
      </c>
      <c r="AX162">
        <v>-1</v>
      </c>
      <c r="AY162">
        <v>0</v>
      </c>
      <c r="AZ162">
        <v>0</v>
      </c>
      <c r="BA162" t="s">
        <v>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Y162*Source!I150</f>
        <v>0.64379000000000008</v>
      </c>
      <c r="CY162">
        <f t="shared" si="27"/>
        <v>37329.29</v>
      </c>
      <c r="CZ162">
        <f t="shared" si="28"/>
        <v>37329.29</v>
      </c>
      <c r="DA162">
        <f t="shared" si="29"/>
        <v>1</v>
      </c>
      <c r="DB162">
        <f t="shared" si="25"/>
        <v>222.11</v>
      </c>
      <c r="DC162">
        <f t="shared" si="26"/>
        <v>0</v>
      </c>
    </row>
    <row r="163" spans="1:107" x14ac:dyDescent="0.2">
      <c r="A163">
        <f>ROW(Source!A150)</f>
        <v>150</v>
      </c>
      <c r="B163">
        <v>46561299</v>
      </c>
      <c r="C163">
        <v>46607338</v>
      </c>
      <c r="D163">
        <v>45145543</v>
      </c>
      <c r="E163">
        <v>1</v>
      </c>
      <c r="F163">
        <v>1</v>
      </c>
      <c r="G163">
        <v>27</v>
      </c>
      <c r="H163">
        <v>3</v>
      </c>
      <c r="I163" t="s">
        <v>320</v>
      </c>
      <c r="J163" t="s">
        <v>321</v>
      </c>
      <c r="K163" t="s">
        <v>322</v>
      </c>
      <c r="L163">
        <v>1348</v>
      </c>
      <c r="N163">
        <v>1009</v>
      </c>
      <c r="O163" t="s">
        <v>65</v>
      </c>
      <c r="P163" t="s">
        <v>65</v>
      </c>
      <c r="Q163">
        <v>1000</v>
      </c>
      <c r="W163">
        <v>0</v>
      </c>
      <c r="X163">
        <v>-672771621</v>
      </c>
      <c r="Y163">
        <v>5.0000000000000001E-4</v>
      </c>
      <c r="AA163">
        <v>110781.14</v>
      </c>
      <c r="AB163">
        <v>0</v>
      </c>
      <c r="AC163">
        <v>0</v>
      </c>
      <c r="AD163">
        <v>0</v>
      </c>
      <c r="AE163">
        <v>110781.14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5.0000000000000001E-4</v>
      </c>
      <c r="AU163" t="s">
        <v>3</v>
      </c>
      <c r="AV163">
        <v>0</v>
      </c>
      <c r="AW163">
        <v>2</v>
      </c>
      <c r="AX163">
        <v>46607360</v>
      </c>
      <c r="AY163">
        <v>1</v>
      </c>
      <c r="AZ163">
        <v>0</v>
      </c>
      <c r="BA163">
        <v>146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Y163*Source!I150</f>
        <v>5.4100000000000002E-2</v>
      </c>
      <c r="CY163">
        <f t="shared" si="27"/>
        <v>110781.14</v>
      </c>
      <c r="CZ163">
        <f t="shared" si="28"/>
        <v>110781.14</v>
      </c>
      <c r="DA163">
        <f t="shared" si="29"/>
        <v>1</v>
      </c>
      <c r="DB163">
        <f t="shared" si="25"/>
        <v>55.39</v>
      </c>
      <c r="DC163">
        <f t="shared" si="26"/>
        <v>0</v>
      </c>
    </row>
    <row r="164" spans="1:107" x14ac:dyDescent="0.2">
      <c r="A164">
        <f>ROW(Source!A150)</f>
        <v>150</v>
      </c>
      <c r="B164">
        <v>46561299</v>
      </c>
      <c r="C164">
        <v>46607338</v>
      </c>
      <c r="D164">
        <v>45147864</v>
      </c>
      <c r="E164">
        <v>1</v>
      </c>
      <c r="F164">
        <v>1</v>
      </c>
      <c r="G164">
        <v>27</v>
      </c>
      <c r="H164">
        <v>3</v>
      </c>
      <c r="I164" t="s">
        <v>347</v>
      </c>
      <c r="J164" t="s">
        <v>348</v>
      </c>
      <c r="K164" t="s">
        <v>349</v>
      </c>
      <c r="L164">
        <v>1354</v>
      </c>
      <c r="N164">
        <v>1010</v>
      </c>
      <c r="O164" t="s">
        <v>350</v>
      </c>
      <c r="P164" t="s">
        <v>350</v>
      </c>
      <c r="Q164">
        <v>1</v>
      </c>
      <c r="W164">
        <v>0</v>
      </c>
      <c r="X164">
        <v>969740417</v>
      </c>
      <c r="Y164">
        <v>1.4E-2</v>
      </c>
      <c r="AA164">
        <v>16.54</v>
      </c>
      <c r="AB164">
        <v>0</v>
      </c>
      <c r="AC164">
        <v>0</v>
      </c>
      <c r="AD164">
        <v>0</v>
      </c>
      <c r="AE164">
        <v>16.54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1.4E-2</v>
      </c>
      <c r="AU164" t="s">
        <v>3</v>
      </c>
      <c r="AV164">
        <v>0</v>
      </c>
      <c r="AW164">
        <v>2</v>
      </c>
      <c r="AX164">
        <v>46607361</v>
      </c>
      <c r="AY164">
        <v>1</v>
      </c>
      <c r="AZ164">
        <v>0</v>
      </c>
      <c r="BA164">
        <v>147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Y164*Source!I150</f>
        <v>1.5148000000000001</v>
      </c>
      <c r="CY164">
        <f t="shared" si="27"/>
        <v>16.54</v>
      </c>
      <c r="CZ164">
        <f t="shared" si="28"/>
        <v>16.54</v>
      </c>
      <c r="DA164">
        <f t="shared" si="29"/>
        <v>1</v>
      </c>
      <c r="DB164">
        <f t="shared" si="25"/>
        <v>0.23</v>
      </c>
      <c r="DC164">
        <f t="shared" si="26"/>
        <v>0</v>
      </c>
    </row>
    <row r="165" spans="1:107" x14ac:dyDescent="0.2">
      <c r="A165">
        <f>ROW(Source!A150)</f>
        <v>150</v>
      </c>
      <c r="B165">
        <v>46561299</v>
      </c>
      <c r="C165">
        <v>46607338</v>
      </c>
      <c r="D165">
        <v>0</v>
      </c>
      <c r="E165">
        <v>27</v>
      </c>
      <c r="F165">
        <v>1</v>
      </c>
      <c r="G165">
        <v>27</v>
      </c>
      <c r="H165">
        <v>3</v>
      </c>
      <c r="I165" t="s">
        <v>76</v>
      </c>
      <c r="J165" t="s">
        <v>3</v>
      </c>
      <c r="K165" t="s">
        <v>77</v>
      </c>
      <c r="L165">
        <v>1371</v>
      </c>
      <c r="N165">
        <v>1013</v>
      </c>
      <c r="O165" t="s">
        <v>78</v>
      </c>
      <c r="P165" t="s">
        <v>78</v>
      </c>
      <c r="Q165">
        <v>1</v>
      </c>
      <c r="W165">
        <v>0</v>
      </c>
      <c r="X165">
        <v>-1591933177</v>
      </c>
      <c r="Y165">
        <v>0.21256900000000001</v>
      </c>
      <c r="AA165">
        <v>37.5</v>
      </c>
      <c r="AB165">
        <v>0</v>
      </c>
      <c r="AC165">
        <v>0</v>
      </c>
      <c r="AD165">
        <v>0</v>
      </c>
      <c r="AE165">
        <v>37.5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3</v>
      </c>
      <c r="AT165">
        <v>0.21256900000000001</v>
      </c>
      <c r="AU165" t="s">
        <v>3</v>
      </c>
      <c r="AV165">
        <v>0</v>
      </c>
      <c r="AW165">
        <v>1</v>
      </c>
      <c r="AX165">
        <v>-1</v>
      </c>
      <c r="AY165">
        <v>0</v>
      </c>
      <c r="AZ165">
        <v>0</v>
      </c>
      <c r="BA165" t="s">
        <v>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Y165*Source!I150</f>
        <v>22.999965800000002</v>
      </c>
      <c r="CY165">
        <f t="shared" si="27"/>
        <v>37.5</v>
      </c>
      <c r="CZ165">
        <f t="shared" si="28"/>
        <v>37.5</v>
      </c>
      <c r="DA165">
        <f t="shared" si="29"/>
        <v>1</v>
      </c>
      <c r="DB165">
        <f t="shared" si="25"/>
        <v>7.97</v>
      </c>
      <c r="DC165">
        <f t="shared" si="26"/>
        <v>0</v>
      </c>
    </row>
    <row r="166" spans="1:107" x14ac:dyDescent="0.2">
      <c r="A166">
        <f>ROW(Source!A150)</f>
        <v>150</v>
      </c>
      <c r="B166">
        <v>46561299</v>
      </c>
      <c r="C166">
        <v>46607338</v>
      </c>
      <c r="D166">
        <v>0</v>
      </c>
      <c r="E166">
        <v>27</v>
      </c>
      <c r="F166">
        <v>1</v>
      </c>
      <c r="G166">
        <v>27</v>
      </c>
      <c r="H166">
        <v>3</v>
      </c>
      <c r="I166" t="s">
        <v>76</v>
      </c>
      <c r="J166" t="s">
        <v>3</v>
      </c>
      <c r="K166" t="s">
        <v>81</v>
      </c>
      <c r="L166">
        <v>1371</v>
      </c>
      <c r="N166">
        <v>1013</v>
      </c>
      <c r="O166" t="s">
        <v>78</v>
      </c>
      <c r="P166" t="s">
        <v>78</v>
      </c>
      <c r="Q166">
        <v>1</v>
      </c>
      <c r="W166">
        <v>0</v>
      </c>
      <c r="X166">
        <v>-1949902326</v>
      </c>
      <c r="Y166">
        <v>0.77634000000000003</v>
      </c>
      <c r="AA166">
        <v>16.53</v>
      </c>
      <c r="AB166">
        <v>0</v>
      </c>
      <c r="AC166">
        <v>0</v>
      </c>
      <c r="AD166">
        <v>0</v>
      </c>
      <c r="AE166">
        <v>16.53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3</v>
      </c>
      <c r="AT166">
        <v>0.77634000000000003</v>
      </c>
      <c r="AU166" t="s">
        <v>3</v>
      </c>
      <c r="AV166">
        <v>0</v>
      </c>
      <c r="AW166">
        <v>1</v>
      </c>
      <c r="AX166">
        <v>-1</v>
      </c>
      <c r="AY166">
        <v>0</v>
      </c>
      <c r="AZ166">
        <v>0</v>
      </c>
      <c r="BA166" t="s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Y166*Source!I150</f>
        <v>83.999988000000002</v>
      </c>
      <c r="CY166">
        <f t="shared" si="27"/>
        <v>16.53</v>
      </c>
      <c r="CZ166">
        <f t="shared" si="28"/>
        <v>16.53</v>
      </c>
      <c r="DA166">
        <f t="shared" si="29"/>
        <v>1</v>
      </c>
      <c r="DB166">
        <f t="shared" si="25"/>
        <v>12.83</v>
      </c>
      <c r="DC166">
        <f t="shared" si="26"/>
        <v>0</v>
      </c>
    </row>
    <row r="167" spans="1:107" x14ac:dyDescent="0.2">
      <c r="A167">
        <f>ROW(Source!A150)</f>
        <v>150</v>
      </c>
      <c r="B167">
        <v>46561299</v>
      </c>
      <c r="C167">
        <v>46607338</v>
      </c>
      <c r="D167">
        <v>0</v>
      </c>
      <c r="E167">
        <v>27</v>
      </c>
      <c r="F167">
        <v>1</v>
      </c>
      <c r="G167">
        <v>27</v>
      </c>
      <c r="H167">
        <v>3</v>
      </c>
      <c r="I167" t="s">
        <v>76</v>
      </c>
      <c r="J167" t="s">
        <v>3</v>
      </c>
      <c r="K167" t="s">
        <v>227</v>
      </c>
      <c r="L167">
        <v>1371</v>
      </c>
      <c r="N167">
        <v>1013</v>
      </c>
      <c r="O167" t="s">
        <v>78</v>
      </c>
      <c r="P167" t="s">
        <v>78</v>
      </c>
      <c r="Q167">
        <v>1</v>
      </c>
      <c r="W167">
        <v>0</v>
      </c>
      <c r="X167">
        <v>-632778472</v>
      </c>
      <c r="Y167">
        <v>3.6969000000000002E-2</v>
      </c>
      <c r="AA167">
        <v>220.78</v>
      </c>
      <c r="AB167">
        <v>0</v>
      </c>
      <c r="AC167">
        <v>0</v>
      </c>
      <c r="AD167">
        <v>0</v>
      </c>
      <c r="AE167">
        <v>220.78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3</v>
      </c>
      <c r="AT167">
        <v>3.6969000000000002E-2</v>
      </c>
      <c r="AU167" t="s">
        <v>3</v>
      </c>
      <c r="AV167">
        <v>0</v>
      </c>
      <c r="AW167">
        <v>1</v>
      </c>
      <c r="AX167">
        <v>-1</v>
      </c>
      <c r="AY167">
        <v>0</v>
      </c>
      <c r="AZ167">
        <v>0</v>
      </c>
      <c r="BA167" t="s">
        <v>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Y167*Source!I150</f>
        <v>4.0000458000000005</v>
      </c>
      <c r="CY167">
        <f t="shared" si="27"/>
        <v>220.78</v>
      </c>
      <c r="CZ167">
        <f t="shared" si="28"/>
        <v>220.78</v>
      </c>
      <c r="DA167">
        <f t="shared" si="29"/>
        <v>1</v>
      </c>
      <c r="DB167">
        <f t="shared" si="25"/>
        <v>8.16</v>
      </c>
      <c r="DC167">
        <f t="shared" si="26"/>
        <v>0</v>
      </c>
    </row>
    <row r="168" spans="1:107" x14ac:dyDescent="0.2">
      <c r="A168">
        <f>ROW(Source!A150)</f>
        <v>150</v>
      </c>
      <c r="B168">
        <v>46561299</v>
      </c>
      <c r="C168">
        <v>46607338</v>
      </c>
      <c r="D168">
        <v>0</v>
      </c>
      <c r="E168">
        <v>27</v>
      </c>
      <c r="F168">
        <v>1</v>
      </c>
      <c r="G168">
        <v>27</v>
      </c>
      <c r="H168">
        <v>3</v>
      </c>
      <c r="I168" t="s">
        <v>76</v>
      </c>
      <c r="J168" t="s">
        <v>3</v>
      </c>
      <c r="K168" t="s">
        <v>230</v>
      </c>
      <c r="L168">
        <v>1371</v>
      </c>
      <c r="N168">
        <v>1013</v>
      </c>
      <c r="O168" t="s">
        <v>78</v>
      </c>
      <c r="P168" t="s">
        <v>78</v>
      </c>
      <c r="Q168">
        <v>1</v>
      </c>
      <c r="W168">
        <v>0</v>
      </c>
      <c r="X168">
        <v>1479756592</v>
      </c>
      <c r="Y168">
        <v>9.2420000000000002E-3</v>
      </c>
      <c r="AA168">
        <v>674.17</v>
      </c>
      <c r="AB168">
        <v>0</v>
      </c>
      <c r="AC168">
        <v>0</v>
      </c>
      <c r="AD168">
        <v>0</v>
      </c>
      <c r="AE168">
        <v>674.17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3</v>
      </c>
      <c r="AT168">
        <v>9.2420000000000002E-3</v>
      </c>
      <c r="AU168" t="s">
        <v>3</v>
      </c>
      <c r="AV168">
        <v>0</v>
      </c>
      <c r="AW168">
        <v>1</v>
      </c>
      <c r="AX168">
        <v>-1</v>
      </c>
      <c r="AY168">
        <v>0</v>
      </c>
      <c r="AZ168">
        <v>0</v>
      </c>
      <c r="BA168" t="s">
        <v>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Y168*Source!I150</f>
        <v>0.9999844</v>
      </c>
      <c r="CY168">
        <f t="shared" si="27"/>
        <v>674.17</v>
      </c>
      <c r="CZ168">
        <f t="shared" si="28"/>
        <v>674.17</v>
      </c>
      <c r="DA168">
        <f t="shared" si="29"/>
        <v>1</v>
      </c>
      <c r="DB168">
        <f t="shared" si="25"/>
        <v>6.23</v>
      </c>
      <c r="DC168">
        <f t="shared" si="26"/>
        <v>0</v>
      </c>
    </row>
    <row r="169" spans="1:107" x14ac:dyDescent="0.2">
      <c r="A169">
        <f>ROW(Source!A159)</f>
        <v>159</v>
      </c>
      <c r="B169">
        <v>46561299</v>
      </c>
      <c r="C169">
        <v>46607370</v>
      </c>
      <c r="D169">
        <v>45130551</v>
      </c>
      <c r="E169">
        <v>27</v>
      </c>
      <c r="F169">
        <v>1</v>
      </c>
      <c r="G169">
        <v>27</v>
      </c>
      <c r="H169">
        <v>1</v>
      </c>
      <c r="I169" t="s">
        <v>280</v>
      </c>
      <c r="J169" t="s">
        <v>3</v>
      </c>
      <c r="K169" t="s">
        <v>281</v>
      </c>
      <c r="L169">
        <v>1191</v>
      </c>
      <c r="N169">
        <v>1013</v>
      </c>
      <c r="O169" t="s">
        <v>282</v>
      </c>
      <c r="P169" t="s">
        <v>282</v>
      </c>
      <c r="Q169">
        <v>1</v>
      </c>
      <c r="W169">
        <v>0</v>
      </c>
      <c r="X169">
        <v>476480486</v>
      </c>
      <c r="Y169">
        <v>6.11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6.11</v>
      </c>
      <c r="AU169" t="s">
        <v>3</v>
      </c>
      <c r="AV169">
        <v>1</v>
      </c>
      <c r="AW169">
        <v>2</v>
      </c>
      <c r="AX169">
        <v>46607377</v>
      </c>
      <c r="AY169">
        <v>1</v>
      </c>
      <c r="AZ169">
        <v>0</v>
      </c>
      <c r="BA169">
        <v>148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Y169*Source!I159</f>
        <v>6.6110200000000008</v>
      </c>
      <c r="CY169">
        <f>AD169</f>
        <v>0</v>
      </c>
      <c r="CZ169">
        <f>AH169</f>
        <v>0</v>
      </c>
      <c r="DA169">
        <f>AL169</f>
        <v>1</v>
      </c>
      <c r="DB169">
        <f t="shared" si="25"/>
        <v>0</v>
      </c>
      <c r="DC169">
        <f t="shared" si="26"/>
        <v>0</v>
      </c>
    </row>
    <row r="170" spans="1:107" x14ac:dyDescent="0.2">
      <c r="A170">
        <f>ROW(Source!A159)</f>
        <v>159</v>
      </c>
      <c r="B170">
        <v>46561299</v>
      </c>
      <c r="C170">
        <v>46607370</v>
      </c>
      <c r="D170">
        <v>45143099</v>
      </c>
      <c r="E170">
        <v>1</v>
      </c>
      <c r="F170">
        <v>1</v>
      </c>
      <c r="G170">
        <v>27</v>
      </c>
      <c r="H170">
        <v>2</v>
      </c>
      <c r="I170" t="s">
        <v>351</v>
      </c>
      <c r="J170" t="s">
        <v>352</v>
      </c>
      <c r="K170" t="s">
        <v>353</v>
      </c>
      <c r="L170">
        <v>1368</v>
      </c>
      <c r="N170">
        <v>1011</v>
      </c>
      <c r="O170" t="s">
        <v>286</v>
      </c>
      <c r="P170" t="s">
        <v>286</v>
      </c>
      <c r="Q170">
        <v>1</v>
      </c>
      <c r="W170">
        <v>0</v>
      </c>
      <c r="X170">
        <v>-2137968664</v>
      </c>
      <c r="Y170">
        <v>1.4</v>
      </c>
      <c r="AA170">
        <v>0</v>
      </c>
      <c r="AB170">
        <v>98.05</v>
      </c>
      <c r="AC170">
        <v>33.06</v>
      </c>
      <c r="AD170">
        <v>0</v>
      </c>
      <c r="AE170">
        <v>0</v>
      </c>
      <c r="AF170">
        <v>98.05</v>
      </c>
      <c r="AG170">
        <v>33.06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1.4</v>
      </c>
      <c r="AU170" t="s">
        <v>3</v>
      </c>
      <c r="AV170">
        <v>0</v>
      </c>
      <c r="AW170">
        <v>2</v>
      </c>
      <c r="AX170">
        <v>46607378</v>
      </c>
      <c r="AY170">
        <v>1</v>
      </c>
      <c r="AZ170">
        <v>0</v>
      </c>
      <c r="BA170">
        <v>149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Y170*Source!I159</f>
        <v>1.5147999999999999</v>
      </c>
      <c r="CY170">
        <f>AB170</f>
        <v>98.05</v>
      </c>
      <c r="CZ170">
        <f>AF170</f>
        <v>98.05</v>
      </c>
      <c r="DA170">
        <f>AJ170</f>
        <v>1</v>
      </c>
      <c r="DB170">
        <f t="shared" si="25"/>
        <v>137.27000000000001</v>
      </c>
      <c r="DC170">
        <f t="shared" si="26"/>
        <v>46.28</v>
      </c>
    </row>
    <row r="171" spans="1:107" x14ac:dyDescent="0.2">
      <c r="A171">
        <f>ROW(Source!A159)</f>
        <v>159</v>
      </c>
      <c r="B171">
        <v>46561299</v>
      </c>
      <c r="C171">
        <v>46607370</v>
      </c>
      <c r="D171">
        <v>45142852</v>
      </c>
      <c r="E171">
        <v>1</v>
      </c>
      <c r="F171">
        <v>1</v>
      </c>
      <c r="G171">
        <v>27</v>
      </c>
      <c r="H171">
        <v>2</v>
      </c>
      <c r="I171" t="s">
        <v>308</v>
      </c>
      <c r="J171" t="s">
        <v>309</v>
      </c>
      <c r="K171" t="s">
        <v>310</v>
      </c>
      <c r="L171">
        <v>1368</v>
      </c>
      <c r="N171">
        <v>1011</v>
      </c>
      <c r="O171" t="s">
        <v>286</v>
      </c>
      <c r="P171" t="s">
        <v>286</v>
      </c>
      <c r="Q171">
        <v>1</v>
      </c>
      <c r="W171">
        <v>0</v>
      </c>
      <c r="X171">
        <v>-1323805330</v>
      </c>
      <c r="Y171">
        <v>0.01</v>
      </c>
      <c r="AA171">
        <v>0</v>
      </c>
      <c r="AB171">
        <v>683.9</v>
      </c>
      <c r="AC171">
        <v>371.27</v>
      </c>
      <c r="AD171">
        <v>0</v>
      </c>
      <c r="AE171">
        <v>0</v>
      </c>
      <c r="AF171">
        <v>683.9</v>
      </c>
      <c r="AG171">
        <v>371.27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0.01</v>
      </c>
      <c r="AU171" t="s">
        <v>3</v>
      </c>
      <c r="AV171">
        <v>0</v>
      </c>
      <c r="AW171">
        <v>2</v>
      </c>
      <c r="AX171">
        <v>46607379</v>
      </c>
      <c r="AY171">
        <v>1</v>
      </c>
      <c r="AZ171">
        <v>0</v>
      </c>
      <c r="BA171">
        <v>150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Y171*Source!I159</f>
        <v>1.0820000000000001E-2</v>
      </c>
      <c r="CY171">
        <f>AB171</f>
        <v>683.9</v>
      </c>
      <c r="CZ171">
        <f>AF171</f>
        <v>683.9</v>
      </c>
      <c r="DA171">
        <f>AJ171</f>
        <v>1</v>
      </c>
      <c r="DB171">
        <f t="shared" si="25"/>
        <v>6.84</v>
      </c>
      <c r="DC171">
        <f t="shared" si="26"/>
        <v>3.71</v>
      </c>
    </row>
    <row r="172" spans="1:107" x14ac:dyDescent="0.2">
      <c r="A172">
        <f>ROW(Source!A159)</f>
        <v>159</v>
      </c>
      <c r="B172">
        <v>46561299</v>
      </c>
      <c r="C172">
        <v>46607370</v>
      </c>
      <c r="D172">
        <v>45142866</v>
      </c>
      <c r="E172">
        <v>1</v>
      </c>
      <c r="F172">
        <v>1</v>
      </c>
      <c r="G172">
        <v>27</v>
      </c>
      <c r="H172">
        <v>2</v>
      </c>
      <c r="I172" t="s">
        <v>354</v>
      </c>
      <c r="J172" t="s">
        <v>355</v>
      </c>
      <c r="K172" t="s">
        <v>356</v>
      </c>
      <c r="L172">
        <v>1368</v>
      </c>
      <c r="N172">
        <v>1011</v>
      </c>
      <c r="O172" t="s">
        <v>286</v>
      </c>
      <c r="P172" t="s">
        <v>286</v>
      </c>
      <c r="Q172">
        <v>1</v>
      </c>
      <c r="W172">
        <v>0</v>
      </c>
      <c r="X172">
        <v>-54802859</v>
      </c>
      <c r="Y172">
        <v>0.01</v>
      </c>
      <c r="AA172">
        <v>0</v>
      </c>
      <c r="AB172">
        <v>16.920000000000002</v>
      </c>
      <c r="AC172">
        <v>0.09</v>
      </c>
      <c r="AD172">
        <v>0</v>
      </c>
      <c r="AE172">
        <v>0</v>
      </c>
      <c r="AF172">
        <v>16.920000000000002</v>
      </c>
      <c r="AG172">
        <v>0.09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0.01</v>
      </c>
      <c r="AU172" t="s">
        <v>3</v>
      </c>
      <c r="AV172">
        <v>0</v>
      </c>
      <c r="AW172">
        <v>2</v>
      </c>
      <c r="AX172">
        <v>46607380</v>
      </c>
      <c r="AY172">
        <v>1</v>
      </c>
      <c r="AZ172">
        <v>0</v>
      </c>
      <c r="BA172">
        <v>151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Y172*Source!I159</f>
        <v>1.0820000000000001E-2</v>
      </c>
      <c r="CY172">
        <f>AB172</f>
        <v>16.920000000000002</v>
      </c>
      <c r="CZ172">
        <f>AF172</f>
        <v>16.920000000000002</v>
      </c>
      <c r="DA172">
        <f>AJ172</f>
        <v>1</v>
      </c>
      <c r="DB172">
        <f t="shared" si="25"/>
        <v>0.17</v>
      </c>
      <c r="DC172">
        <f t="shared" si="26"/>
        <v>0</v>
      </c>
    </row>
    <row r="173" spans="1:107" x14ac:dyDescent="0.2">
      <c r="A173">
        <f>ROW(Source!A159)</f>
        <v>159</v>
      </c>
      <c r="B173">
        <v>46561299</v>
      </c>
      <c r="C173">
        <v>46607370</v>
      </c>
      <c r="D173">
        <v>45131998</v>
      </c>
      <c r="E173">
        <v>27</v>
      </c>
      <c r="F173">
        <v>1</v>
      </c>
      <c r="G173">
        <v>27</v>
      </c>
      <c r="H173">
        <v>3</v>
      </c>
      <c r="I173" t="s">
        <v>357</v>
      </c>
      <c r="J173" t="s">
        <v>3</v>
      </c>
      <c r="K173" t="s">
        <v>358</v>
      </c>
      <c r="L173">
        <v>1346</v>
      </c>
      <c r="N173">
        <v>1009</v>
      </c>
      <c r="O173" t="s">
        <v>359</v>
      </c>
      <c r="P173" t="s">
        <v>359</v>
      </c>
      <c r="Q173">
        <v>1</v>
      </c>
      <c r="W173">
        <v>0</v>
      </c>
      <c r="X173">
        <v>-126270252</v>
      </c>
      <c r="Y173">
        <v>1.5</v>
      </c>
      <c r="AA173">
        <v>99.3</v>
      </c>
      <c r="AB173">
        <v>0</v>
      </c>
      <c r="AC173">
        <v>0</v>
      </c>
      <c r="AD173">
        <v>0</v>
      </c>
      <c r="AE173">
        <v>99.303030000000007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1.5</v>
      </c>
      <c r="AU173" t="s">
        <v>3</v>
      </c>
      <c r="AV173">
        <v>0</v>
      </c>
      <c r="AW173">
        <v>2</v>
      </c>
      <c r="AX173">
        <v>46607381</v>
      </c>
      <c r="AY173">
        <v>1</v>
      </c>
      <c r="AZ173">
        <v>0</v>
      </c>
      <c r="BA173">
        <v>152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Y173*Source!I159</f>
        <v>1.6230000000000002</v>
      </c>
      <c r="CY173">
        <f>AA173</f>
        <v>99.3</v>
      </c>
      <c r="CZ173">
        <f>AE173</f>
        <v>99.303030000000007</v>
      </c>
      <c r="DA173">
        <f>AI173</f>
        <v>1</v>
      </c>
      <c r="DB173">
        <f t="shared" si="25"/>
        <v>148.94999999999999</v>
      </c>
      <c r="DC173">
        <f t="shared" si="26"/>
        <v>0</v>
      </c>
    </row>
    <row r="174" spans="1:107" x14ac:dyDescent="0.2">
      <c r="A174">
        <f>ROW(Source!A159)</f>
        <v>159</v>
      </c>
      <c r="B174">
        <v>46561299</v>
      </c>
      <c r="C174">
        <v>46607370</v>
      </c>
      <c r="D174">
        <v>45144050</v>
      </c>
      <c r="E174">
        <v>1</v>
      </c>
      <c r="F174">
        <v>1</v>
      </c>
      <c r="G174">
        <v>27</v>
      </c>
      <c r="H174">
        <v>3</v>
      </c>
      <c r="I174" t="s">
        <v>360</v>
      </c>
      <c r="J174" t="s">
        <v>361</v>
      </c>
      <c r="K174" t="s">
        <v>362</v>
      </c>
      <c r="L174">
        <v>1348</v>
      </c>
      <c r="N174">
        <v>1009</v>
      </c>
      <c r="O174" t="s">
        <v>65</v>
      </c>
      <c r="P174" t="s">
        <v>65</v>
      </c>
      <c r="Q174">
        <v>1000</v>
      </c>
      <c r="W174">
        <v>0</v>
      </c>
      <c r="X174">
        <v>-383061258</v>
      </c>
      <c r="Y174">
        <v>8.9999999999999993E-3</v>
      </c>
      <c r="AA174">
        <v>97017.58</v>
      </c>
      <c r="AB174">
        <v>0</v>
      </c>
      <c r="AC174">
        <v>0</v>
      </c>
      <c r="AD174">
        <v>0</v>
      </c>
      <c r="AE174">
        <v>97017.58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8.9999999999999993E-3</v>
      </c>
      <c r="AU174" t="s">
        <v>3</v>
      </c>
      <c r="AV174">
        <v>0</v>
      </c>
      <c r="AW174">
        <v>2</v>
      </c>
      <c r="AX174">
        <v>46607382</v>
      </c>
      <c r="AY174">
        <v>1</v>
      </c>
      <c r="AZ174">
        <v>0</v>
      </c>
      <c r="BA174">
        <v>153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Y174*Source!I159</f>
        <v>9.7380000000000001E-3</v>
      </c>
      <c r="CY174">
        <f>AA174</f>
        <v>97017.58</v>
      </c>
      <c r="CZ174">
        <f>AE174</f>
        <v>97017.58</v>
      </c>
      <c r="DA174">
        <f>AI174</f>
        <v>1</v>
      </c>
      <c r="DB174">
        <f t="shared" si="25"/>
        <v>873.16</v>
      </c>
      <c r="DC174">
        <f t="shared" si="26"/>
        <v>0</v>
      </c>
    </row>
    <row r="175" spans="1:107" x14ac:dyDescent="0.2">
      <c r="A175">
        <f>ROW(Source!A160)</f>
        <v>160</v>
      </c>
      <c r="B175">
        <v>46561299</v>
      </c>
      <c r="C175">
        <v>46607383</v>
      </c>
      <c r="D175">
        <v>45130551</v>
      </c>
      <c r="E175">
        <v>27</v>
      </c>
      <c r="F175">
        <v>1</v>
      </c>
      <c r="G175">
        <v>27</v>
      </c>
      <c r="H175">
        <v>1</v>
      </c>
      <c r="I175" t="s">
        <v>280</v>
      </c>
      <c r="J175" t="s">
        <v>3</v>
      </c>
      <c r="K175" t="s">
        <v>281</v>
      </c>
      <c r="L175">
        <v>1191</v>
      </c>
      <c r="N175">
        <v>1013</v>
      </c>
      <c r="O175" t="s">
        <v>282</v>
      </c>
      <c r="P175" t="s">
        <v>282</v>
      </c>
      <c r="Q175">
        <v>1</v>
      </c>
      <c r="W175">
        <v>0</v>
      </c>
      <c r="X175">
        <v>476480486</v>
      </c>
      <c r="Y175">
        <v>2.4500000000000002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2.4500000000000002</v>
      </c>
      <c r="AU175" t="s">
        <v>3</v>
      </c>
      <c r="AV175">
        <v>1</v>
      </c>
      <c r="AW175">
        <v>2</v>
      </c>
      <c r="AX175">
        <v>46607388</v>
      </c>
      <c r="AY175">
        <v>1</v>
      </c>
      <c r="AZ175">
        <v>0</v>
      </c>
      <c r="BA175">
        <v>154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Y175*Source!I160</f>
        <v>2.6509000000000005</v>
      </c>
      <c r="CY175">
        <f>AD175</f>
        <v>0</v>
      </c>
      <c r="CZ175">
        <f>AH175</f>
        <v>0</v>
      </c>
      <c r="DA175">
        <f>AL175</f>
        <v>1</v>
      </c>
      <c r="DB175">
        <f t="shared" si="25"/>
        <v>0</v>
      </c>
      <c r="DC175">
        <f t="shared" si="26"/>
        <v>0</v>
      </c>
    </row>
    <row r="176" spans="1:107" x14ac:dyDescent="0.2">
      <c r="A176">
        <f>ROW(Source!A160)</f>
        <v>160</v>
      </c>
      <c r="B176">
        <v>46561299</v>
      </c>
      <c r="C176">
        <v>46607383</v>
      </c>
      <c r="D176">
        <v>45142852</v>
      </c>
      <c r="E176">
        <v>1</v>
      </c>
      <c r="F176">
        <v>1</v>
      </c>
      <c r="G176">
        <v>27</v>
      </c>
      <c r="H176">
        <v>2</v>
      </c>
      <c r="I176" t="s">
        <v>308</v>
      </c>
      <c r="J176" t="s">
        <v>309</v>
      </c>
      <c r="K176" t="s">
        <v>310</v>
      </c>
      <c r="L176">
        <v>1368</v>
      </c>
      <c r="N176">
        <v>1011</v>
      </c>
      <c r="O176" t="s">
        <v>286</v>
      </c>
      <c r="P176" t="s">
        <v>286</v>
      </c>
      <c r="Q176">
        <v>1</v>
      </c>
      <c r="W176">
        <v>0</v>
      </c>
      <c r="X176">
        <v>-1323805330</v>
      </c>
      <c r="Y176">
        <v>0.01</v>
      </c>
      <c r="AA176">
        <v>0</v>
      </c>
      <c r="AB176">
        <v>683.9</v>
      </c>
      <c r="AC176">
        <v>371.27</v>
      </c>
      <c r="AD176">
        <v>0</v>
      </c>
      <c r="AE176">
        <v>0</v>
      </c>
      <c r="AF176">
        <v>683.9</v>
      </c>
      <c r="AG176">
        <v>371.27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0.01</v>
      </c>
      <c r="AU176" t="s">
        <v>3</v>
      </c>
      <c r="AV176">
        <v>0</v>
      </c>
      <c r="AW176">
        <v>2</v>
      </c>
      <c r="AX176">
        <v>46607389</v>
      </c>
      <c r="AY176">
        <v>1</v>
      </c>
      <c r="AZ176">
        <v>0</v>
      </c>
      <c r="BA176">
        <v>155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Y176*Source!I160</f>
        <v>1.0820000000000001E-2</v>
      </c>
      <c r="CY176">
        <f>AB176</f>
        <v>683.9</v>
      </c>
      <c r="CZ176">
        <f>AF176</f>
        <v>683.9</v>
      </c>
      <c r="DA176">
        <f>AJ176</f>
        <v>1</v>
      </c>
      <c r="DB176">
        <f t="shared" si="25"/>
        <v>6.84</v>
      </c>
      <c r="DC176">
        <f t="shared" si="26"/>
        <v>3.71</v>
      </c>
    </row>
    <row r="177" spans="1:107" x14ac:dyDescent="0.2">
      <c r="A177">
        <f>ROW(Source!A160)</f>
        <v>160</v>
      </c>
      <c r="B177">
        <v>46561299</v>
      </c>
      <c r="C177">
        <v>46607383</v>
      </c>
      <c r="D177">
        <v>45144148</v>
      </c>
      <c r="E177">
        <v>1</v>
      </c>
      <c r="F177">
        <v>1</v>
      </c>
      <c r="G177">
        <v>27</v>
      </c>
      <c r="H177">
        <v>3</v>
      </c>
      <c r="I177" t="s">
        <v>363</v>
      </c>
      <c r="J177" t="s">
        <v>364</v>
      </c>
      <c r="K177" t="s">
        <v>365</v>
      </c>
      <c r="L177">
        <v>1348</v>
      </c>
      <c r="N177">
        <v>1009</v>
      </c>
      <c r="O177" t="s">
        <v>65</v>
      </c>
      <c r="P177" t="s">
        <v>65</v>
      </c>
      <c r="Q177">
        <v>1000</v>
      </c>
      <c r="W177">
        <v>0</v>
      </c>
      <c r="X177">
        <v>1958569313</v>
      </c>
      <c r="Y177">
        <v>1.48E-3</v>
      </c>
      <c r="AA177">
        <v>63195.54</v>
      </c>
      <c r="AB177">
        <v>0</v>
      </c>
      <c r="AC177">
        <v>0</v>
      </c>
      <c r="AD177">
        <v>0</v>
      </c>
      <c r="AE177">
        <v>63195.54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1.48E-3</v>
      </c>
      <c r="AU177" t="s">
        <v>3</v>
      </c>
      <c r="AV177">
        <v>0</v>
      </c>
      <c r="AW177">
        <v>2</v>
      </c>
      <c r="AX177">
        <v>46607390</v>
      </c>
      <c r="AY177">
        <v>1</v>
      </c>
      <c r="AZ177">
        <v>0</v>
      </c>
      <c r="BA177">
        <v>156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Y177*Source!I160</f>
        <v>1.60136E-3</v>
      </c>
      <c r="CY177">
        <f>AA177</f>
        <v>63195.54</v>
      </c>
      <c r="CZ177">
        <f>AE177</f>
        <v>63195.54</v>
      </c>
      <c r="DA177">
        <f>AI177</f>
        <v>1</v>
      </c>
      <c r="DB177">
        <f t="shared" si="25"/>
        <v>93.53</v>
      </c>
      <c r="DC177">
        <f t="shared" si="26"/>
        <v>0</v>
      </c>
    </row>
    <row r="178" spans="1:107" x14ac:dyDescent="0.2">
      <c r="A178">
        <f>ROW(Source!A160)</f>
        <v>160</v>
      </c>
      <c r="B178">
        <v>46561299</v>
      </c>
      <c r="C178">
        <v>46607383</v>
      </c>
      <c r="D178">
        <v>45144173</v>
      </c>
      <c r="E178">
        <v>1</v>
      </c>
      <c r="F178">
        <v>1</v>
      </c>
      <c r="G178">
        <v>27</v>
      </c>
      <c r="H178">
        <v>3</v>
      </c>
      <c r="I178" t="s">
        <v>366</v>
      </c>
      <c r="J178" t="s">
        <v>367</v>
      </c>
      <c r="K178" t="s">
        <v>368</v>
      </c>
      <c r="L178">
        <v>1346</v>
      </c>
      <c r="N178">
        <v>1009</v>
      </c>
      <c r="O178" t="s">
        <v>359</v>
      </c>
      <c r="P178" t="s">
        <v>359</v>
      </c>
      <c r="Q178">
        <v>1</v>
      </c>
      <c r="W178">
        <v>0</v>
      </c>
      <c r="X178">
        <v>-1364504988</v>
      </c>
      <c r="Y178">
        <v>9</v>
      </c>
      <c r="AA178">
        <v>105.32</v>
      </c>
      <c r="AB178">
        <v>0</v>
      </c>
      <c r="AC178">
        <v>0</v>
      </c>
      <c r="AD178">
        <v>0</v>
      </c>
      <c r="AE178">
        <v>105.32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9</v>
      </c>
      <c r="AU178" t="s">
        <v>3</v>
      </c>
      <c r="AV178">
        <v>0</v>
      </c>
      <c r="AW178">
        <v>2</v>
      </c>
      <c r="AX178">
        <v>46607391</v>
      </c>
      <c r="AY178">
        <v>1</v>
      </c>
      <c r="AZ178">
        <v>0</v>
      </c>
      <c r="BA178">
        <v>157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Y178*Source!I160</f>
        <v>9.7380000000000013</v>
      </c>
      <c r="CY178">
        <f>AA178</f>
        <v>105.32</v>
      </c>
      <c r="CZ178">
        <f>AE178</f>
        <v>105.32</v>
      </c>
      <c r="DA178">
        <f>AI178</f>
        <v>1</v>
      </c>
      <c r="DB178">
        <f t="shared" si="25"/>
        <v>947.88</v>
      </c>
      <c r="DC178">
        <f t="shared" si="26"/>
        <v>0</v>
      </c>
    </row>
    <row r="179" spans="1:107" x14ac:dyDescent="0.2">
      <c r="A179">
        <f>ROW(Source!A195)</f>
        <v>195</v>
      </c>
      <c r="B179">
        <v>46561299</v>
      </c>
      <c r="C179">
        <v>46607523</v>
      </c>
      <c r="D179">
        <v>45130551</v>
      </c>
      <c r="E179">
        <v>27</v>
      </c>
      <c r="F179">
        <v>1</v>
      </c>
      <c r="G179">
        <v>27</v>
      </c>
      <c r="H179">
        <v>1</v>
      </c>
      <c r="I179" t="s">
        <v>280</v>
      </c>
      <c r="J179" t="s">
        <v>3</v>
      </c>
      <c r="K179" t="s">
        <v>281</v>
      </c>
      <c r="L179">
        <v>1191</v>
      </c>
      <c r="N179">
        <v>1013</v>
      </c>
      <c r="O179" t="s">
        <v>282</v>
      </c>
      <c r="P179" t="s">
        <v>282</v>
      </c>
      <c r="Q179">
        <v>1</v>
      </c>
      <c r="W179">
        <v>0</v>
      </c>
      <c r="X179">
        <v>476480486</v>
      </c>
      <c r="Y179">
        <v>0.59400000000000008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 t="s">
        <v>3</v>
      </c>
      <c r="AT179">
        <v>2.97</v>
      </c>
      <c r="AU179" t="s">
        <v>174</v>
      </c>
      <c r="AV179">
        <v>1</v>
      </c>
      <c r="AW179">
        <v>2</v>
      </c>
      <c r="AX179">
        <v>46607532</v>
      </c>
      <c r="AY179">
        <v>1</v>
      </c>
      <c r="AZ179">
        <v>0</v>
      </c>
      <c r="BA179">
        <v>158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Y179*Source!I195</f>
        <v>73.774800000000013</v>
      </c>
      <c r="CY179">
        <f>AD179</f>
        <v>0</v>
      </c>
      <c r="CZ179">
        <f>AH179</f>
        <v>0</v>
      </c>
      <c r="DA179">
        <f>AL179</f>
        <v>1</v>
      </c>
      <c r="DB179">
        <f>ROUND((ROUND(AT179*CZ179,2)*0.2),6)</f>
        <v>0</v>
      </c>
      <c r="DC179">
        <f>ROUND((ROUND(AT179*AG179,2)*0.2),6)</f>
        <v>0</v>
      </c>
    </row>
    <row r="180" spans="1:107" x14ac:dyDescent="0.2">
      <c r="A180">
        <f>ROW(Source!A195)</f>
        <v>195</v>
      </c>
      <c r="B180">
        <v>46561299</v>
      </c>
      <c r="C180">
        <v>46607523</v>
      </c>
      <c r="D180">
        <v>45143190</v>
      </c>
      <c r="E180">
        <v>1</v>
      </c>
      <c r="F180">
        <v>1</v>
      </c>
      <c r="G180">
        <v>27</v>
      </c>
      <c r="H180">
        <v>2</v>
      </c>
      <c r="I180" t="s">
        <v>335</v>
      </c>
      <c r="J180" t="s">
        <v>336</v>
      </c>
      <c r="K180" t="s">
        <v>337</v>
      </c>
      <c r="L180">
        <v>1368</v>
      </c>
      <c r="N180">
        <v>1011</v>
      </c>
      <c r="O180" t="s">
        <v>286</v>
      </c>
      <c r="P180" t="s">
        <v>286</v>
      </c>
      <c r="Q180">
        <v>1</v>
      </c>
      <c r="W180">
        <v>0</v>
      </c>
      <c r="X180">
        <v>-711828296</v>
      </c>
      <c r="Y180">
        <v>7.6800000000000007E-2</v>
      </c>
      <c r="AA180">
        <v>0</v>
      </c>
      <c r="AB180">
        <v>351.29</v>
      </c>
      <c r="AC180">
        <v>7.02</v>
      </c>
      <c r="AD180">
        <v>0</v>
      </c>
      <c r="AE180">
        <v>0</v>
      </c>
      <c r="AF180">
        <v>351.29</v>
      </c>
      <c r="AG180">
        <v>7.02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1</v>
      </c>
      <c r="AQ180">
        <v>0</v>
      </c>
      <c r="AR180">
        <v>0</v>
      </c>
      <c r="AS180" t="s">
        <v>3</v>
      </c>
      <c r="AT180">
        <v>0.38400000000000001</v>
      </c>
      <c r="AU180" t="s">
        <v>174</v>
      </c>
      <c r="AV180">
        <v>0</v>
      </c>
      <c r="AW180">
        <v>2</v>
      </c>
      <c r="AX180">
        <v>46607533</v>
      </c>
      <c r="AY180">
        <v>1</v>
      </c>
      <c r="AZ180">
        <v>0</v>
      </c>
      <c r="BA180">
        <v>159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Y180*Source!I195</f>
        <v>9.5385600000000004</v>
      </c>
      <c r="CY180">
        <f>AB180</f>
        <v>351.29</v>
      </c>
      <c r="CZ180">
        <f>AF180</f>
        <v>351.29</v>
      </c>
      <c r="DA180">
        <f>AJ180</f>
        <v>1</v>
      </c>
      <c r="DB180">
        <f>ROUND((ROUND(AT180*CZ180,2)*0.2),6)</f>
        <v>26.98</v>
      </c>
      <c r="DC180">
        <f>ROUND((ROUND(AT180*AG180,2)*0.2),6)</f>
        <v>0.54</v>
      </c>
    </row>
    <row r="181" spans="1:107" x14ac:dyDescent="0.2">
      <c r="A181">
        <f>ROW(Source!A195)</f>
        <v>195</v>
      </c>
      <c r="B181">
        <v>46561299</v>
      </c>
      <c r="C181">
        <v>46607523</v>
      </c>
      <c r="D181">
        <v>45143575</v>
      </c>
      <c r="E181">
        <v>1</v>
      </c>
      <c r="F181">
        <v>1</v>
      </c>
      <c r="G181">
        <v>27</v>
      </c>
      <c r="H181">
        <v>2</v>
      </c>
      <c r="I181" t="s">
        <v>338</v>
      </c>
      <c r="J181" t="s">
        <v>339</v>
      </c>
      <c r="K181" t="s">
        <v>340</v>
      </c>
      <c r="L181">
        <v>1368</v>
      </c>
      <c r="N181">
        <v>1011</v>
      </c>
      <c r="O181" t="s">
        <v>286</v>
      </c>
      <c r="P181" t="s">
        <v>286</v>
      </c>
      <c r="Q181">
        <v>1</v>
      </c>
      <c r="W181">
        <v>0</v>
      </c>
      <c r="X181">
        <v>-764600179</v>
      </c>
      <c r="Y181">
        <v>2.3000000000000003E-2</v>
      </c>
      <c r="AA181">
        <v>0</v>
      </c>
      <c r="AB181">
        <v>5.94</v>
      </c>
      <c r="AC181">
        <v>0.02</v>
      </c>
      <c r="AD181">
        <v>0</v>
      </c>
      <c r="AE181">
        <v>0</v>
      </c>
      <c r="AF181">
        <v>5.94</v>
      </c>
      <c r="AG181">
        <v>0.02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1</v>
      </c>
      <c r="AQ181">
        <v>0</v>
      </c>
      <c r="AR181">
        <v>0</v>
      </c>
      <c r="AS181" t="s">
        <v>3</v>
      </c>
      <c r="AT181">
        <v>0.115</v>
      </c>
      <c r="AU181" t="s">
        <v>174</v>
      </c>
      <c r="AV181">
        <v>0</v>
      </c>
      <c r="AW181">
        <v>2</v>
      </c>
      <c r="AX181">
        <v>46607534</v>
      </c>
      <c r="AY181">
        <v>1</v>
      </c>
      <c r="AZ181">
        <v>0</v>
      </c>
      <c r="BA181">
        <v>160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Y181*Source!I195</f>
        <v>2.8566000000000003</v>
      </c>
      <c r="CY181">
        <f>AB181</f>
        <v>5.94</v>
      </c>
      <c r="CZ181">
        <f>AF181</f>
        <v>5.94</v>
      </c>
      <c r="DA181">
        <f>AJ181</f>
        <v>1</v>
      </c>
      <c r="DB181">
        <f>ROUND((ROUND(AT181*CZ181,2)*0.2),6)</f>
        <v>0.13600000000000001</v>
      </c>
      <c r="DC181">
        <f>ROUND((ROUND(AT181*AG181,2)*0.2),6)</f>
        <v>0</v>
      </c>
    </row>
    <row r="182" spans="1:107" x14ac:dyDescent="0.2">
      <c r="A182">
        <f>ROW(Source!A195)</f>
        <v>195</v>
      </c>
      <c r="B182">
        <v>46561299</v>
      </c>
      <c r="C182">
        <v>46607523</v>
      </c>
      <c r="D182">
        <v>45143598</v>
      </c>
      <c r="E182">
        <v>1</v>
      </c>
      <c r="F182">
        <v>1</v>
      </c>
      <c r="G182">
        <v>27</v>
      </c>
      <c r="H182">
        <v>2</v>
      </c>
      <c r="I182" t="s">
        <v>341</v>
      </c>
      <c r="J182" t="s">
        <v>342</v>
      </c>
      <c r="K182" t="s">
        <v>343</v>
      </c>
      <c r="L182">
        <v>1368</v>
      </c>
      <c r="N182">
        <v>1011</v>
      </c>
      <c r="O182" t="s">
        <v>286</v>
      </c>
      <c r="P182" t="s">
        <v>286</v>
      </c>
      <c r="Q182">
        <v>1</v>
      </c>
      <c r="W182">
        <v>0</v>
      </c>
      <c r="X182">
        <v>676633484</v>
      </c>
      <c r="Y182">
        <v>0.1008</v>
      </c>
      <c r="AA182">
        <v>0</v>
      </c>
      <c r="AB182">
        <v>652.16</v>
      </c>
      <c r="AC182">
        <v>581.9</v>
      </c>
      <c r="AD182">
        <v>0</v>
      </c>
      <c r="AE182">
        <v>0</v>
      </c>
      <c r="AF182">
        <v>652.16</v>
      </c>
      <c r="AG182">
        <v>581.9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 t="s">
        <v>3</v>
      </c>
      <c r="AT182">
        <v>0.504</v>
      </c>
      <c r="AU182" t="s">
        <v>174</v>
      </c>
      <c r="AV182">
        <v>0</v>
      </c>
      <c r="AW182">
        <v>2</v>
      </c>
      <c r="AX182">
        <v>46607535</v>
      </c>
      <c r="AY182">
        <v>1</v>
      </c>
      <c r="AZ182">
        <v>0</v>
      </c>
      <c r="BA182">
        <v>161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Y182*Source!I195</f>
        <v>12.519360000000001</v>
      </c>
      <c r="CY182">
        <f>AB182</f>
        <v>652.16</v>
      </c>
      <c r="CZ182">
        <f>AF182</f>
        <v>652.16</v>
      </c>
      <c r="DA182">
        <f>AJ182</f>
        <v>1</v>
      </c>
      <c r="DB182">
        <f>ROUND((ROUND(AT182*CZ182,2)*0.2),6)</f>
        <v>65.738</v>
      </c>
      <c r="DC182">
        <f>ROUND((ROUND(AT182*AG182,2)*0.2),6)</f>
        <v>58.655999999999999</v>
      </c>
    </row>
    <row r="183" spans="1:107" x14ac:dyDescent="0.2">
      <c r="A183">
        <f>ROW(Source!A195)</f>
        <v>195</v>
      </c>
      <c r="B183">
        <v>46561299</v>
      </c>
      <c r="C183">
        <v>46607523</v>
      </c>
      <c r="D183">
        <v>45144555</v>
      </c>
      <c r="E183">
        <v>1</v>
      </c>
      <c r="F183">
        <v>1</v>
      </c>
      <c r="G183">
        <v>27</v>
      </c>
      <c r="H183">
        <v>3</v>
      </c>
      <c r="I183" t="s">
        <v>344</v>
      </c>
      <c r="J183" t="s">
        <v>345</v>
      </c>
      <c r="K183" t="s">
        <v>346</v>
      </c>
      <c r="L183">
        <v>1348</v>
      </c>
      <c r="N183">
        <v>1009</v>
      </c>
      <c r="O183" t="s">
        <v>65</v>
      </c>
      <c r="P183" t="s">
        <v>65</v>
      </c>
      <c r="Q183">
        <v>1000</v>
      </c>
      <c r="W183">
        <v>0</v>
      </c>
      <c r="X183">
        <v>-1210277159</v>
      </c>
      <c r="Y183">
        <v>0</v>
      </c>
      <c r="AA183">
        <v>38268.54</v>
      </c>
      <c r="AB183">
        <v>0</v>
      </c>
      <c r="AC183">
        <v>0</v>
      </c>
      <c r="AD183">
        <v>0</v>
      </c>
      <c r="AE183">
        <v>38268.54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1</v>
      </c>
      <c r="AQ183">
        <v>0</v>
      </c>
      <c r="AR183">
        <v>0</v>
      </c>
      <c r="AS183" t="s">
        <v>3</v>
      </c>
      <c r="AT183">
        <v>1.01E-3</v>
      </c>
      <c r="AU183" t="s">
        <v>173</v>
      </c>
      <c r="AV183">
        <v>0</v>
      </c>
      <c r="AW183">
        <v>2</v>
      </c>
      <c r="AX183">
        <v>46607536</v>
      </c>
      <c r="AY183">
        <v>1</v>
      </c>
      <c r="AZ183">
        <v>0</v>
      </c>
      <c r="BA183">
        <v>162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Y183*Source!I195</f>
        <v>0</v>
      </c>
      <c r="CY183">
        <f>AA183</f>
        <v>38268.54</v>
      </c>
      <c r="CZ183">
        <f>AE183</f>
        <v>38268.54</v>
      </c>
      <c r="DA183">
        <f>AI183</f>
        <v>1</v>
      </c>
      <c r="DB183">
        <f>ROUND((ROUND(AT183*CZ183,2)*0),6)</f>
        <v>0</v>
      </c>
      <c r="DC183">
        <f>ROUND((ROUND(AT183*AG183,2)*0),6)</f>
        <v>0</v>
      </c>
    </row>
    <row r="184" spans="1:107" x14ac:dyDescent="0.2">
      <c r="A184">
        <f>ROW(Source!A195)</f>
        <v>195</v>
      </c>
      <c r="B184">
        <v>46561299</v>
      </c>
      <c r="C184">
        <v>46607523</v>
      </c>
      <c r="D184">
        <v>45144413</v>
      </c>
      <c r="E184">
        <v>1</v>
      </c>
      <c r="F184">
        <v>1</v>
      </c>
      <c r="G184">
        <v>27</v>
      </c>
      <c r="H184">
        <v>3</v>
      </c>
      <c r="I184" t="s">
        <v>84</v>
      </c>
      <c r="J184" t="s">
        <v>86</v>
      </c>
      <c r="K184" t="s">
        <v>85</v>
      </c>
      <c r="L184">
        <v>1348</v>
      </c>
      <c r="N184">
        <v>1009</v>
      </c>
      <c r="O184" t="s">
        <v>65</v>
      </c>
      <c r="P184" t="s">
        <v>65</v>
      </c>
      <c r="Q184">
        <v>1000</v>
      </c>
      <c r="W184">
        <v>0</v>
      </c>
      <c r="X184">
        <v>-2126876791</v>
      </c>
      <c r="Y184">
        <v>0</v>
      </c>
      <c r="AA184">
        <v>37537.54</v>
      </c>
      <c r="AB184">
        <v>0</v>
      </c>
      <c r="AC184">
        <v>0</v>
      </c>
      <c r="AD184">
        <v>0</v>
      </c>
      <c r="AE184">
        <v>37537.54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S184" t="s">
        <v>3</v>
      </c>
      <c r="AT184">
        <v>0.14899999999999999</v>
      </c>
      <c r="AU184" t="s">
        <v>173</v>
      </c>
      <c r="AV184">
        <v>0</v>
      </c>
      <c r="AW184">
        <v>2</v>
      </c>
      <c r="AX184">
        <v>46607537</v>
      </c>
      <c r="AY184">
        <v>1</v>
      </c>
      <c r="AZ184">
        <v>0</v>
      </c>
      <c r="BA184">
        <v>163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Y184*Source!I195</f>
        <v>0</v>
      </c>
      <c r="CY184">
        <f>AA184</f>
        <v>37537.54</v>
      </c>
      <c r="CZ184">
        <f>AE184</f>
        <v>37537.54</v>
      </c>
      <c r="DA184">
        <f>AI184</f>
        <v>1</v>
      </c>
      <c r="DB184">
        <f>ROUND((ROUND(AT184*CZ184,2)*0),6)</f>
        <v>0</v>
      </c>
      <c r="DC184">
        <f>ROUND((ROUND(AT184*AG184,2)*0),6)</f>
        <v>0</v>
      </c>
    </row>
    <row r="185" spans="1:107" x14ac:dyDescent="0.2">
      <c r="A185">
        <f>ROW(Source!A195)</f>
        <v>195</v>
      </c>
      <c r="B185">
        <v>46561299</v>
      </c>
      <c r="C185">
        <v>46607523</v>
      </c>
      <c r="D185">
        <v>45145543</v>
      </c>
      <c r="E185">
        <v>1</v>
      </c>
      <c r="F185">
        <v>1</v>
      </c>
      <c r="G185">
        <v>27</v>
      </c>
      <c r="H185">
        <v>3</v>
      </c>
      <c r="I185" t="s">
        <v>320</v>
      </c>
      <c r="J185" t="s">
        <v>321</v>
      </c>
      <c r="K185" t="s">
        <v>322</v>
      </c>
      <c r="L185">
        <v>1348</v>
      </c>
      <c r="N185">
        <v>1009</v>
      </c>
      <c r="O185" t="s">
        <v>65</v>
      </c>
      <c r="P185" t="s">
        <v>65</v>
      </c>
      <c r="Q185">
        <v>1000</v>
      </c>
      <c r="W185">
        <v>0</v>
      </c>
      <c r="X185">
        <v>-672771621</v>
      </c>
      <c r="Y185">
        <v>0</v>
      </c>
      <c r="AA185">
        <v>110781.14</v>
      </c>
      <c r="AB185">
        <v>0</v>
      </c>
      <c r="AC185">
        <v>0</v>
      </c>
      <c r="AD185">
        <v>0</v>
      </c>
      <c r="AE185">
        <v>110781.14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1</v>
      </c>
      <c r="AQ185">
        <v>0</v>
      </c>
      <c r="AR185">
        <v>0</v>
      </c>
      <c r="AS185" t="s">
        <v>3</v>
      </c>
      <c r="AT185">
        <v>5.0000000000000001E-4</v>
      </c>
      <c r="AU185" t="s">
        <v>173</v>
      </c>
      <c r="AV185">
        <v>0</v>
      </c>
      <c r="AW185">
        <v>2</v>
      </c>
      <c r="AX185">
        <v>46607538</v>
      </c>
      <c r="AY185">
        <v>1</v>
      </c>
      <c r="AZ185">
        <v>0</v>
      </c>
      <c r="BA185">
        <v>164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Y185*Source!I195</f>
        <v>0</v>
      </c>
      <c r="CY185">
        <f>AA185</f>
        <v>110781.14</v>
      </c>
      <c r="CZ185">
        <f>AE185</f>
        <v>110781.14</v>
      </c>
      <c r="DA185">
        <f>AI185</f>
        <v>1</v>
      </c>
      <c r="DB185">
        <f>ROUND((ROUND(AT185*CZ185,2)*0),6)</f>
        <v>0</v>
      </c>
      <c r="DC185">
        <f>ROUND((ROUND(AT185*AG185,2)*0),6)</f>
        <v>0</v>
      </c>
    </row>
    <row r="186" spans="1:107" x14ac:dyDescent="0.2">
      <c r="A186">
        <f>ROW(Source!A195)</f>
        <v>195</v>
      </c>
      <c r="B186">
        <v>46561299</v>
      </c>
      <c r="C186">
        <v>46607523</v>
      </c>
      <c r="D186">
        <v>45147864</v>
      </c>
      <c r="E186">
        <v>1</v>
      </c>
      <c r="F186">
        <v>1</v>
      </c>
      <c r="G186">
        <v>27</v>
      </c>
      <c r="H186">
        <v>3</v>
      </c>
      <c r="I186" t="s">
        <v>347</v>
      </c>
      <c r="J186" t="s">
        <v>348</v>
      </c>
      <c r="K186" t="s">
        <v>349</v>
      </c>
      <c r="L186">
        <v>1354</v>
      </c>
      <c r="N186">
        <v>1010</v>
      </c>
      <c r="O186" t="s">
        <v>350</v>
      </c>
      <c r="P186" t="s">
        <v>350</v>
      </c>
      <c r="Q186">
        <v>1</v>
      </c>
      <c r="W186">
        <v>0</v>
      </c>
      <c r="X186">
        <v>969740417</v>
      </c>
      <c r="Y186">
        <v>0</v>
      </c>
      <c r="AA186">
        <v>16.54</v>
      </c>
      <c r="AB186">
        <v>0</v>
      </c>
      <c r="AC186">
        <v>0</v>
      </c>
      <c r="AD186">
        <v>0</v>
      </c>
      <c r="AE186">
        <v>16.54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1</v>
      </c>
      <c r="AQ186">
        <v>0</v>
      </c>
      <c r="AR186">
        <v>0</v>
      </c>
      <c r="AS186" t="s">
        <v>3</v>
      </c>
      <c r="AT186">
        <v>1.4E-2</v>
      </c>
      <c r="AU186" t="s">
        <v>173</v>
      </c>
      <c r="AV186">
        <v>0</v>
      </c>
      <c r="AW186">
        <v>2</v>
      </c>
      <c r="AX186">
        <v>46607539</v>
      </c>
      <c r="AY186">
        <v>1</v>
      </c>
      <c r="AZ186">
        <v>0</v>
      </c>
      <c r="BA186">
        <v>165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Y186*Source!I195</f>
        <v>0</v>
      </c>
      <c r="CY186">
        <f>AA186</f>
        <v>16.54</v>
      </c>
      <c r="CZ186">
        <f>AE186</f>
        <v>16.54</v>
      </c>
      <c r="DA186">
        <f>AI186</f>
        <v>1</v>
      </c>
      <c r="DB186">
        <f>ROUND((ROUND(AT186*CZ186,2)*0),6)</f>
        <v>0</v>
      </c>
      <c r="DC186">
        <f>ROUND((ROUND(AT186*AG186,2)*0),6)</f>
        <v>0</v>
      </c>
    </row>
    <row r="187" spans="1:107" x14ac:dyDescent="0.2">
      <c r="A187">
        <f>ROW(Source!A196)</f>
        <v>196</v>
      </c>
      <c r="B187">
        <v>46561299</v>
      </c>
      <c r="C187">
        <v>46607540</v>
      </c>
      <c r="D187">
        <v>45130551</v>
      </c>
      <c r="E187">
        <v>27</v>
      </c>
      <c r="F187">
        <v>1</v>
      </c>
      <c r="G187">
        <v>27</v>
      </c>
      <c r="H187">
        <v>1</v>
      </c>
      <c r="I187" t="s">
        <v>280</v>
      </c>
      <c r="J187" t="s">
        <v>3</v>
      </c>
      <c r="K187" t="s">
        <v>281</v>
      </c>
      <c r="L187">
        <v>1191</v>
      </c>
      <c r="N187">
        <v>1013</v>
      </c>
      <c r="O187" t="s">
        <v>282</v>
      </c>
      <c r="P187" t="s">
        <v>282</v>
      </c>
      <c r="Q187">
        <v>1</v>
      </c>
      <c r="W187">
        <v>0</v>
      </c>
      <c r="X187">
        <v>476480486</v>
      </c>
      <c r="Y187">
        <v>8.27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8.27</v>
      </c>
      <c r="AU187" t="s">
        <v>3</v>
      </c>
      <c r="AV187">
        <v>1</v>
      </c>
      <c r="AW187">
        <v>2</v>
      </c>
      <c r="AX187">
        <v>46607545</v>
      </c>
      <c r="AY187">
        <v>1</v>
      </c>
      <c r="AZ187">
        <v>0</v>
      </c>
      <c r="BA187">
        <v>166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Y187*Source!I196</f>
        <v>19.020999999999997</v>
      </c>
      <c r="CY187">
        <f>AD187</f>
        <v>0</v>
      </c>
      <c r="CZ187">
        <f>AH187</f>
        <v>0</v>
      </c>
      <c r="DA187">
        <f>AL187</f>
        <v>1</v>
      </c>
      <c r="DB187">
        <f t="shared" ref="DB187:DB218" si="30">ROUND(ROUND(AT187*CZ187,2),6)</f>
        <v>0</v>
      </c>
      <c r="DC187">
        <f t="shared" ref="DC187:DC218" si="31">ROUND(ROUND(AT187*AG187,2),6)</f>
        <v>0</v>
      </c>
    </row>
    <row r="188" spans="1:107" x14ac:dyDescent="0.2">
      <c r="A188">
        <f>ROW(Source!A196)</f>
        <v>196</v>
      </c>
      <c r="B188">
        <v>46561299</v>
      </c>
      <c r="C188">
        <v>46607540</v>
      </c>
      <c r="D188">
        <v>45143091</v>
      </c>
      <c r="E188">
        <v>1</v>
      </c>
      <c r="F188">
        <v>1</v>
      </c>
      <c r="G188">
        <v>27</v>
      </c>
      <c r="H188">
        <v>2</v>
      </c>
      <c r="I188" t="s">
        <v>369</v>
      </c>
      <c r="J188" t="s">
        <v>370</v>
      </c>
      <c r="K188" t="s">
        <v>371</v>
      </c>
      <c r="L188">
        <v>1368</v>
      </c>
      <c r="N188">
        <v>1011</v>
      </c>
      <c r="O188" t="s">
        <v>286</v>
      </c>
      <c r="P188" t="s">
        <v>286</v>
      </c>
      <c r="Q188">
        <v>1</v>
      </c>
      <c r="W188">
        <v>0</v>
      </c>
      <c r="X188">
        <v>830483721</v>
      </c>
      <c r="Y188">
        <v>1.95</v>
      </c>
      <c r="AA188">
        <v>0</v>
      </c>
      <c r="AB188">
        <v>470.71</v>
      </c>
      <c r="AC188">
        <v>359.8</v>
      </c>
      <c r="AD188">
        <v>0</v>
      </c>
      <c r="AE188">
        <v>0</v>
      </c>
      <c r="AF188">
        <v>470.71</v>
      </c>
      <c r="AG188">
        <v>359.8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1.95</v>
      </c>
      <c r="AU188" t="s">
        <v>3</v>
      </c>
      <c r="AV188">
        <v>0</v>
      </c>
      <c r="AW188">
        <v>2</v>
      </c>
      <c r="AX188">
        <v>46607546</v>
      </c>
      <c r="AY188">
        <v>1</v>
      </c>
      <c r="AZ188">
        <v>0</v>
      </c>
      <c r="BA188">
        <v>167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Y188*Source!I196</f>
        <v>4.4849999999999994</v>
      </c>
      <c r="CY188">
        <f>AB188</f>
        <v>470.71</v>
      </c>
      <c r="CZ188">
        <f>AF188</f>
        <v>470.71</v>
      </c>
      <c r="DA188">
        <f>AJ188</f>
        <v>1</v>
      </c>
      <c r="DB188">
        <f t="shared" si="30"/>
        <v>917.88</v>
      </c>
      <c r="DC188">
        <f t="shared" si="31"/>
        <v>701.61</v>
      </c>
    </row>
    <row r="189" spans="1:107" x14ac:dyDescent="0.2">
      <c r="A189">
        <f>ROW(Source!A196)</f>
        <v>196</v>
      </c>
      <c r="B189">
        <v>46561299</v>
      </c>
      <c r="C189">
        <v>46607540</v>
      </c>
      <c r="D189">
        <v>45143607</v>
      </c>
      <c r="E189">
        <v>1</v>
      </c>
      <c r="F189">
        <v>1</v>
      </c>
      <c r="G189">
        <v>27</v>
      </c>
      <c r="H189">
        <v>2</v>
      </c>
      <c r="I189" t="s">
        <v>372</v>
      </c>
      <c r="J189" t="s">
        <v>373</v>
      </c>
      <c r="K189" t="s">
        <v>374</v>
      </c>
      <c r="L189">
        <v>1368</v>
      </c>
      <c r="N189">
        <v>1011</v>
      </c>
      <c r="O189" t="s">
        <v>286</v>
      </c>
      <c r="P189" t="s">
        <v>286</v>
      </c>
      <c r="Q189">
        <v>1</v>
      </c>
      <c r="W189">
        <v>0</v>
      </c>
      <c r="X189">
        <v>-352447613</v>
      </c>
      <c r="Y189">
        <v>1.95</v>
      </c>
      <c r="AA189">
        <v>0</v>
      </c>
      <c r="AB189">
        <v>6.02</v>
      </c>
      <c r="AC189">
        <v>0.02</v>
      </c>
      <c r="AD189">
        <v>0</v>
      </c>
      <c r="AE189">
        <v>0</v>
      </c>
      <c r="AF189">
        <v>6.02</v>
      </c>
      <c r="AG189">
        <v>0.02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1.95</v>
      </c>
      <c r="AU189" t="s">
        <v>3</v>
      </c>
      <c r="AV189">
        <v>0</v>
      </c>
      <c r="AW189">
        <v>2</v>
      </c>
      <c r="AX189">
        <v>46607547</v>
      </c>
      <c r="AY189">
        <v>1</v>
      </c>
      <c r="AZ189">
        <v>0</v>
      </c>
      <c r="BA189">
        <v>168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Y189*Source!I196</f>
        <v>4.4849999999999994</v>
      </c>
      <c r="CY189">
        <f>AB189</f>
        <v>6.02</v>
      </c>
      <c r="CZ189">
        <f>AF189</f>
        <v>6.02</v>
      </c>
      <c r="DA189">
        <f>AJ189</f>
        <v>1</v>
      </c>
      <c r="DB189">
        <f t="shared" si="30"/>
        <v>11.74</v>
      </c>
      <c r="DC189">
        <f t="shared" si="31"/>
        <v>0.04</v>
      </c>
    </row>
    <row r="190" spans="1:107" x14ac:dyDescent="0.2">
      <c r="A190">
        <f>ROW(Source!A196)</f>
        <v>196</v>
      </c>
      <c r="B190">
        <v>46561299</v>
      </c>
      <c r="C190">
        <v>46607540</v>
      </c>
      <c r="D190">
        <v>45132303</v>
      </c>
      <c r="E190">
        <v>27</v>
      </c>
      <c r="F190">
        <v>1</v>
      </c>
      <c r="G190">
        <v>27</v>
      </c>
      <c r="H190">
        <v>3</v>
      </c>
      <c r="I190" t="s">
        <v>375</v>
      </c>
      <c r="J190" t="s">
        <v>3</v>
      </c>
      <c r="K190" t="s">
        <v>376</v>
      </c>
      <c r="L190">
        <v>1348</v>
      </c>
      <c r="N190">
        <v>1009</v>
      </c>
      <c r="O190" t="s">
        <v>65</v>
      </c>
      <c r="P190" t="s">
        <v>65</v>
      </c>
      <c r="Q190">
        <v>1000</v>
      </c>
      <c r="W190">
        <v>0</v>
      </c>
      <c r="X190">
        <v>1489638031</v>
      </c>
      <c r="Y190">
        <v>2.4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2.4</v>
      </c>
      <c r="AU190" t="s">
        <v>3</v>
      </c>
      <c r="AV190">
        <v>0</v>
      </c>
      <c r="AW190">
        <v>2</v>
      </c>
      <c r="AX190">
        <v>46607548</v>
      </c>
      <c r="AY190">
        <v>1</v>
      </c>
      <c r="AZ190">
        <v>0</v>
      </c>
      <c r="BA190">
        <v>169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Y190*Source!I196</f>
        <v>5.52</v>
      </c>
      <c r="CY190">
        <f>AA190</f>
        <v>0</v>
      </c>
      <c r="CZ190">
        <f>AE190</f>
        <v>0</v>
      </c>
      <c r="DA190">
        <f>AI190</f>
        <v>1</v>
      </c>
      <c r="DB190">
        <f t="shared" si="30"/>
        <v>0</v>
      </c>
      <c r="DC190">
        <f t="shared" si="31"/>
        <v>0</v>
      </c>
    </row>
    <row r="191" spans="1:107" x14ac:dyDescent="0.2">
      <c r="A191">
        <f>ROW(Source!A197)</f>
        <v>197</v>
      </c>
      <c r="B191">
        <v>46561299</v>
      </c>
      <c r="C191">
        <v>46607549</v>
      </c>
      <c r="D191">
        <v>45130551</v>
      </c>
      <c r="E191">
        <v>27</v>
      </c>
      <c r="F191">
        <v>1</v>
      </c>
      <c r="G191">
        <v>27</v>
      </c>
      <c r="H191">
        <v>1</v>
      </c>
      <c r="I191" t="s">
        <v>280</v>
      </c>
      <c r="J191" t="s">
        <v>3</v>
      </c>
      <c r="K191" t="s">
        <v>281</v>
      </c>
      <c r="L191">
        <v>1191</v>
      </c>
      <c r="N191">
        <v>1013</v>
      </c>
      <c r="O191" t="s">
        <v>282</v>
      </c>
      <c r="P191" t="s">
        <v>282</v>
      </c>
      <c r="Q191">
        <v>1</v>
      </c>
      <c r="W191">
        <v>0</v>
      </c>
      <c r="X191">
        <v>476480486</v>
      </c>
      <c r="Y191">
        <v>221.6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221.6</v>
      </c>
      <c r="AU191" t="s">
        <v>3</v>
      </c>
      <c r="AV191">
        <v>1</v>
      </c>
      <c r="AW191">
        <v>2</v>
      </c>
      <c r="AX191">
        <v>46607551</v>
      </c>
      <c r="AY191">
        <v>1</v>
      </c>
      <c r="AZ191">
        <v>0</v>
      </c>
      <c r="BA191">
        <v>170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Y191*Source!I197</f>
        <v>5.0968</v>
      </c>
      <c r="CY191">
        <f>AD191</f>
        <v>0</v>
      </c>
      <c r="CZ191">
        <f>AH191</f>
        <v>0</v>
      </c>
      <c r="DA191">
        <f>AL191</f>
        <v>1</v>
      </c>
      <c r="DB191">
        <f t="shared" si="30"/>
        <v>0</v>
      </c>
      <c r="DC191">
        <f t="shared" si="31"/>
        <v>0</v>
      </c>
    </row>
    <row r="192" spans="1:107" x14ac:dyDescent="0.2">
      <c r="A192">
        <f>ROW(Source!A198)</f>
        <v>198</v>
      </c>
      <c r="B192">
        <v>46561299</v>
      </c>
      <c r="C192">
        <v>46607552</v>
      </c>
      <c r="D192">
        <v>45130551</v>
      </c>
      <c r="E192">
        <v>27</v>
      </c>
      <c r="F192">
        <v>1</v>
      </c>
      <c r="G192">
        <v>27</v>
      </c>
      <c r="H192">
        <v>1</v>
      </c>
      <c r="I192" t="s">
        <v>280</v>
      </c>
      <c r="J192" t="s">
        <v>3</v>
      </c>
      <c r="K192" t="s">
        <v>281</v>
      </c>
      <c r="L192">
        <v>1191</v>
      </c>
      <c r="N192">
        <v>1013</v>
      </c>
      <c r="O192" t="s">
        <v>282</v>
      </c>
      <c r="P192" t="s">
        <v>282</v>
      </c>
      <c r="Q192">
        <v>1</v>
      </c>
      <c r="W192">
        <v>0</v>
      </c>
      <c r="X192">
        <v>476480486</v>
      </c>
      <c r="Y192">
        <v>123.1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123.1</v>
      </c>
      <c r="AU192" t="s">
        <v>3</v>
      </c>
      <c r="AV192">
        <v>1</v>
      </c>
      <c r="AW192">
        <v>2</v>
      </c>
      <c r="AX192">
        <v>46607554</v>
      </c>
      <c r="AY192">
        <v>1</v>
      </c>
      <c r="AZ192">
        <v>0</v>
      </c>
      <c r="BA192">
        <v>171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Y192*Source!I198</f>
        <v>2.8312999999999997</v>
      </c>
      <c r="CY192">
        <f>AD192</f>
        <v>0</v>
      </c>
      <c r="CZ192">
        <f>AH192</f>
        <v>0</v>
      </c>
      <c r="DA192">
        <f>AL192</f>
        <v>1</v>
      </c>
      <c r="DB192">
        <f t="shared" si="30"/>
        <v>0</v>
      </c>
      <c r="DC192">
        <f t="shared" si="31"/>
        <v>0</v>
      </c>
    </row>
    <row r="193" spans="1:107" x14ac:dyDescent="0.2">
      <c r="A193">
        <f>ROW(Source!A199)</f>
        <v>199</v>
      </c>
      <c r="B193">
        <v>46561299</v>
      </c>
      <c r="C193">
        <v>46607555</v>
      </c>
      <c r="D193">
        <v>45130551</v>
      </c>
      <c r="E193">
        <v>27</v>
      </c>
      <c r="F193">
        <v>1</v>
      </c>
      <c r="G193">
        <v>27</v>
      </c>
      <c r="H193">
        <v>1</v>
      </c>
      <c r="I193" t="s">
        <v>280</v>
      </c>
      <c r="J193" t="s">
        <v>3</v>
      </c>
      <c r="K193" t="s">
        <v>281</v>
      </c>
      <c r="L193">
        <v>1191</v>
      </c>
      <c r="N193">
        <v>1013</v>
      </c>
      <c r="O193" t="s">
        <v>282</v>
      </c>
      <c r="P193" t="s">
        <v>282</v>
      </c>
      <c r="Q193">
        <v>1</v>
      </c>
      <c r="W193">
        <v>0</v>
      </c>
      <c r="X193">
        <v>476480486</v>
      </c>
      <c r="Y193">
        <v>1.25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1.25</v>
      </c>
      <c r="AU193" t="s">
        <v>3</v>
      </c>
      <c r="AV193">
        <v>1</v>
      </c>
      <c r="AW193">
        <v>2</v>
      </c>
      <c r="AX193">
        <v>46607560</v>
      </c>
      <c r="AY193">
        <v>1</v>
      </c>
      <c r="AZ193">
        <v>0</v>
      </c>
      <c r="BA193">
        <v>172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Y193*Source!I199</f>
        <v>2.375</v>
      </c>
      <c r="CY193">
        <f>AD193</f>
        <v>0</v>
      </c>
      <c r="CZ193">
        <f>AH193</f>
        <v>0</v>
      </c>
      <c r="DA193">
        <f>AL193</f>
        <v>1</v>
      </c>
      <c r="DB193">
        <f t="shared" si="30"/>
        <v>0</v>
      </c>
      <c r="DC193">
        <f t="shared" si="31"/>
        <v>0</v>
      </c>
    </row>
    <row r="194" spans="1:107" x14ac:dyDescent="0.2">
      <c r="A194">
        <f>ROW(Source!A199)</f>
        <v>199</v>
      </c>
      <c r="B194">
        <v>46561299</v>
      </c>
      <c r="C194">
        <v>46607555</v>
      </c>
      <c r="D194">
        <v>45144915</v>
      </c>
      <c r="E194">
        <v>1</v>
      </c>
      <c r="F194">
        <v>1</v>
      </c>
      <c r="G194">
        <v>27</v>
      </c>
      <c r="H194">
        <v>3</v>
      </c>
      <c r="I194" t="s">
        <v>287</v>
      </c>
      <c r="J194" t="s">
        <v>288</v>
      </c>
      <c r="K194" t="s">
        <v>289</v>
      </c>
      <c r="L194">
        <v>1339</v>
      </c>
      <c r="N194">
        <v>1007</v>
      </c>
      <c r="O194" t="s">
        <v>29</v>
      </c>
      <c r="P194" t="s">
        <v>29</v>
      </c>
      <c r="Q194">
        <v>1</v>
      </c>
      <c r="W194">
        <v>0</v>
      </c>
      <c r="X194">
        <v>1099845635</v>
      </c>
      <c r="Y194">
        <v>0.06</v>
      </c>
      <c r="AA194">
        <v>1865.77</v>
      </c>
      <c r="AB194">
        <v>0</v>
      </c>
      <c r="AC194">
        <v>0</v>
      </c>
      <c r="AD194">
        <v>0</v>
      </c>
      <c r="AE194">
        <v>1865.77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0.06</v>
      </c>
      <c r="AU194" t="s">
        <v>3</v>
      </c>
      <c r="AV194">
        <v>0</v>
      </c>
      <c r="AW194">
        <v>2</v>
      </c>
      <c r="AX194">
        <v>46607561</v>
      </c>
      <c r="AY194">
        <v>1</v>
      </c>
      <c r="AZ194">
        <v>0</v>
      </c>
      <c r="BA194">
        <v>173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Y194*Source!I199</f>
        <v>0.11399999999999999</v>
      </c>
      <c r="CY194">
        <f>AA194</f>
        <v>1865.77</v>
      </c>
      <c r="CZ194">
        <f>AE194</f>
        <v>1865.77</v>
      </c>
      <c r="DA194">
        <f>AI194</f>
        <v>1</v>
      </c>
      <c r="DB194">
        <f t="shared" si="30"/>
        <v>111.95</v>
      </c>
      <c r="DC194">
        <f t="shared" si="31"/>
        <v>0</v>
      </c>
    </row>
    <row r="195" spans="1:107" x14ac:dyDescent="0.2">
      <c r="A195">
        <f>ROW(Source!A199)</f>
        <v>199</v>
      </c>
      <c r="B195">
        <v>46561299</v>
      </c>
      <c r="C195">
        <v>46607555</v>
      </c>
      <c r="D195">
        <v>45144916</v>
      </c>
      <c r="E195">
        <v>1</v>
      </c>
      <c r="F195">
        <v>1</v>
      </c>
      <c r="G195">
        <v>27</v>
      </c>
      <c r="H195">
        <v>3</v>
      </c>
      <c r="I195" t="s">
        <v>290</v>
      </c>
      <c r="J195" t="s">
        <v>291</v>
      </c>
      <c r="K195" t="s">
        <v>292</v>
      </c>
      <c r="L195">
        <v>1339</v>
      </c>
      <c r="N195">
        <v>1007</v>
      </c>
      <c r="O195" t="s">
        <v>29</v>
      </c>
      <c r="P195" t="s">
        <v>29</v>
      </c>
      <c r="Q195">
        <v>1</v>
      </c>
      <c r="W195">
        <v>0</v>
      </c>
      <c r="X195">
        <v>-886425656</v>
      </c>
      <c r="Y195">
        <v>0.24</v>
      </c>
      <c r="AA195">
        <v>1763.75</v>
      </c>
      <c r="AB195">
        <v>0</v>
      </c>
      <c r="AC195">
        <v>0</v>
      </c>
      <c r="AD195">
        <v>0</v>
      </c>
      <c r="AE195">
        <v>1763.75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0.24</v>
      </c>
      <c r="AU195" t="s">
        <v>3</v>
      </c>
      <c r="AV195">
        <v>0</v>
      </c>
      <c r="AW195">
        <v>2</v>
      </c>
      <c r="AX195">
        <v>46607562</v>
      </c>
      <c r="AY195">
        <v>1</v>
      </c>
      <c r="AZ195">
        <v>0</v>
      </c>
      <c r="BA195">
        <v>174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Y195*Source!I199</f>
        <v>0.45599999999999996</v>
      </c>
      <c r="CY195">
        <f>AA195</f>
        <v>1763.75</v>
      </c>
      <c r="CZ195">
        <f>AE195</f>
        <v>1763.75</v>
      </c>
      <c r="DA195">
        <f>AI195</f>
        <v>1</v>
      </c>
      <c r="DB195">
        <f t="shared" si="30"/>
        <v>423.3</v>
      </c>
      <c r="DC195">
        <f t="shared" si="31"/>
        <v>0</v>
      </c>
    </row>
    <row r="196" spans="1:107" x14ac:dyDescent="0.2">
      <c r="A196">
        <f>ROW(Source!A199)</f>
        <v>199</v>
      </c>
      <c r="B196">
        <v>46561299</v>
      </c>
      <c r="C196">
        <v>46607555</v>
      </c>
      <c r="D196">
        <v>45145636</v>
      </c>
      <c r="E196">
        <v>1</v>
      </c>
      <c r="F196">
        <v>1</v>
      </c>
      <c r="G196">
        <v>27</v>
      </c>
      <c r="H196">
        <v>3</v>
      </c>
      <c r="I196" t="s">
        <v>293</v>
      </c>
      <c r="J196" t="s">
        <v>294</v>
      </c>
      <c r="K196" t="s">
        <v>295</v>
      </c>
      <c r="L196">
        <v>1339</v>
      </c>
      <c r="N196">
        <v>1007</v>
      </c>
      <c r="O196" t="s">
        <v>29</v>
      </c>
      <c r="P196" t="s">
        <v>29</v>
      </c>
      <c r="Q196">
        <v>1</v>
      </c>
      <c r="W196">
        <v>0</v>
      </c>
      <c r="X196">
        <v>1927597627</v>
      </c>
      <c r="Y196">
        <v>0.03</v>
      </c>
      <c r="AA196">
        <v>35.25</v>
      </c>
      <c r="AB196">
        <v>0</v>
      </c>
      <c r="AC196">
        <v>0</v>
      </c>
      <c r="AD196">
        <v>0</v>
      </c>
      <c r="AE196">
        <v>35.25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0.03</v>
      </c>
      <c r="AU196" t="s">
        <v>3</v>
      </c>
      <c r="AV196">
        <v>0</v>
      </c>
      <c r="AW196">
        <v>2</v>
      </c>
      <c r="AX196">
        <v>46607563</v>
      </c>
      <c r="AY196">
        <v>1</v>
      </c>
      <c r="AZ196">
        <v>0</v>
      </c>
      <c r="BA196">
        <v>175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Y196*Source!I199</f>
        <v>5.6999999999999995E-2</v>
      </c>
      <c r="CY196">
        <f>AA196</f>
        <v>35.25</v>
      </c>
      <c r="CZ196">
        <f>AE196</f>
        <v>35.25</v>
      </c>
      <c r="DA196">
        <f>AI196</f>
        <v>1</v>
      </c>
      <c r="DB196">
        <f t="shared" si="30"/>
        <v>1.06</v>
      </c>
      <c r="DC196">
        <f t="shared" si="31"/>
        <v>0</v>
      </c>
    </row>
    <row r="197" spans="1:107" x14ac:dyDescent="0.2">
      <c r="A197">
        <f>ROW(Source!A200)</f>
        <v>200</v>
      </c>
      <c r="B197">
        <v>46561299</v>
      </c>
      <c r="C197">
        <v>46607564</v>
      </c>
      <c r="D197">
        <v>45130551</v>
      </c>
      <c r="E197">
        <v>27</v>
      </c>
      <c r="F197">
        <v>1</v>
      </c>
      <c r="G197">
        <v>27</v>
      </c>
      <c r="H197">
        <v>1</v>
      </c>
      <c r="I197" t="s">
        <v>280</v>
      </c>
      <c r="J197" t="s">
        <v>3</v>
      </c>
      <c r="K197" t="s">
        <v>281</v>
      </c>
      <c r="L197">
        <v>1191</v>
      </c>
      <c r="N197">
        <v>1013</v>
      </c>
      <c r="O197" t="s">
        <v>282</v>
      </c>
      <c r="P197" t="s">
        <v>282</v>
      </c>
      <c r="Q197">
        <v>1</v>
      </c>
      <c r="W197">
        <v>0</v>
      </c>
      <c r="X197">
        <v>476480486</v>
      </c>
      <c r="Y197">
        <v>0.37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0.37</v>
      </c>
      <c r="AU197" t="s">
        <v>3</v>
      </c>
      <c r="AV197">
        <v>1</v>
      </c>
      <c r="AW197">
        <v>2</v>
      </c>
      <c r="AX197">
        <v>46607569</v>
      </c>
      <c r="AY197">
        <v>1</v>
      </c>
      <c r="AZ197">
        <v>0</v>
      </c>
      <c r="BA197">
        <v>176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Y197*Source!I200</f>
        <v>0.70299999999999996</v>
      </c>
      <c r="CY197">
        <f>AD197</f>
        <v>0</v>
      </c>
      <c r="CZ197">
        <f>AH197</f>
        <v>0</v>
      </c>
      <c r="DA197">
        <f>AL197</f>
        <v>1</v>
      </c>
      <c r="DB197">
        <f t="shared" si="30"/>
        <v>0</v>
      </c>
      <c r="DC197">
        <f t="shared" si="31"/>
        <v>0</v>
      </c>
    </row>
    <row r="198" spans="1:107" x14ac:dyDescent="0.2">
      <c r="A198">
        <f>ROW(Source!A200)</f>
        <v>200</v>
      </c>
      <c r="B198">
        <v>46561299</v>
      </c>
      <c r="C198">
        <v>46607564</v>
      </c>
      <c r="D198">
        <v>45142937</v>
      </c>
      <c r="E198">
        <v>1</v>
      </c>
      <c r="F198">
        <v>1</v>
      </c>
      <c r="G198">
        <v>27</v>
      </c>
      <c r="H198">
        <v>2</v>
      </c>
      <c r="I198" t="s">
        <v>296</v>
      </c>
      <c r="J198" t="s">
        <v>297</v>
      </c>
      <c r="K198" t="s">
        <v>298</v>
      </c>
      <c r="L198">
        <v>1368</v>
      </c>
      <c r="N198">
        <v>1011</v>
      </c>
      <c r="O198" t="s">
        <v>286</v>
      </c>
      <c r="P198" t="s">
        <v>286</v>
      </c>
      <c r="Q198">
        <v>1</v>
      </c>
      <c r="W198">
        <v>0</v>
      </c>
      <c r="X198">
        <v>112346818</v>
      </c>
      <c r="Y198">
        <v>3.0000000000000001E-3</v>
      </c>
      <c r="AA198">
        <v>0</v>
      </c>
      <c r="AB198">
        <v>1270.56</v>
      </c>
      <c r="AC198">
        <v>493.86</v>
      </c>
      <c r="AD198">
        <v>0</v>
      </c>
      <c r="AE198">
        <v>0</v>
      </c>
      <c r="AF198">
        <v>1270.56</v>
      </c>
      <c r="AG198">
        <v>493.86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3.0000000000000001E-3</v>
      </c>
      <c r="AU198" t="s">
        <v>3</v>
      </c>
      <c r="AV198">
        <v>0</v>
      </c>
      <c r="AW198">
        <v>2</v>
      </c>
      <c r="AX198">
        <v>46607570</v>
      </c>
      <c r="AY198">
        <v>1</v>
      </c>
      <c r="AZ198">
        <v>0</v>
      </c>
      <c r="BA198">
        <v>177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Y198*Source!I200</f>
        <v>5.7000000000000002E-3</v>
      </c>
      <c r="CY198">
        <f>AB198</f>
        <v>1270.56</v>
      </c>
      <c r="CZ198">
        <f>AF198</f>
        <v>1270.56</v>
      </c>
      <c r="DA198">
        <f>AJ198</f>
        <v>1</v>
      </c>
      <c r="DB198">
        <f t="shared" si="30"/>
        <v>3.81</v>
      </c>
      <c r="DC198">
        <f t="shared" si="31"/>
        <v>1.48</v>
      </c>
    </row>
    <row r="199" spans="1:107" x14ac:dyDescent="0.2">
      <c r="A199">
        <f>ROW(Source!A200)</f>
        <v>200</v>
      </c>
      <c r="B199">
        <v>46561299</v>
      </c>
      <c r="C199">
        <v>46607564</v>
      </c>
      <c r="D199">
        <v>45144891</v>
      </c>
      <c r="E199">
        <v>1</v>
      </c>
      <c r="F199">
        <v>1</v>
      </c>
      <c r="G199">
        <v>27</v>
      </c>
      <c r="H199">
        <v>3</v>
      </c>
      <c r="I199" t="s">
        <v>299</v>
      </c>
      <c r="J199" t="s">
        <v>300</v>
      </c>
      <c r="K199" t="s">
        <v>301</v>
      </c>
      <c r="L199">
        <v>1339</v>
      </c>
      <c r="N199">
        <v>1007</v>
      </c>
      <c r="O199" t="s">
        <v>29</v>
      </c>
      <c r="P199" t="s">
        <v>29</v>
      </c>
      <c r="Q199">
        <v>1</v>
      </c>
      <c r="W199">
        <v>0</v>
      </c>
      <c r="X199">
        <v>909340900</v>
      </c>
      <c r="Y199">
        <v>0.105</v>
      </c>
      <c r="AA199">
        <v>590.78</v>
      </c>
      <c r="AB199">
        <v>0</v>
      </c>
      <c r="AC199">
        <v>0</v>
      </c>
      <c r="AD199">
        <v>0</v>
      </c>
      <c r="AE199">
        <v>590.78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0.105</v>
      </c>
      <c r="AU199" t="s">
        <v>3</v>
      </c>
      <c r="AV199">
        <v>0</v>
      </c>
      <c r="AW199">
        <v>2</v>
      </c>
      <c r="AX199">
        <v>46607571</v>
      </c>
      <c r="AY199">
        <v>1</v>
      </c>
      <c r="AZ199">
        <v>0</v>
      </c>
      <c r="BA199">
        <v>178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Y199*Source!I200</f>
        <v>0.19949999999999998</v>
      </c>
      <c r="CY199">
        <f>AA199</f>
        <v>590.78</v>
      </c>
      <c r="CZ199">
        <f>AE199</f>
        <v>590.78</v>
      </c>
      <c r="DA199">
        <f>AI199</f>
        <v>1</v>
      </c>
      <c r="DB199">
        <f t="shared" si="30"/>
        <v>62.03</v>
      </c>
      <c r="DC199">
        <f t="shared" si="31"/>
        <v>0</v>
      </c>
    </row>
    <row r="200" spans="1:107" x14ac:dyDescent="0.2">
      <c r="A200">
        <f>ROW(Source!A200)</f>
        <v>200</v>
      </c>
      <c r="B200">
        <v>46561299</v>
      </c>
      <c r="C200">
        <v>46607564</v>
      </c>
      <c r="D200">
        <v>45145636</v>
      </c>
      <c r="E200">
        <v>1</v>
      </c>
      <c r="F200">
        <v>1</v>
      </c>
      <c r="G200">
        <v>27</v>
      </c>
      <c r="H200">
        <v>3</v>
      </c>
      <c r="I200" t="s">
        <v>293</v>
      </c>
      <c r="J200" t="s">
        <v>294</v>
      </c>
      <c r="K200" t="s">
        <v>295</v>
      </c>
      <c r="L200">
        <v>1339</v>
      </c>
      <c r="N200">
        <v>1007</v>
      </c>
      <c r="O200" t="s">
        <v>29</v>
      </c>
      <c r="P200" t="s">
        <v>29</v>
      </c>
      <c r="Q200">
        <v>1</v>
      </c>
      <c r="W200">
        <v>0</v>
      </c>
      <c r="X200">
        <v>1927597627</v>
      </c>
      <c r="Y200">
        <v>0.01</v>
      </c>
      <c r="AA200">
        <v>35.25</v>
      </c>
      <c r="AB200">
        <v>0</v>
      </c>
      <c r="AC200">
        <v>0</v>
      </c>
      <c r="AD200">
        <v>0</v>
      </c>
      <c r="AE200">
        <v>35.25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0.01</v>
      </c>
      <c r="AU200" t="s">
        <v>3</v>
      </c>
      <c r="AV200">
        <v>0</v>
      </c>
      <c r="AW200">
        <v>2</v>
      </c>
      <c r="AX200">
        <v>46607572</v>
      </c>
      <c r="AY200">
        <v>1</v>
      </c>
      <c r="AZ200">
        <v>0</v>
      </c>
      <c r="BA200">
        <v>179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Y200*Source!I200</f>
        <v>1.9E-2</v>
      </c>
      <c r="CY200">
        <f>AA200</f>
        <v>35.25</v>
      </c>
      <c r="CZ200">
        <f>AE200</f>
        <v>35.25</v>
      </c>
      <c r="DA200">
        <f>AI200</f>
        <v>1</v>
      </c>
      <c r="DB200">
        <f t="shared" si="30"/>
        <v>0.35</v>
      </c>
      <c r="DC200">
        <f t="shared" si="31"/>
        <v>0</v>
      </c>
    </row>
    <row r="201" spans="1:107" x14ac:dyDescent="0.2">
      <c r="A201">
        <f>ROW(Source!A201)</f>
        <v>201</v>
      </c>
      <c r="B201">
        <v>46561299</v>
      </c>
      <c r="C201">
        <v>46607573</v>
      </c>
      <c r="D201">
        <v>45130551</v>
      </c>
      <c r="E201">
        <v>27</v>
      </c>
      <c r="F201">
        <v>1</v>
      </c>
      <c r="G201">
        <v>27</v>
      </c>
      <c r="H201">
        <v>1</v>
      </c>
      <c r="I201" t="s">
        <v>280</v>
      </c>
      <c r="J201" t="s">
        <v>3</v>
      </c>
      <c r="K201" t="s">
        <v>281</v>
      </c>
      <c r="L201">
        <v>1191</v>
      </c>
      <c r="N201">
        <v>1013</v>
      </c>
      <c r="O201" t="s">
        <v>282</v>
      </c>
      <c r="P201" t="s">
        <v>282</v>
      </c>
      <c r="Q201">
        <v>1</v>
      </c>
      <c r="W201">
        <v>0</v>
      </c>
      <c r="X201">
        <v>476480486</v>
      </c>
      <c r="Y201">
        <v>205.85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205.85</v>
      </c>
      <c r="AU201" t="s">
        <v>3</v>
      </c>
      <c r="AV201">
        <v>1</v>
      </c>
      <c r="AW201">
        <v>2</v>
      </c>
      <c r="AX201">
        <v>46607589</v>
      </c>
      <c r="AY201">
        <v>1</v>
      </c>
      <c r="AZ201">
        <v>0</v>
      </c>
      <c r="BA201">
        <v>180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Y201*Source!I201</f>
        <v>3.8905650000000001</v>
      </c>
      <c r="CY201">
        <f>AD201</f>
        <v>0</v>
      </c>
      <c r="CZ201">
        <f>AH201</f>
        <v>0</v>
      </c>
      <c r="DA201">
        <f>AL201</f>
        <v>1</v>
      </c>
      <c r="DB201">
        <f t="shared" si="30"/>
        <v>0</v>
      </c>
      <c r="DC201">
        <f t="shared" si="31"/>
        <v>0</v>
      </c>
    </row>
    <row r="202" spans="1:107" x14ac:dyDescent="0.2">
      <c r="A202">
        <f>ROW(Source!A201)</f>
        <v>201</v>
      </c>
      <c r="B202">
        <v>46561299</v>
      </c>
      <c r="C202">
        <v>46607573</v>
      </c>
      <c r="D202">
        <v>45143189</v>
      </c>
      <c r="E202">
        <v>1</v>
      </c>
      <c r="F202">
        <v>1</v>
      </c>
      <c r="G202">
        <v>27</v>
      </c>
      <c r="H202">
        <v>2</v>
      </c>
      <c r="I202" t="s">
        <v>302</v>
      </c>
      <c r="J202" t="s">
        <v>303</v>
      </c>
      <c r="K202" t="s">
        <v>304</v>
      </c>
      <c r="L202">
        <v>1368</v>
      </c>
      <c r="N202">
        <v>1011</v>
      </c>
      <c r="O202" t="s">
        <v>286</v>
      </c>
      <c r="P202" t="s">
        <v>286</v>
      </c>
      <c r="Q202">
        <v>1</v>
      </c>
      <c r="W202">
        <v>0</v>
      </c>
      <c r="X202">
        <v>-1757825014</v>
      </c>
      <c r="Y202">
        <v>150</v>
      </c>
      <c r="AA202">
        <v>0</v>
      </c>
      <c r="AB202">
        <v>27.21</v>
      </c>
      <c r="AC202">
        <v>0.13</v>
      </c>
      <c r="AD202">
        <v>0</v>
      </c>
      <c r="AE202">
        <v>0</v>
      </c>
      <c r="AF202">
        <v>27.21</v>
      </c>
      <c r="AG202">
        <v>0.13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150</v>
      </c>
      <c r="AU202" t="s">
        <v>3</v>
      </c>
      <c r="AV202">
        <v>0</v>
      </c>
      <c r="AW202">
        <v>2</v>
      </c>
      <c r="AX202">
        <v>46607590</v>
      </c>
      <c r="AY202">
        <v>1</v>
      </c>
      <c r="AZ202">
        <v>0</v>
      </c>
      <c r="BA202">
        <v>181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Y202*Source!I201</f>
        <v>2.835</v>
      </c>
      <c r="CY202">
        <f>AB202</f>
        <v>27.21</v>
      </c>
      <c r="CZ202">
        <f>AF202</f>
        <v>27.21</v>
      </c>
      <c r="DA202">
        <f>AJ202</f>
        <v>1</v>
      </c>
      <c r="DB202">
        <f t="shared" si="30"/>
        <v>4081.5</v>
      </c>
      <c r="DC202">
        <f t="shared" si="31"/>
        <v>19.5</v>
      </c>
    </row>
    <row r="203" spans="1:107" x14ac:dyDescent="0.2">
      <c r="A203">
        <f>ROW(Source!A201)</f>
        <v>201</v>
      </c>
      <c r="B203">
        <v>46561299</v>
      </c>
      <c r="C203">
        <v>46607573</v>
      </c>
      <c r="D203">
        <v>45143582</v>
      </c>
      <c r="E203">
        <v>1</v>
      </c>
      <c r="F203">
        <v>1</v>
      </c>
      <c r="G203">
        <v>27</v>
      </c>
      <c r="H203">
        <v>2</v>
      </c>
      <c r="I203" t="s">
        <v>305</v>
      </c>
      <c r="J203" t="s">
        <v>306</v>
      </c>
      <c r="K203" t="s">
        <v>307</v>
      </c>
      <c r="L203">
        <v>1368</v>
      </c>
      <c r="N203">
        <v>1011</v>
      </c>
      <c r="O203" t="s">
        <v>286</v>
      </c>
      <c r="P203" t="s">
        <v>286</v>
      </c>
      <c r="Q203">
        <v>1</v>
      </c>
      <c r="W203">
        <v>0</v>
      </c>
      <c r="X203">
        <v>1598319406</v>
      </c>
      <c r="Y203">
        <v>0.12</v>
      </c>
      <c r="AA203">
        <v>0</v>
      </c>
      <c r="AB203">
        <v>3.67</v>
      </c>
      <c r="AC203">
        <v>0.01</v>
      </c>
      <c r="AD203">
        <v>0</v>
      </c>
      <c r="AE203">
        <v>0</v>
      </c>
      <c r="AF203">
        <v>3.67</v>
      </c>
      <c r="AG203">
        <v>0.01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0.12</v>
      </c>
      <c r="AU203" t="s">
        <v>3</v>
      </c>
      <c r="AV203">
        <v>0</v>
      </c>
      <c r="AW203">
        <v>2</v>
      </c>
      <c r="AX203">
        <v>46607591</v>
      </c>
      <c r="AY203">
        <v>1</v>
      </c>
      <c r="AZ203">
        <v>0</v>
      </c>
      <c r="BA203">
        <v>182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Y203*Source!I201</f>
        <v>2.2680000000000001E-3</v>
      </c>
      <c r="CY203">
        <f>AB203</f>
        <v>3.67</v>
      </c>
      <c r="CZ203">
        <f>AF203</f>
        <v>3.67</v>
      </c>
      <c r="DA203">
        <f>AJ203</f>
        <v>1</v>
      </c>
      <c r="DB203">
        <f t="shared" si="30"/>
        <v>0.44</v>
      </c>
      <c r="DC203">
        <f t="shared" si="31"/>
        <v>0</v>
      </c>
    </row>
    <row r="204" spans="1:107" x14ac:dyDescent="0.2">
      <c r="A204">
        <f>ROW(Source!A201)</f>
        <v>201</v>
      </c>
      <c r="B204">
        <v>46561299</v>
      </c>
      <c r="C204">
        <v>46607573</v>
      </c>
      <c r="D204">
        <v>45142852</v>
      </c>
      <c r="E204">
        <v>1</v>
      </c>
      <c r="F204">
        <v>1</v>
      </c>
      <c r="G204">
        <v>27</v>
      </c>
      <c r="H204">
        <v>2</v>
      </c>
      <c r="I204" t="s">
        <v>308</v>
      </c>
      <c r="J204" t="s">
        <v>309</v>
      </c>
      <c r="K204" t="s">
        <v>310</v>
      </c>
      <c r="L204">
        <v>1368</v>
      </c>
      <c r="N204">
        <v>1011</v>
      </c>
      <c r="O204" t="s">
        <v>286</v>
      </c>
      <c r="P204" t="s">
        <v>286</v>
      </c>
      <c r="Q204">
        <v>1</v>
      </c>
      <c r="W204">
        <v>0</v>
      </c>
      <c r="X204">
        <v>-1323805330</v>
      </c>
      <c r="Y204">
        <v>0.31</v>
      </c>
      <c r="AA204">
        <v>0</v>
      </c>
      <c r="AB204">
        <v>683.9</v>
      </c>
      <c r="AC204">
        <v>371.27</v>
      </c>
      <c r="AD204">
        <v>0</v>
      </c>
      <c r="AE204">
        <v>0</v>
      </c>
      <c r="AF204">
        <v>683.9</v>
      </c>
      <c r="AG204">
        <v>371.27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0.31</v>
      </c>
      <c r="AU204" t="s">
        <v>3</v>
      </c>
      <c r="AV204">
        <v>0</v>
      </c>
      <c r="AW204">
        <v>2</v>
      </c>
      <c r="AX204">
        <v>46607592</v>
      </c>
      <c r="AY204">
        <v>1</v>
      </c>
      <c r="AZ204">
        <v>0</v>
      </c>
      <c r="BA204">
        <v>183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Y204*Source!I201</f>
        <v>5.8589999999999996E-3</v>
      </c>
      <c r="CY204">
        <f>AB204</f>
        <v>683.9</v>
      </c>
      <c r="CZ204">
        <f>AF204</f>
        <v>683.9</v>
      </c>
      <c r="DA204">
        <f>AJ204</f>
        <v>1</v>
      </c>
      <c r="DB204">
        <f t="shared" si="30"/>
        <v>212.01</v>
      </c>
      <c r="DC204">
        <f t="shared" si="31"/>
        <v>115.09</v>
      </c>
    </row>
    <row r="205" spans="1:107" x14ac:dyDescent="0.2">
      <c r="A205">
        <f>ROW(Source!A201)</f>
        <v>201</v>
      </c>
      <c r="B205">
        <v>46561299</v>
      </c>
      <c r="C205">
        <v>46607573</v>
      </c>
      <c r="D205">
        <v>45143022</v>
      </c>
      <c r="E205">
        <v>1</v>
      </c>
      <c r="F205">
        <v>1</v>
      </c>
      <c r="G205">
        <v>27</v>
      </c>
      <c r="H205">
        <v>2</v>
      </c>
      <c r="I205" t="s">
        <v>311</v>
      </c>
      <c r="J205" t="s">
        <v>312</v>
      </c>
      <c r="K205" t="s">
        <v>313</v>
      </c>
      <c r="L205">
        <v>1368</v>
      </c>
      <c r="N205">
        <v>1011</v>
      </c>
      <c r="O205" t="s">
        <v>286</v>
      </c>
      <c r="P205" t="s">
        <v>286</v>
      </c>
      <c r="Q205">
        <v>1</v>
      </c>
      <c r="W205">
        <v>0</v>
      </c>
      <c r="X205">
        <v>1349119844</v>
      </c>
      <c r="Y205">
        <v>11.25</v>
      </c>
      <c r="AA205">
        <v>0</v>
      </c>
      <c r="AB205">
        <v>10.82</v>
      </c>
      <c r="AC205">
        <v>2.97</v>
      </c>
      <c r="AD205">
        <v>0</v>
      </c>
      <c r="AE205">
        <v>0</v>
      </c>
      <c r="AF205">
        <v>10.82</v>
      </c>
      <c r="AG205">
        <v>2.97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11.25</v>
      </c>
      <c r="AU205" t="s">
        <v>3</v>
      </c>
      <c r="AV205">
        <v>0</v>
      </c>
      <c r="AW205">
        <v>2</v>
      </c>
      <c r="AX205">
        <v>46607593</v>
      </c>
      <c r="AY205">
        <v>1</v>
      </c>
      <c r="AZ205">
        <v>0</v>
      </c>
      <c r="BA205">
        <v>184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Y205*Source!I201</f>
        <v>0.21262500000000001</v>
      </c>
      <c r="CY205">
        <f>AB205</f>
        <v>10.82</v>
      </c>
      <c r="CZ205">
        <f>AF205</f>
        <v>10.82</v>
      </c>
      <c r="DA205">
        <f>AJ205</f>
        <v>1</v>
      </c>
      <c r="DB205">
        <f t="shared" si="30"/>
        <v>121.73</v>
      </c>
      <c r="DC205">
        <f t="shared" si="31"/>
        <v>33.409999999999997</v>
      </c>
    </row>
    <row r="206" spans="1:107" x14ac:dyDescent="0.2">
      <c r="A206">
        <f>ROW(Source!A201)</f>
        <v>201</v>
      </c>
      <c r="B206">
        <v>46561299</v>
      </c>
      <c r="C206">
        <v>46607573</v>
      </c>
      <c r="D206">
        <v>45144711</v>
      </c>
      <c r="E206">
        <v>1</v>
      </c>
      <c r="F206">
        <v>1</v>
      </c>
      <c r="G206">
        <v>27</v>
      </c>
      <c r="H206">
        <v>3</v>
      </c>
      <c r="I206" t="s">
        <v>314</v>
      </c>
      <c r="J206" t="s">
        <v>315</v>
      </c>
      <c r="K206" t="s">
        <v>316</v>
      </c>
      <c r="L206">
        <v>1348</v>
      </c>
      <c r="N206">
        <v>1009</v>
      </c>
      <c r="O206" t="s">
        <v>65</v>
      </c>
      <c r="P206" t="s">
        <v>65</v>
      </c>
      <c r="Q206">
        <v>1000</v>
      </c>
      <c r="W206">
        <v>0</v>
      </c>
      <c r="X206">
        <v>1959613851</v>
      </c>
      <c r="Y206">
        <v>2E-3</v>
      </c>
      <c r="AA206">
        <v>49736.04</v>
      </c>
      <c r="AB206">
        <v>0</v>
      </c>
      <c r="AC206">
        <v>0</v>
      </c>
      <c r="AD206">
        <v>0</v>
      </c>
      <c r="AE206">
        <v>49736.04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2E-3</v>
      </c>
      <c r="AU206" t="s">
        <v>3</v>
      </c>
      <c r="AV206">
        <v>0</v>
      </c>
      <c r="AW206">
        <v>2</v>
      </c>
      <c r="AX206">
        <v>46607594</v>
      </c>
      <c r="AY206">
        <v>1</v>
      </c>
      <c r="AZ206">
        <v>0</v>
      </c>
      <c r="BA206">
        <v>185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Y206*Source!I201</f>
        <v>3.7800000000000004E-5</v>
      </c>
      <c r="CY206">
        <f t="shared" ref="CY206:CY215" si="32">AA206</f>
        <v>49736.04</v>
      </c>
      <c r="CZ206">
        <f t="shared" ref="CZ206:CZ215" si="33">AE206</f>
        <v>49736.04</v>
      </c>
      <c r="DA206">
        <f t="shared" ref="DA206:DA215" si="34">AI206</f>
        <v>1</v>
      </c>
      <c r="DB206">
        <f t="shared" si="30"/>
        <v>99.47</v>
      </c>
      <c r="DC206">
        <f t="shared" si="31"/>
        <v>0</v>
      </c>
    </row>
    <row r="207" spans="1:107" x14ac:dyDescent="0.2">
      <c r="A207">
        <f>ROW(Source!A201)</f>
        <v>201</v>
      </c>
      <c r="B207">
        <v>46561299</v>
      </c>
      <c r="C207">
        <v>46607573</v>
      </c>
      <c r="D207">
        <v>45145459</v>
      </c>
      <c r="E207">
        <v>1</v>
      </c>
      <c r="F207">
        <v>1</v>
      </c>
      <c r="G207">
        <v>27</v>
      </c>
      <c r="H207">
        <v>3</v>
      </c>
      <c r="I207" t="s">
        <v>317</v>
      </c>
      <c r="J207" t="s">
        <v>318</v>
      </c>
      <c r="K207" t="s">
        <v>319</v>
      </c>
      <c r="L207">
        <v>1327</v>
      </c>
      <c r="N207">
        <v>1005</v>
      </c>
      <c r="O207" t="s">
        <v>40</v>
      </c>
      <c r="P207" t="s">
        <v>40</v>
      </c>
      <c r="Q207">
        <v>1</v>
      </c>
      <c r="W207">
        <v>0</v>
      </c>
      <c r="X207">
        <v>-2047649341</v>
      </c>
      <c r="Y207">
        <v>30</v>
      </c>
      <c r="AA207">
        <v>91.89</v>
      </c>
      <c r="AB207">
        <v>0</v>
      </c>
      <c r="AC207">
        <v>0</v>
      </c>
      <c r="AD207">
        <v>0</v>
      </c>
      <c r="AE207">
        <v>91.89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30</v>
      </c>
      <c r="AU207" t="s">
        <v>3</v>
      </c>
      <c r="AV207">
        <v>0</v>
      </c>
      <c r="AW207">
        <v>2</v>
      </c>
      <c r="AX207">
        <v>46607596</v>
      </c>
      <c r="AY207">
        <v>1</v>
      </c>
      <c r="AZ207">
        <v>0</v>
      </c>
      <c r="BA207">
        <v>186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Y207*Source!I201</f>
        <v>0.56699999999999995</v>
      </c>
      <c r="CY207">
        <f t="shared" si="32"/>
        <v>91.89</v>
      </c>
      <c r="CZ207">
        <f t="shared" si="33"/>
        <v>91.89</v>
      </c>
      <c r="DA207">
        <f t="shared" si="34"/>
        <v>1</v>
      </c>
      <c r="DB207">
        <f t="shared" si="30"/>
        <v>2756.7</v>
      </c>
      <c r="DC207">
        <f t="shared" si="31"/>
        <v>0</v>
      </c>
    </row>
    <row r="208" spans="1:107" x14ac:dyDescent="0.2">
      <c r="A208">
        <f>ROW(Source!A201)</f>
        <v>201</v>
      </c>
      <c r="B208">
        <v>46561299</v>
      </c>
      <c r="C208">
        <v>46607573</v>
      </c>
      <c r="D208">
        <v>45145543</v>
      </c>
      <c r="E208">
        <v>1</v>
      </c>
      <c r="F208">
        <v>1</v>
      </c>
      <c r="G208">
        <v>27</v>
      </c>
      <c r="H208">
        <v>3</v>
      </c>
      <c r="I208" t="s">
        <v>320</v>
      </c>
      <c r="J208" t="s">
        <v>321</v>
      </c>
      <c r="K208" t="s">
        <v>322</v>
      </c>
      <c r="L208">
        <v>1348</v>
      </c>
      <c r="N208">
        <v>1009</v>
      </c>
      <c r="O208" t="s">
        <v>65</v>
      </c>
      <c r="P208" t="s">
        <v>65</v>
      </c>
      <c r="Q208">
        <v>1000</v>
      </c>
      <c r="W208">
        <v>0</v>
      </c>
      <c r="X208">
        <v>-672771621</v>
      </c>
      <c r="Y208">
        <v>0.16</v>
      </c>
      <c r="AA208">
        <v>110781.14</v>
      </c>
      <c r="AB208">
        <v>0</v>
      </c>
      <c r="AC208">
        <v>0</v>
      </c>
      <c r="AD208">
        <v>0</v>
      </c>
      <c r="AE208">
        <v>110781.14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0.16</v>
      </c>
      <c r="AU208" t="s">
        <v>3</v>
      </c>
      <c r="AV208">
        <v>0</v>
      </c>
      <c r="AW208">
        <v>2</v>
      </c>
      <c r="AX208">
        <v>46607597</v>
      </c>
      <c r="AY208">
        <v>1</v>
      </c>
      <c r="AZ208">
        <v>0</v>
      </c>
      <c r="BA208">
        <v>187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Y208*Source!I201</f>
        <v>3.0240000000000002E-3</v>
      </c>
      <c r="CY208">
        <f t="shared" si="32"/>
        <v>110781.14</v>
      </c>
      <c r="CZ208">
        <f t="shared" si="33"/>
        <v>110781.14</v>
      </c>
      <c r="DA208">
        <f t="shared" si="34"/>
        <v>1</v>
      </c>
      <c r="DB208">
        <f t="shared" si="30"/>
        <v>17724.98</v>
      </c>
      <c r="DC208">
        <f t="shared" si="31"/>
        <v>0</v>
      </c>
    </row>
    <row r="209" spans="1:107" x14ac:dyDescent="0.2">
      <c r="A209">
        <f>ROW(Source!A201)</f>
        <v>201</v>
      </c>
      <c r="B209">
        <v>46561299</v>
      </c>
      <c r="C209">
        <v>46607573</v>
      </c>
      <c r="D209">
        <v>45143830</v>
      </c>
      <c r="E209">
        <v>1</v>
      </c>
      <c r="F209">
        <v>1</v>
      </c>
      <c r="G209">
        <v>27</v>
      </c>
      <c r="H209">
        <v>3</v>
      </c>
      <c r="I209" t="s">
        <v>323</v>
      </c>
      <c r="J209" t="s">
        <v>324</v>
      </c>
      <c r="K209" t="s">
        <v>325</v>
      </c>
      <c r="L209">
        <v>1348</v>
      </c>
      <c r="N209">
        <v>1009</v>
      </c>
      <c r="O209" t="s">
        <v>65</v>
      </c>
      <c r="P209" t="s">
        <v>65</v>
      </c>
      <c r="Q209">
        <v>1000</v>
      </c>
      <c r="W209">
        <v>0</v>
      </c>
      <c r="X209">
        <v>-459844717</v>
      </c>
      <c r="Y209">
        <v>0.01</v>
      </c>
      <c r="AA209">
        <v>4752.34</v>
      </c>
      <c r="AB209">
        <v>0</v>
      </c>
      <c r="AC209">
        <v>0</v>
      </c>
      <c r="AD209">
        <v>0</v>
      </c>
      <c r="AE209">
        <v>4752.34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0.01</v>
      </c>
      <c r="AU209" t="s">
        <v>3</v>
      </c>
      <c r="AV209">
        <v>0</v>
      </c>
      <c r="AW209">
        <v>2</v>
      </c>
      <c r="AX209">
        <v>46607595</v>
      </c>
      <c r="AY209">
        <v>1</v>
      </c>
      <c r="AZ209">
        <v>0</v>
      </c>
      <c r="BA209">
        <v>188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Y209*Source!I201</f>
        <v>1.8900000000000001E-4</v>
      </c>
      <c r="CY209">
        <f t="shared" si="32"/>
        <v>4752.34</v>
      </c>
      <c r="CZ209">
        <f t="shared" si="33"/>
        <v>4752.34</v>
      </c>
      <c r="DA209">
        <f t="shared" si="34"/>
        <v>1</v>
      </c>
      <c r="DB209">
        <f t="shared" si="30"/>
        <v>47.52</v>
      </c>
      <c r="DC209">
        <f t="shared" si="31"/>
        <v>0</v>
      </c>
    </row>
    <row r="210" spans="1:107" x14ac:dyDescent="0.2">
      <c r="A210">
        <f>ROW(Source!A201)</f>
        <v>201</v>
      </c>
      <c r="B210">
        <v>46561299</v>
      </c>
      <c r="C210">
        <v>46607573</v>
      </c>
      <c r="D210">
        <v>45145636</v>
      </c>
      <c r="E210">
        <v>1</v>
      </c>
      <c r="F210">
        <v>1</v>
      </c>
      <c r="G210">
        <v>27</v>
      </c>
      <c r="H210">
        <v>3</v>
      </c>
      <c r="I210" t="s">
        <v>293</v>
      </c>
      <c r="J210" t="s">
        <v>294</v>
      </c>
      <c r="K210" t="s">
        <v>295</v>
      </c>
      <c r="L210">
        <v>1339</v>
      </c>
      <c r="N210">
        <v>1007</v>
      </c>
      <c r="O210" t="s">
        <v>29</v>
      </c>
      <c r="P210" t="s">
        <v>29</v>
      </c>
      <c r="Q210">
        <v>1</v>
      </c>
      <c r="W210">
        <v>0</v>
      </c>
      <c r="X210">
        <v>1927597627</v>
      </c>
      <c r="Y210">
        <v>0.73</v>
      </c>
      <c r="AA210">
        <v>35.25</v>
      </c>
      <c r="AB210">
        <v>0</v>
      </c>
      <c r="AC210">
        <v>0</v>
      </c>
      <c r="AD210">
        <v>0</v>
      </c>
      <c r="AE210">
        <v>35.25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0.73</v>
      </c>
      <c r="AU210" t="s">
        <v>3</v>
      </c>
      <c r="AV210">
        <v>0</v>
      </c>
      <c r="AW210">
        <v>2</v>
      </c>
      <c r="AX210">
        <v>46607598</v>
      </c>
      <c r="AY210">
        <v>1</v>
      </c>
      <c r="AZ210">
        <v>0</v>
      </c>
      <c r="BA210">
        <v>189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Y210*Source!I201</f>
        <v>1.3797E-2</v>
      </c>
      <c r="CY210">
        <f t="shared" si="32"/>
        <v>35.25</v>
      </c>
      <c r="CZ210">
        <f t="shared" si="33"/>
        <v>35.25</v>
      </c>
      <c r="DA210">
        <f t="shared" si="34"/>
        <v>1</v>
      </c>
      <c r="DB210">
        <f t="shared" si="30"/>
        <v>25.73</v>
      </c>
      <c r="DC210">
        <f t="shared" si="31"/>
        <v>0</v>
      </c>
    </row>
    <row r="211" spans="1:107" x14ac:dyDescent="0.2">
      <c r="A211">
        <f>ROW(Source!A201)</f>
        <v>201</v>
      </c>
      <c r="B211">
        <v>46561299</v>
      </c>
      <c r="C211">
        <v>46607573</v>
      </c>
      <c r="D211">
        <v>45144338</v>
      </c>
      <c r="E211">
        <v>1</v>
      </c>
      <c r="F211">
        <v>1</v>
      </c>
      <c r="G211">
        <v>27</v>
      </c>
      <c r="H211">
        <v>3</v>
      </c>
      <c r="I211" t="s">
        <v>326</v>
      </c>
      <c r="J211" t="s">
        <v>327</v>
      </c>
      <c r="K211" t="s">
        <v>328</v>
      </c>
      <c r="L211">
        <v>1339</v>
      </c>
      <c r="N211">
        <v>1007</v>
      </c>
      <c r="O211" t="s">
        <v>29</v>
      </c>
      <c r="P211" t="s">
        <v>29</v>
      </c>
      <c r="Q211">
        <v>1</v>
      </c>
      <c r="W211">
        <v>0</v>
      </c>
      <c r="X211">
        <v>538447250</v>
      </c>
      <c r="Y211">
        <v>0.04</v>
      </c>
      <c r="AA211">
        <v>7098.7</v>
      </c>
      <c r="AB211">
        <v>0</v>
      </c>
      <c r="AC211">
        <v>0</v>
      </c>
      <c r="AD211">
        <v>0</v>
      </c>
      <c r="AE211">
        <v>7098.7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0.04</v>
      </c>
      <c r="AU211" t="s">
        <v>3</v>
      </c>
      <c r="AV211">
        <v>0</v>
      </c>
      <c r="AW211">
        <v>2</v>
      </c>
      <c r="AX211">
        <v>46607599</v>
      </c>
      <c r="AY211">
        <v>1</v>
      </c>
      <c r="AZ211">
        <v>0</v>
      </c>
      <c r="BA211">
        <v>190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Y211*Source!I201</f>
        <v>7.5600000000000005E-4</v>
      </c>
      <c r="CY211">
        <f t="shared" si="32"/>
        <v>7098.7</v>
      </c>
      <c r="CZ211">
        <f t="shared" si="33"/>
        <v>7098.7</v>
      </c>
      <c r="DA211">
        <f t="shared" si="34"/>
        <v>1</v>
      </c>
      <c r="DB211">
        <f t="shared" si="30"/>
        <v>283.95</v>
      </c>
      <c r="DC211">
        <f t="shared" si="31"/>
        <v>0</v>
      </c>
    </row>
    <row r="212" spans="1:107" x14ac:dyDescent="0.2">
      <c r="A212">
        <f>ROW(Source!A201)</f>
        <v>201</v>
      </c>
      <c r="B212">
        <v>46561299</v>
      </c>
      <c r="C212">
        <v>46607573</v>
      </c>
      <c r="D212">
        <v>45146605</v>
      </c>
      <c r="E212">
        <v>1</v>
      </c>
      <c r="F212">
        <v>1</v>
      </c>
      <c r="G212">
        <v>27</v>
      </c>
      <c r="H212">
        <v>3</v>
      </c>
      <c r="I212" t="s">
        <v>55</v>
      </c>
      <c r="J212" t="s">
        <v>57</v>
      </c>
      <c r="K212" t="s">
        <v>56</v>
      </c>
      <c r="L212">
        <v>1339</v>
      </c>
      <c r="N212">
        <v>1007</v>
      </c>
      <c r="O212" t="s">
        <v>29</v>
      </c>
      <c r="P212" t="s">
        <v>29</v>
      </c>
      <c r="Q212">
        <v>1</v>
      </c>
      <c r="W212">
        <v>1</v>
      </c>
      <c r="X212">
        <v>426331755</v>
      </c>
      <c r="Y212">
        <v>-101.5</v>
      </c>
      <c r="AA212">
        <v>3714.73</v>
      </c>
      <c r="AB212">
        <v>0</v>
      </c>
      <c r="AC212">
        <v>0</v>
      </c>
      <c r="AD212">
        <v>0</v>
      </c>
      <c r="AE212">
        <v>3714.73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-101.5</v>
      </c>
      <c r="AU212" t="s">
        <v>3</v>
      </c>
      <c r="AV212">
        <v>0</v>
      </c>
      <c r="AW212">
        <v>2</v>
      </c>
      <c r="AX212">
        <v>46607600</v>
      </c>
      <c r="AY212">
        <v>1</v>
      </c>
      <c r="AZ212">
        <v>6144</v>
      </c>
      <c r="BA212">
        <v>191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Y212*Source!I201</f>
        <v>-1.91835</v>
      </c>
      <c r="CY212">
        <f t="shared" si="32"/>
        <v>3714.73</v>
      </c>
      <c r="CZ212">
        <f t="shared" si="33"/>
        <v>3714.73</v>
      </c>
      <c r="DA212">
        <f t="shared" si="34"/>
        <v>1</v>
      </c>
      <c r="DB212">
        <f t="shared" si="30"/>
        <v>-377045.1</v>
      </c>
      <c r="DC212">
        <f t="shared" si="31"/>
        <v>0</v>
      </c>
    </row>
    <row r="213" spans="1:107" x14ac:dyDescent="0.2">
      <c r="A213">
        <f>ROW(Source!A201)</f>
        <v>201</v>
      </c>
      <c r="B213">
        <v>46561299</v>
      </c>
      <c r="C213">
        <v>46607573</v>
      </c>
      <c r="D213">
        <v>45146619</v>
      </c>
      <c r="E213">
        <v>1</v>
      </c>
      <c r="F213">
        <v>1</v>
      </c>
      <c r="G213">
        <v>27</v>
      </c>
      <c r="H213">
        <v>3</v>
      </c>
      <c r="I213" t="s">
        <v>51</v>
      </c>
      <c r="J213" t="s">
        <v>53</v>
      </c>
      <c r="K213" t="s">
        <v>52</v>
      </c>
      <c r="L213">
        <v>1339</v>
      </c>
      <c r="N213">
        <v>1007</v>
      </c>
      <c r="O213" t="s">
        <v>29</v>
      </c>
      <c r="P213" t="s">
        <v>29</v>
      </c>
      <c r="Q213">
        <v>1</v>
      </c>
      <c r="W213">
        <v>0</v>
      </c>
      <c r="X213">
        <v>-793492541</v>
      </c>
      <c r="Y213">
        <v>101.5</v>
      </c>
      <c r="AA213">
        <v>3884.73</v>
      </c>
      <c r="AB213">
        <v>0</v>
      </c>
      <c r="AC213">
        <v>0</v>
      </c>
      <c r="AD213">
        <v>0</v>
      </c>
      <c r="AE213">
        <v>3884.73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3</v>
      </c>
      <c r="AT213">
        <v>101.5</v>
      </c>
      <c r="AU213" t="s">
        <v>3</v>
      </c>
      <c r="AV213">
        <v>0</v>
      </c>
      <c r="AW213">
        <v>1</v>
      </c>
      <c r="AX213">
        <v>-1</v>
      </c>
      <c r="AY213">
        <v>0</v>
      </c>
      <c r="AZ213">
        <v>0</v>
      </c>
      <c r="BA213" t="s">
        <v>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Y213*Source!I201</f>
        <v>1.91835</v>
      </c>
      <c r="CY213">
        <f t="shared" si="32"/>
        <v>3884.73</v>
      </c>
      <c r="CZ213">
        <f t="shared" si="33"/>
        <v>3884.73</v>
      </c>
      <c r="DA213">
        <f t="shared" si="34"/>
        <v>1</v>
      </c>
      <c r="DB213">
        <f t="shared" si="30"/>
        <v>394300.1</v>
      </c>
      <c r="DC213">
        <f t="shared" si="31"/>
        <v>0</v>
      </c>
    </row>
    <row r="214" spans="1:107" x14ac:dyDescent="0.2">
      <c r="A214">
        <f>ROW(Source!A201)</f>
        <v>201</v>
      </c>
      <c r="B214">
        <v>46561299</v>
      </c>
      <c r="C214">
        <v>46607573</v>
      </c>
      <c r="D214">
        <v>45146856</v>
      </c>
      <c r="E214">
        <v>1</v>
      </c>
      <c r="F214">
        <v>1</v>
      </c>
      <c r="G214">
        <v>27</v>
      </c>
      <c r="H214">
        <v>3</v>
      </c>
      <c r="I214" t="s">
        <v>329</v>
      </c>
      <c r="J214" t="s">
        <v>330</v>
      </c>
      <c r="K214" t="s">
        <v>331</v>
      </c>
      <c r="L214">
        <v>1348</v>
      </c>
      <c r="N214">
        <v>1009</v>
      </c>
      <c r="O214" t="s">
        <v>65</v>
      </c>
      <c r="P214" t="s">
        <v>65</v>
      </c>
      <c r="Q214">
        <v>1000</v>
      </c>
      <c r="W214">
        <v>0</v>
      </c>
      <c r="X214">
        <v>653530504</v>
      </c>
      <c r="Y214">
        <v>8.1</v>
      </c>
      <c r="AA214">
        <v>34634.379999999997</v>
      </c>
      <c r="AB214">
        <v>0</v>
      </c>
      <c r="AC214">
        <v>0</v>
      </c>
      <c r="AD214">
        <v>0</v>
      </c>
      <c r="AE214">
        <v>34634.379999999997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8.1</v>
      </c>
      <c r="AU214" t="s">
        <v>3</v>
      </c>
      <c r="AV214">
        <v>0</v>
      </c>
      <c r="AW214">
        <v>2</v>
      </c>
      <c r="AX214">
        <v>46607601</v>
      </c>
      <c r="AY214">
        <v>1</v>
      </c>
      <c r="AZ214">
        <v>0</v>
      </c>
      <c r="BA214">
        <v>192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Y214*Source!I201</f>
        <v>0.15309</v>
      </c>
      <c r="CY214">
        <f t="shared" si="32"/>
        <v>34634.379999999997</v>
      </c>
      <c r="CZ214">
        <f t="shared" si="33"/>
        <v>34634.379999999997</v>
      </c>
      <c r="DA214">
        <f t="shared" si="34"/>
        <v>1</v>
      </c>
      <c r="DB214">
        <f t="shared" si="30"/>
        <v>280538.48</v>
      </c>
      <c r="DC214">
        <f t="shared" si="31"/>
        <v>0</v>
      </c>
    </row>
    <row r="215" spans="1:107" x14ac:dyDescent="0.2">
      <c r="A215">
        <f>ROW(Source!A201)</f>
        <v>201</v>
      </c>
      <c r="B215">
        <v>46561299</v>
      </c>
      <c r="C215">
        <v>46607573</v>
      </c>
      <c r="D215">
        <v>45148767</v>
      </c>
      <c r="E215">
        <v>1</v>
      </c>
      <c r="F215">
        <v>1</v>
      </c>
      <c r="G215">
        <v>27</v>
      </c>
      <c r="H215">
        <v>3</v>
      </c>
      <c r="I215" t="s">
        <v>332</v>
      </c>
      <c r="J215" t="s">
        <v>333</v>
      </c>
      <c r="K215" t="s">
        <v>334</v>
      </c>
      <c r="L215">
        <v>1327</v>
      </c>
      <c r="N215">
        <v>1005</v>
      </c>
      <c r="O215" t="s">
        <v>40</v>
      </c>
      <c r="P215" t="s">
        <v>40</v>
      </c>
      <c r="Q215">
        <v>1</v>
      </c>
      <c r="W215">
        <v>0</v>
      </c>
      <c r="X215">
        <v>1680411856</v>
      </c>
      <c r="Y215">
        <v>3.6</v>
      </c>
      <c r="AA215">
        <v>473.82</v>
      </c>
      <c r="AB215">
        <v>0</v>
      </c>
      <c r="AC215">
        <v>0</v>
      </c>
      <c r="AD215">
        <v>0</v>
      </c>
      <c r="AE215">
        <v>473.82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3.6</v>
      </c>
      <c r="AU215" t="s">
        <v>3</v>
      </c>
      <c r="AV215">
        <v>0</v>
      </c>
      <c r="AW215">
        <v>2</v>
      </c>
      <c r="AX215">
        <v>46607602</v>
      </c>
      <c r="AY215">
        <v>1</v>
      </c>
      <c r="AZ215">
        <v>0</v>
      </c>
      <c r="BA215">
        <v>193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Y215*Source!I201</f>
        <v>6.8040000000000003E-2</v>
      </c>
      <c r="CY215">
        <f t="shared" si="32"/>
        <v>473.82</v>
      </c>
      <c r="CZ215">
        <f t="shared" si="33"/>
        <v>473.82</v>
      </c>
      <c r="DA215">
        <f t="shared" si="34"/>
        <v>1</v>
      </c>
      <c r="DB215">
        <f t="shared" si="30"/>
        <v>1705.75</v>
      </c>
      <c r="DC215">
        <f t="shared" si="31"/>
        <v>0</v>
      </c>
    </row>
    <row r="216" spans="1:107" x14ac:dyDescent="0.2">
      <c r="A216">
        <f>ROW(Source!A204)</f>
        <v>204</v>
      </c>
      <c r="B216">
        <v>46561299</v>
      </c>
      <c r="C216">
        <v>46607605</v>
      </c>
      <c r="D216">
        <v>45130551</v>
      </c>
      <c r="E216">
        <v>27</v>
      </c>
      <c r="F216">
        <v>1</v>
      </c>
      <c r="G216">
        <v>27</v>
      </c>
      <c r="H216">
        <v>1</v>
      </c>
      <c r="I216" t="s">
        <v>280</v>
      </c>
      <c r="J216" t="s">
        <v>3</v>
      </c>
      <c r="K216" t="s">
        <v>281</v>
      </c>
      <c r="L216">
        <v>1191</v>
      </c>
      <c r="N216">
        <v>1013</v>
      </c>
      <c r="O216" t="s">
        <v>282</v>
      </c>
      <c r="P216" t="s">
        <v>282</v>
      </c>
      <c r="Q216">
        <v>1</v>
      </c>
      <c r="W216">
        <v>0</v>
      </c>
      <c r="X216">
        <v>476480486</v>
      </c>
      <c r="Y216">
        <v>2.97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2.97</v>
      </c>
      <c r="AU216" t="s">
        <v>3</v>
      </c>
      <c r="AV216">
        <v>1</v>
      </c>
      <c r="AW216">
        <v>2</v>
      </c>
      <c r="AX216">
        <v>46607622</v>
      </c>
      <c r="AY216">
        <v>1</v>
      </c>
      <c r="AZ216">
        <v>0</v>
      </c>
      <c r="BA216">
        <v>194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Y216*Source!I204</f>
        <v>334.42200000000003</v>
      </c>
      <c r="CY216">
        <f>AD216</f>
        <v>0</v>
      </c>
      <c r="CZ216">
        <f>AH216</f>
        <v>0</v>
      </c>
      <c r="DA216">
        <f>AL216</f>
        <v>1</v>
      </c>
      <c r="DB216">
        <f t="shared" si="30"/>
        <v>0</v>
      </c>
      <c r="DC216">
        <f t="shared" si="31"/>
        <v>0</v>
      </c>
    </row>
    <row r="217" spans="1:107" x14ac:dyDescent="0.2">
      <c r="A217">
        <f>ROW(Source!A204)</f>
        <v>204</v>
      </c>
      <c r="B217">
        <v>46561299</v>
      </c>
      <c r="C217">
        <v>46607605</v>
      </c>
      <c r="D217">
        <v>45143190</v>
      </c>
      <c r="E217">
        <v>1</v>
      </c>
      <c r="F217">
        <v>1</v>
      </c>
      <c r="G217">
        <v>27</v>
      </c>
      <c r="H217">
        <v>2</v>
      </c>
      <c r="I217" t="s">
        <v>335</v>
      </c>
      <c r="J217" t="s">
        <v>336</v>
      </c>
      <c r="K217" t="s">
        <v>337</v>
      </c>
      <c r="L217">
        <v>1368</v>
      </c>
      <c r="N217">
        <v>1011</v>
      </c>
      <c r="O217" t="s">
        <v>286</v>
      </c>
      <c r="P217" t="s">
        <v>286</v>
      </c>
      <c r="Q217">
        <v>1</v>
      </c>
      <c r="W217">
        <v>0</v>
      </c>
      <c r="X217">
        <v>-711828296</v>
      </c>
      <c r="Y217">
        <v>0.38400000000000001</v>
      </c>
      <c r="AA217">
        <v>0</v>
      </c>
      <c r="AB217">
        <v>351.29</v>
      </c>
      <c r="AC217">
        <v>7.02</v>
      </c>
      <c r="AD217">
        <v>0</v>
      </c>
      <c r="AE217">
        <v>0</v>
      </c>
      <c r="AF217">
        <v>351.29</v>
      </c>
      <c r="AG217">
        <v>7.02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0.38400000000000001</v>
      </c>
      <c r="AU217" t="s">
        <v>3</v>
      </c>
      <c r="AV217">
        <v>0</v>
      </c>
      <c r="AW217">
        <v>2</v>
      </c>
      <c r="AX217">
        <v>46607623</v>
      </c>
      <c r="AY217">
        <v>1</v>
      </c>
      <c r="AZ217">
        <v>0</v>
      </c>
      <c r="BA217">
        <v>195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Y217*Source!I204</f>
        <v>43.238399999999999</v>
      </c>
      <c r="CY217">
        <f>AB217</f>
        <v>351.29</v>
      </c>
      <c r="CZ217">
        <f>AF217</f>
        <v>351.29</v>
      </c>
      <c r="DA217">
        <f>AJ217</f>
        <v>1</v>
      </c>
      <c r="DB217">
        <f t="shared" si="30"/>
        <v>134.9</v>
      </c>
      <c r="DC217">
        <f t="shared" si="31"/>
        <v>2.7</v>
      </c>
    </row>
    <row r="218" spans="1:107" x14ac:dyDescent="0.2">
      <c r="A218">
        <f>ROW(Source!A204)</f>
        <v>204</v>
      </c>
      <c r="B218">
        <v>46561299</v>
      </c>
      <c r="C218">
        <v>46607605</v>
      </c>
      <c r="D218">
        <v>45143575</v>
      </c>
      <c r="E218">
        <v>1</v>
      </c>
      <c r="F218">
        <v>1</v>
      </c>
      <c r="G218">
        <v>27</v>
      </c>
      <c r="H218">
        <v>2</v>
      </c>
      <c r="I218" t="s">
        <v>338</v>
      </c>
      <c r="J218" t="s">
        <v>339</v>
      </c>
      <c r="K218" t="s">
        <v>340</v>
      </c>
      <c r="L218">
        <v>1368</v>
      </c>
      <c r="N218">
        <v>1011</v>
      </c>
      <c r="O218" t="s">
        <v>286</v>
      </c>
      <c r="P218" t="s">
        <v>286</v>
      </c>
      <c r="Q218">
        <v>1</v>
      </c>
      <c r="W218">
        <v>0</v>
      </c>
      <c r="X218">
        <v>-764600179</v>
      </c>
      <c r="Y218">
        <v>0.115</v>
      </c>
      <c r="AA218">
        <v>0</v>
      </c>
      <c r="AB218">
        <v>5.94</v>
      </c>
      <c r="AC218">
        <v>0.02</v>
      </c>
      <c r="AD218">
        <v>0</v>
      </c>
      <c r="AE218">
        <v>0</v>
      </c>
      <c r="AF218">
        <v>5.94</v>
      </c>
      <c r="AG218">
        <v>0.02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 t="s">
        <v>3</v>
      </c>
      <c r="AT218">
        <v>0.115</v>
      </c>
      <c r="AU218" t="s">
        <v>3</v>
      </c>
      <c r="AV218">
        <v>0</v>
      </c>
      <c r="AW218">
        <v>2</v>
      </c>
      <c r="AX218">
        <v>46607624</v>
      </c>
      <c r="AY218">
        <v>1</v>
      </c>
      <c r="AZ218">
        <v>0</v>
      </c>
      <c r="BA218">
        <v>196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Y218*Source!I204</f>
        <v>12.949</v>
      </c>
      <c r="CY218">
        <f>AB218</f>
        <v>5.94</v>
      </c>
      <c r="CZ218">
        <f>AF218</f>
        <v>5.94</v>
      </c>
      <c r="DA218">
        <f>AJ218</f>
        <v>1</v>
      </c>
      <c r="DB218">
        <f t="shared" si="30"/>
        <v>0.68</v>
      </c>
      <c r="DC218">
        <f t="shared" si="31"/>
        <v>0</v>
      </c>
    </row>
    <row r="219" spans="1:107" x14ac:dyDescent="0.2">
      <c r="A219">
        <f>ROW(Source!A204)</f>
        <v>204</v>
      </c>
      <c r="B219">
        <v>46561299</v>
      </c>
      <c r="C219">
        <v>46607605</v>
      </c>
      <c r="D219">
        <v>45143598</v>
      </c>
      <c r="E219">
        <v>1</v>
      </c>
      <c r="F219">
        <v>1</v>
      </c>
      <c r="G219">
        <v>27</v>
      </c>
      <c r="H219">
        <v>2</v>
      </c>
      <c r="I219" t="s">
        <v>341</v>
      </c>
      <c r="J219" t="s">
        <v>342</v>
      </c>
      <c r="K219" t="s">
        <v>343</v>
      </c>
      <c r="L219">
        <v>1368</v>
      </c>
      <c r="N219">
        <v>1011</v>
      </c>
      <c r="O219" t="s">
        <v>286</v>
      </c>
      <c r="P219" t="s">
        <v>286</v>
      </c>
      <c r="Q219">
        <v>1</v>
      </c>
      <c r="W219">
        <v>0</v>
      </c>
      <c r="X219">
        <v>676633484</v>
      </c>
      <c r="Y219">
        <v>0.504</v>
      </c>
      <c r="AA219">
        <v>0</v>
      </c>
      <c r="AB219">
        <v>652.16</v>
      </c>
      <c r="AC219">
        <v>581.9</v>
      </c>
      <c r="AD219">
        <v>0</v>
      </c>
      <c r="AE219">
        <v>0</v>
      </c>
      <c r="AF219">
        <v>652.16</v>
      </c>
      <c r="AG219">
        <v>581.9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 t="s">
        <v>3</v>
      </c>
      <c r="AT219">
        <v>0.504</v>
      </c>
      <c r="AU219" t="s">
        <v>3</v>
      </c>
      <c r="AV219">
        <v>0</v>
      </c>
      <c r="AW219">
        <v>2</v>
      </c>
      <c r="AX219">
        <v>46607625</v>
      </c>
      <c r="AY219">
        <v>1</v>
      </c>
      <c r="AZ219">
        <v>0</v>
      </c>
      <c r="BA219">
        <v>197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Y219*Source!I204</f>
        <v>56.750399999999999</v>
      </c>
      <c r="CY219">
        <f>AB219</f>
        <v>652.16</v>
      </c>
      <c r="CZ219">
        <f>AF219</f>
        <v>652.16</v>
      </c>
      <c r="DA219">
        <f>AJ219</f>
        <v>1</v>
      </c>
      <c r="DB219">
        <f t="shared" ref="DB219:DB244" si="35">ROUND(ROUND(AT219*CZ219,2),6)</f>
        <v>328.69</v>
      </c>
      <c r="DC219">
        <f t="shared" ref="DC219:DC244" si="36">ROUND(ROUND(AT219*AG219,2),6)</f>
        <v>293.27999999999997</v>
      </c>
    </row>
    <row r="220" spans="1:107" x14ac:dyDescent="0.2">
      <c r="A220">
        <f>ROW(Source!A204)</f>
        <v>204</v>
      </c>
      <c r="B220">
        <v>46561299</v>
      </c>
      <c r="C220">
        <v>46607605</v>
      </c>
      <c r="D220">
        <v>45144496</v>
      </c>
      <c r="E220">
        <v>1</v>
      </c>
      <c r="F220">
        <v>1</v>
      </c>
      <c r="G220">
        <v>27</v>
      </c>
      <c r="H220">
        <v>3</v>
      </c>
      <c r="I220" t="s">
        <v>68</v>
      </c>
      <c r="J220" t="s">
        <v>70</v>
      </c>
      <c r="K220" t="s">
        <v>248</v>
      </c>
      <c r="L220">
        <v>1348</v>
      </c>
      <c r="N220">
        <v>1009</v>
      </c>
      <c r="O220" t="s">
        <v>65</v>
      </c>
      <c r="P220" t="s">
        <v>65</v>
      </c>
      <c r="Q220">
        <v>1000</v>
      </c>
      <c r="W220">
        <v>0</v>
      </c>
      <c r="X220">
        <v>690088621</v>
      </c>
      <c r="Y220">
        <v>7.4929999999999997E-3</v>
      </c>
      <c r="AA220">
        <v>32819.879999999997</v>
      </c>
      <c r="AB220">
        <v>0</v>
      </c>
      <c r="AC220">
        <v>0</v>
      </c>
      <c r="AD220">
        <v>0</v>
      </c>
      <c r="AE220">
        <v>32819.879999999997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 t="s">
        <v>3</v>
      </c>
      <c r="AT220">
        <v>7.4929999999999997E-3</v>
      </c>
      <c r="AU220" t="s">
        <v>3</v>
      </c>
      <c r="AV220">
        <v>0</v>
      </c>
      <c r="AW220">
        <v>1</v>
      </c>
      <c r="AX220">
        <v>-1</v>
      </c>
      <c r="AY220">
        <v>0</v>
      </c>
      <c r="AZ220">
        <v>0</v>
      </c>
      <c r="BA220" t="s">
        <v>3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Y220*Source!I204</f>
        <v>0.8437117999999999</v>
      </c>
      <c r="CY220">
        <f t="shared" ref="CY220:CY231" si="37">AA220</f>
        <v>32819.879999999997</v>
      </c>
      <c r="CZ220">
        <f t="shared" ref="CZ220:CZ231" si="38">AE220</f>
        <v>32819.879999999997</v>
      </c>
      <c r="DA220">
        <f t="shared" ref="DA220:DA231" si="39">AI220</f>
        <v>1</v>
      </c>
      <c r="DB220">
        <f t="shared" si="35"/>
        <v>245.92</v>
      </c>
      <c r="DC220">
        <f t="shared" si="36"/>
        <v>0</v>
      </c>
    </row>
    <row r="221" spans="1:107" x14ac:dyDescent="0.2">
      <c r="A221">
        <f>ROW(Source!A204)</f>
        <v>204</v>
      </c>
      <c r="B221">
        <v>46561299</v>
      </c>
      <c r="C221">
        <v>46607605</v>
      </c>
      <c r="D221">
        <v>45144555</v>
      </c>
      <c r="E221">
        <v>1</v>
      </c>
      <c r="F221">
        <v>1</v>
      </c>
      <c r="G221">
        <v>27</v>
      </c>
      <c r="H221">
        <v>3</v>
      </c>
      <c r="I221" t="s">
        <v>344</v>
      </c>
      <c r="J221" t="s">
        <v>345</v>
      </c>
      <c r="K221" t="s">
        <v>346</v>
      </c>
      <c r="L221">
        <v>1348</v>
      </c>
      <c r="N221">
        <v>1009</v>
      </c>
      <c r="O221" t="s">
        <v>65</v>
      </c>
      <c r="P221" t="s">
        <v>65</v>
      </c>
      <c r="Q221">
        <v>1000</v>
      </c>
      <c r="W221">
        <v>0</v>
      </c>
      <c r="X221">
        <v>-1210277159</v>
      </c>
      <c r="Y221">
        <v>1.01E-3</v>
      </c>
      <c r="AA221">
        <v>38268.54</v>
      </c>
      <c r="AB221">
        <v>0</v>
      </c>
      <c r="AC221">
        <v>0</v>
      </c>
      <c r="AD221">
        <v>0</v>
      </c>
      <c r="AE221">
        <v>38268.54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 t="s">
        <v>3</v>
      </c>
      <c r="AT221">
        <v>1.01E-3</v>
      </c>
      <c r="AU221" t="s">
        <v>3</v>
      </c>
      <c r="AV221">
        <v>0</v>
      </c>
      <c r="AW221">
        <v>2</v>
      </c>
      <c r="AX221">
        <v>46607626</v>
      </c>
      <c r="AY221">
        <v>1</v>
      </c>
      <c r="AZ221">
        <v>0</v>
      </c>
      <c r="BA221">
        <v>198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Y221*Source!I204</f>
        <v>0.11372599999999999</v>
      </c>
      <c r="CY221">
        <f t="shared" si="37"/>
        <v>38268.54</v>
      </c>
      <c r="CZ221">
        <f t="shared" si="38"/>
        <v>38268.54</v>
      </c>
      <c r="DA221">
        <f t="shared" si="39"/>
        <v>1</v>
      </c>
      <c r="DB221">
        <f t="shared" si="35"/>
        <v>38.65</v>
      </c>
      <c r="DC221">
        <f t="shared" si="36"/>
        <v>0</v>
      </c>
    </row>
    <row r="222" spans="1:107" x14ac:dyDescent="0.2">
      <c r="A222">
        <f>ROW(Source!A204)</f>
        <v>204</v>
      </c>
      <c r="B222">
        <v>46561299</v>
      </c>
      <c r="C222">
        <v>46607605</v>
      </c>
      <c r="D222">
        <v>45144413</v>
      </c>
      <c r="E222">
        <v>1</v>
      </c>
      <c r="F222">
        <v>1</v>
      </c>
      <c r="G222">
        <v>27</v>
      </c>
      <c r="H222">
        <v>3</v>
      </c>
      <c r="I222" t="s">
        <v>84</v>
      </c>
      <c r="J222" t="s">
        <v>86</v>
      </c>
      <c r="K222" t="s">
        <v>85</v>
      </c>
      <c r="L222">
        <v>1348</v>
      </c>
      <c r="N222">
        <v>1009</v>
      </c>
      <c r="O222" t="s">
        <v>65</v>
      </c>
      <c r="P222" t="s">
        <v>65</v>
      </c>
      <c r="Q222">
        <v>1000</v>
      </c>
      <c r="W222">
        <v>1</v>
      </c>
      <c r="X222">
        <v>-2126876791</v>
      </c>
      <c r="Y222">
        <v>-0.14899999999999999</v>
      </c>
      <c r="AA222">
        <v>37537.54</v>
      </c>
      <c r="AB222">
        <v>0</v>
      </c>
      <c r="AC222">
        <v>0</v>
      </c>
      <c r="AD222">
        <v>0</v>
      </c>
      <c r="AE222">
        <v>37537.54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-0.14899999999999999</v>
      </c>
      <c r="AU222" t="s">
        <v>3</v>
      </c>
      <c r="AV222">
        <v>0</v>
      </c>
      <c r="AW222">
        <v>2</v>
      </c>
      <c r="AX222">
        <v>46607627</v>
      </c>
      <c r="AY222">
        <v>1</v>
      </c>
      <c r="AZ222">
        <v>6144</v>
      </c>
      <c r="BA222">
        <v>199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Y222*Source!I204</f>
        <v>-16.7774</v>
      </c>
      <c r="CY222">
        <f t="shared" si="37"/>
        <v>37537.54</v>
      </c>
      <c r="CZ222">
        <f t="shared" si="38"/>
        <v>37537.54</v>
      </c>
      <c r="DA222">
        <f t="shared" si="39"/>
        <v>1</v>
      </c>
      <c r="DB222">
        <f t="shared" si="35"/>
        <v>-5593.09</v>
      </c>
      <c r="DC222">
        <f t="shared" si="36"/>
        <v>0</v>
      </c>
    </row>
    <row r="223" spans="1:107" x14ac:dyDescent="0.2">
      <c r="A223">
        <f>ROW(Source!A204)</f>
        <v>204</v>
      </c>
      <c r="B223">
        <v>46561299</v>
      </c>
      <c r="C223">
        <v>46607605</v>
      </c>
      <c r="D223">
        <v>45144419</v>
      </c>
      <c r="E223">
        <v>1</v>
      </c>
      <c r="F223">
        <v>1</v>
      </c>
      <c r="G223">
        <v>27</v>
      </c>
      <c r="H223">
        <v>3</v>
      </c>
      <c r="I223" t="s">
        <v>72</v>
      </c>
      <c r="J223" t="s">
        <v>74</v>
      </c>
      <c r="K223" t="s">
        <v>250</v>
      </c>
      <c r="L223">
        <v>1348</v>
      </c>
      <c r="N223">
        <v>1009</v>
      </c>
      <c r="O223" t="s">
        <v>65</v>
      </c>
      <c r="P223" t="s">
        <v>65</v>
      </c>
      <c r="Q223">
        <v>1000</v>
      </c>
      <c r="W223">
        <v>0</v>
      </c>
      <c r="X223">
        <v>-259010178</v>
      </c>
      <c r="Y223">
        <v>1.6462999999999998E-2</v>
      </c>
      <c r="AA223">
        <v>40597.550000000003</v>
      </c>
      <c r="AB223">
        <v>0</v>
      </c>
      <c r="AC223">
        <v>0</v>
      </c>
      <c r="AD223">
        <v>0</v>
      </c>
      <c r="AE223">
        <v>40597.550000000003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 t="s">
        <v>3</v>
      </c>
      <c r="AT223">
        <v>1.6462999999999998E-2</v>
      </c>
      <c r="AU223" t="s">
        <v>3</v>
      </c>
      <c r="AV223">
        <v>0</v>
      </c>
      <c r="AW223">
        <v>1</v>
      </c>
      <c r="AX223">
        <v>-1</v>
      </c>
      <c r="AY223">
        <v>0</v>
      </c>
      <c r="AZ223">
        <v>0</v>
      </c>
      <c r="BA223" t="s">
        <v>3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Y223*Source!I204</f>
        <v>1.8537337999999997</v>
      </c>
      <c r="CY223">
        <f t="shared" si="37"/>
        <v>40597.550000000003</v>
      </c>
      <c r="CZ223">
        <f t="shared" si="38"/>
        <v>40597.550000000003</v>
      </c>
      <c r="DA223">
        <f t="shared" si="39"/>
        <v>1</v>
      </c>
      <c r="DB223">
        <f t="shared" si="35"/>
        <v>668.36</v>
      </c>
      <c r="DC223">
        <f t="shared" si="36"/>
        <v>0</v>
      </c>
    </row>
    <row r="224" spans="1:107" x14ac:dyDescent="0.2">
      <c r="A224">
        <f>ROW(Source!A204)</f>
        <v>204</v>
      </c>
      <c r="B224">
        <v>46561299</v>
      </c>
      <c r="C224">
        <v>46607605</v>
      </c>
      <c r="D224">
        <v>45144432</v>
      </c>
      <c r="E224">
        <v>1</v>
      </c>
      <c r="F224">
        <v>1</v>
      </c>
      <c r="G224">
        <v>27</v>
      </c>
      <c r="H224">
        <v>3</v>
      </c>
      <c r="I224" t="s">
        <v>63</v>
      </c>
      <c r="J224" t="s">
        <v>66</v>
      </c>
      <c r="K224" t="s">
        <v>64</v>
      </c>
      <c r="L224">
        <v>1348</v>
      </c>
      <c r="N224">
        <v>1009</v>
      </c>
      <c r="O224" t="s">
        <v>65</v>
      </c>
      <c r="P224" t="s">
        <v>65</v>
      </c>
      <c r="Q224">
        <v>1000</v>
      </c>
      <c r="W224">
        <v>0</v>
      </c>
      <c r="X224">
        <v>1662963478</v>
      </c>
      <c r="Y224">
        <v>6.2139999999999999E-3</v>
      </c>
      <c r="AA224">
        <v>37329.29</v>
      </c>
      <c r="AB224">
        <v>0</v>
      </c>
      <c r="AC224">
        <v>0</v>
      </c>
      <c r="AD224">
        <v>0</v>
      </c>
      <c r="AE224">
        <v>37329.29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 t="s">
        <v>3</v>
      </c>
      <c r="AT224">
        <v>6.2139999999999999E-3</v>
      </c>
      <c r="AU224" t="s">
        <v>3</v>
      </c>
      <c r="AV224">
        <v>0</v>
      </c>
      <c r="AW224">
        <v>1</v>
      </c>
      <c r="AX224">
        <v>-1</v>
      </c>
      <c r="AY224">
        <v>0</v>
      </c>
      <c r="AZ224">
        <v>0</v>
      </c>
      <c r="BA224" t="s">
        <v>3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Y224*Source!I204</f>
        <v>0.6996964</v>
      </c>
      <c r="CY224">
        <f t="shared" si="37"/>
        <v>37329.29</v>
      </c>
      <c r="CZ224">
        <f t="shared" si="38"/>
        <v>37329.29</v>
      </c>
      <c r="DA224">
        <f t="shared" si="39"/>
        <v>1</v>
      </c>
      <c r="DB224">
        <f t="shared" si="35"/>
        <v>231.96</v>
      </c>
      <c r="DC224">
        <f t="shared" si="36"/>
        <v>0</v>
      </c>
    </row>
    <row r="225" spans="1:107" x14ac:dyDescent="0.2">
      <c r="A225">
        <f>ROW(Source!A204)</f>
        <v>204</v>
      </c>
      <c r="B225">
        <v>46561299</v>
      </c>
      <c r="C225">
        <v>46607605</v>
      </c>
      <c r="D225">
        <v>45145543</v>
      </c>
      <c r="E225">
        <v>1</v>
      </c>
      <c r="F225">
        <v>1</v>
      </c>
      <c r="G225">
        <v>27</v>
      </c>
      <c r="H225">
        <v>3</v>
      </c>
      <c r="I225" t="s">
        <v>320</v>
      </c>
      <c r="J225" t="s">
        <v>321</v>
      </c>
      <c r="K225" t="s">
        <v>322</v>
      </c>
      <c r="L225">
        <v>1348</v>
      </c>
      <c r="N225">
        <v>1009</v>
      </c>
      <c r="O225" t="s">
        <v>65</v>
      </c>
      <c r="P225" t="s">
        <v>65</v>
      </c>
      <c r="Q225">
        <v>1000</v>
      </c>
      <c r="W225">
        <v>0</v>
      </c>
      <c r="X225">
        <v>-672771621</v>
      </c>
      <c r="Y225">
        <v>5.0000000000000001E-4</v>
      </c>
      <c r="AA225">
        <v>110781.14</v>
      </c>
      <c r="AB225">
        <v>0</v>
      </c>
      <c r="AC225">
        <v>0</v>
      </c>
      <c r="AD225">
        <v>0</v>
      </c>
      <c r="AE225">
        <v>110781.14</v>
      </c>
      <c r="AF225">
        <v>0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5.0000000000000001E-4</v>
      </c>
      <c r="AU225" t="s">
        <v>3</v>
      </c>
      <c r="AV225">
        <v>0</v>
      </c>
      <c r="AW225">
        <v>2</v>
      </c>
      <c r="AX225">
        <v>46607628</v>
      </c>
      <c r="AY225">
        <v>1</v>
      </c>
      <c r="AZ225">
        <v>0</v>
      </c>
      <c r="BA225">
        <v>200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Y225*Source!I204</f>
        <v>5.6299999999999996E-2</v>
      </c>
      <c r="CY225">
        <f t="shared" si="37"/>
        <v>110781.14</v>
      </c>
      <c r="CZ225">
        <f t="shared" si="38"/>
        <v>110781.14</v>
      </c>
      <c r="DA225">
        <f t="shared" si="39"/>
        <v>1</v>
      </c>
      <c r="DB225">
        <f t="shared" si="35"/>
        <v>55.39</v>
      </c>
      <c r="DC225">
        <f t="shared" si="36"/>
        <v>0</v>
      </c>
    </row>
    <row r="226" spans="1:107" x14ac:dyDescent="0.2">
      <c r="A226">
        <f>ROW(Source!A204)</f>
        <v>204</v>
      </c>
      <c r="B226">
        <v>46561299</v>
      </c>
      <c r="C226">
        <v>46607605</v>
      </c>
      <c r="D226">
        <v>45147864</v>
      </c>
      <c r="E226">
        <v>1</v>
      </c>
      <c r="F226">
        <v>1</v>
      </c>
      <c r="G226">
        <v>27</v>
      </c>
      <c r="H226">
        <v>3</v>
      </c>
      <c r="I226" t="s">
        <v>347</v>
      </c>
      <c r="J226" t="s">
        <v>348</v>
      </c>
      <c r="K226" t="s">
        <v>349</v>
      </c>
      <c r="L226">
        <v>1354</v>
      </c>
      <c r="N226">
        <v>1010</v>
      </c>
      <c r="O226" t="s">
        <v>350</v>
      </c>
      <c r="P226" t="s">
        <v>350</v>
      </c>
      <c r="Q226">
        <v>1</v>
      </c>
      <c r="W226">
        <v>0</v>
      </c>
      <c r="X226">
        <v>969740417</v>
      </c>
      <c r="Y226">
        <v>1.4E-2</v>
      </c>
      <c r="AA226">
        <v>16.54</v>
      </c>
      <c r="AB226">
        <v>0</v>
      </c>
      <c r="AC226">
        <v>0</v>
      </c>
      <c r="AD226">
        <v>0</v>
      </c>
      <c r="AE226">
        <v>16.54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S226" t="s">
        <v>3</v>
      </c>
      <c r="AT226">
        <v>1.4E-2</v>
      </c>
      <c r="AU226" t="s">
        <v>3</v>
      </c>
      <c r="AV226">
        <v>0</v>
      </c>
      <c r="AW226">
        <v>2</v>
      </c>
      <c r="AX226">
        <v>46607629</v>
      </c>
      <c r="AY226">
        <v>1</v>
      </c>
      <c r="AZ226">
        <v>0</v>
      </c>
      <c r="BA226">
        <v>201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Y226*Source!I204</f>
        <v>1.5764</v>
      </c>
      <c r="CY226">
        <f t="shared" si="37"/>
        <v>16.54</v>
      </c>
      <c r="CZ226">
        <f t="shared" si="38"/>
        <v>16.54</v>
      </c>
      <c r="DA226">
        <f t="shared" si="39"/>
        <v>1</v>
      </c>
      <c r="DB226">
        <f t="shared" si="35"/>
        <v>0.23</v>
      </c>
      <c r="DC226">
        <f t="shared" si="36"/>
        <v>0</v>
      </c>
    </row>
    <row r="227" spans="1:107" x14ac:dyDescent="0.2">
      <c r="A227">
        <f>ROW(Source!A204)</f>
        <v>204</v>
      </c>
      <c r="B227">
        <v>46561299</v>
      </c>
      <c r="C227">
        <v>46607605</v>
      </c>
      <c r="D227">
        <v>0</v>
      </c>
      <c r="E227">
        <v>27</v>
      </c>
      <c r="F227">
        <v>1</v>
      </c>
      <c r="G227">
        <v>27</v>
      </c>
      <c r="H227">
        <v>3</v>
      </c>
      <c r="I227" t="s">
        <v>76</v>
      </c>
      <c r="J227" t="s">
        <v>3</v>
      </c>
      <c r="K227" t="s">
        <v>77</v>
      </c>
      <c r="L227">
        <v>1371</v>
      </c>
      <c r="N227">
        <v>1013</v>
      </c>
      <c r="O227" t="s">
        <v>78</v>
      </c>
      <c r="P227" t="s">
        <v>78</v>
      </c>
      <c r="Q227">
        <v>1</v>
      </c>
      <c r="W227">
        <v>0</v>
      </c>
      <c r="X227">
        <v>-1591933177</v>
      </c>
      <c r="Y227">
        <v>0.186501</v>
      </c>
      <c r="AA227">
        <v>37.5</v>
      </c>
      <c r="AB227">
        <v>0</v>
      </c>
      <c r="AC227">
        <v>0</v>
      </c>
      <c r="AD227">
        <v>0</v>
      </c>
      <c r="AE227">
        <v>37.5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3</v>
      </c>
      <c r="AT227">
        <v>0.186501</v>
      </c>
      <c r="AU227" t="s">
        <v>3</v>
      </c>
      <c r="AV227">
        <v>0</v>
      </c>
      <c r="AW227">
        <v>1</v>
      </c>
      <c r="AX227">
        <v>-1</v>
      </c>
      <c r="AY227">
        <v>0</v>
      </c>
      <c r="AZ227">
        <v>0</v>
      </c>
      <c r="BA227" t="s">
        <v>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Y227*Source!I204</f>
        <v>21.000012599999998</v>
      </c>
      <c r="CY227">
        <f t="shared" si="37"/>
        <v>37.5</v>
      </c>
      <c r="CZ227">
        <f t="shared" si="38"/>
        <v>37.5</v>
      </c>
      <c r="DA227">
        <f t="shared" si="39"/>
        <v>1</v>
      </c>
      <c r="DB227">
        <f t="shared" si="35"/>
        <v>6.99</v>
      </c>
      <c r="DC227">
        <f t="shared" si="36"/>
        <v>0</v>
      </c>
    </row>
    <row r="228" spans="1:107" x14ac:dyDescent="0.2">
      <c r="A228">
        <f>ROW(Source!A204)</f>
        <v>204</v>
      </c>
      <c r="B228">
        <v>46561299</v>
      </c>
      <c r="C228">
        <v>46607605</v>
      </c>
      <c r="D228">
        <v>0</v>
      </c>
      <c r="E228">
        <v>27</v>
      </c>
      <c r="F228">
        <v>1</v>
      </c>
      <c r="G228">
        <v>27</v>
      </c>
      <c r="H228">
        <v>3</v>
      </c>
      <c r="I228" t="s">
        <v>76</v>
      </c>
      <c r="J228" t="s">
        <v>3</v>
      </c>
      <c r="K228" t="s">
        <v>81</v>
      </c>
      <c r="L228">
        <v>1371</v>
      </c>
      <c r="N228">
        <v>1013</v>
      </c>
      <c r="O228" t="s">
        <v>78</v>
      </c>
      <c r="P228" t="s">
        <v>78</v>
      </c>
      <c r="Q228">
        <v>1</v>
      </c>
      <c r="W228">
        <v>0</v>
      </c>
      <c r="X228">
        <v>-1949902326</v>
      </c>
      <c r="Y228">
        <v>0.746004</v>
      </c>
      <c r="AA228">
        <v>16.53</v>
      </c>
      <c r="AB228">
        <v>0</v>
      </c>
      <c r="AC228">
        <v>0</v>
      </c>
      <c r="AD228">
        <v>0</v>
      </c>
      <c r="AE228">
        <v>16.53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3</v>
      </c>
      <c r="AT228">
        <v>0.746004</v>
      </c>
      <c r="AU228" t="s">
        <v>3</v>
      </c>
      <c r="AV228">
        <v>0</v>
      </c>
      <c r="AW228">
        <v>1</v>
      </c>
      <c r="AX228">
        <v>-1</v>
      </c>
      <c r="AY228">
        <v>0</v>
      </c>
      <c r="AZ228">
        <v>0</v>
      </c>
      <c r="BA228" t="s">
        <v>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Y228*Source!I204</f>
        <v>84.000050399999992</v>
      </c>
      <c r="CY228">
        <f t="shared" si="37"/>
        <v>16.53</v>
      </c>
      <c r="CZ228">
        <f t="shared" si="38"/>
        <v>16.53</v>
      </c>
      <c r="DA228">
        <f t="shared" si="39"/>
        <v>1</v>
      </c>
      <c r="DB228">
        <f t="shared" si="35"/>
        <v>12.33</v>
      </c>
      <c r="DC228">
        <f t="shared" si="36"/>
        <v>0</v>
      </c>
    </row>
    <row r="229" spans="1:107" x14ac:dyDescent="0.2">
      <c r="A229">
        <f>ROW(Source!A204)</f>
        <v>204</v>
      </c>
      <c r="B229">
        <v>46561299</v>
      </c>
      <c r="C229">
        <v>46607605</v>
      </c>
      <c r="D229">
        <v>0</v>
      </c>
      <c r="E229">
        <v>27</v>
      </c>
      <c r="F229">
        <v>1</v>
      </c>
      <c r="G229">
        <v>27</v>
      </c>
      <c r="H229">
        <v>3</v>
      </c>
      <c r="I229" t="s">
        <v>76</v>
      </c>
      <c r="J229" t="s">
        <v>3</v>
      </c>
      <c r="K229" t="s">
        <v>227</v>
      </c>
      <c r="L229">
        <v>1371</v>
      </c>
      <c r="N229">
        <v>1013</v>
      </c>
      <c r="O229" t="s">
        <v>78</v>
      </c>
      <c r="P229" t="s">
        <v>78</v>
      </c>
      <c r="Q229">
        <v>1</v>
      </c>
      <c r="W229">
        <v>0</v>
      </c>
      <c r="X229">
        <v>-632778472</v>
      </c>
      <c r="Y229">
        <v>5.3286E-2</v>
      </c>
      <c r="AA229">
        <v>220.78</v>
      </c>
      <c r="AB229">
        <v>0</v>
      </c>
      <c r="AC229">
        <v>0</v>
      </c>
      <c r="AD229">
        <v>0</v>
      </c>
      <c r="AE229">
        <v>220.78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3</v>
      </c>
      <c r="AT229">
        <v>5.3286E-2</v>
      </c>
      <c r="AU229" t="s">
        <v>3</v>
      </c>
      <c r="AV229">
        <v>0</v>
      </c>
      <c r="AW229">
        <v>1</v>
      </c>
      <c r="AX229">
        <v>-1</v>
      </c>
      <c r="AY229">
        <v>0</v>
      </c>
      <c r="AZ229">
        <v>0</v>
      </c>
      <c r="BA229" t="s">
        <v>3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Y229*Source!I204</f>
        <v>6.0000035999999994</v>
      </c>
      <c r="CY229">
        <f t="shared" si="37"/>
        <v>220.78</v>
      </c>
      <c r="CZ229">
        <f t="shared" si="38"/>
        <v>220.78</v>
      </c>
      <c r="DA229">
        <f t="shared" si="39"/>
        <v>1</v>
      </c>
      <c r="DB229">
        <f t="shared" si="35"/>
        <v>11.76</v>
      </c>
      <c r="DC229">
        <f t="shared" si="36"/>
        <v>0</v>
      </c>
    </row>
    <row r="230" spans="1:107" x14ac:dyDescent="0.2">
      <c r="A230">
        <f>ROW(Source!A204)</f>
        <v>204</v>
      </c>
      <c r="B230">
        <v>46561299</v>
      </c>
      <c r="C230">
        <v>46607605</v>
      </c>
      <c r="D230">
        <v>0</v>
      </c>
      <c r="E230">
        <v>27</v>
      </c>
      <c r="F230">
        <v>1</v>
      </c>
      <c r="G230">
        <v>27</v>
      </c>
      <c r="H230">
        <v>3</v>
      </c>
      <c r="I230" t="s">
        <v>76</v>
      </c>
      <c r="J230" t="s">
        <v>3</v>
      </c>
      <c r="K230" t="s">
        <v>230</v>
      </c>
      <c r="L230">
        <v>1371</v>
      </c>
      <c r="N230">
        <v>1013</v>
      </c>
      <c r="O230" t="s">
        <v>78</v>
      </c>
      <c r="P230" t="s">
        <v>78</v>
      </c>
      <c r="Q230">
        <v>1</v>
      </c>
      <c r="W230">
        <v>0</v>
      </c>
      <c r="X230">
        <v>1479756592</v>
      </c>
      <c r="Y230">
        <v>8.881E-3</v>
      </c>
      <c r="AA230">
        <v>674.17</v>
      </c>
      <c r="AB230">
        <v>0</v>
      </c>
      <c r="AC230">
        <v>0</v>
      </c>
      <c r="AD230">
        <v>0</v>
      </c>
      <c r="AE230">
        <v>674.17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3</v>
      </c>
      <c r="AT230">
        <v>8.881E-3</v>
      </c>
      <c r="AU230" t="s">
        <v>3</v>
      </c>
      <c r="AV230">
        <v>0</v>
      </c>
      <c r="AW230">
        <v>1</v>
      </c>
      <c r="AX230">
        <v>-1</v>
      </c>
      <c r="AY230">
        <v>0</v>
      </c>
      <c r="AZ230">
        <v>0</v>
      </c>
      <c r="BA230" t="s">
        <v>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Y230*Source!I204</f>
        <v>1.0000005999999999</v>
      </c>
      <c r="CY230">
        <f t="shared" si="37"/>
        <v>674.17</v>
      </c>
      <c r="CZ230">
        <f t="shared" si="38"/>
        <v>674.17</v>
      </c>
      <c r="DA230">
        <f t="shared" si="39"/>
        <v>1</v>
      </c>
      <c r="DB230">
        <f t="shared" si="35"/>
        <v>5.99</v>
      </c>
      <c r="DC230">
        <f t="shared" si="36"/>
        <v>0</v>
      </c>
    </row>
    <row r="231" spans="1:107" x14ac:dyDescent="0.2">
      <c r="A231">
        <f>ROW(Source!A204)</f>
        <v>204</v>
      </c>
      <c r="B231">
        <v>46561299</v>
      </c>
      <c r="C231">
        <v>46607605</v>
      </c>
      <c r="D231">
        <v>0</v>
      </c>
      <c r="E231">
        <v>27</v>
      </c>
      <c r="F231">
        <v>1</v>
      </c>
      <c r="G231">
        <v>27</v>
      </c>
      <c r="H231">
        <v>3</v>
      </c>
      <c r="I231" t="s">
        <v>76</v>
      </c>
      <c r="J231" t="s">
        <v>3</v>
      </c>
      <c r="K231" t="s">
        <v>256</v>
      </c>
      <c r="L231">
        <v>1371</v>
      </c>
      <c r="N231">
        <v>1013</v>
      </c>
      <c r="O231" t="s">
        <v>78</v>
      </c>
      <c r="P231" t="s">
        <v>78</v>
      </c>
      <c r="Q231">
        <v>1</v>
      </c>
      <c r="W231">
        <v>0</v>
      </c>
      <c r="X231">
        <v>1664693455</v>
      </c>
      <c r="Y231">
        <v>8.881E-3</v>
      </c>
      <c r="AA231">
        <v>197.23</v>
      </c>
      <c r="AB231">
        <v>0</v>
      </c>
      <c r="AC231">
        <v>0</v>
      </c>
      <c r="AD231">
        <v>0</v>
      </c>
      <c r="AE231">
        <v>197.23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3</v>
      </c>
      <c r="AT231">
        <v>8.881E-3</v>
      </c>
      <c r="AU231" t="s">
        <v>3</v>
      </c>
      <c r="AV231">
        <v>0</v>
      </c>
      <c r="AW231">
        <v>1</v>
      </c>
      <c r="AX231">
        <v>-1</v>
      </c>
      <c r="AY231">
        <v>0</v>
      </c>
      <c r="AZ231">
        <v>0</v>
      </c>
      <c r="BA231" t="s">
        <v>3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Y231*Source!I204</f>
        <v>1.0000005999999999</v>
      </c>
      <c r="CY231">
        <f t="shared" si="37"/>
        <v>197.23</v>
      </c>
      <c r="CZ231">
        <f t="shared" si="38"/>
        <v>197.23</v>
      </c>
      <c r="DA231">
        <f t="shared" si="39"/>
        <v>1</v>
      </c>
      <c r="DB231">
        <f t="shared" si="35"/>
        <v>1.75</v>
      </c>
      <c r="DC231">
        <f t="shared" si="36"/>
        <v>0</v>
      </c>
    </row>
    <row r="232" spans="1:107" x14ac:dyDescent="0.2">
      <c r="A232">
        <f>ROW(Source!A214)</f>
        <v>214</v>
      </c>
      <c r="B232">
        <v>46561299</v>
      </c>
      <c r="C232">
        <v>46607639</v>
      </c>
      <c r="D232">
        <v>45130551</v>
      </c>
      <c r="E232">
        <v>27</v>
      </c>
      <c r="F232">
        <v>1</v>
      </c>
      <c r="G232">
        <v>27</v>
      </c>
      <c r="H232">
        <v>1</v>
      </c>
      <c r="I232" t="s">
        <v>280</v>
      </c>
      <c r="J232" t="s">
        <v>3</v>
      </c>
      <c r="K232" t="s">
        <v>281</v>
      </c>
      <c r="L232">
        <v>1191</v>
      </c>
      <c r="N232">
        <v>1013</v>
      </c>
      <c r="O232" t="s">
        <v>282</v>
      </c>
      <c r="P232" t="s">
        <v>282</v>
      </c>
      <c r="Q232">
        <v>1</v>
      </c>
      <c r="W232">
        <v>0</v>
      </c>
      <c r="X232">
        <v>476480486</v>
      </c>
      <c r="Y232">
        <v>6.11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6.11</v>
      </c>
      <c r="AU232" t="s">
        <v>3</v>
      </c>
      <c r="AV232">
        <v>1</v>
      </c>
      <c r="AW232">
        <v>2</v>
      </c>
      <c r="AX232">
        <v>46607646</v>
      </c>
      <c r="AY232">
        <v>1</v>
      </c>
      <c r="AZ232">
        <v>0</v>
      </c>
      <c r="BA232">
        <v>202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Y232*Source!I214</f>
        <v>6.8798599999999999</v>
      </c>
      <c r="CY232">
        <f>AD232</f>
        <v>0</v>
      </c>
      <c r="CZ232">
        <f>AH232</f>
        <v>0</v>
      </c>
      <c r="DA232">
        <f>AL232</f>
        <v>1</v>
      </c>
      <c r="DB232">
        <f t="shared" si="35"/>
        <v>0</v>
      </c>
      <c r="DC232">
        <f t="shared" si="36"/>
        <v>0</v>
      </c>
    </row>
    <row r="233" spans="1:107" x14ac:dyDescent="0.2">
      <c r="A233">
        <f>ROW(Source!A214)</f>
        <v>214</v>
      </c>
      <c r="B233">
        <v>46561299</v>
      </c>
      <c r="C233">
        <v>46607639</v>
      </c>
      <c r="D233">
        <v>45143099</v>
      </c>
      <c r="E233">
        <v>1</v>
      </c>
      <c r="F233">
        <v>1</v>
      </c>
      <c r="G233">
        <v>27</v>
      </c>
      <c r="H233">
        <v>2</v>
      </c>
      <c r="I233" t="s">
        <v>351</v>
      </c>
      <c r="J233" t="s">
        <v>352</v>
      </c>
      <c r="K233" t="s">
        <v>353</v>
      </c>
      <c r="L233">
        <v>1368</v>
      </c>
      <c r="N233">
        <v>1011</v>
      </c>
      <c r="O233" t="s">
        <v>286</v>
      </c>
      <c r="P233" t="s">
        <v>286</v>
      </c>
      <c r="Q233">
        <v>1</v>
      </c>
      <c r="W233">
        <v>0</v>
      </c>
      <c r="X233">
        <v>-2137968664</v>
      </c>
      <c r="Y233">
        <v>1.4</v>
      </c>
      <c r="AA233">
        <v>0</v>
      </c>
      <c r="AB233">
        <v>98.05</v>
      </c>
      <c r="AC233">
        <v>33.06</v>
      </c>
      <c r="AD233">
        <v>0</v>
      </c>
      <c r="AE233">
        <v>0</v>
      </c>
      <c r="AF233">
        <v>98.05</v>
      </c>
      <c r="AG233">
        <v>33.06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 t="s">
        <v>3</v>
      </c>
      <c r="AT233">
        <v>1.4</v>
      </c>
      <c r="AU233" t="s">
        <v>3</v>
      </c>
      <c r="AV233">
        <v>0</v>
      </c>
      <c r="AW233">
        <v>2</v>
      </c>
      <c r="AX233">
        <v>46607647</v>
      </c>
      <c r="AY233">
        <v>1</v>
      </c>
      <c r="AZ233">
        <v>0</v>
      </c>
      <c r="BA233">
        <v>203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Y233*Source!I214</f>
        <v>1.5763999999999998</v>
      </c>
      <c r="CY233">
        <f>AB233</f>
        <v>98.05</v>
      </c>
      <c r="CZ233">
        <f>AF233</f>
        <v>98.05</v>
      </c>
      <c r="DA233">
        <f>AJ233</f>
        <v>1</v>
      </c>
      <c r="DB233">
        <f t="shared" si="35"/>
        <v>137.27000000000001</v>
      </c>
      <c r="DC233">
        <f t="shared" si="36"/>
        <v>46.28</v>
      </c>
    </row>
    <row r="234" spans="1:107" x14ac:dyDescent="0.2">
      <c r="A234">
        <f>ROW(Source!A214)</f>
        <v>214</v>
      </c>
      <c r="B234">
        <v>46561299</v>
      </c>
      <c r="C234">
        <v>46607639</v>
      </c>
      <c r="D234">
        <v>45142852</v>
      </c>
      <c r="E234">
        <v>1</v>
      </c>
      <c r="F234">
        <v>1</v>
      </c>
      <c r="G234">
        <v>27</v>
      </c>
      <c r="H234">
        <v>2</v>
      </c>
      <c r="I234" t="s">
        <v>308</v>
      </c>
      <c r="J234" t="s">
        <v>309</v>
      </c>
      <c r="K234" t="s">
        <v>310</v>
      </c>
      <c r="L234">
        <v>1368</v>
      </c>
      <c r="N234">
        <v>1011</v>
      </c>
      <c r="O234" t="s">
        <v>286</v>
      </c>
      <c r="P234" t="s">
        <v>286</v>
      </c>
      <c r="Q234">
        <v>1</v>
      </c>
      <c r="W234">
        <v>0</v>
      </c>
      <c r="X234">
        <v>-1323805330</v>
      </c>
      <c r="Y234">
        <v>0.01</v>
      </c>
      <c r="AA234">
        <v>0</v>
      </c>
      <c r="AB234">
        <v>683.9</v>
      </c>
      <c r="AC234">
        <v>371.27</v>
      </c>
      <c r="AD234">
        <v>0</v>
      </c>
      <c r="AE234">
        <v>0</v>
      </c>
      <c r="AF234">
        <v>683.9</v>
      </c>
      <c r="AG234">
        <v>371.27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0</v>
      </c>
      <c r="AQ234">
        <v>0</v>
      </c>
      <c r="AR234">
        <v>0</v>
      </c>
      <c r="AS234" t="s">
        <v>3</v>
      </c>
      <c r="AT234">
        <v>0.01</v>
      </c>
      <c r="AU234" t="s">
        <v>3</v>
      </c>
      <c r="AV234">
        <v>0</v>
      </c>
      <c r="AW234">
        <v>2</v>
      </c>
      <c r="AX234">
        <v>46607648</v>
      </c>
      <c r="AY234">
        <v>1</v>
      </c>
      <c r="AZ234">
        <v>0</v>
      </c>
      <c r="BA234">
        <v>204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Y234*Source!I214</f>
        <v>1.1259999999999999E-2</v>
      </c>
      <c r="CY234">
        <f>AB234</f>
        <v>683.9</v>
      </c>
      <c r="CZ234">
        <f>AF234</f>
        <v>683.9</v>
      </c>
      <c r="DA234">
        <f>AJ234</f>
        <v>1</v>
      </c>
      <c r="DB234">
        <f t="shared" si="35"/>
        <v>6.84</v>
      </c>
      <c r="DC234">
        <f t="shared" si="36"/>
        <v>3.71</v>
      </c>
    </row>
    <row r="235" spans="1:107" x14ac:dyDescent="0.2">
      <c r="A235">
        <f>ROW(Source!A214)</f>
        <v>214</v>
      </c>
      <c r="B235">
        <v>46561299</v>
      </c>
      <c r="C235">
        <v>46607639</v>
      </c>
      <c r="D235">
        <v>45142866</v>
      </c>
      <c r="E235">
        <v>1</v>
      </c>
      <c r="F235">
        <v>1</v>
      </c>
      <c r="G235">
        <v>27</v>
      </c>
      <c r="H235">
        <v>2</v>
      </c>
      <c r="I235" t="s">
        <v>354</v>
      </c>
      <c r="J235" t="s">
        <v>355</v>
      </c>
      <c r="K235" t="s">
        <v>356</v>
      </c>
      <c r="L235">
        <v>1368</v>
      </c>
      <c r="N235">
        <v>1011</v>
      </c>
      <c r="O235" t="s">
        <v>286</v>
      </c>
      <c r="P235" t="s">
        <v>286</v>
      </c>
      <c r="Q235">
        <v>1</v>
      </c>
      <c r="W235">
        <v>0</v>
      </c>
      <c r="X235">
        <v>-54802859</v>
      </c>
      <c r="Y235">
        <v>0.01</v>
      </c>
      <c r="AA235">
        <v>0</v>
      </c>
      <c r="AB235">
        <v>16.920000000000002</v>
      </c>
      <c r="AC235">
        <v>0.09</v>
      </c>
      <c r="AD235">
        <v>0</v>
      </c>
      <c r="AE235">
        <v>0</v>
      </c>
      <c r="AF235">
        <v>16.920000000000002</v>
      </c>
      <c r="AG235">
        <v>0.09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0.01</v>
      </c>
      <c r="AU235" t="s">
        <v>3</v>
      </c>
      <c r="AV235">
        <v>0</v>
      </c>
      <c r="AW235">
        <v>2</v>
      </c>
      <c r="AX235">
        <v>46607649</v>
      </c>
      <c r="AY235">
        <v>1</v>
      </c>
      <c r="AZ235">
        <v>0</v>
      </c>
      <c r="BA235">
        <v>205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Y235*Source!I214</f>
        <v>1.1259999999999999E-2</v>
      </c>
      <c r="CY235">
        <f>AB235</f>
        <v>16.920000000000002</v>
      </c>
      <c r="CZ235">
        <f>AF235</f>
        <v>16.920000000000002</v>
      </c>
      <c r="DA235">
        <f>AJ235</f>
        <v>1</v>
      </c>
      <c r="DB235">
        <f t="shared" si="35"/>
        <v>0.17</v>
      </c>
      <c r="DC235">
        <f t="shared" si="36"/>
        <v>0</v>
      </c>
    </row>
    <row r="236" spans="1:107" x14ac:dyDescent="0.2">
      <c r="A236">
        <f>ROW(Source!A214)</f>
        <v>214</v>
      </c>
      <c r="B236">
        <v>46561299</v>
      </c>
      <c r="C236">
        <v>46607639</v>
      </c>
      <c r="D236">
        <v>45131998</v>
      </c>
      <c r="E236">
        <v>27</v>
      </c>
      <c r="F236">
        <v>1</v>
      </c>
      <c r="G236">
        <v>27</v>
      </c>
      <c r="H236">
        <v>3</v>
      </c>
      <c r="I236" t="s">
        <v>357</v>
      </c>
      <c r="J236" t="s">
        <v>3</v>
      </c>
      <c r="K236" t="s">
        <v>358</v>
      </c>
      <c r="L236">
        <v>1346</v>
      </c>
      <c r="N236">
        <v>1009</v>
      </c>
      <c r="O236" t="s">
        <v>359</v>
      </c>
      <c r="P236" t="s">
        <v>359</v>
      </c>
      <c r="Q236">
        <v>1</v>
      </c>
      <c r="W236">
        <v>0</v>
      </c>
      <c r="X236">
        <v>-126270252</v>
      </c>
      <c r="Y236">
        <v>1.5</v>
      </c>
      <c r="AA236">
        <v>99.3</v>
      </c>
      <c r="AB236">
        <v>0</v>
      </c>
      <c r="AC236">
        <v>0</v>
      </c>
      <c r="AD236">
        <v>0</v>
      </c>
      <c r="AE236">
        <v>99.303030000000007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1.5</v>
      </c>
      <c r="AU236" t="s">
        <v>3</v>
      </c>
      <c r="AV236">
        <v>0</v>
      </c>
      <c r="AW236">
        <v>2</v>
      </c>
      <c r="AX236">
        <v>46607650</v>
      </c>
      <c r="AY236">
        <v>1</v>
      </c>
      <c r="AZ236">
        <v>0</v>
      </c>
      <c r="BA236">
        <v>206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Y236*Source!I214</f>
        <v>1.6889999999999998</v>
      </c>
      <c r="CY236">
        <f>AA236</f>
        <v>99.3</v>
      </c>
      <c r="CZ236">
        <f>AE236</f>
        <v>99.303030000000007</v>
      </c>
      <c r="DA236">
        <f>AI236</f>
        <v>1</v>
      </c>
      <c r="DB236">
        <f t="shared" si="35"/>
        <v>148.94999999999999</v>
      </c>
      <c r="DC236">
        <f t="shared" si="36"/>
        <v>0</v>
      </c>
    </row>
    <row r="237" spans="1:107" x14ac:dyDescent="0.2">
      <c r="A237">
        <f>ROW(Source!A214)</f>
        <v>214</v>
      </c>
      <c r="B237">
        <v>46561299</v>
      </c>
      <c r="C237">
        <v>46607639</v>
      </c>
      <c r="D237">
        <v>45144050</v>
      </c>
      <c r="E237">
        <v>1</v>
      </c>
      <c r="F237">
        <v>1</v>
      </c>
      <c r="G237">
        <v>27</v>
      </c>
      <c r="H237">
        <v>3</v>
      </c>
      <c r="I237" t="s">
        <v>360</v>
      </c>
      <c r="J237" t="s">
        <v>361</v>
      </c>
      <c r="K237" t="s">
        <v>362</v>
      </c>
      <c r="L237">
        <v>1348</v>
      </c>
      <c r="N237">
        <v>1009</v>
      </c>
      <c r="O237" t="s">
        <v>65</v>
      </c>
      <c r="P237" t="s">
        <v>65</v>
      </c>
      <c r="Q237">
        <v>1000</v>
      </c>
      <c r="W237">
        <v>0</v>
      </c>
      <c r="X237">
        <v>-383061258</v>
      </c>
      <c r="Y237">
        <v>8.9999999999999993E-3</v>
      </c>
      <c r="AA237">
        <v>97017.58</v>
      </c>
      <c r="AB237">
        <v>0</v>
      </c>
      <c r="AC237">
        <v>0</v>
      </c>
      <c r="AD237">
        <v>0</v>
      </c>
      <c r="AE237">
        <v>97017.58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8.9999999999999993E-3</v>
      </c>
      <c r="AU237" t="s">
        <v>3</v>
      </c>
      <c r="AV237">
        <v>0</v>
      </c>
      <c r="AW237">
        <v>2</v>
      </c>
      <c r="AX237">
        <v>46607651</v>
      </c>
      <c r="AY237">
        <v>1</v>
      </c>
      <c r="AZ237">
        <v>0</v>
      </c>
      <c r="BA237">
        <v>207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Y237*Source!I214</f>
        <v>1.0133999999999999E-2</v>
      </c>
      <c r="CY237">
        <f>AA237</f>
        <v>97017.58</v>
      </c>
      <c r="CZ237">
        <f>AE237</f>
        <v>97017.58</v>
      </c>
      <c r="DA237">
        <f>AI237</f>
        <v>1</v>
      </c>
      <c r="DB237">
        <f t="shared" si="35"/>
        <v>873.16</v>
      </c>
      <c r="DC237">
        <f t="shared" si="36"/>
        <v>0</v>
      </c>
    </row>
    <row r="238" spans="1:107" x14ac:dyDescent="0.2">
      <c r="A238">
        <f>ROW(Source!A215)</f>
        <v>215</v>
      </c>
      <c r="B238">
        <v>46561299</v>
      </c>
      <c r="C238">
        <v>46607652</v>
      </c>
      <c r="D238">
        <v>45130551</v>
      </c>
      <c r="E238">
        <v>27</v>
      </c>
      <c r="F238">
        <v>1</v>
      </c>
      <c r="G238">
        <v>27</v>
      </c>
      <c r="H238">
        <v>1</v>
      </c>
      <c r="I238" t="s">
        <v>280</v>
      </c>
      <c r="J238" t="s">
        <v>3</v>
      </c>
      <c r="K238" t="s">
        <v>281</v>
      </c>
      <c r="L238">
        <v>1191</v>
      </c>
      <c r="N238">
        <v>1013</v>
      </c>
      <c r="O238" t="s">
        <v>282</v>
      </c>
      <c r="P238" t="s">
        <v>282</v>
      </c>
      <c r="Q238">
        <v>1</v>
      </c>
      <c r="W238">
        <v>0</v>
      </c>
      <c r="X238">
        <v>476480486</v>
      </c>
      <c r="Y238">
        <v>2.4500000000000002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2.4500000000000002</v>
      </c>
      <c r="AU238" t="s">
        <v>3</v>
      </c>
      <c r="AV238">
        <v>1</v>
      </c>
      <c r="AW238">
        <v>2</v>
      </c>
      <c r="AX238">
        <v>46607657</v>
      </c>
      <c r="AY238">
        <v>1</v>
      </c>
      <c r="AZ238">
        <v>0</v>
      </c>
      <c r="BA238">
        <v>208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Y238*Source!I215</f>
        <v>2.7587000000000002</v>
      </c>
      <c r="CY238">
        <f>AD238</f>
        <v>0</v>
      </c>
      <c r="CZ238">
        <f>AH238</f>
        <v>0</v>
      </c>
      <c r="DA238">
        <f>AL238</f>
        <v>1</v>
      </c>
      <c r="DB238">
        <f t="shared" si="35"/>
        <v>0</v>
      </c>
      <c r="DC238">
        <f t="shared" si="36"/>
        <v>0</v>
      </c>
    </row>
    <row r="239" spans="1:107" x14ac:dyDescent="0.2">
      <c r="A239">
        <f>ROW(Source!A215)</f>
        <v>215</v>
      </c>
      <c r="B239">
        <v>46561299</v>
      </c>
      <c r="C239">
        <v>46607652</v>
      </c>
      <c r="D239">
        <v>45142852</v>
      </c>
      <c r="E239">
        <v>1</v>
      </c>
      <c r="F239">
        <v>1</v>
      </c>
      <c r="G239">
        <v>27</v>
      </c>
      <c r="H239">
        <v>2</v>
      </c>
      <c r="I239" t="s">
        <v>308</v>
      </c>
      <c r="J239" t="s">
        <v>309</v>
      </c>
      <c r="K239" t="s">
        <v>310</v>
      </c>
      <c r="L239">
        <v>1368</v>
      </c>
      <c r="N239">
        <v>1011</v>
      </c>
      <c r="O239" t="s">
        <v>286</v>
      </c>
      <c r="P239" t="s">
        <v>286</v>
      </c>
      <c r="Q239">
        <v>1</v>
      </c>
      <c r="W239">
        <v>0</v>
      </c>
      <c r="X239">
        <v>-1323805330</v>
      </c>
      <c r="Y239">
        <v>0.01</v>
      </c>
      <c r="AA239">
        <v>0</v>
      </c>
      <c r="AB239">
        <v>683.9</v>
      </c>
      <c r="AC239">
        <v>371.27</v>
      </c>
      <c r="AD239">
        <v>0</v>
      </c>
      <c r="AE239">
        <v>0</v>
      </c>
      <c r="AF239">
        <v>683.9</v>
      </c>
      <c r="AG239">
        <v>371.27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0.01</v>
      </c>
      <c r="AU239" t="s">
        <v>3</v>
      </c>
      <c r="AV239">
        <v>0</v>
      </c>
      <c r="AW239">
        <v>2</v>
      </c>
      <c r="AX239">
        <v>46607658</v>
      </c>
      <c r="AY239">
        <v>1</v>
      </c>
      <c r="AZ239">
        <v>0</v>
      </c>
      <c r="BA239">
        <v>209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Y239*Source!I215</f>
        <v>1.1259999999999999E-2</v>
      </c>
      <c r="CY239">
        <f>AB239</f>
        <v>683.9</v>
      </c>
      <c r="CZ239">
        <f>AF239</f>
        <v>683.9</v>
      </c>
      <c r="DA239">
        <f>AJ239</f>
        <v>1</v>
      </c>
      <c r="DB239">
        <f t="shared" si="35"/>
        <v>6.84</v>
      </c>
      <c r="DC239">
        <f t="shared" si="36"/>
        <v>3.71</v>
      </c>
    </row>
    <row r="240" spans="1:107" x14ac:dyDescent="0.2">
      <c r="A240">
        <f>ROW(Source!A215)</f>
        <v>215</v>
      </c>
      <c r="B240">
        <v>46561299</v>
      </c>
      <c r="C240">
        <v>46607652</v>
      </c>
      <c r="D240">
        <v>45144148</v>
      </c>
      <c r="E240">
        <v>1</v>
      </c>
      <c r="F240">
        <v>1</v>
      </c>
      <c r="G240">
        <v>27</v>
      </c>
      <c r="H240">
        <v>3</v>
      </c>
      <c r="I240" t="s">
        <v>363</v>
      </c>
      <c r="J240" t="s">
        <v>364</v>
      </c>
      <c r="K240" t="s">
        <v>365</v>
      </c>
      <c r="L240">
        <v>1348</v>
      </c>
      <c r="N240">
        <v>1009</v>
      </c>
      <c r="O240" t="s">
        <v>65</v>
      </c>
      <c r="P240" t="s">
        <v>65</v>
      </c>
      <c r="Q240">
        <v>1000</v>
      </c>
      <c r="W240">
        <v>0</v>
      </c>
      <c r="X240">
        <v>1958569313</v>
      </c>
      <c r="Y240">
        <v>1.48E-3</v>
      </c>
      <c r="AA240">
        <v>63195.54</v>
      </c>
      <c r="AB240">
        <v>0</v>
      </c>
      <c r="AC240">
        <v>0</v>
      </c>
      <c r="AD240">
        <v>0</v>
      </c>
      <c r="AE240">
        <v>63195.54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 t="s">
        <v>3</v>
      </c>
      <c r="AT240">
        <v>1.48E-3</v>
      </c>
      <c r="AU240" t="s">
        <v>3</v>
      </c>
      <c r="AV240">
        <v>0</v>
      </c>
      <c r="AW240">
        <v>2</v>
      </c>
      <c r="AX240">
        <v>46607659</v>
      </c>
      <c r="AY240">
        <v>1</v>
      </c>
      <c r="AZ240">
        <v>0</v>
      </c>
      <c r="BA240">
        <v>210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Y240*Source!I215</f>
        <v>1.6664799999999999E-3</v>
      </c>
      <c r="CY240">
        <f>AA240</f>
        <v>63195.54</v>
      </c>
      <c r="CZ240">
        <f>AE240</f>
        <v>63195.54</v>
      </c>
      <c r="DA240">
        <f>AI240</f>
        <v>1</v>
      </c>
      <c r="DB240">
        <f t="shared" si="35"/>
        <v>93.53</v>
      </c>
      <c r="DC240">
        <f t="shared" si="36"/>
        <v>0</v>
      </c>
    </row>
    <row r="241" spans="1:107" x14ac:dyDescent="0.2">
      <c r="A241">
        <f>ROW(Source!A215)</f>
        <v>215</v>
      </c>
      <c r="B241">
        <v>46561299</v>
      </c>
      <c r="C241">
        <v>46607652</v>
      </c>
      <c r="D241">
        <v>45144173</v>
      </c>
      <c r="E241">
        <v>1</v>
      </c>
      <c r="F241">
        <v>1</v>
      </c>
      <c r="G241">
        <v>27</v>
      </c>
      <c r="H241">
        <v>3</v>
      </c>
      <c r="I241" t="s">
        <v>366</v>
      </c>
      <c r="J241" t="s">
        <v>367</v>
      </c>
      <c r="K241" t="s">
        <v>368</v>
      </c>
      <c r="L241">
        <v>1346</v>
      </c>
      <c r="N241">
        <v>1009</v>
      </c>
      <c r="O241" t="s">
        <v>359</v>
      </c>
      <c r="P241" t="s">
        <v>359</v>
      </c>
      <c r="Q241">
        <v>1</v>
      </c>
      <c r="W241">
        <v>0</v>
      </c>
      <c r="X241">
        <v>-1364504988</v>
      </c>
      <c r="Y241">
        <v>9</v>
      </c>
      <c r="AA241">
        <v>105.32</v>
      </c>
      <c r="AB241">
        <v>0</v>
      </c>
      <c r="AC241">
        <v>0</v>
      </c>
      <c r="AD241">
        <v>0</v>
      </c>
      <c r="AE241">
        <v>105.32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9</v>
      </c>
      <c r="AU241" t="s">
        <v>3</v>
      </c>
      <c r="AV241">
        <v>0</v>
      </c>
      <c r="AW241">
        <v>2</v>
      </c>
      <c r="AX241">
        <v>46607660</v>
      </c>
      <c r="AY241">
        <v>1</v>
      </c>
      <c r="AZ241">
        <v>0</v>
      </c>
      <c r="BA241">
        <v>211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Y241*Source!I215</f>
        <v>10.133999999999999</v>
      </c>
      <c r="CY241">
        <f>AA241</f>
        <v>105.32</v>
      </c>
      <c r="CZ241">
        <f>AE241</f>
        <v>105.32</v>
      </c>
      <c r="DA241">
        <f>AI241</f>
        <v>1</v>
      </c>
      <c r="DB241">
        <f t="shared" si="35"/>
        <v>947.88</v>
      </c>
      <c r="DC241">
        <f t="shared" si="36"/>
        <v>0</v>
      </c>
    </row>
    <row r="242" spans="1:107" x14ac:dyDescent="0.2">
      <c r="A242">
        <f>ROW(Source!A250)</f>
        <v>250</v>
      </c>
      <c r="B242">
        <v>46561299</v>
      </c>
      <c r="C242">
        <v>46607448</v>
      </c>
      <c r="D242">
        <v>45142736</v>
      </c>
      <c r="E242">
        <v>1</v>
      </c>
      <c r="F242">
        <v>1</v>
      </c>
      <c r="G242">
        <v>27</v>
      </c>
      <c r="H242">
        <v>2</v>
      </c>
      <c r="I242" t="s">
        <v>389</v>
      </c>
      <c r="J242" t="s">
        <v>390</v>
      </c>
      <c r="K242" t="s">
        <v>391</v>
      </c>
      <c r="L242">
        <v>1368</v>
      </c>
      <c r="N242">
        <v>1011</v>
      </c>
      <c r="O242" t="s">
        <v>286</v>
      </c>
      <c r="P242" t="s">
        <v>286</v>
      </c>
      <c r="Q242">
        <v>1</v>
      </c>
      <c r="W242">
        <v>0</v>
      </c>
      <c r="X242">
        <v>-180135071</v>
      </c>
      <c r="Y242">
        <v>5.3699999999999998E-2</v>
      </c>
      <c r="AA242">
        <v>0</v>
      </c>
      <c r="AB242">
        <v>1494.43</v>
      </c>
      <c r="AC242">
        <v>481.21</v>
      </c>
      <c r="AD242">
        <v>0</v>
      </c>
      <c r="AE242">
        <v>0</v>
      </c>
      <c r="AF242">
        <v>1494.43</v>
      </c>
      <c r="AG242">
        <v>481.21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5.3699999999999998E-2</v>
      </c>
      <c r="AU242" t="s">
        <v>3</v>
      </c>
      <c r="AV242">
        <v>0</v>
      </c>
      <c r="AW242">
        <v>2</v>
      </c>
      <c r="AX242">
        <v>46607450</v>
      </c>
      <c r="AY242">
        <v>1</v>
      </c>
      <c r="AZ242">
        <v>0</v>
      </c>
      <c r="BA242">
        <v>212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Y242*Source!I250</f>
        <v>0.41241599999999995</v>
      </c>
      <c r="CY242">
        <f>AB242</f>
        <v>1494.43</v>
      </c>
      <c r="CZ242">
        <f>AF242</f>
        <v>1494.43</v>
      </c>
      <c r="DA242">
        <f>AJ242</f>
        <v>1</v>
      </c>
      <c r="DB242">
        <f t="shared" si="35"/>
        <v>80.25</v>
      </c>
      <c r="DC242">
        <f t="shared" si="36"/>
        <v>25.84</v>
      </c>
    </row>
    <row r="243" spans="1:107" x14ac:dyDescent="0.2">
      <c r="A243">
        <f>ROW(Source!A251)</f>
        <v>251</v>
      </c>
      <c r="B243">
        <v>46561299</v>
      </c>
      <c r="C243">
        <v>46607451</v>
      </c>
      <c r="D243">
        <v>45143534</v>
      </c>
      <c r="E243">
        <v>1</v>
      </c>
      <c r="F243">
        <v>1</v>
      </c>
      <c r="G243">
        <v>27</v>
      </c>
      <c r="H243">
        <v>2</v>
      </c>
      <c r="I243" t="s">
        <v>392</v>
      </c>
      <c r="J243" t="s">
        <v>393</v>
      </c>
      <c r="K243" t="s">
        <v>394</v>
      </c>
      <c r="L243">
        <v>1368</v>
      </c>
      <c r="N243">
        <v>1011</v>
      </c>
      <c r="O243" t="s">
        <v>286</v>
      </c>
      <c r="P243" t="s">
        <v>286</v>
      </c>
      <c r="Q243">
        <v>1</v>
      </c>
      <c r="W243">
        <v>0</v>
      </c>
      <c r="X243">
        <v>-1530614344</v>
      </c>
      <c r="Y243">
        <v>0.02</v>
      </c>
      <c r="AA243">
        <v>0</v>
      </c>
      <c r="AB243">
        <v>1009.4</v>
      </c>
      <c r="AC243">
        <v>316.82</v>
      </c>
      <c r="AD243">
        <v>0</v>
      </c>
      <c r="AE243">
        <v>0</v>
      </c>
      <c r="AF243">
        <v>1009.4</v>
      </c>
      <c r="AG243">
        <v>316.82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0.02</v>
      </c>
      <c r="AU243" t="s">
        <v>3</v>
      </c>
      <c r="AV243">
        <v>0</v>
      </c>
      <c r="AW243">
        <v>2</v>
      </c>
      <c r="AX243">
        <v>46607454</v>
      </c>
      <c r="AY243">
        <v>1</v>
      </c>
      <c r="AZ243">
        <v>0</v>
      </c>
      <c r="BA243">
        <v>213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Y243*Source!I251</f>
        <v>0.15359999999999999</v>
      </c>
      <c r="CY243">
        <f>AB243</f>
        <v>1009.4</v>
      </c>
      <c r="CZ243">
        <f>AF243</f>
        <v>1009.4</v>
      </c>
      <c r="DA243">
        <f>AJ243</f>
        <v>1</v>
      </c>
      <c r="DB243">
        <f t="shared" si="35"/>
        <v>20.190000000000001</v>
      </c>
      <c r="DC243">
        <f t="shared" si="36"/>
        <v>6.34</v>
      </c>
    </row>
    <row r="244" spans="1:107" x14ac:dyDescent="0.2">
      <c r="A244">
        <f>ROW(Source!A251)</f>
        <v>251</v>
      </c>
      <c r="B244">
        <v>46561299</v>
      </c>
      <c r="C244">
        <v>46607451</v>
      </c>
      <c r="D244">
        <v>45143535</v>
      </c>
      <c r="E244">
        <v>1</v>
      </c>
      <c r="F244">
        <v>1</v>
      </c>
      <c r="G244">
        <v>27</v>
      </c>
      <c r="H244">
        <v>2</v>
      </c>
      <c r="I244" t="s">
        <v>283</v>
      </c>
      <c r="J244" t="s">
        <v>284</v>
      </c>
      <c r="K244" t="s">
        <v>285</v>
      </c>
      <c r="L244">
        <v>1368</v>
      </c>
      <c r="N244">
        <v>1011</v>
      </c>
      <c r="O244" t="s">
        <v>286</v>
      </c>
      <c r="P244" t="s">
        <v>286</v>
      </c>
      <c r="Q244">
        <v>1</v>
      </c>
      <c r="W244">
        <v>0</v>
      </c>
      <c r="X244">
        <v>486337296</v>
      </c>
      <c r="Y244">
        <v>1.7999999999999999E-2</v>
      </c>
      <c r="AA244">
        <v>0</v>
      </c>
      <c r="AB244">
        <v>1014.12</v>
      </c>
      <c r="AC244">
        <v>317.13</v>
      </c>
      <c r="AD244">
        <v>0</v>
      </c>
      <c r="AE244">
        <v>0</v>
      </c>
      <c r="AF244">
        <v>1014.12</v>
      </c>
      <c r="AG244">
        <v>317.13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1.7999999999999999E-2</v>
      </c>
      <c r="AU244" t="s">
        <v>3</v>
      </c>
      <c r="AV244">
        <v>0</v>
      </c>
      <c r="AW244">
        <v>2</v>
      </c>
      <c r="AX244">
        <v>46607455</v>
      </c>
      <c r="AY244">
        <v>1</v>
      </c>
      <c r="AZ244">
        <v>0</v>
      </c>
      <c r="BA244">
        <v>214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Y244*Source!I251</f>
        <v>0.13823999999999997</v>
      </c>
      <c r="CY244">
        <f>AB244</f>
        <v>1014.12</v>
      </c>
      <c r="CZ244">
        <f>AF244</f>
        <v>1014.12</v>
      </c>
      <c r="DA244">
        <f>AJ244</f>
        <v>1</v>
      </c>
      <c r="DB244">
        <f t="shared" si="35"/>
        <v>18.25</v>
      </c>
      <c r="DC244">
        <f t="shared" si="36"/>
        <v>5.71</v>
      </c>
    </row>
    <row r="245" spans="1:107" x14ac:dyDescent="0.2">
      <c r="A245">
        <f>ROW(Source!A252)</f>
        <v>252</v>
      </c>
      <c r="B245">
        <v>46561299</v>
      </c>
      <c r="C245">
        <v>46607456</v>
      </c>
      <c r="D245">
        <v>45143534</v>
      </c>
      <c r="E245">
        <v>1</v>
      </c>
      <c r="F245">
        <v>1</v>
      </c>
      <c r="G245">
        <v>27</v>
      </c>
      <c r="H245">
        <v>2</v>
      </c>
      <c r="I245" t="s">
        <v>392</v>
      </c>
      <c r="J245" t="s">
        <v>393</v>
      </c>
      <c r="K245" t="s">
        <v>394</v>
      </c>
      <c r="L245">
        <v>1368</v>
      </c>
      <c r="N245">
        <v>1011</v>
      </c>
      <c r="O245" t="s">
        <v>286</v>
      </c>
      <c r="P245" t="s">
        <v>286</v>
      </c>
      <c r="Q245">
        <v>1</v>
      </c>
      <c r="W245">
        <v>0</v>
      </c>
      <c r="X245">
        <v>-1530614344</v>
      </c>
      <c r="Y245">
        <v>0.32</v>
      </c>
      <c r="AA245">
        <v>0</v>
      </c>
      <c r="AB245">
        <v>1009.4</v>
      </c>
      <c r="AC245">
        <v>316.82</v>
      </c>
      <c r="AD245">
        <v>0</v>
      </c>
      <c r="AE245">
        <v>0</v>
      </c>
      <c r="AF245">
        <v>1009.4</v>
      </c>
      <c r="AG245">
        <v>316.82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1</v>
      </c>
      <c r="AQ245">
        <v>0</v>
      </c>
      <c r="AR245">
        <v>0</v>
      </c>
      <c r="AS245" t="s">
        <v>3</v>
      </c>
      <c r="AT245">
        <v>0.01</v>
      </c>
      <c r="AU245" t="s">
        <v>274</v>
      </c>
      <c r="AV245">
        <v>0</v>
      </c>
      <c r="AW245">
        <v>2</v>
      </c>
      <c r="AX245">
        <v>46607459</v>
      </c>
      <c r="AY245">
        <v>1</v>
      </c>
      <c r="AZ245">
        <v>0</v>
      </c>
      <c r="BA245">
        <v>215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Y245*Source!I252</f>
        <v>2.4575999999999998</v>
      </c>
      <c r="CY245">
        <f>AB245</f>
        <v>1009.4</v>
      </c>
      <c r="CZ245">
        <f>AF245</f>
        <v>1009.4</v>
      </c>
      <c r="DA245">
        <f>AJ245</f>
        <v>1</v>
      </c>
      <c r="DB245">
        <f>ROUND((ROUND(AT245*CZ245,2)*32),6)</f>
        <v>322.88</v>
      </c>
      <c r="DC245">
        <f>ROUND((ROUND(AT245*AG245,2)*32),6)</f>
        <v>101.44</v>
      </c>
    </row>
    <row r="246" spans="1:107" x14ac:dyDescent="0.2">
      <c r="A246">
        <f>ROW(Source!A252)</f>
        <v>252</v>
      </c>
      <c r="B246">
        <v>46561299</v>
      </c>
      <c r="C246">
        <v>46607456</v>
      </c>
      <c r="D246">
        <v>45143535</v>
      </c>
      <c r="E246">
        <v>1</v>
      </c>
      <c r="F246">
        <v>1</v>
      </c>
      <c r="G246">
        <v>27</v>
      </c>
      <c r="H246">
        <v>2</v>
      </c>
      <c r="I246" t="s">
        <v>283</v>
      </c>
      <c r="J246" t="s">
        <v>284</v>
      </c>
      <c r="K246" t="s">
        <v>285</v>
      </c>
      <c r="L246">
        <v>1368</v>
      </c>
      <c r="N246">
        <v>1011</v>
      </c>
      <c r="O246" t="s">
        <v>286</v>
      </c>
      <c r="P246" t="s">
        <v>286</v>
      </c>
      <c r="Q246">
        <v>1</v>
      </c>
      <c r="W246">
        <v>0</v>
      </c>
      <c r="X246">
        <v>486337296</v>
      </c>
      <c r="Y246">
        <v>0.25600000000000001</v>
      </c>
      <c r="AA246">
        <v>0</v>
      </c>
      <c r="AB246">
        <v>1014.12</v>
      </c>
      <c r="AC246">
        <v>317.13</v>
      </c>
      <c r="AD246">
        <v>0</v>
      </c>
      <c r="AE246">
        <v>0</v>
      </c>
      <c r="AF246">
        <v>1014.12</v>
      </c>
      <c r="AG246">
        <v>317.13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1</v>
      </c>
      <c r="AP246">
        <v>1</v>
      </c>
      <c r="AQ246">
        <v>0</v>
      </c>
      <c r="AR246">
        <v>0</v>
      </c>
      <c r="AS246" t="s">
        <v>3</v>
      </c>
      <c r="AT246">
        <v>8.0000000000000002E-3</v>
      </c>
      <c r="AU246" t="s">
        <v>274</v>
      </c>
      <c r="AV246">
        <v>0</v>
      </c>
      <c r="AW246">
        <v>2</v>
      </c>
      <c r="AX246">
        <v>46607460</v>
      </c>
      <c r="AY246">
        <v>1</v>
      </c>
      <c r="AZ246">
        <v>0</v>
      </c>
      <c r="BA246">
        <v>216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Y246*Source!I252</f>
        <v>1.96608</v>
      </c>
      <c r="CY246">
        <f>AB246</f>
        <v>1014.12</v>
      </c>
      <c r="CZ246">
        <f>AF246</f>
        <v>1014.12</v>
      </c>
      <c r="DA246">
        <f>AJ246</f>
        <v>1</v>
      </c>
      <c r="DB246">
        <f>ROUND((ROUND(AT246*CZ246,2)*32),6)</f>
        <v>259.52</v>
      </c>
      <c r="DC246">
        <f>ROUND((ROUND(AT246*AG246,2)*32),6)</f>
        <v>81.28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46561498</v>
      </c>
      <c r="C1">
        <v>46561496</v>
      </c>
      <c r="D1">
        <v>45130551</v>
      </c>
      <c r="E1">
        <v>27</v>
      </c>
      <c r="F1">
        <v>1</v>
      </c>
      <c r="G1">
        <v>27</v>
      </c>
      <c r="H1">
        <v>1</v>
      </c>
      <c r="I1" t="s">
        <v>280</v>
      </c>
      <c r="J1" t="s">
        <v>3</v>
      </c>
      <c r="K1" t="s">
        <v>281</v>
      </c>
      <c r="L1">
        <v>1191</v>
      </c>
      <c r="N1">
        <v>1013</v>
      </c>
      <c r="O1" t="s">
        <v>282</v>
      </c>
      <c r="P1" t="s">
        <v>282</v>
      </c>
      <c r="Q1">
        <v>1</v>
      </c>
      <c r="X1">
        <v>221.6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221.6</v>
      </c>
      <c r="AH1">
        <v>2</v>
      </c>
      <c r="AI1">
        <v>46561497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ROW(Source!A29)</f>
        <v>29</v>
      </c>
      <c r="B2">
        <v>46561504</v>
      </c>
      <c r="C2">
        <v>46561502</v>
      </c>
      <c r="D2">
        <v>45130551</v>
      </c>
      <c r="E2">
        <v>27</v>
      </c>
      <c r="F2">
        <v>1</v>
      </c>
      <c r="G2">
        <v>27</v>
      </c>
      <c r="H2">
        <v>1</v>
      </c>
      <c r="I2" t="s">
        <v>280</v>
      </c>
      <c r="J2" t="s">
        <v>3</v>
      </c>
      <c r="K2" t="s">
        <v>281</v>
      </c>
      <c r="L2">
        <v>1191</v>
      </c>
      <c r="N2">
        <v>1013</v>
      </c>
      <c r="O2" t="s">
        <v>282</v>
      </c>
      <c r="P2" t="s">
        <v>282</v>
      </c>
      <c r="Q2">
        <v>1</v>
      </c>
      <c r="X2">
        <v>83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 t="s">
        <v>3</v>
      </c>
      <c r="AG2">
        <v>83</v>
      </c>
      <c r="AH2">
        <v>2</v>
      </c>
      <c r="AI2">
        <v>46561503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ROW(Source!A30)</f>
        <v>30</v>
      </c>
      <c r="B3">
        <v>46561507</v>
      </c>
      <c r="C3">
        <v>46561505</v>
      </c>
      <c r="D3">
        <v>45143535</v>
      </c>
      <c r="E3">
        <v>1</v>
      </c>
      <c r="F3">
        <v>1</v>
      </c>
      <c r="G3">
        <v>27</v>
      </c>
      <c r="H3">
        <v>2</v>
      </c>
      <c r="I3" t="s">
        <v>283</v>
      </c>
      <c r="J3" t="s">
        <v>284</v>
      </c>
      <c r="K3" t="s">
        <v>285</v>
      </c>
      <c r="L3">
        <v>1368</v>
      </c>
      <c r="N3">
        <v>1011</v>
      </c>
      <c r="O3" t="s">
        <v>286</v>
      </c>
      <c r="P3" t="s">
        <v>286</v>
      </c>
      <c r="Q3">
        <v>1</v>
      </c>
      <c r="X3">
        <v>3.1E-2</v>
      </c>
      <c r="Y3">
        <v>0</v>
      </c>
      <c r="Z3">
        <v>1014.12</v>
      </c>
      <c r="AA3">
        <v>317.13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3.1E-2</v>
      </c>
      <c r="AH3">
        <v>2</v>
      </c>
      <c r="AI3">
        <v>46561506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ROW(Source!A31)</f>
        <v>31</v>
      </c>
      <c r="B4">
        <v>46561510</v>
      </c>
      <c r="C4">
        <v>46561508</v>
      </c>
      <c r="D4">
        <v>45143535</v>
      </c>
      <c r="E4">
        <v>1</v>
      </c>
      <c r="F4">
        <v>1</v>
      </c>
      <c r="G4">
        <v>27</v>
      </c>
      <c r="H4">
        <v>2</v>
      </c>
      <c r="I4" t="s">
        <v>283</v>
      </c>
      <c r="J4" t="s">
        <v>284</v>
      </c>
      <c r="K4" t="s">
        <v>285</v>
      </c>
      <c r="L4">
        <v>1368</v>
      </c>
      <c r="N4">
        <v>1011</v>
      </c>
      <c r="O4" t="s">
        <v>286</v>
      </c>
      <c r="P4" t="s">
        <v>286</v>
      </c>
      <c r="Q4">
        <v>1</v>
      </c>
      <c r="X4">
        <v>0.01</v>
      </c>
      <c r="Y4">
        <v>0</v>
      </c>
      <c r="Z4">
        <v>1014.12</v>
      </c>
      <c r="AA4">
        <v>317.13</v>
      </c>
      <c r="AB4">
        <v>0</v>
      </c>
      <c r="AC4">
        <v>0</v>
      </c>
      <c r="AD4">
        <v>1</v>
      </c>
      <c r="AE4">
        <v>0</v>
      </c>
      <c r="AF4" t="s">
        <v>36</v>
      </c>
      <c r="AG4">
        <v>0.32</v>
      </c>
      <c r="AH4">
        <v>2</v>
      </c>
      <c r="AI4">
        <v>46561509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ROW(Source!A32)</f>
        <v>32</v>
      </c>
      <c r="B5">
        <v>46561516</v>
      </c>
      <c r="C5">
        <v>46561511</v>
      </c>
      <c r="D5">
        <v>45130551</v>
      </c>
      <c r="E5">
        <v>27</v>
      </c>
      <c r="F5">
        <v>1</v>
      </c>
      <c r="G5">
        <v>27</v>
      </c>
      <c r="H5">
        <v>1</v>
      </c>
      <c r="I5" t="s">
        <v>280</v>
      </c>
      <c r="J5" t="s">
        <v>3</v>
      </c>
      <c r="K5" t="s">
        <v>281</v>
      </c>
      <c r="L5">
        <v>1191</v>
      </c>
      <c r="N5">
        <v>1013</v>
      </c>
      <c r="O5" t="s">
        <v>282</v>
      </c>
      <c r="P5" t="s">
        <v>282</v>
      </c>
      <c r="Q5">
        <v>1</v>
      </c>
      <c r="X5">
        <v>1.25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1.25</v>
      </c>
      <c r="AH5">
        <v>2</v>
      </c>
      <c r="AI5">
        <v>46561512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ROW(Source!A32)</f>
        <v>32</v>
      </c>
      <c r="B6">
        <v>46561517</v>
      </c>
      <c r="C6">
        <v>46561511</v>
      </c>
      <c r="D6">
        <v>45144915</v>
      </c>
      <c r="E6">
        <v>1</v>
      </c>
      <c r="F6">
        <v>1</v>
      </c>
      <c r="G6">
        <v>27</v>
      </c>
      <c r="H6">
        <v>3</v>
      </c>
      <c r="I6" t="s">
        <v>287</v>
      </c>
      <c r="J6" t="s">
        <v>288</v>
      </c>
      <c r="K6" t="s">
        <v>289</v>
      </c>
      <c r="L6">
        <v>1339</v>
      </c>
      <c r="N6">
        <v>1007</v>
      </c>
      <c r="O6" t="s">
        <v>29</v>
      </c>
      <c r="P6" t="s">
        <v>29</v>
      </c>
      <c r="Q6">
        <v>1</v>
      </c>
      <c r="X6">
        <v>0.06</v>
      </c>
      <c r="Y6">
        <v>1865.77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0.06</v>
      </c>
      <c r="AH6">
        <v>2</v>
      </c>
      <c r="AI6">
        <v>46561513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ROW(Source!A32)</f>
        <v>32</v>
      </c>
      <c r="B7">
        <v>46561518</v>
      </c>
      <c r="C7">
        <v>46561511</v>
      </c>
      <c r="D7">
        <v>45144916</v>
      </c>
      <c r="E7">
        <v>1</v>
      </c>
      <c r="F7">
        <v>1</v>
      </c>
      <c r="G7">
        <v>27</v>
      </c>
      <c r="H7">
        <v>3</v>
      </c>
      <c r="I7" t="s">
        <v>290</v>
      </c>
      <c r="J7" t="s">
        <v>291</v>
      </c>
      <c r="K7" t="s">
        <v>292</v>
      </c>
      <c r="L7">
        <v>1339</v>
      </c>
      <c r="N7">
        <v>1007</v>
      </c>
      <c r="O7" t="s">
        <v>29</v>
      </c>
      <c r="P7" t="s">
        <v>29</v>
      </c>
      <c r="Q7">
        <v>1</v>
      </c>
      <c r="X7">
        <v>0.24</v>
      </c>
      <c r="Y7">
        <v>1763.75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0.24</v>
      </c>
      <c r="AH7">
        <v>2</v>
      </c>
      <c r="AI7">
        <v>46561514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ROW(Source!A32)</f>
        <v>32</v>
      </c>
      <c r="B8">
        <v>46561519</v>
      </c>
      <c r="C8">
        <v>46561511</v>
      </c>
      <c r="D8">
        <v>45145636</v>
      </c>
      <c r="E8">
        <v>1</v>
      </c>
      <c r="F8">
        <v>1</v>
      </c>
      <c r="G8">
        <v>27</v>
      </c>
      <c r="H8">
        <v>3</v>
      </c>
      <c r="I8" t="s">
        <v>293</v>
      </c>
      <c r="J8" t="s">
        <v>294</v>
      </c>
      <c r="K8" t="s">
        <v>295</v>
      </c>
      <c r="L8">
        <v>1339</v>
      </c>
      <c r="N8">
        <v>1007</v>
      </c>
      <c r="O8" t="s">
        <v>29</v>
      </c>
      <c r="P8" t="s">
        <v>29</v>
      </c>
      <c r="Q8">
        <v>1</v>
      </c>
      <c r="X8">
        <v>0.03</v>
      </c>
      <c r="Y8">
        <v>35.25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0.03</v>
      </c>
      <c r="AH8">
        <v>2</v>
      </c>
      <c r="AI8">
        <v>46561515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ROW(Source!A33)</f>
        <v>33</v>
      </c>
      <c r="B9">
        <v>46561525</v>
      </c>
      <c r="C9">
        <v>46561520</v>
      </c>
      <c r="D9">
        <v>45130551</v>
      </c>
      <c r="E9">
        <v>27</v>
      </c>
      <c r="F9">
        <v>1</v>
      </c>
      <c r="G9">
        <v>27</v>
      </c>
      <c r="H9">
        <v>1</v>
      </c>
      <c r="I9" t="s">
        <v>280</v>
      </c>
      <c r="J9" t="s">
        <v>3</v>
      </c>
      <c r="K9" t="s">
        <v>281</v>
      </c>
      <c r="L9">
        <v>1191</v>
      </c>
      <c r="N9">
        <v>1013</v>
      </c>
      <c r="O9" t="s">
        <v>282</v>
      </c>
      <c r="P9" t="s">
        <v>282</v>
      </c>
      <c r="Q9">
        <v>1</v>
      </c>
      <c r="X9">
        <v>0.37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0.37</v>
      </c>
      <c r="AH9">
        <v>2</v>
      </c>
      <c r="AI9">
        <v>46561521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ROW(Source!A33)</f>
        <v>33</v>
      </c>
      <c r="B10">
        <v>46561526</v>
      </c>
      <c r="C10">
        <v>46561520</v>
      </c>
      <c r="D10">
        <v>45142937</v>
      </c>
      <c r="E10">
        <v>1</v>
      </c>
      <c r="F10">
        <v>1</v>
      </c>
      <c r="G10">
        <v>27</v>
      </c>
      <c r="H10">
        <v>2</v>
      </c>
      <c r="I10" t="s">
        <v>296</v>
      </c>
      <c r="J10" t="s">
        <v>297</v>
      </c>
      <c r="K10" t="s">
        <v>298</v>
      </c>
      <c r="L10">
        <v>1368</v>
      </c>
      <c r="N10">
        <v>1011</v>
      </c>
      <c r="O10" t="s">
        <v>286</v>
      </c>
      <c r="P10" t="s">
        <v>286</v>
      </c>
      <c r="Q10">
        <v>1</v>
      </c>
      <c r="X10">
        <v>3.0000000000000001E-3</v>
      </c>
      <c r="Y10">
        <v>0</v>
      </c>
      <c r="Z10">
        <v>1270.56</v>
      </c>
      <c r="AA10">
        <v>493.86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3.0000000000000001E-3</v>
      </c>
      <c r="AH10">
        <v>2</v>
      </c>
      <c r="AI10">
        <v>46561522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ROW(Source!A33)</f>
        <v>33</v>
      </c>
      <c r="B11">
        <v>46561527</v>
      </c>
      <c r="C11">
        <v>46561520</v>
      </c>
      <c r="D11">
        <v>45144891</v>
      </c>
      <c r="E11">
        <v>1</v>
      </c>
      <c r="F11">
        <v>1</v>
      </c>
      <c r="G11">
        <v>27</v>
      </c>
      <c r="H11">
        <v>3</v>
      </c>
      <c r="I11" t="s">
        <v>299</v>
      </c>
      <c r="J11" t="s">
        <v>300</v>
      </c>
      <c r="K11" t="s">
        <v>301</v>
      </c>
      <c r="L11">
        <v>1339</v>
      </c>
      <c r="N11">
        <v>1007</v>
      </c>
      <c r="O11" t="s">
        <v>29</v>
      </c>
      <c r="P11" t="s">
        <v>29</v>
      </c>
      <c r="Q11">
        <v>1</v>
      </c>
      <c r="X11">
        <v>0.105</v>
      </c>
      <c r="Y11">
        <v>590.78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0.105</v>
      </c>
      <c r="AH11">
        <v>2</v>
      </c>
      <c r="AI11">
        <v>46561523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ROW(Source!A33)</f>
        <v>33</v>
      </c>
      <c r="B12">
        <v>46561528</v>
      </c>
      <c r="C12">
        <v>46561520</v>
      </c>
      <c r="D12">
        <v>45145636</v>
      </c>
      <c r="E12">
        <v>1</v>
      </c>
      <c r="F12">
        <v>1</v>
      </c>
      <c r="G12">
        <v>27</v>
      </c>
      <c r="H12">
        <v>3</v>
      </c>
      <c r="I12" t="s">
        <v>293</v>
      </c>
      <c r="J12" t="s">
        <v>294</v>
      </c>
      <c r="K12" t="s">
        <v>295</v>
      </c>
      <c r="L12">
        <v>1339</v>
      </c>
      <c r="N12">
        <v>1007</v>
      </c>
      <c r="O12" t="s">
        <v>29</v>
      </c>
      <c r="P12" t="s">
        <v>29</v>
      </c>
      <c r="Q12">
        <v>1</v>
      </c>
      <c r="X12">
        <v>0.01</v>
      </c>
      <c r="Y12">
        <v>35.25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0.01</v>
      </c>
      <c r="AH12">
        <v>2</v>
      </c>
      <c r="AI12">
        <v>46561524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ROW(Source!A34)</f>
        <v>34</v>
      </c>
      <c r="B13">
        <v>46561545</v>
      </c>
      <c r="C13">
        <v>46561529</v>
      </c>
      <c r="D13">
        <v>45130551</v>
      </c>
      <c r="E13">
        <v>27</v>
      </c>
      <c r="F13">
        <v>1</v>
      </c>
      <c r="G13">
        <v>27</v>
      </c>
      <c r="H13">
        <v>1</v>
      </c>
      <c r="I13" t="s">
        <v>280</v>
      </c>
      <c r="J13" t="s">
        <v>3</v>
      </c>
      <c r="K13" t="s">
        <v>281</v>
      </c>
      <c r="L13">
        <v>1191</v>
      </c>
      <c r="N13">
        <v>1013</v>
      </c>
      <c r="O13" t="s">
        <v>282</v>
      </c>
      <c r="P13" t="s">
        <v>282</v>
      </c>
      <c r="Q13">
        <v>1</v>
      </c>
      <c r="X13">
        <v>205.85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3</v>
      </c>
      <c r="AG13">
        <v>205.85</v>
      </c>
      <c r="AH13">
        <v>2</v>
      </c>
      <c r="AI13">
        <v>46561530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ROW(Source!A34)</f>
        <v>34</v>
      </c>
      <c r="B14">
        <v>46561546</v>
      </c>
      <c r="C14">
        <v>46561529</v>
      </c>
      <c r="D14">
        <v>45143189</v>
      </c>
      <c r="E14">
        <v>1</v>
      </c>
      <c r="F14">
        <v>1</v>
      </c>
      <c r="G14">
        <v>27</v>
      </c>
      <c r="H14">
        <v>2</v>
      </c>
      <c r="I14" t="s">
        <v>302</v>
      </c>
      <c r="J14" t="s">
        <v>303</v>
      </c>
      <c r="K14" t="s">
        <v>304</v>
      </c>
      <c r="L14">
        <v>1368</v>
      </c>
      <c r="N14">
        <v>1011</v>
      </c>
      <c r="O14" t="s">
        <v>286</v>
      </c>
      <c r="P14" t="s">
        <v>286</v>
      </c>
      <c r="Q14">
        <v>1</v>
      </c>
      <c r="X14">
        <v>150</v>
      </c>
      <c r="Y14">
        <v>0</v>
      </c>
      <c r="Z14">
        <v>27.21</v>
      </c>
      <c r="AA14">
        <v>0.13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150</v>
      </c>
      <c r="AH14">
        <v>2</v>
      </c>
      <c r="AI14">
        <v>46561531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ROW(Source!A34)</f>
        <v>34</v>
      </c>
      <c r="B15">
        <v>46561547</v>
      </c>
      <c r="C15">
        <v>46561529</v>
      </c>
      <c r="D15">
        <v>45143582</v>
      </c>
      <c r="E15">
        <v>1</v>
      </c>
      <c r="F15">
        <v>1</v>
      </c>
      <c r="G15">
        <v>27</v>
      </c>
      <c r="H15">
        <v>2</v>
      </c>
      <c r="I15" t="s">
        <v>305</v>
      </c>
      <c r="J15" t="s">
        <v>306</v>
      </c>
      <c r="K15" t="s">
        <v>307</v>
      </c>
      <c r="L15">
        <v>1368</v>
      </c>
      <c r="N15">
        <v>1011</v>
      </c>
      <c r="O15" t="s">
        <v>286</v>
      </c>
      <c r="P15" t="s">
        <v>286</v>
      </c>
      <c r="Q15">
        <v>1</v>
      </c>
      <c r="X15">
        <v>0.12</v>
      </c>
      <c r="Y15">
        <v>0</v>
      </c>
      <c r="Z15">
        <v>3.67</v>
      </c>
      <c r="AA15">
        <v>0.01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0.12</v>
      </c>
      <c r="AH15">
        <v>2</v>
      </c>
      <c r="AI15">
        <v>46561532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ROW(Source!A34)</f>
        <v>34</v>
      </c>
      <c r="B16">
        <v>46561548</v>
      </c>
      <c r="C16">
        <v>46561529</v>
      </c>
      <c r="D16">
        <v>45142852</v>
      </c>
      <c r="E16">
        <v>1</v>
      </c>
      <c r="F16">
        <v>1</v>
      </c>
      <c r="G16">
        <v>27</v>
      </c>
      <c r="H16">
        <v>2</v>
      </c>
      <c r="I16" t="s">
        <v>308</v>
      </c>
      <c r="J16" t="s">
        <v>309</v>
      </c>
      <c r="K16" t="s">
        <v>310</v>
      </c>
      <c r="L16">
        <v>1368</v>
      </c>
      <c r="N16">
        <v>1011</v>
      </c>
      <c r="O16" t="s">
        <v>286</v>
      </c>
      <c r="P16" t="s">
        <v>286</v>
      </c>
      <c r="Q16">
        <v>1</v>
      </c>
      <c r="X16">
        <v>0.31</v>
      </c>
      <c r="Y16">
        <v>0</v>
      </c>
      <c r="Z16">
        <v>683.9</v>
      </c>
      <c r="AA16">
        <v>371.27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0.31</v>
      </c>
      <c r="AH16">
        <v>2</v>
      </c>
      <c r="AI16">
        <v>46561533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ROW(Source!A34)</f>
        <v>34</v>
      </c>
      <c r="B17">
        <v>46561549</v>
      </c>
      <c r="C17">
        <v>46561529</v>
      </c>
      <c r="D17">
        <v>45143022</v>
      </c>
      <c r="E17">
        <v>1</v>
      </c>
      <c r="F17">
        <v>1</v>
      </c>
      <c r="G17">
        <v>27</v>
      </c>
      <c r="H17">
        <v>2</v>
      </c>
      <c r="I17" t="s">
        <v>311</v>
      </c>
      <c r="J17" t="s">
        <v>312</v>
      </c>
      <c r="K17" t="s">
        <v>313</v>
      </c>
      <c r="L17">
        <v>1368</v>
      </c>
      <c r="N17">
        <v>1011</v>
      </c>
      <c r="O17" t="s">
        <v>286</v>
      </c>
      <c r="P17" t="s">
        <v>286</v>
      </c>
      <c r="Q17">
        <v>1</v>
      </c>
      <c r="X17">
        <v>11.25</v>
      </c>
      <c r="Y17">
        <v>0</v>
      </c>
      <c r="Z17">
        <v>10.82</v>
      </c>
      <c r="AA17">
        <v>2.97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11.25</v>
      </c>
      <c r="AH17">
        <v>2</v>
      </c>
      <c r="AI17">
        <v>46561534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ROW(Source!A34)</f>
        <v>34</v>
      </c>
      <c r="B18">
        <v>46561550</v>
      </c>
      <c r="C18">
        <v>46561529</v>
      </c>
      <c r="D18">
        <v>45144711</v>
      </c>
      <c r="E18">
        <v>1</v>
      </c>
      <c r="F18">
        <v>1</v>
      </c>
      <c r="G18">
        <v>27</v>
      </c>
      <c r="H18">
        <v>3</v>
      </c>
      <c r="I18" t="s">
        <v>314</v>
      </c>
      <c r="J18" t="s">
        <v>315</v>
      </c>
      <c r="K18" t="s">
        <v>316</v>
      </c>
      <c r="L18">
        <v>1348</v>
      </c>
      <c r="N18">
        <v>1009</v>
      </c>
      <c r="O18" t="s">
        <v>65</v>
      </c>
      <c r="P18" t="s">
        <v>65</v>
      </c>
      <c r="Q18">
        <v>1000</v>
      </c>
      <c r="X18">
        <v>2E-3</v>
      </c>
      <c r="Y18">
        <v>49736.04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2E-3</v>
      </c>
      <c r="AH18">
        <v>2</v>
      </c>
      <c r="AI18">
        <v>46561535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ROW(Source!A34)</f>
        <v>34</v>
      </c>
      <c r="B19">
        <v>46561552</v>
      </c>
      <c r="C19">
        <v>46561529</v>
      </c>
      <c r="D19">
        <v>45145459</v>
      </c>
      <c r="E19">
        <v>1</v>
      </c>
      <c r="F19">
        <v>1</v>
      </c>
      <c r="G19">
        <v>27</v>
      </c>
      <c r="H19">
        <v>3</v>
      </c>
      <c r="I19" t="s">
        <v>317</v>
      </c>
      <c r="J19" t="s">
        <v>318</v>
      </c>
      <c r="K19" t="s">
        <v>319</v>
      </c>
      <c r="L19">
        <v>1327</v>
      </c>
      <c r="N19">
        <v>1005</v>
      </c>
      <c r="O19" t="s">
        <v>40</v>
      </c>
      <c r="P19" t="s">
        <v>40</v>
      </c>
      <c r="Q19">
        <v>1</v>
      </c>
      <c r="X19">
        <v>30</v>
      </c>
      <c r="Y19">
        <v>91.89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30</v>
      </c>
      <c r="AH19">
        <v>2</v>
      </c>
      <c r="AI19">
        <v>46561537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ROW(Source!A34)</f>
        <v>34</v>
      </c>
      <c r="B20">
        <v>46561553</v>
      </c>
      <c r="C20">
        <v>46561529</v>
      </c>
      <c r="D20">
        <v>45145543</v>
      </c>
      <c r="E20">
        <v>1</v>
      </c>
      <c r="F20">
        <v>1</v>
      </c>
      <c r="G20">
        <v>27</v>
      </c>
      <c r="H20">
        <v>3</v>
      </c>
      <c r="I20" t="s">
        <v>320</v>
      </c>
      <c r="J20" t="s">
        <v>321</v>
      </c>
      <c r="K20" t="s">
        <v>322</v>
      </c>
      <c r="L20">
        <v>1348</v>
      </c>
      <c r="N20">
        <v>1009</v>
      </c>
      <c r="O20" t="s">
        <v>65</v>
      </c>
      <c r="P20" t="s">
        <v>65</v>
      </c>
      <c r="Q20">
        <v>1000</v>
      </c>
      <c r="X20">
        <v>0.16</v>
      </c>
      <c r="Y20">
        <v>110781.14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0.16</v>
      </c>
      <c r="AH20">
        <v>2</v>
      </c>
      <c r="AI20">
        <v>46561538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ROW(Source!A34)</f>
        <v>34</v>
      </c>
      <c r="B21">
        <v>46561551</v>
      </c>
      <c r="C21">
        <v>46561529</v>
      </c>
      <c r="D21">
        <v>45143830</v>
      </c>
      <c r="E21">
        <v>1</v>
      </c>
      <c r="F21">
        <v>1</v>
      </c>
      <c r="G21">
        <v>27</v>
      </c>
      <c r="H21">
        <v>3</v>
      </c>
      <c r="I21" t="s">
        <v>323</v>
      </c>
      <c r="J21" t="s">
        <v>324</v>
      </c>
      <c r="K21" t="s">
        <v>325</v>
      </c>
      <c r="L21">
        <v>1348</v>
      </c>
      <c r="N21">
        <v>1009</v>
      </c>
      <c r="O21" t="s">
        <v>65</v>
      </c>
      <c r="P21" t="s">
        <v>65</v>
      </c>
      <c r="Q21">
        <v>1000</v>
      </c>
      <c r="X21">
        <v>0.01</v>
      </c>
      <c r="Y21">
        <v>4752.34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0.01</v>
      </c>
      <c r="AH21">
        <v>2</v>
      </c>
      <c r="AI21">
        <v>46561536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ROW(Source!A34)</f>
        <v>34</v>
      </c>
      <c r="B22">
        <v>46561554</v>
      </c>
      <c r="C22">
        <v>46561529</v>
      </c>
      <c r="D22">
        <v>45145636</v>
      </c>
      <c r="E22">
        <v>1</v>
      </c>
      <c r="F22">
        <v>1</v>
      </c>
      <c r="G22">
        <v>27</v>
      </c>
      <c r="H22">
        <v>3</v>
      </c>
      <c r="I22" t="s">
        <v>293</v>
      </c>
      <c r="J22" t="s">
        <v>294</v>
      </c>
      <c r="K22" t="s">
        <v>295</v>
      </c>
      <c r="L22">
        <v>1339</v>
      </c>
      <c r="N22">
        <v>1007</v>
      </c>
      <c r="O22" t="s">
        <v>29</v>
      </c>
      <c r="P22" t="s">
        <v>29</v>
      </c>
      <c r="Q22">
        <v>1</v>
      </c>
      <c r="X22">
        <v>0.73</v>
      </c>
      <c r="Y22">
        <v>35.25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0.73</v>
      </c>
      <c r="AH22">
        <v>2</v>
      </c>
      <c r="AI22">
        <v>46561539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ROW(Source!A34)</f>
        <v>34</v>
      </c>
      <c r="B23">
        <v>46561555</v>
      </c>
      <c r="C23">
        <v>46561529</v>
      </c>
      <c r="D23">
        <v>45144338</v>
      </c>
      <c r="E23">
        <v>1</v>
      </c>
      <c r="F23">
        <v>1</v>
      </c>
      <c r="G23">
        <v>27</v>
      </c>
      <c r="H23">
        <v>3</v>
      </c>
      <c r="I23" t="s">
        <v>326</v>
      </c>
      <c r="J23" t="s">
        <v>327</v>
      </c>
      <c r="K23" t="s">
        <v>328</v>
      </c>
      <c r="L23">
        <v>1339</v>
      </c>
      <c r="N23">
        <v>1007</v>
      </c>
      <c r="O23" t="s">
        <v>29</v>
      </c>
      <c r="P23" t="s">
        <v>29</v>
      </c>
      <c r="Q23">
        <v>1</v>
      </c>
      <c r="X23">
        <v>0.04</v>
      </c>
      <c r="Y23">
        <v>7098.7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0.04</v>
      </c>
      <c r="AH23">
        <v>2</v>
      </c>
      <c r="AI23">
        <v>46561540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ROW(Source!A34)</f>
        <v>34</v>
      </c>
      <c r="B24">
        <v>46561556</v>
      </c>
      <c r="C24">
        <v>46561529</v>
      </c>
      <c r="D24">
        <v>45146605</v>
      </c>
      <c r="E24">
        <v>1</v>
      </c>
      <c r="F24">
        <v>1</v>
      </c>
      <c r="G24">
        <v>27</v>
      </c>
      <c r="H24">
        <v>3</v>
      </c>
      <c r="I24" t="s">
        <v>55</v>
      </c>
      <c r="J24" t="s">
        <v>57</v>
      </c>
      <c r="K24" t="s">
        <v>56</v>
      </c>
      <c r="L24">
        <v>1339</v>
      </c>
      <c r="N24">
        <v>1007</v>
      </c>
      <c r="O24" t="s">
        <v>29</v>
      </c>
      <c r="P24" t="s">
        <v>29</v>
      </c>
      <c r="Q24">
        <v>1</v>
      </c>
      <c r="X24">
        <v>101.5</v>
      </c>
      <c r="Y24">
        <v>3714.73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101.5</v>
      </c>
      <c r="AH24">
        <v>2</v>
      </c>
      <c r="AI24">
        <v>46561541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ROW(Source!A34)</f>
        <v>34</v>
      </c>
      <c r="B25">
        <v>46561557</v>
      </c>
      <c r="C25">
        <v>46561529</v>
      </c>
      <c r="D25">
        <v>45146856</v>
      </c>
      <c r="E25">
        <v>1</v>
      </c>
      <c r="F25">
        <v>1</v>
      </c>
      <c r="G25">
        <v>27</v>
      </c>
      <c r="H25">
        <v>3</v>
      </c>
      <c r="I25" t="s">
        <v>329</v>
      </c>
      <c r="J25" t="s">
        <v>330</v>
      </c>
      <c r="K25" t="s">
        <v>331</v>
      </c>
      <c r="L25">
        <v>1348</v>
      </c>
      <c r="N25">
        <v>1009</v>
      </c>
      <c r="O25" t="s">
        <v>65</v>
      </c>
      <c r="P25" t="s">
        <v>65</v>
      </c>
      <c r="Q25">
        <v>1000</v>
      </c>
      <c r="X25">
        <v>8.1</v>
      </c>
      <c r="Y25">
        <v>34634.379999999997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8.1</v>
      </c>
      <c r="AH25">
        <v>2</v>
      </c>
      <c r="AI25">
        <v>46561542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ROW(Source!A34)</f>
        <v>34</v>
      </c>
      <c r="B26">
        <v>46561558</v>
      </c>
      <c r="C26">
        <v>46561529</v>
      </c>
      <c r="D26">
        <v>45148767</v>
      </c>
      <c r="E26">
        <v>1</v>
      </c>
      <c r="F26">
        <v>1</v>
      </c>
      <c r="G26">
        <v>27</v>
      </c>
      <c r="H26">
        <v>3</v>
      </c>
      <c r="I26" t="s">
        <v>332</v>
      </c>
      <c r="J26" t="s">
        <v>333</v>
      </c>
      <c r="K26" t="s">
        <v>334</v>
      </c>
      <c r="L26">
        <v>1327</v>
      </c>
      <c r="N26">
        <v>1005</v>
      </c>
      <c r="O26" t="s">
        <v>40</v>
      </c>
      <c r="P26" t="s">
        <v>40</v>
      </c>
      <c r="Q26">
        <v>1</v>
      </c>
      <c r="X26">
        <v>3.6</v>
      </c>
      <c r="Y26">
        <v>473.82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3.6</v>
      </c>
      <c r="AH26">
        <v>2</v>
      </c>
      <c r="AI26">
        <v>46561543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ROW(Source!A37)</f>
        <v>37</v>
      </c>
      <c r="B27">
        <v>46561607</v>
      </c>
      <c r="C27">
        <v>46561592</v>
      </c>
      <c r="D27">
        <v>45130551</v>
      </c>
      <c r="E27">
        <v>27</v>
      </c>
      <c r="F27">
        <v>1</v>
      </c>
      <c r="G27">
        <v>27</v>
      </c>
      <c r="H27">
        <v>1</v>
      </c>
      <c r="I27" t="s">
        <v>280</v>
      </c>
      <c r="J27" t="s">
        <v>3</v>
      </c>
      <c r="K27" t="s">
        <v>281</v>
      </c>
      <c r="L27">
        <v>1191</v>
      </c>
      <c r="N27">
        <v>1013</v>
      </c>
      <c r="O27" t="s">
        <v>282</v>
      </c>
      <c r="P27" t="s">
        <v>282</v>
      </c>
      <c r="Q27">
        <v>1</v>
      </c>
      <c r="X27">
        <v>2.97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 t="s">
        <v>3</v>
      </c>
      <c r="AG27">
        <v>2.97</v>
      </c>
      <c r="AH27">
        <v>2</v>
      </c>
      <c r="AI27">
        <v>46561593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ROW(Source!A37)</f>
        <v>37</v>
      </c>
      <c r="B28">
        <v>46561608</v>
      </c>
      <c r="C28">
        <v>46561592</v>
      </c>
      <c r="D28">
        <v>45143190</v>
      </c>
      <c r="E28">
        <v>1</v>
      </c>
      <c r="F28">
        <v>1</v>
      </c>
      <c r="G28">
        <v>27</v>
      </c>
      <c r="H28">
        <v>2</v>
      </c>
      <c r="I28" t="s">
        <v>335</v>
      </c>
      <c r="J28" t="s">
        <v>336</v>
      </c>
      <c r="K28" t="s">
        <v>337</v>
      </c>
      <c r="L28">
        <v>1368</v>
      </c>
      <c r="N28">
        <v>1011</v>
      </c>
      <c r="O28" t="s">
        <v>286</v>
      </c>
      <c r="P28" t="s">
        <v>286</v>
      </c>
      <c r="Q28">
        <v>1</v>
      </c>
      <c r="X28">
        <v>0.38400000000000001</v>
      </c>
      <c r="Y28">
        <v>0</v>
      </c>
      <c r="Z28">
        <v>351.29</v>
      </c>
      <c r="AA28">
        <v>7.02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0.38400000000000001</v>
      </c>
      <c r="AH28">
        <v>2</v>
      </c>
      <c r="AI28">
        <v>46561594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ROW(Source!A37)</f>
        <v>37</v>
      </c>
      <c r="B29">
        <v>46561609</v>
      </c>
      <c r="C29">
        <v>46561592</v>
      </c>
      <c r="D29">
        <v>45143575</v>
      </c>
      <c r="E29">
        <v>1</v>
      </c>
      <c r="F29">
        <v>1</v>
      </c>
      <c r="G29">
        <v>27</v>
      </c>
      <c r="H29">
        <v>2</v>
      </c>
      <c r="I29" t="s">
        <v>338</v>
      </c>
      <c r="J29" t="s">
        <v>339</v>
      </c>
      <c r="K29" t="s">
        <v>340</v>
      </c>
      <c r="L29">
        <v>1368</v>
      </c>
      <c r="N29">
        <v>1011</v>
      </c>
      <c r="O29" t="s">
        <v>286</v>
      </c>
      <c r="P29" t="s">
        <v>286</v>
      </c>
      <c r="Q29">
        <v>1</v>
      </c>
      <c r="X29">
        <v>0.115</v>
      </c>
      <c r="Y29">
        <v>0</v>
      </c>
      <c r="Z29">
        <v>5.94</v>
      </c>
      <c r="AA29">
        <v>0.02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0.115</v>
      </c>
      <c r="AH29">
        <v>2</v>
      </c>
      <c r="AI29">
        <v>46561595</v>
      </c>
      <c r="AJ29">
        <v>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ROW(Source!A37)</f>
        <v>37</v>
      </c>
      <c r="B30">
        <v>46561610</v>
      </c>
      <c r="C30">
        <v>46561592</v>
      </c>
      <c r="D30">
        <v>45143598</v>
      </c>
      <c r="E30">
        <v>1</v>
      </c>
      <c r="F30">
        <v>1</v>
      </c>
      <c r="G30">
        <v>27</v>
      </c>
      <c r="H30">
        <v>2</v>
      </c>
      <c r="I30" t="s">
        <v>341</v>
      </c>
      <c r="J30" t="s">
        <v>342</v>
      </c>
      <c r="K30" t="s">
        <v>343</v>
      </c>
      <c r="L30">
        <v>1368</v>
      </c>
      <c r="N30">
        <v>1011</v>
      </c>
      <c r="O30" t="s">
        <v>286</v>
      </c>
      <c r="P30" t="s">
        <v>286</v>
      </c>
      <c r="Q30">
        <v>1</v>
      </c>
      <c r="X30">
        <v>0.504</v>
      </c>
      <c r="Y30">
        <v>0</v>
      </c>
      <c r="Z30">
        <v>652.16</v>
      </c>
      <c r="AA30">
        <v>581.9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0.504</v>
      </c>
      <c r="AH30">
        <v>2</v>
      </c>
      <c r="AI30">
        <v>46561596</v>
      </c>
      <c r="AJ30">
        <v>31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ROW(Source!A37)</f>
        <v>37</v>
      </c>
      <c r="B31">
        <v>46561611</v>
      </c>
      <c r="C31">
        <v>46561592</v>
      </c>
      <c r="D31">
        <v>45144555</v>
      </c>
      <c r="E31">
        <v>1</v>
      </c>
      <c r="F31">
        <v>1</v>
      </c>
      <c r="G31">
        <v>27</v>
      </c>
      <c r="H31">
        <v>3</v>
      </c>
      <c r="I31" t="s">
        <v>344</v>
      </c>
      <c r="J31" t="s">
        <v>345</v>
      </c>
      <c r="K31" t="s">
        <v>346</v>
      </c>
      <c r="L31">
        <v>1348</v>
      </c>
      <c r="N31">
        <v>1009</v>
      </c>
      <c r="O31" t="s">
        <v>65</v>
      </c>
      <c r="P31" t="s">
        <v>65</v>
      </c>
      <c r="Q31">
        <v>1000</v>
      </c>
      <c r="X31">
        <v>1.01E-3</v>
      </c>
      <c r="Y31">
        <v>38268.54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1.01E-3</v>
      </c>
      <c r="AH31">
        <v>2</v>
      </c>
      <c r="AI31">
        <v>46561597</v>
      </c>
      <c r="AJ31">
        <v>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ROW(Source!A37)</f>
        <v>37</v>
      </c>
      <c r="B32">
        <v>46561612</v>
      </c>
      <c r="C32">
        <v>46561592</v>
      </c>
      <c r="D32">
        <v>45144413</v>
      </c>
      <c r="E32">
        <v>1</v>
      </c>
      <c r="F32">
        <v>1</v>
      </c>
      <c r="G32">
        <v>27</v>
      </c>
      <c r="H32">
        <v>3</v>
      </c>
      <c r="I32" t="s">
        <v>84</v>
      </c>
      <c r="J32" t="s">
        <v>86</v>
      </c>
      <c r="K32" t="s">
        <v>85</v>
      </c>
      <c r="L32">
        <v>1348</v>
      </c>
      <c r="N32">
        <v>1009</v>
      </c>
      <c r="O32" t="s">
        <v>65</v>
      </c>
      <c r="P32" t="s">
        <v>65</v>
      </c>
      <c r="Q32">
        <v>1000</v>
      </c>
      <c r="X32">
        <v>0.14899999999999999</v>
      </c>
      <c r="Y32">
        <v>37537.54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0.14899999999999999</v>
      </c>
      <c r="AH32">
        <v>2</v>
      </c>
      <c r="AI32">
        <v>46561598</v>
      </c>
      <c r="AJ32">
        <v>34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ROW(Source!A37)</f>
        <v>37</v>
      </c>
      <c r="B33">
        <v>46561613</v>
      </c>
      <c r="C33">
        <v>46561592</v>
      </c>
      <c r="D33">
        <v>45145543</v>
      </c>
      <c r="E33">
        <v>1</v>
      </c>
      <c r="F33">
        <v>1</v>
      </c>
      <c r="G33">
        <v>27</v>
      </c>
      <c r="H33">
        <v>3</v>
      </c>
      <c r="I33" t="s">
        <v>320</v>
      </c>
      <c r="J33" t="s">
        <v>321</v>
      </c>
      <c r="K33" t="s">
        <v>322</v>
      </c>
      <c r="L33">
        <v>1348</v>
      </c>
      <c r="N33">
        <v>1009</v>
      </c>
      <c r="O33" t="s">
        <v>65</v>
      </c>
      <c r="P33" t="s">
        <v>65</v>
      </c>
      <c r="Q33">
        <v>1000</v>
      </c>
      <c r="X33">
        <v>5.0000000000000001E-4</v>
      </c>
      <c r="Y33">
        <v>110781.14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5.0000000000000001E-4</v>
      </c>
      <c r="AH33">
        <v>2</v>
      </c>
      <c r="AI33">
        <v>46561599</v>
      </c>
      <c r="AJ33">
        <v>37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ROW(Source!A37)</f>
        <v>37</v>
      </c>
      <c r="B34">
        <v>46561614</v>
      </c>
      <c r="C34">
        <v>46561592</v>
      </c>
      <c r="D34">
        <v>45147864</v>
      </c>
      <c r="E34">
        <v>1</v>
      </c>
      <c r="F34">
        <v>1</v>
      </c>
      <c r="G34">
        <v>27</v>
      </c>
      <c r="H34">
        <v>3</v>
      </c>
      <c r="I34" t="s">
        <v>347</v>
      </c>
      <c r="J34" t="s">
        <v>348</v>
      </c>
      <c r="K34" t="s">
        <v>349</v>
      </c>
      <c r="L34">
        <v>1354</v>
      </c>
      <c r="N34">
        <v>1010</v>
      </c>
      <c r="O34" t="s">
        <v>350</v>
      </c>
      <c r="P34" t="s">
        <v>350</v>
      </c>
      <c r="Q34">
        <v>1</v>
      </c>
      <c r="X34">
        <v>1.4E-2</v>
      </c>
      <c r="Y34">
        <v>16.54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1.4E-2</v>
      </c>
      <c r="AH34">
        <v>2</v>
      </c>
      <c r="AI34">
        <v>46561600</v>
      </c>
      <c r="AJ34">
        <v>38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ROW(Source!A44)</f>
        <v>44</v>
      </c>
      <c r="B35">
        <v>46591602</v>
      </c>
      <c r="C35">
        <v>46591601</v>
      </c>
      <c r="D35">
        <v>45130551</v>
      </c>
      <c r="E35">
        <v>27</v>
      </c>
      <c r="F35">
        <v>1</v>
      </c>
      <c r="G35">
        <v>27</v>
      </c>
      <c r="H35">
        <v>1</v>
      </c>
      <c r="I35" t="s">
        <v>280</v>
      </c>
      <c r="J35" t="s">
        <v>3</v>
      </c>
      <c r="K35" t="s">
        <v>281</v>
      </c>
      <c r="L35">
        <v>1191</v>
      </c>
      <c r="N35">
        <v>1013</v>
      </c>
      <c r="O35" t="s">
        <v>282</v>
      </c>
      <c r="P35" t="s">
        <v>282</v>
      </c>
      <c r="Q35">
        <v>1</v>
      </c>
      <c r="X35">
        <v>6.11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6.11</v>
      </c>
      <c r="AH35">
        <v>2</v>
      </c>
      <c r="AI35">
        <v>46591602</v>
      </c>
      <c r="AJ35">
        <v>41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ROW(Source!A44)</f>
        <v>44</v>
      </c>
      <c r="B36">
        <v>46591603</v>
      </c>
      <c r="C36">
        <v>46591601</v>
      </c>
      <c r="D36">
        <v>45143099</v>
      </c>
      <c r="E36">
        <v>1</v>
      </c>
      <c r="F36">
        <v>1</v>
      </c>
      <c r="G36">
        <v>27</v>
      </c>
      <c r="H36">
        <v>2</v>
      </c>
      <c r="I36" t="s">
        <v>351</v>
      </c>
      <c r="J36" t="s">
        <v>352</v>
      </c>
      <c r="K36" t="s">
        <v>353</v>
      </c>
      <c r="L36">
        <v>1368</v>
      </c>
      <c r="N36">
        <v>1011</v>
      </c>
      <c r="O36" t="s">
        <v>286</v>
      </c>
      <c r="P36" t="s">
        <v>286</v>
      </c>
      <c r="Q36">
        <v>1</v>
      </c>
      <c r="X36">
        <v>1.4</v>
      </c>
      <c r="Y36">
        <v>0</v>
      </c>
      <c r="Z36">
        <v>98.05</v>
      </c>
      <c r="AA36">
        <v>33.06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1.4</v>
      </c>
      <c r="AH36">
        <v>2</v>
      </c>
      <c r="AI36">
        <v>46591603</v>
      </c>
      <c r="AJ36">
        <v>42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ROW(Source!A44)</f>
        <v>44</v>
      </c>
      <c r="B37">
        <v>46591604</v>
      </c>
      <c r="C37">
        <v>46591601</v>
      </c>
      <c r="D37">
        <v>45142852</v>
      </c>
      <c r="E37">
        <v>1</v>
      </c>
      <c r="F37">
        <v>1</v>
      </c>
      <c r="G37">
        <v>27</v>
      </c>
      <c r="H37">
        <v>2</v>
      </c>
      <c r="I37" t="s">
        <v>308</v>
      </c>
      <c r="J37" t="s">
        <v>309</v>
      </c>
      <c r="K37" t="s">
        <v>310</v>
      </c>
      <c r="L37">
        <v>1368</v>
      </c>
      <c r="N37">
        <v>1011</v>
      </c>
      <c r="O37" t="s">
        <v>286</v>
      </c>
      <c r="P37" t="s">
        <v>286</v>
      </c>
      <c r="Q37">
        <v>1</v>
      </c>
      <c r="X37">
        <v>0.01</v>
      </c>
      <c r="Y37">
        <v>0</v>
      </c>
      <c r="Z37">
        <v>683.9</v>
      </c>
      <c r="AA37">
        <v>371.27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0.01</v>
      </c>
      <c r="AH37">
        <v>2</v>
      </c>
      <c r="AI37">
        <v>46591604</v>
      </c>
      <c r="AJ37">
        <v>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ROW(Source!A44)</f>
        <v>44</v>
      </c>
      <c r="B38">
        <v>46591605</v>
      </c>
      <c r="C38">
        <v>46591601</v>
      </c>
      <c r="D38">
        <v>45142866</v>
      </c>
      <c r="E38">
        <v>1</v>
      </c>
      <c r="F38">
        <v>1</v>
      </c>
      <c r="G38">
        <v>27</v>
      </c>
      <c r="H38">
        <v>2</v>
      </c>
      <c r="I38" t="s">
        <v>354</v>
      </c>
      <c r="J38" t="s">
        <v>355</v>
      </c>
      <c r="K38" t="s">
        <v>356</v>
      </c>
      <c r="L38">
        <v>1368</v>
      </c>
      <c r="N38">
        <v>1011</v>
      </c>
      <c r="O38" t="s">
        <v>286</v>
      </c>
      <c r="P38" t="s">
        <v>286</v>
      </c>
      <c r="Q38">
        <v>1</v>
      </c>
      <c r="X38">
        <v>0.01</v>
      </c>
      <c r="Y38">
        <v>0</v>
      </c>
      <c r="Z38">
        <v>16.920000000000002</v>
      </c>
      <c r="AA38">
        <v>0.09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0.01</v>
      </c>
      <c r="AH38">
        <v>2</v>
      </c>
      <c r="AI38">
        <v>46591605</v>
      </c>
      <c r="AJ38">
        <v>44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ROW(Source!A44)</f>
        <v>44</v>
      </c>
      <c r="B39">
        <v>46591607</v>
      </c>
      <c r="C39">
        <v>46591601</v>
      </c>
      <c r="D39">
        <v>45131998</v>
      </c>
      <c r="E39">
        <v>27</v>
      </c>
      <c r="F39">
        <v>1</v>
      </c>
      <c r="G39">
        <v>27</v>
      </c>
      <c r="H39">
        <v>3</v>
      </c>
      <c r="I39" t="s">
        <v>357</v>
      </c>
      <c r="J39" t="s">
        <v>3</v>
      </c>
      <c r="K39" t="s">
        <v>358</v>
      </c>
      <c r="L39">
        <v>1346</v>
      </c>
      <c r="N39">
        <v>1009</v>
      </c>
      <c r="O39" t="s">
        <v>359</v>
      </c>
      <c r="P39" t="s">
        <v>359</v>
      </c>
      <c r="Q39">
        <v>1</v>
      </c>
      <c r="X39">
        <v>1.5</v>
      </c>
      <c r="Y39">
        <v>99.303030000000007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1.5</v>
      </c>
      <c r="AH39">
        <v>2</v>
      </c>
      <c r="AI39">
        <v>46591607</v>
      </c>
      <c r="AJ39">
        <v>45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ROW(Source!A44)</f>
        <v>44</v>
      </c>
      <c r="B40">
        <v>46591606</v>
      </c>
      <c r="C40">
        <v>46591601</v>
      </c>
      <c r="D40">
        <v>45144050</v>
      </c>
      <c r="E40">
        <v>1</v>
      </c>
      <c r="F40">
        <v>1</v>
      </c>
      <c r="G40">
        <v>27</v>
      </c>
      <c r="H40">
        <v>3</v>
      </c>
      <c r="I40" t="s">
        <v>360</v>
      </c>
      <c r="J40" t="s">
        <v>361</v>
      </c>
      <c r="K40" t="s">
        <v>362</v>
      </c>
      <c r="L40">
        <v>1348</v>
      </c>
      <c r="N40">
        <v>1009</v>
      </c>
      <c r="O40" t="s">
        <v>65</v>
      </c>
      <c r="P40" t="s">
        <v>65</v>
      </c>
      <c r="Q40">
        <v>1000</v>
      </c>
      <c r="X40">
        <v>8.9999999999999993E-3</v>
      </c>
      <c r="Y40">
        <v>97017.58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8.9999999999999993E-3</v>
      </c>
      <c r="AH40">
        <v>2</v>
      </c>
      <c r="AI40">
        <v>46591606</v>
      </c>
      <c r="AJ40">
        <v>46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ROW(Source!A45)</f>
        <v>45</v>
      </c>
      <c r="B41">
        <v>46591615</v>
      </c>
      <c r="C41">
        <v>46591614</v>
      </c>
      <c r="D41">
        <v>45130551</v>
      </c>
      <c r="E41">
        <v>27</v>
      </c>
      <c r="F41">
        <v>1</v>
      </c>
      <c r="G41">
        <v>27</v>
      </c>
      <c r="H41">
        <v>1</v>
      </c>
      <c r="I41" t="s">
        <v>280</v>
      </c>
      <c r="J41" t="s">
        <v>3</v>
      </c>
      <c r="K41" t="s">
        <v>281</v>
      </c>
      <c r="L41">
        <v>1191</v>
      </c>
      <c r="N41">
        <v>1013</v>
      </c>
      <c r="O41" t="s">
        <v>282</v>
      </c>
      <c r="P41" t="s">
        <v>282</v>
      </c>
      <c r="Q41">
        <v>1</v>
      </c>
      <c r="X41">
        <v>2.4500000000000002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 t="s">
        <v>3</v>
      </c>
      <c r="AG41">
        <v>2.4500000000000002</v>
      </c>
      <c r="AH41">
        <v>2</v>
      </c>
      <c r="AI41">
        <v>46591615</v>
      </c>
      <c r="AJ41">
        <v>47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ROW(Source!A45)</f>
        <v>45</v>
      </c>
      <c r="B42">
        <v>46591616</v>
      </c>
      <c r="C42">
        <v>46591614</v>
      </c>
      <c r="D42">
        <v>45142852</v>
      </c>
      <c r="E42">
        <v>1</v>
      </c>
      <c r="F42">
        <v>1</v>
      </c>
      <c r="G42">
        <v>27</v>
      </c>
      <c r="H42">
        <v>2</v>
      </c>
      <c r="I42" t="s">
        <v>308</v>
      </c>
      <c r="J42" t="s">
        <v>309</v>
      </c>
      <c r="K42" t="s">
        <v>310</v>
      </c>
      <c r="L42">
        <v>1368</v>
      </c>
      <c r="N42">
        <v>1011</v>
      </c>
      <c r="O42" t="s">
        <v>286</v>
      </c>
      <c r="P42" t="s">
        <v>286</v>
      </c>
      <c r="Q42">
        <v>1</v>
      </c>
      <c r="X42">
        <v>0.01</v>
      </c>
      <c r="Y42">
        <v>0</v>
      </c>
      <c r="Z42">
        <v>683.9</v>
      </c>
      <c r="AA42">
        <v>371.27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0.01</v>
      </c>
      <c r="AH42">
        <v>2</v>
      </c>
      <c r="AI42">
        <v>46591616</v>
      </c>
      <c r="AJ42">
        <v>48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ROW(Source!A45)</f>
        <v>45</v>
      </c>
      <c r="B43">
        <v>46591617</v>
      </c>
      <c r="C43">
        <v>46591614</v>
      </c>
      <c r="D43">
        <v>45144148</v>
      </c>
      <c r="E43">
        <v>1</v>
      </c>
      <c r="F43">
        <v>1</v>
      </c>
      <c r="G43">
        <v>27</v>
      </c>
      <c r="H43">
        <v>3</v>
      </c>
      <c r="I43" t="s">
        <v>363</v>
      </c>
      <c r="J43" t="s">
        <v>364</v>
      </c>
      <c r="K43" t="s">
        <v>365</v>
      </c>
      <c r="L43">
        <v>1348</v>
      </c>
      <c r="N43">
        <v>1009</v>
      </c>
      <c r="O43" t="s">
        <v>65</v>
      </c>
      <c r="P43" t="s">
        <v>65</v>
      </c>
      <c r="Q43">
        <v>1000</v>
      </c>
      <c r="X43">
        <v>1.48E-3</v>
      </c>
      <c r="Y43">
        <v>63195.54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1.48E-3</v>
      </c>
      <c r="AH43">
        <v>2</v>
      </c>
      <c r="AI43">
        <v>46591617</v>
      </c>
      <c r="AJ43">
        <v>49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ROW(Source!A45)</f>
        <v>45</v>
      </c>
      <c r="B44">
        <v>46591618</v>
      </c>
      <c r="C44">
        <v>46591614</v>
      </c>
      <c r="D44">
        <v>45144173</v>
      </c>
      <c r="E44">
        <v>1</v>
      </c>
      <c r="F44">
        <v>1</v>
      </c>
      <c r="G44">
        <v>27</v>
      </c>
      <c r="H44">
        <v>3</v>
      </c>
      <c r="I44" t="s">
        <v>366</v>
      </c>
      <c r="J44" t="s">
        <v>367</v>
      </c>
      <c r="K44" t="s">
        <v>368</v>
      </c>
      <c r="L44">
        <v>1346</v>
      </c>
      <c r="N44">
        <v>1009</v>
      </c>
      <c r="O44" t="s">
        <v>359</v>
      </c>
      <c r="P44" t="s">
        <v>359</v>
      </c>
      <c r="Q44">
        <v>1</v>
      </c>
      <c r="X44">
        <v>9</v>
      </c>
      <c r="Y44">
        <v>105.32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9</v>
      </c>
      <c r="AH44">
        <v>2</v>
      </c>
      <c r="AI44">
        <v>46591618</v>
      </c>
      <c r="AJ44">
        <v>50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ROW(Source!A80)</f>
        <v>80</v>
      </c>
      <c r="B45">
        <v>46607040</v>
      </c>
      <c r="C45">
        <v>46607038</v>
      </c>
      <c r="D45">
        <v>45130551</v>
      </c>
      <c r="E45">
        <v>27</v>
      </c>
      <c r="F45">
        <v>1</v>
      </c>
      <c r="G45">
        <v>27</v>
      </c>
      <c r="H45">
        <v>1</v>
      </c>
      <c r="I45" t="s">
        <v>280</v>
      </c>
      <c r="J45" t="s">
        <v>3</v>
      </c>
      <c r="K45" t="s">
        <v>281</v>
      </c>
      <c r="L45">
        <v>1191</v>
      </c>
      <c r="N45">
        <v>1013</v>
      </c>
      <c r="O45" t="s">
        <v>282</v>
      </c>
      <c r="P45" t="s">
        <v>282</v>
      </c>
      <c r="Q45">
        <v>1</v>
      </c>
      <c r="X45">
        <v>221.6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3</v>
      </c>
      <c r="AG45">
        <v>221.6</v>
      </c>
      <c r="AH45">
        <v>2</v>
      </c>
      <c r="AI45">
        <v>46607039</v>
      </c>
      <c r="AJ45">
        <v>51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ROW(Source!A81)</f>
        <v>81</v>
      </c>
      <c r="B46">
        <v>46607043</v>
      </c>
      <c r="C46">
        <v>46607041</v>
      </c>
      <c r="D46">
        <v>45130551</v>
      </c>
      <c r="E46">
        <v>27</v>
      </c>
      <c r="F46">
        <v>1</v>
      </c>
      <c r="G46">
        <v>27</v>
      </c>
      <c r="H46">
        <v>1</v>
      </c>
      <c r="I46" t="s">
        <v>280</v>
      </c>
      <c r="J46" t="s">
        <v>3</v>
      </c>
      <c r="K46" t="s">
        <v>281</v>
      </c>
      <c r="L46">
        <v>1191</v>
      </c>
      <c r="N46">
        <v>1013</v>
      </c>
      <c r="O46" t="s">
        <v>282</v>
      </c>
      <c r="P46" t="s">
        <v>282</v>
      </c>
      <c r="Q46">
        <v>1</v>
      </c>
      <c r="X46">
        <v>83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 t="s">
        <v>3</v>
      </c>
      <c r="AG46">
        <v>83</v>
      </c>
      <c r="AH46">
        <v>2</v>
      </c>
      <c r="AI46">
        <v>46607042</v>
      </c>
      <c r="AJ46">
        <v>52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ROW(Source!A82)</f>
        <v>82</v>
      </c>
      <c r="B47">
        <v>46607046</v>
      </c>
      <c r="C47">
        <v>46607044</v>
      </c>
      <c r="D47">
        <v>45143535</v>
      </c>
      <c r="E47">
        <v>1</v>
      </c>
      <c r="F47">
        <v>1</v>
      </c>
      <c r="G47">
        <v>27</v>
      </c>
      <c r="H47">
        <v>2</v>
      </c>
      <c r="I47" t="s">
        <v>283</v>
      </c>
      <c r="J47" t="s">
        <v>284</v>
      </c>
      <c r="K47" t="s">
        <v>285</v>
      </c>
      <c r="L47">
        <v>1368</v>
      </c>
      <c r="N47">
        <v>1011</v>
      </c>
      <c r="O47" t="s">
        <v>286</v>
      </c>
      <c r="P47" t="s">
        <v>286</v>
      </c>
      <c r="Q47">
        <v>1</v>
      </c>
      <c r="X47">
        <v>3.1E-2</v>
      </c>
      <c r="Y47">
        <v>0</v>
      </c>
      <c r="Z47">
        <v>1014.12</v>
      </c>
      <c r="AA47">
        <v>317.13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3.1E-2</v>
      </c>
      <c r="AH47">
        <v>2</v>
      </c>
      <c r="AI47">
        <v>46607045</v>
      </c>
      <c r="AJ47">
        <v>53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ROW(Source!A83)</f>
        <v>83</v>
      </c>
      <c r="B48">
        <v>46607049</v>
      </c>
      <c r="C48">
        <v>46607047</v>
      </c>
      <c r="D48">
        <v>45143535</v>
      </c>
      <c r="E48">
        <v>1</v>
      </c>
      <c r="F48">
        <v>1</v>
      </c>
      <c r="G48">
        <v>27</v>
      </c>
      <c r="H48">
        <v>2</v>
      </c>
      <c r="I48" t="s">
        <v>283</v>
      </c>
      <c r="J48" t="s">
        <v>284</v>
      </c>
      <c r="K48" t="s">
        <v>285</v>
      </c>
      <c r="L48">
        <v>1368</v>
      </c>
      <c r="N48">
        <v>1011</v>
      </c>
      <c r="O48" t="s">
        <v>286</v>
      </c>
      <c r="P48" t="s">
        <v>286</v>
      </c>
      <c r="Q48">
        <v>1</v>
      </c>
      <c r="X48">
        <v>0.01</v>
      </c>
      <c r="Y48">
        <v>0</v>
      </c>
      <c r="Z48">
        <v>1014.12</v>
      </c>
      <c r="AA48">
        <v>317.13</v>
      </c>
      <c r="AB48">
        <v>0</v>
      </c>
      <c r="AC48">
        <v>0</v>
      </c>
      <c r="AD48">
        <v>1</v>
      </c>
      <c r="AE48">
        <v>0</v>
      </c>
      <c r="AF48" t="s">
        <v>36</v>
      </c>
      <c r="AG48">
        <v>0.32</v>
      </c>
      <c r="AH48">
        <v>2</v>
      </c>
      <c r="AI48">
        <v>46607048</v>
      </c>
      <c r="AJ48">
        <v>54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ROW(Source!A84)</f>
        <v>84</v>
      </c>
      <c r="B49">
        <v>46607055</v>
      </c>
      <c r="C49">
        <v>46607050</v>
      </c>
      <c r="D49">
        <v>45130551</v>
      </c>
      <c r="E49">
        <v>27</v>
      </c>
      <c r="F49">
        <v>1</v>
      </c>
      <c r="G49">
        <v>27</v>
      </c>
      <c r="H49">
        <v>1</v>
      </c>
      <c r="I49" t="s">
        <v>280</v>
      </c>
      <c r="J49" t="s">
        <v>3</v>
      </c>
      <c r="K49" t="s">
        <v>281</v>
      </c>
      <c r="L49">
        <v>1191</v>
      </c>
      <c r="N49">
        <v>1013</v>
      </c>
      <c r="O49" t="s">
        <v>282</v>
      </c>
      <c r="P49" t="s">
        <v>282</v>
      </c>
      <c r="Q49">
        <v>1</v>
      </c>
      <c r="X49">
        <v>1.25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3</v>
      </c>
      <c r="AG49">
        <v>1.25</v>
      </c>
      <c r="AH49">
        <v>2</v>
      </c>
      <c r="AI49">
        <v>46607051</v>
      </c>
      <c r="AJ49">
        <v>55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ROW(Source!A84)</f>
        <v>84</v>
      </c>
      <c r="B50">
        <v>46607056</v>
      </c>
      <c r="C50">
        <v>46607050</v>
      </c>
      <c r="D50">
        <v>45144915</v>
      </c>
      <c r="E50">
        <v>1</v>
      </c>
      <c r="F50">
        <v>1</v>
      </c>
      <c r="G50">
        <v>27</v>
      </c>
      <c r="H50">
        <v>3</v>
      </c>
      <c r="I50" t="s">
        <v>287</v>
      </c>
      <c r="J50" t="s">
        <v>288</v>
      </c>
      <c r="K50" t="s">
        <v>289</v>
      </c>
      <c r="L50">
        <v>1339</v>
      </c>
      <c r="N50">
        <v>1007</v>
      </c>
      <c r="O50" t="s">
        <v>29</v>
      </c>
      <c r="P50" t="s">
        <v>29</v>
      </c>
      <c r="Q50">
        <v>1</v>
      </c>
      <c r="X50">
        <v>0.06</v>
      </c>
      <c r="Y50">
        <v>1865.77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0.06</v>
      </c>
      <c r="AH50">
        <v>2</v>
      </c>
      <c r="AI50">
        <v>46607052</v>
      </c>
      <c r="AJ50">
        <v>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ROW(Source!A84)</f>
        <v>84</v>
      </c>
      <c r="B51">
        <v>46607057</v>
      </c>
      <c r="C51">
        <v>46607050</v>
      </c>
      <c r="D51">
        <v>45144916</v>
      </c>
      <c r="E51">
        <v>1</v>
      </c>
      <c r="F51">
        <v>1</v>
      </c>
      <c r="G51">
        <v>27</v>
      </c>
      <c r="H51">
        <v>3</v>
      </c>
      <c r="I51" t="s">
        <v>290</v>
      </c>
      <c r="J51" t="s">
        <v>291</v>
      </c>
      <c r="K51" t="s">
        <v>292</v>
      </c>
      <c r="L51">
        <v>1339</v>
      </c>
      <c r="N51">
        <v>1007</v>
      </c>
      <c r="O51" t="s">
        <v>29</v>
      </c>
      <c r="P51" t="s">
        <v>29</v>
      </c>
      <c r="Q51">
        <v>1</v>
      </c>
      <c r="X51">
        <v>0.24</v>
      </c>
      <c r="Y51">
        <v>1763.75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0.24</v>
      </c>
      <c r="AH51">
        <v>2</v>
      </c>
      <c r="AI51">
        <v>46607053</v>
      </c>
      <c r="AJ51">
        <v>57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ROW(Source!A84)</f>
        <v>84</v>
      </c>
      <c r="B52">
        <v>46607058</v>
      </c>
      <c r="C52">
        <v>46607050</v>
      </c>
      <c r="D52">
        <v>45145636</v>
      </c>
      <c r="E52">
        <v>1</v>
      </c>
      <c r="F52">
        <v>1</v>
      </c>
      <c r="G52">
        <v>27</v>
      </c>
      <c r="H52">
        <v>3</v>
      </c>
      <c r="I52" t="s">
        <v>293</v>
      </c>
      <c r="J52" t="s">
        <v>294</v>
      </c>
      <c r="K52" t="s">
        <v>295</v>
      </c>
      <c r="L52">
        <v>1339</v>
      </c>
      <c r="N52">
        <v>1007</v>
      </c>
      <c r="O52" t="s">
        <v>29</v>
      </c>
      <c r="P52" t="s">
        <v>29</v>
      </c>
      <c r="Q52">
        <v>1</v>
      </c>
      <c r="X52">
        <v>0.03</v>
      </c>
      <c r="Y52">
        <v>35.25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0.03</v>
      </c>
      <c r="AH52">
        <v>2</v>
      </c>
      <c r="AI52">
        <v>46607054</v>
      </c>
      <c r="AJ52">
        <v>58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ROW(Source!A85)</f>
        <v>85</v>
      </c>
      <c r="B53">
        <v>46607064</v>
      </c>
      <c r="C53">
        <v>46607059</v>
      </c>
      <c r="D53">
        <v>45130551</v>
      </c>
      <c r="E53">
        <v>27</v>
      </c>
      <c r="F53">
        <v>1</v>
      </c>
      <c r="G53">
        <v>27</v>
      </c>
      <c r="H53">
        <v>1</v>
      </c>
      <c r="I53" t="s">
        <v>280</v>
      </c>
      <c r="J53" t="s">
        <v>3</v>
      </c>
      <c r="K53" t="s">
        <v>281</v>
      </c>
      <c r="L53">
        <v>1191</v>
      </c>
      <c r="N53">
        <v>1013</v>
      </c>
      <c r="O53" t="s">
        <v>282</v>
      </c>
      <c r="P53" t="s">
        <v>282</v>
      </c>
      <c r="Q53">
        <v>1</v>
      </c>
      <c r="X53">
        <v>0.37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 t="s">
        <v>3</v>
      </c>
      <c r="AG53">
        <v>0.37</v>
      </c>
      <c r="AH53">
        <v>2</v>
      </c>
      <c r="AI53">
        <v>46607060</v>
      </c>
      <c r="AJ53">
        <v>59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ROW(Source!A85)</f>
        <v>85</v>
      </c>
      <c r="B54">
        <v>46607065</v>
      </c>
      <c r="C54">
        <v>46607059</v>
      </c>
      <c r="D54">
        <v>45142937</v>
      </c>
      <c r="E54">
        <v>1</v>
      </c>
      <c r="F54">
        <v>1</v>
      </c>
      <c r="G54">
        <v>27</v>
      </c>
      <c r="H54">
        <v>2</v>
      </c>
      <c r="I54" t="s">
        <v>296</v>
      </c>
      <c r="J54" t="s">
        <v>297</v>
      </c>
      <c r="K54" t="s">
        <v>298</v>
      </c>
      <c r="L54">
        <v>1368</v>
      </c>
      <c r="N54">
        <v>1011</v>
      </c>
      <c r="O54" t="s">
        <v>286</v>
      </c>
      <c r="P54" t="s">
        <v>286</v>
      </c>
      <c r="Q54">
        <v>1</v>
      </c>
      <c r="X54">
        <v>3.0000000000000001E-3</v>
      </c>
      <c r="Y54">
        <v>0</v>
      </c>
      <c r="Z54">
        <v>1270.56</v>
      </c>
      <c r="AA54">
        <v>493.86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3.0000000000000001E-3</v>
      </c>
      <c r="AH54">
        <v>2</v>
      </c>
      <c r="AI54">
        <v>46607061</v>
      </c>
      <c r="AJ54">
        <v>60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ROW(Source!A85)</f>
        <v>85</v>
      </c>
      <c r="B55">
        <v>46607066</v>
      </c>
      <c r="C55">
        <v>46607059</v>
      </c>
      <c r="D55">
        <v>45144891</v>
      </c>
      <c r="E55">
        <v>1</v>
      </c>
      <c r="F55">
        <v>1</v>
      </c>
      <c r="G55">
        <v>27</v>
      </c>
      <c r="H55">
        <v>3</v>
      </c>
      <c r="I55" t="s">
        <v>299</v>
      </c>
      <c r="J55" t="s">
        <v>300</v>
      </c>
      <c r="K55" t="s">
        <v>301</v>
      </c>
      <c r="L55">
        <v>1339</v>
      </c>
      <c r="N55">
        <v>1007</v>
      </c>
      <c r="O55" t="s">
        <v>29</v>
      </c>
      <c r="P55" t="s">
        <v>29</v>
      </c>
      <c r="Q55">
        <v>1</v>
      </c>
      <c r="X55">
        <v>0.105</v>
      </c>
      <c r="Y55">
        <v>590.78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0.105</v>
      </c>
      <c r="AH55">
        <v>2</v>
      </c>
      <c r="AI55">
        <v>46607062</v>
      </c>
      <c r="AJ55">
        <v>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ROW(Source!A85)</f>
        <v>85</v>
      </c>
      <c r="B56">
        <v>46607067</v>
      </c>
      <c r="C56">
        <v>46607059</v>
      </c>
      <c r="D56">
        <v>45145636</v>
      </c>
      <c r="E56">
        <v>1</v>
      </c>
      <c r="F56">
        <v>1</v>
      </c>
      <c r="G56">
        <v>27</v>
      </c>
      <c r="H56">
        <v>3</v>
      </c>
      <c r="I56" t="s">
        <v>293</v>
      </c>
      <c r="J56" t="s">
        <v>294</v>
      </c>
      <c r="K56" t="s">
        <v>295</v>
      </c>
      <c r="L56">
        <v>1339</v>
      </c>
      <c r="N56">
        <v>1007</v>
      </c>
      <c r="O56" t="s">
        <v>29</v>
      </c>
      <c r="P56" t="s">
        <v>29</v>
      </c>
      <c r="Q56">
        <v>1</v>
      </c>
      <c r="X56">
        <v>0.01</v>
      </c>
      <c r="Y56">
        <v>35.25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0.01</v>
      </c>
      <c r="AH56">
        <v>2</v>
      </c>
      <c r="AI56">
        <v>46607063</v>
      </c>
      <c r="AJ56">
        <v>62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ROW(Source!A86)</f>
        <v>86</v>
      </c>
      <c r="B57">
        <v>46607084</v>
      </c>
      <c r="C57">
        <v>46607068</v>
      </c>
      <c r="D57">
        <v>45130551</v>
      </c>
      <c r="E57">
        <v>27</v>
      </c>
      <c r="F57">
        <v>1</v>
      </c>
      <c r="G57">
        <v>27</v>
      </c>
      <c r="H57">
        <v>1</v>
      </c>
      <c r="I57" t="s">
        <v>280</v>
      </c>
      <c r="J57" t="s">
        <v>3</v>
      </c>
      <c r="K57" t="s">
        <v>281</v>
      </c>
      <c r="L57">
        <v>1191</v>
      </c>
      <c r="N57">
        <v>1013</v>
      </c>
      <c r="O57" t="s">
        <v>282</v>
      </c>
      <c r="P57" t="s">
        <v>282</v>
      </c>
      <c r="Q57">
        <v>1</v>
      </c>
      <c r="X57">
        <v>205.85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3</v>
      </c>
      <c r="AG57">
        <v>205.85</v>
      </c>
      <c r="AH57">
        <v>2</v>
      </c>
      <c r="AI57">
        <v>46607069</v>
      </c>
      <c r="AJ57">
        <v>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ROW(Source!A86)</f>
        <v>86</v>
      </c>
      <c r="B58">
        <v>46607085</v>
      </c>
      <c r="C58">
        <v>46607068</v>
      </c>
      <c r="D58">
        <v>45143189</v>
      </c>
      <c r="E58">
        <v>1</v>
      </c>
      <c r="F58">
        <v>1</v>
      </c>
      <c r="G58">
        <v>27</v>
      </c>
      <c r="H58">
        <v>2</v>
      </c>
      <c r="I58" t="s">
        <v>302</v>
      </c>
      <c r="J58" t="s">
        <v>303</v>
      </c>
      <c r="K58" t="s">
        <v>304</v>
      </c>
      <c r="L58">
        <v>1368</v>
      </c>
      <c r="N58">
        <v>1011</v>
      </c>
      <c r="O58" t="s">
        <v>286</v>
      </c>
      <c r="P58" t="s">
        <v>286</v>
      </c>
      <c r="Q58">
        <v>1</v>
      </c>
      <c r="X58">
        <v>150</v>
      </c>
      <c r="Y58">
        <v>0</v>
      </c>
      <c r="Z58">
        <v>27.21</v>
      </c>
      <c r="AA58">
        <v>0.13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150</v>
      </c>
      <c r="AH58">
        <v>2</v>
      </c>
      <c r="AI58">
        <v>46607070</v>
      </c>
      <c r="AJ58">
        <v>64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ROW(Source!A86)</f>
        <v>86</v>
      </c>
      <c r="B59">
        <v>46607086</v>
      </c>
      <c r="C59">
        <v>46607068</v>
      </c>
      <c r="D59">
        <v>45143582</v>
      </c>
      <c r="E59">
        <v>1</v>
      </c>
      <c r="F59">
        <v>1</v>
      </c>
      <c r="G59">
        <v>27</v>
      </c>
      <c r="H59">
        <v>2</v>
      </c>
      <c r="I59" t="s">
        <v>305</v>
      </c>
      <c r="J59" t="s">
        <v>306</v>
      </c>
      <c r="K59" t="s">
        <v>307</v>
      </c>
      <c r="L59">
        <v>1368</v>
      </c>
      <c r="N59">
        <v>1011</v>
      </c>
      <c r="O59" t="s">
        <v>286</v>
      </c>
      <c r="P59" t="s">
        <v>286</v>
      </c>
      <c r="Q59">
        <v>1</v>
      </c>
      <c r="X59">
        <v>0.12</v>
      </c>
      <c r="Y59">
        <v>0</v>
      </c>
      <c r="Z59">
        <v>3.67</v>
      </c>
      <c r="AA59">
        <v>0.01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0.12</v>
      </c>
      <c r="AH59">
        <v>2</v>
      </c>
      <c r="AI59">
        <v>46607071</v>
      </c>
      <c r="AJ59">
        <v>65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ROW(Source!A86)</f>
        <v>86</v>
      </c>
      <c r="B60">
        <v>46607087</v>
      </c>
      <c r="C60">
        <v>46607068</v>
      </c>
      <c r="D60">
        <v>45142852</v>
      </c>
      <c r="E60">
        <v>1</v>
      </c>
      <c r="F60">
        <v>1</v>
      </c>
      <c r="G60">
        <v>27</v>
      </c>
      <c r="H60">
        <v>2</v>
      </c>
      <c r="I60" t="s">
        <v>308</v>
      </c>
      <c r="J60" t="s">
        <v>309</v>
      </c>
      <c r="K60" t="s">
        <v>310</v>
      </c>
      <c r="L60">
        <v>1368</v>
      </c>
      <c r="N60">
        <v>1011</v>
      </c>
      <c r="O60" t="s">
        <v>286</v>
      </c>
      <c r="P60" t="s">
        <v>286</v>
      </c>
      <c r="Q60">
        <v>1</v>
      </c>
      <c r="X60">
        <v>0.31</v>
      </c>
      <c r="Y60">
        <v>0</v>
      </c>
      <c r="Z60">
        <v>683.9</v>
      </c>
      <c r="AA60">
        <v>371.27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0.31</v>
      </c>
      <c r="AH60">
        <v>2</v>
      </c>
      <c r="AI60">
        <v>46607072</v>
      </c>
      <c r="AJ60">
        <v>66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ROW(Source!A86)</f>
        <v>86</v>
      </c>
      <c r="B61">
        <v>46607088</v>
      </c>
      <c r="C61">
        <v>46607068</v>
      </c>
      <c r="D61">
        <v>45143022</v>
      </c>
      <c r="E61">
        <v>1</v>
      </c>
      <c r="F61">
        <v>1</v>
      </c>
      <c r="G61">
        <v>27</v>
      </c>
      <c r="H61">
        <v>2</v>
      </c>
      <c r="I61" t="s">
        <v>311</v>
      </c>
      <c r="J61" t="s">
        <v>312</v>
      </c>
      <c r="K61" t="s">
        <v>313</v>
      </c>
      <c r="L61">
        <v>1368</v>
      </c>
      <c r="N61">
        <v>1011</v>
      </c>
      <c r="O61" t="s">
        <v>286</v>
      </c>
      <c r="P61" t="s">
        <v>286</v>
      </c>
      <c r="Q61">
        <v>1</v>
      </c>
      <c r="X61">
        <v>11.25</v>
      </c>
      <c r="Y61">
        <v>0</v>
      </c>
      <c r="Z61">
        <v>10.82</v>
      </c>
      <c r="AA61">
        <v>2.97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11.25</v>
      </c>
      <c r="AH61">
        <v>2</v>
      </c>
      <c r="AI61">
        <v>46607073</v>
      </c>
      <c r="AJ61">
        <v>67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ROW(Source!A86)</f>
        <v>86</v>
      </c>
      <c r="B62">
        <v>46607089</v>
      </c>
      <c r="C62">
        <v>46607068</v>
      </c>
      <c r="D62">
        <v>45144711</v>
      </c>
      <c r="E62">
        <v>1</v>
      </c>
      <c r="F62">
        <v>1</v>
      </c>
      <c r="G62">
        <v>27</v>
      </c>
      <c r="H62">
        <v>3</v>
      </c>
      <c r="I62" t="s">
        <v>314</v>
      </c>
      <c r="J62" t="s">
        <v>315</v>
      </c>
      <c r="K62" t="s">
        <v>316</v>
      </c>
      <c r="L62">
        <v>1348</v>
      </c>
      <c r="N62">
        <v>1009</v>
      </c>
      <c r="O62" t="s">
        <v>65</v>
      </c>
      <c r="P62" t="s">
        <v>65</v>
      </c>
      <c r="Q62">
        <v>1000</v>
      </c>
      <c r="X62">
        <v>2E-3</v>
      </c>
      <c r="Y62">
        <v>49736.04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2E-3</v>
      </c>
      <c r="AH62">
        <v>2</v>
      </c>
      <c r="AI62">
        <v>46607074</v>
      </c>
      <c r="AJ62">
        <v>68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ROW(Source!A86)</f>
        <v>86</v>
      </c>
      <c r="B63">
        <v>46607091</v>
      </c>
      <c r="C63">
        <v>46607068</v>
      </c>
      <c r="D63">
        <v>45145459</v>
      </c>
      <c r="E63">
        <v>1</v>
      </c>
      <c r="F63">
        <v>1</v>
      </c>
      <c r="G63">
        <v>27</v>
      </c>
      <c r="H63">
        <v>3</v>
      </c>
      <c r="I63" t="s">
        <v>317</v>
      </c>
      <c r="J63" t="s">
        <v>318</v>
      </c>
      <c r="K63" t="s">
        <v>319</v>
      </c>
      <c r="L63">
        <v>1327</v>
      </c>
      <c r="N63">
        <v>1005</v>
      </c>
      <c r="O63" t="s">
        <v>40</v>
      </c>
      <c r="P63" t="s">
        <v>40</v>
      </c>
      <c r="Q63">
        <v>1</v>
      </c>
      <c r="X63">
        <v>30</v>
      </c>
      <c r="Y63">
        <v>91.89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30</v>
      </c>
      <c r="AH63">
        <v>2</v>
      </c>
      <c r="AI63">
        <v>46607076</v>
      </c>
      <c r="AJ63">
        <v>69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ROW(Source!A86)</f>
        <v>86</v>
      </c>
      <c r="B64">
        <v>46607092</v>
      </c>
      <c r="C64">
        <v>46607068</v>
      </c>
      <c r="D64">
        <v>45145543</v>
      </c>
      <c r="E64">
        <v>1</v>
      </c>
      <c r="F64">
        <v>1</v>
      </c>
      <c r="G64">
        <v>27</v>
      </c>
      <c r="H64">
        <v>3</v>
      </c>
      <c r="I64" t="s">
        <v>320</v>
      </c>
      <c r="J64" t="s">
        <v>321</v>
      </c>
      <c r="K64" t="s">
        <v>322</v>
      </c>
      <c r="L64">
        <v>1348</v>
      </c>
      <c r="N64">
        <v>1009</v>
      </c>
      <c r="O64" t="s">
        <v>65</v>
      </c>
      <c r="P64" t="s">
        <v>65</v>
      </c>
      <c r="Q64">
        <v>1000</v>
      </c>
      <c r="X64">
        <v>0.16</v>
      </c>
      <c r="Y64">
        <v>110781.14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0.16</v>
      </c>
      <c r="AH64">
        <v>2</v>
      </c>
      <c r="AI64">
        <v>46607077</v>
      </c>
      <c r="AJ64">
        <v>70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ROW(Source!A86)</f>
        <v>86</v>
      </c>
      <c r="B65">
        <v>46607090</v>
      </c>
      <c r="C65">
        <v>46607068</v>
      </c>
      <c r="D65">
        <v>45143830</v>
      </c>
      <c r="E65">
        <v>1</v>
      </c>
      <c r="F65">
        <v>1</v>
      </c>
      <c r="G65">
        <v>27</v>
      </c>
      <c r="H65">
        <v>3</v>
      </c>
      <c r="I65" t="s">
        <v>323</v>
      </c>
      <c r="J65" t="s">
        <v>324</v>
      </c>
      <c r="K65" t="s">
        <v>325</v>
      </c>
      <c r="L65">
        <v>1348</v>
      </c>
      <c r="N65">
        <v>1009</v>
      </c>
      <c r="O65" t="s">
        <v>65</v>
      </c>
      <c r="P65" t="s">
        <v>65</v>
      </c>
      <c r="Q65">
        <v>1000</v>
      </c>
      <c r="X65">
        <v>0.01</v>
      </c>
      <c r="Y65">
        <v>4752.34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0.01</v>
      </c>
      <c r="AH65">
        <v>2</v>
      </c>
      <c r="AI65">
        <v>46607075</v>
      </c>
      <c r="AJ65">
        <v>71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ROW(Source!A86)</f>
        <v>86</v>
      </c>
      <c r="B66">
        <v>46607093</v>
      </c>
      <c r="C66">
        <v>46607068</v>
      </c>
      <c r="D66">
        <v>45145636</v>
      </c>
      <c r="E66">
        <v>1</v>
      </c>
      <c r="F66">
        <v>1</v>
      </c>
      <c r="G66">
        <v>27</v>
      </c>
      <c r="H66">
        <v>3</v>
      </c>
      <c r="I66" t="s">
        <v>293</v>
      </c>
      <c r="J66" t="s">
        <v>294</v>
      </c>
      <c r="K66" t="s">
        <v>295</v>
      </c>
      <c r="L66">
        <v>1339</v>
      </c>
      <c r="N66">
        <v>1007</v>
      </c>
      <c r="O66" t="s">
        <v>29</v>
      </c>
      <c r="P66" t="s">
        <v>29</v>
      </c>
      <c r="Q66">
        <v>1</v>
      </c>
      <c r="X66">
        <v>0.73</v>
      </c>
      <c r="Y66">
        <v>35.25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0.73</v>
      </c>
      <c r="AH66">
        <v>2</v>
      </c>
      <c r="AI66">
        <v>46607078</v>
      </c>
      <c r="AJ66">
        <v>72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ROW(Source!A86)</f>
        <v>86</v>
      </c>
      <c r="B67">
        <v>46607094</v>
      </c>
      <c r="C67">
        <v>46607068</v>
      </c>
      <c r="D67">
        <v>45144338</v>
      </c>
      <c r="E67">
        <v>1</v>
      </c>
      <c r="F67">
        <v>1</v>
      </c>
      <c r="G67">
        <v>27</v>
      </c>
      <c r="H67">
        <v>3</v>
      </c>
      <c r="I67" t="s">
        <v>326</v>
      </c>
      <c r="J67" t="s">
        <v>327</v>
      </c>
      <c r="K67" t="s">
        <v>328</v>
      </c>
      <c r="L67">
        <v>1339</v>
      </c>
      <c r="N67">
        <v>1007</v>
      </c>
      <c r="O67" t="s">
        <v>29</v>
      </c>
      <c r="P67" t="s">
        <v>29</v>
      </c>
      <c r="Q67">
        <v>1</v>
      </c>
      <c r="X67">
        <v>0.04</v>
      </c>
      <c r="Y67">
        <v>7098.7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0.04</v>
      </c>
      <c r="AH67">
        <v>2</v>
      </c>
      <c r="AI67">
        <v>46607079</v>
      </c>
      <c r="AJ67">
        <v>73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ROW(Source!A86)</f>
        <v>86</v>
      </c>
      <c r="B68">
        <v>46607095</v>
      </c>
      <c r="C68">
        <v>46607068</v>
      </c>
      <c r="D68">
        <v>45146605</v>
      </c>
      <c r="E68">
        <v>1</v>
      </c>
      <c r="F68">
        <v>1</v>
      </c>
      <c r="G68">
        <v>27</v>
      </c>
      <c r="H68">
        <v>3</v>
      </c>
      <c r="I68" t="s">
        <v>55</v>
      </c>
      <c r="J68" t="s">
        <v>57</v>
      </c>
      <c r="K68" t="s">
        <v>56</v>
      </c>
      <c r="L68">
        <v>1339</v>
      </c>
      <c r="N68">
        <v>1007</v>
      </c>
      <c r="O68" t="s">
        <v>29</v>
      </c>
      <c r="P68" t="s">
        <v>29</v>
      </c>
      <c r="Q68">
        <v>1</v>
      </c>
      <c r="X68">
        <v>101.5</v>
      </c>
      <c r="Y68">
        <v>3714.73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101.5</v>
      </c>
      <c r="AH68">
        <v>2</v>
      </c>
      <c r="AI68">
        <v>46607080</v>
      </c>
      <c r="AJ68">
        <v>74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ROW(Source!A86)</f>
        <v>86</v>
      </c>
      <c r="B69">
        <v>46607096</v>
      </c>
      <c r="C69">
        <v>46607068</v>
      </c>
      <c r="D69">
        <v>45146856</v>
      </c>
      <c r="E69">
        <v>1</v>
      </c>
      <c r="F69">
        <v>1</v>
      </c>
      <c r="G69">
        <v>27</v>
      </c>
      <c r="H69">
        <v>3</v>
      </c>
      <c r="I69" t="s">
        <v>329</v>
      </c>
      <c r="J69" t="s">
        <v>330</v>
      </c>
      <c r="K69" t="s">
        <v>331</v>
      </c>
      <c r="L69">
        <v>1348</v>
      </c>
      <c r="N69">
        <v>1009</v>
      </c>
      <c r="O69" t="s">
        <v>65</v>
      </c>
      <c r="P69" t="s">
        <v>65</v>
      </c>
      <c r="Q69">
        <v>1000</v>
      </c>
      <c r="X69">
        <v>8.1</v>
      </c>
      <c r="Y69">
        <v>34634.379999999997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8.1</v>
      </c>
      <c r="AH69">
        <v>2</v>
      </c>
      <c r="AI69">
        <v>46607082</v>
      </c>
      <c r="AJ69">
        <v>76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ROW(Source!A86)</f>
        <v>86</v>
      </c>
      <c r="B70">
        <v>46607097</v>
      </c>
      <c r="C70">
        <v>46607068</v>
      </c>
      <c r="D70">
        <v>45148767</v>
      </c>
      <c r="E70">
        <v>1</v>
      </c>
      <c r="F70">
        <v>1</v>
      </c>
      <c r="G70">
        <v>27</v>
      </c>
      <c r="H70">
        <v>3</v>
      </c>
      <c r="I70" t="s">
        <v>332</v>
      </c>
      <c r="J70" t="s">
        <v>333</v>
      </c>
      <c r="K70" t="s">
        <v>334</v>
      </c>
      <c r="L70">
        <v>1327</v>
      </c>
      <c r="N70">
        <v>1005</v>
      </c>
      <c r="O70" t="s">
        <v>40</v>
      </c>
      <c r="P70" t="s">
        <v>40</v>
      </c>
      <c r="Q70">
        <v>1</v>
      </c>
      <c r="X70">
        <v>3.6</v>
      </c>
      <c r="Y70">
        <v>473.82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3.6</v>
      </c>
      <c r="AH70">
        <v>2</v>
      </c>
      <c r="AI70">
        <v>46607083</v>
      </c>
      <c r="AJ70">
        <v>77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ROW(Source!A89)</f>
        <v>89</v>
      </c>
      <c r="B71">
        <v>46607114</v>
      </c>
      <c r="C71">
        <v>46607100</v>
      </c>
      <c r="D71">
        <v>45130551</v>
      </c>
      <c r="E71">
        <v>27</v>
      </c>
      <c r="F71">
        <v>1</v>
      </c>
      <c r="G71">
        <v>27</v>
      </c>
      <c r="H71">
        <v>1</v>
      </c>
      <c r="I71" t="s">
        <v>280</v>
      </c>
      <c r="J71" t="s">
        <v>3</v>
      </c>
      <c r="K71" t="s">
        <v>281</v>
      </c>
      <c r="L71">
        <v>1191</v>
      </c>
      <c r="N71">
        <v>1013</v>
      </c>
      <c r="O71" t="s">
        <v>282</v>
      </c>
      <c r="P71" t="s">
        <v>282</v>
      </c>
      <c r="Q71">
        <v>1</v>
      </c>
      <c r="X71">
        <v>2.97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 t="s">
        <v>3</v>
      </c>
      <c r="AG71">
        <v>2.97</v>
      </c>
      <c r="AH71">
        <v>2</v>
      </c>
      <c r="AI71">
        <v>46607101</v>
      </c>
      <c r="AJ71">
        <v>78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ROW(Source!A89)</f>
        <v>89</v>
      </c>
      <c r="B72">
        <v>46607115</v>
      </c>
      <c r="C72">
        <v>46607100</v>
      </c>
      <c r="D72">
        <v>45143190</v>
      </c>
      <c r="E72">
        <v>1</v>
      </c>
      <c r="F72">
        <v>1</v>
      </c>
      <c r="G72">
        <v>27</v>
      </c>
      <c r="H72">
        <v>2</v>
      </c>
      <c r="I72" t="s">
        <v>335</v>
      </c>
      <c r="J72" t="s">
        <v>336</v>
      </c>
      <c r="K72" t="s">
        <v>337</v>
      </c>
      <c r="L72">
        <v>1368</v>
      </c>
      <c r="N72">
        <v>1011</v>
      </c>
      <c r="O72" t="s">
        <v>286</v>
      </c>
      <c r="P72" t="s">
        <v>286</v>
      </c>
      <c r="Q72">
        <v>1</v>
      </c>
      <c r="X72">
        <v>0.38400000000000001</v>
      </c>
      <c r="Y72">
        <v>0</v>
      </c>
      <c r="Z72">
        <v>351.29</v>
      </c>
      <c r="AA72">
        <v>7.02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0.38400000000000001</v>
      </c>
      <c r="AH72">
        <v>2</v>
      </c>
      <c r="AI72">
        <v>46607102</v>
      </c>
      <c r="AJ72">
        <v>79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ROW(Source!A89)</f>
        <v>89</v>
      </c>
      <c r="B73">
        <v>46607116</v>
      </c>
      <c r="C73">
        <v>46607100</v>
      </c>
      <c r="D73">
        <v>45143575</v>
      </c>
      <c r="E73">
        <v>1</v>
      </c>
      <c r="F73">
        <v>1</v>
      </c>
      <c r="G73">
        <v>27</v>
      </c>
      <c r="H73">
        <v>2</v>
      </c>
      <c r="I73" t="s">
        <v>338</v>
      </c>
      <c r="J73" t="s">
        <v>339</v>
      </c>
      <c r="K73" t="s">
        <v>340</v>
      </c>
      <c r="L73">
        <v>1368</v>
      </c>
      <c r="N73">
        <v>1011</v>
      </c>
      <c r="O73" t="s">
        <v>286</v>
      </c>
      <c r="P73" t="s">
        <v>286</v>
      </c>
      <c r="Q73">
        <v>1</v>
      </c>
      <c r="X73">
        <v>0.115</v>
      </c>
      <c r="Y73">
        <v>0</v>
      </c>
      <c r="Z73">
        <v>5.94</v>
      </c>
      <c r="AA73">
        <v>0.02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0.115</v>
      </c>
      <c r="AH73">
        <v>2</v>
      </c>
      <c r="AI73">
        <v>46607103</v>
      </c>
      <c r="AJ73">
        <v>80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ROW(Source!A89)</f>
        <v>89</v>
      </c>
      <c r="B74">
        <v>46607117</v>
      </c>
      <c r="C74">
        <v>46607100</v>
      </c>
      <c r="D74">
        <v>45143598</v>
      </c>
      <c r="E74">
        <v>1</v>
      </c>
      <c r="F74">
        <v>1</v>
      </c>
      <c r="G74">
        <v>27</v>
      </c>
      <c r="H74">
        <v>2</v>
      </c>
      <c r="I74" t="s">
        <v>341</v>
      </c>
      <c r="J74" t="s">
        <v>342</v>
      </c>
      <c r="K74" t="s">
        <v>343</v>
      </c>
      <c r="L74">
        <v>1368</v>
      </c>
      <c r="N74">
        <v>1011</v>
      </c>
      <c r="O74" t="s">
        <v>286</v>
      </c>
      <c r="P74" t="s">
        <v>286</v>
      </c>
      <c r="Q74">
        <v>1</v>
      </c>
      <c r="X74">
        <v>0.504</v>
      </c>
      <c r="Y74">
        <v>0</v>
      </c>
      <c r="Z74">
        <v>652.16</v>
      </c>
      <c r="AA74">
        <v>581.9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0.504</v>
      </c>
      <c r="AH74">
        <v>2</v>
      </c>
      <c r="AI74">
        <v>46607104</v>
      </c>
      <c r="AJ74">
        <v>81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ROW(Source!A89)</f>
        <v>89</v>
      </c>
      <c r="B75">
        <v>46607118</v>
      </c>
      <c r="C75">
        <v>46607100</v>
      </c>
      <c r="D75">
        <v>45144555</v>
      </c>
      <c r="E75">
        <v>1</v>
      </c>
      <c r="F75">
        <v>1</v>
      </c>
      <c r="G75">
        <v>27</v>
      </c>
      <c r="H75">
        <v>3</v>
      </c>
      <c r="I75" t="s">
        <v>344</v>
      </c>
      <c r="J75" t="s">
        <v>345</v>
      </c>
      <c r="K75" t="s">
        <v>346</v>
      </c>
      <c r="L75">
        <v>1348</v>
      </c>
      <c r="N75">
        <v>1009</v>
      </c>
      <c r="O75" t="s">
        <v>65</v>
      </c>
      <c r="P75" t="s">
        <v>65</v>
      </c>
      <c r="Q75">
        <v>1000</v>
      </c>
      <c r="X75">
        <v>1.01E-3</v>
      </c>
      <c r="Y75">
        <v>38268.54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1.01E-3</v>
      </c>
      <c r="AH75">
        <v>2</v>
      </c>
      <c r="AI75">
        <v>46607106</v>
      </c>
      <c r="AJ75">
        <v>83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ROW(Source!A89)</f>
        <v>89</v>
      </c>
      <c r="B76">
        <v>46607119</v>
      </c>
      <c r="C76">
        <v>46607100</v>
      </c>
      <c r="D76">
        <v>45144413</v>
      </c>
      <c r="E76">
        <v>1</v>
      </c>
      <c r="F76">
        <v>1</v>
      </c>
      <c r="G76">
        <v>27</v>
      </c>
      <c r="H76">
        <v>3</v>
      </c>
      <c r="I76" t="s">
        <v>84</v>
      </c>
      <c r="J76" t="s">
        <v>86</v>
      </c>
      <c r="K76" t="s">
        <v>85</v>
      </c>
      <c r="L76">
        <v>1348</v>
      </c>
      <c r="N76">
        <v>1009</v>
      </c>
      <c r="O76" t="s">
        <v>65</v>
      </c>
      <c r="P76" t="s">
        <v>65</v>
      </c>
      <c r="Q76">
        <v>1000</v>
      </c>
      <c r="X76">
        <v>0.14899999999999999</v>
      </c>
      <c r="Y76">
        <v>37537.54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0.14899999999999999</v>
      </c>
      <c r="AH76">
        <v>2</v>
      </c>
      <c r="AI76">
        <v>46607107</v>
      </c>
      <c r="AJ76">
        <v>84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ROW(Source!A89)</f>
        <v>89</v>
      </c>
      <c r="B77">
        <v>46607120</v>
      </c>
      <c r="C77">
        <v>46607100</v>
      </c>
      <c r="D77">
        <v>45145543</v>
      </c>
      <c r="E77">
        <v>1</v>
      </c>
      <c r="F77">
        <v>1</v>
      </c>
      <c r="G77">
        <v>27</v>
      </c>
      <c r="H77">
        <v>3</v>
      </c>
      <c r="I77" t="s">
        <v>320</v>
      </c>
      <c r="J77" t="s">
        <v>321</v>
      </c>
      <c r="K77" t="s">
        <v>322</v>
      </c>
      <c r="L77">
        <v>1348</v>
      </c>
      <c r="N77">
        <v>1009</v>
      </c>
      <c r="O77" t="s">
        <v>65</v>
      </c>
      <c r="P77" t="s">
        <v>65</v>
      </c>
      <c r="Q77">
        <v>1000</v>
      </c>
      <c r="X77">
        <v>5.0000000000000001E-4</v>
      </c>
      <c r="Y77">
        <v>110781.14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5.0000000000000001E-4</v>
      </c>
      <c r="AH77">
        <v>2</v>
      </c>
      <c r="AI77">
        <v>46607110</v>
      </c>
      <c r="AJ77">
        <v>87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ROW(Source!A89)</f>
        <v>89</v>
      </c>
      <c r="B78">
        <v>46607121</v>
      </c>
      <c r="C78">
        <v>46607100</v>
      </c>
      <c r="D78">
        <v>45147864</v>
      </c>
      <c r="E78">
        <v>1</v>
      </c>
      <c r="F78">
        <v>1</v>
      </c>
      <c r="G78">
        <v>27</v>
      </c>
      <c r="H78">
        <v>3</v>
      </c>
      <c r="I78" t="s">
        <v>347</v>
      </c>
      <c r="J78" t="s">
        <v>348</v>
      </c>
      <c r="K78" t="s">
        <v>349</v>
      </c>
      <c r="L78">
        <v>1354</v>
      </c>
      <c r="N78">
        <v>1010</v>
      </c>
      <c r="O78" t="s">
        <v>350</v>
      </c>
      <c r="P78" t="s">
        <v>350</v>
      </c>
      <c r="Q78">
        <v>1</v>
      </c>
      <c r="X78">
        <v>1.4E-2</v>
      </c>
      <c r="Y78">
        <v>16.54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1.4E-2</v>
      </c>
      <c r="AH78">
        <v>2</v>
      </c>
      <c r="AI78">
        <v>46607111</v>
      </c>
      <c r="AJ78">
        <v>88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ROW(Source!A96)</f>
        <v>96</v>
      </c>
      <c r="B79">
        <v>46607135</v>
      </c>
      <c r="C79">
        <v>46607128</v>
      </c>
      <c r="D79">
        <v>45130551</v>
      </c>
      <c r="E79">
        <v>27</v>
      </c>
      <c r="F79">
        <v>1</v>
      </c>
      <c r="G79">
        <v>27</v>
      </c>
      <c r="H79">
        <v>1</v>
      </c>
      <c r="I79" t="s">
        <v>280</v>
      </c>
      <c r="J79" t="s">
        <v>3</v>
      </c>
      <c r="K79" t="s">
        <v>281</v>
      </c>
      <c r="L79">
        <v>1191</v>
      </c>
      <c r="N79">
        <v>1013</v>
      </c>
      <c r="O79" t="s">
        <v>282</v>
      </c>
      <c r="P79" t="s">
        <v>282</v>
      </c>
      <c r="Q79">
        <v>1</v>
      </c>
      <c r="X79">
        <v>6.11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 t="s">
        <v>3</v>
      </c>
      <c r="AG79">
        <v>6.11</v>
      </c>
      <c r="AH79">
        <v>2</v>
      </c>
      <c r="AI79">
        <v>46607129</v>
      </c>
      <c r="AJ79">
        <v>91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ROW(Source!A96)</f>
        <v>96</v>
      </c>
      <c r="B80">
        <v>46607136</v>
      </c>
      <c r="C80">
        <v>46607128</v>
      </c>
      <c r="D80">
        <v>45143099</v>
      </c>
      <c r="E80">
        <v>1</v>
      </c>
      <c r="F80">
        <v>1</v>
      </c>
      <c r="G80">
        <v>27</v>
      </c>
      <c r="H80">
        <v>2</v>
      </c>
      <c r="I80" t="s">
        <v>351</v>
      </c>
      <c r="J80" t="s">
        <v>352</v>
      </c>
      <c r="K80" t="s">
        <v>353</v>
      </c>
      <c r="L80">
        <v>1368</v>
      </c>
      <c r="N80">
        <v>1011</v>
      </c>
      <c r="O80" t="s">
        <v>286</v>
      </c>
      <c r="P80" t="s">
        <v>286</v>
      </c>
      <c r="Q80">
        <v>1</v>
      </c>
      <c r="X80">
        <v>1.4</v>
      </c>
      <c r="Y80">
        <v>0</v>
      </c>
      <c r="Z80">
        <v>98.05</v>
      </c>
      <c r="AA80">
        <v>33.06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1.4</v>
      </c>
      <c r="AH80">
        <v>2</v>
      </c>
      <c r="AI80">
        <v>46607130</v>
      </c>
      <c r="AJ80">
        <v>92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ROW(Source!A96)</f>
        <v>96</v>
      </c>
      <c r="B81">
        <v>46607137</v>
      </c>
      <c r="C81">
        <v>46607128</v>
      </c>
      <c r="D81">
        <v>45142852</v>
      </c>
      <c r="E81">
        <v>1</v>
      </c>
      <c r="F81">
        <v>1</v>
      </c>
      <c r="G81">
        <v>27</v>
      </c>
      <c r="H81">
        <v>2</v>
      </c>
      <c r="I81" t="s">
        <v>308</v>
      </c>
      <c r="J81" t="s">
        <v>309</v>
      </c>
      <c r="K81" t="s">
        <v>310</v>
      </c>
      <c r="L81">
        <v>1368</v>
      </c>
      <c r="N81">
        <v>1011</v>
      </c>
      <c r="O81" t="s">
        <v>286</v>
      </c>
      <c r="P81" t="s">
        <v>286</v>
      </c>
      <c r="Q81">
        <v>1</v>
      </c>
      <c r="X81">
        <v>0.01</v>
      </c>
      <c r="Y81">
        <v>0</v>
      </c>
      <c r="Z81">
        <v>683.9</v>
      </c>
      <c r="AA81">
        <v>371.27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0.01</v>
      </c>
      <c r="AH81">
        <v>2</v>
      </c>
      <c r="AI81">
        <v>46607131</v>
      </c>
      <c r="AJ81">
        <v>93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ROW(Source!A96)</f>
        <v>96</v>
      </c>
      <c r="B82">
        <v>46607138</v>
      </c>
      <c r="C82">
        <v>46607128</v>
      </c>
      <c r="D82">
        <v>45142866</v>
      </c>
      <c r="E82">
        <v>1</v>
      </c>
      <c r="F82">
        <v>1</v>
      </c>
      <c r="G82">
        <v>27</v>
      </c>
      <c r="H82">
        <v>2</v>
      </c>
      <c r="I82" t="s">
        <v>354</v>
      </c>
      <c r="J82" t="s">
        <v>355</v>
      </c>
      <c r="K82" t="s">
        <v>356</v>
      </c>
      <c r="L82">
        <v>1368</v>
      </c>
      <c r="N82">
        <v>1011</v>
      </c>
      <c r="O82" t="s">
        <v>286</v>
      </c>
      <c r="P82" t="s">
        <v>286</v>
      </c>
      <c r="Q82">
        <v>1</v>
      </c>
      <c r="X82">
        <v>0.01</v>
      </c>
      <c r="Y82">
        <v>0</v>
      </c>
      <c r="Z82">
        <v>16.920000000000002</v>
      </c>
      <c r="AA82">
        <v>0.09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0.01</v>
      </c>
      <c r="AH82">
        <v>2</v>
      </c>
      <c r="AI82">
        <v>46607132</v>
      </c>
      <c r="AJ82">
        <v>94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ROW(Source!A96)</f>
        <v>96</v>
      </c>
      <c r="B83">
        <v>46607139</v>
      </c>
      <c r="C83">
        <v>46607128</v>
      </c>
      <c r="D83">
        <v>45131998</v>
      </c>
      <c r="E83">
        <v>27</v>
      </c>
      <c r="F83">
        <v>1</v>
      </c>
      <c r="G83">
        <v>27</v>
      </c>
      <c r="H83">
        <v>3</v>
      </c>
      <c r="I83" t="s">
        <v>357</v>
      </c>
      <c r="J83" t="s">
        <v>3</v>
      </c>
      <c r="K83" t="s">
        <v>358</v>
      </c>
      <c r="L83">
        <v>1346</v>
      </c>
      <c r="N83">
        <v>1009</v>
      </c>
      <c r="O83" t="s">
        <v>359</v>
      </c>
      <c r="P83" t="s">
        <v>359</v>
      </c>
      <c r="Q83">
        <v>1</v>
      </c>
      <c r="X83">
        <v>1.5</v>
      </c>
      <c r="Y83">
        <v>99.303030000000007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1.5</v>
      </c>
      <c r="AH83">
        <v>2</v>
      </c>
      <c r="AI83">
        <v>46607133</v>
      </c>
      <c r="AJ83">
        <v>95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ROW(Source!A96)</f>
        <v>96</v>
      </c>
      <c r="B84">
        <v>46607140</v>
      </c>
      <c r="C84">
        <v>46607128</v>
      </c>
      <c r="D84">
        <v>45144050</v>
      </c>
      <c r="E84">
        <v>1</v>
      </c>
      <c r="F84">
        <v>1</v>
      </c>
      <c r="G84">
        <v>27</v>
      </c>
      <c r="H84">
        <v>3</v>
      </c>
      <c r="I84" t="s">
        <v>360</v>
      </c>
      <c r="J84" t="s">
        <v>361</v>
      </c>
      <c r="K84" t="s">
        <v>362</v>
      </c>
      <c r="L84">
        <v>1348</v>
      </c>
      <c r="N84">
        <v>1009</v>
      </c>
      <c r="O84" t="s">
        <v>65</v>
      </c>
      <c r="P84" t="s">
        <v>65</v>
      </c>
      <c r="Q84">
        <v>1000</v>
      </c>
      <c r="X84">
        <v>8.9999999999999993E-3</v>
      </c>
      <c r="Y84">
        <v>97017.58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8.9999999999999993E-3</v>
      </c>
      <c r="AH84">
        <v>2</v>
      </c>
      <c r="AI84">
        <v>46607134</v>
      </c>
      <c r="AJ84">
        <v>96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ROW(Source!A97)</f>
        <v>97</v>
      </c>
      <c r="B85">
        <v>46607146</v>
      </c>
      <c r="C85">
        <v>46607141</v>
      </c>
      <c r="D85">
        <v>45130551</v>
      </c>
      <c r="E85">
        <v>27</v>
      </c>
      <c r="F85">
        <v>1</v>
      </c>
      <c r="G85">
        <v>27</v>
      </c>
      <c r="H85">
        <v>1</v>
      </c>
      <c r="I85" t="s">
        <v>280</v>
      </c>
      <c r="J85" t="s">
        <v>3</v>
      </c>
      <c r="K85" t="s">
        <v>281</v>
      </c>
      <c r="L85">
        <v>1191</v>
      </c>
      <c r="N85">
        <v>1013</v>
      </c>
      <c r="O85" t="s">
        <v>282</v>
      </c>
      <c r="P85" t="s">
        <v>282</v>
      </c>
      <c r="Q85">
        <v>1</v>
      </c>
      <c r="X85">
        <v>2.4500000000000002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 t="s">
        <v>3</v>
      </c>
      <c r="AG85">
        <v>2.4500000000000002</v>
      </c>
      <c r="AH85">
        <v>2</v>
      </c>
      <c r="AI85">
        <v>46607142</v>
      </c>
      <c r="AJ85">
        <v>97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ROW(Source!A97)</f>
        <v>97</v>
      </c>
      <c r="B86">
        <v>46607147</v>
      </c>
      <c r="C86">
        <v>46607141</v>
      </c>
      <c r="D86">
        <v>45142852</v>
      </c>
      <c r="E86">
        <v>1</v>
      </c>
      <c r="F86">
        <v>1</v>
      </c>
      <c r="G86">
        <v>27</v>
      </c>
      <c r="H86">
        <v>2</v>
      </c>
      <c r="I86" t="s">
        <v>308</v>
      </c>
      <c r="J86" t="s">
        <v>309</v>
      </c>
      <c r="K86" t="s">
        <v>310</v>
      </c>
      <c r="L86">
        <v>1368</v>
      </c>
      <c r="N86">
        <v>1011</v>
      </c>
      <c r="O86" t="s">
        <v>286</v>
      </c>
      <c r="P86" t="s">
        <v>286</v>
      </c>
      <c r="Q86">
        <v>1</v>
      </c>
      <c r="X86">
        <v>0.01</v>
      </c>
      <c r="Y86">
        <v>0</v>
      </c>
      <c r="Z86">
        <v>683.9</v>
      </c>
      <c r="AA86">
        <v>371.27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0.01</v>
      </c>
      <c r="AH86">
        <v>2</v>
      </c>
      <c r="AI86">
        <v>46607143</v>
      </c>
      <c r="AJ86">
        <v>98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ROW(Source!A97)</f>
        <v>97</v>
      </c>
      <c r="B87">
        <v>46607148</v>
      </c>
      <c r="C87">
        <v>46607141</v>
      </c>
      <c r="D87">
        <v>45144148</v>
      </c>
      <c r="E87">
        <v>1</v>
      </c>
      <c r="F87">
        <v>1</v>
      </c>
      <c r="G87">
        <v>27</v>
      </c>
      <c r="H87">
        <v>3</v>
      </c>
      <c r="I87" t="s">
        <v>363</v>
      </c>
      <c r="J87" t="s">
        <v>364</v>
      </c>
      <c r="K87" t="s">
        <v>365</v>
      </c>
      <c r="L87">
        <v>1348</v>
      </c>
      <c r="N87">
        <v>1009</v>
      </c>
      <c r="O87" t="s">
        <v>65</v>
      </c>
      <c r="P87" t="s">
        <v>65</v>
      </c>
      <c r="Q87">
        <v>1000</v>
      </c>
      <c r="X87">
        <v>1.48E-3</v>
      </c>
      <c r="Y87">
        <v>63195.54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1.48E-3</v>
      </c>
      <c r="AH87">
        <v>2</v>
      </c>
      <c r="AI87">
        <v>46607144</v>
      </c>
      <c r="AJ87">
        <v>99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ROW(Source!A97)</f>
        <v>97</v>
      </c>
      <c r="B88">
        <v>46607149</v>
      </c>
      <c r="C88">
        <v>46607141</v>
      </c>
      <c r="D88">
        <v>45144173</v>
      </c>
      <c r="E88">
        <v>1</v>
      </c>
      <c r="F88">
        <v>1</v>
      </c>
      <c r="G88">
        <v>27</v>
      </c>
      <c r="H88">
        <v>3</v>
      </c>
      <c r="I88" t="s">
        <v>366</v>
      </c>
      <c r="J88" t="s">
        <v>367</v>
      </c>
      <c r="K88" t="s">
        <v>368</v>
      </c>
      <c r="L88">
        <v>1346</v>
      </c>
      <c r="N88">
        <v>1009</v>
      </c>
      <c r="O88" t="s">
        <v>359</v>
      </c>
      <c r="P88" t="s">
        <v>359</v>
      </c>
      <c r="Q88">
        <v>1</v>
      </c>
      <c r="X88">
        <v>9</v>
      </c>
      <c r="Y88">
        <v>105.32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9</v>
      </c>
      <c r="AH88">
        <v>2</v>
      </c>
      <c r="AI88">
        <v>46607145</v>
      </c>
      <c r="AJ88">
        <v>100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ROW(Source!A132)</f>
        <v>132</v>
      </c>
      <c r="B89">
        <v>46607225</v>
      </c>
      <c r="C89">
        <v>46607216</v>
      </c>
      <c r="D89">
        <v>45130551</v>
      </c>
      <c r="E89">
        <v>27</v>
      </c>
      <c r="F89">
        <v>1</v>
      </c>
      <c r="G89">
        <v>27</v>
      </c>
      <c r="H89">
        <v>1</v>
      </c>
      <c r="I89" t="s">
        <v>280</v>
      </c>
      <c r="J89" t="s">
        <v>3</v>
      </c>
      <c r="K89" t="s">
        <v>281</v>
      </c>
      <c r="L89">
        <v>1191</v>
      </c>
      <c r="N89">
        <v>1013</v>
      </c>
      <c r="O89" t="s">
        <v>282</v>
      </c>
      <c r="P89" t="s">
        <v>282</v>
      </c>
      <c r="Q89">
        <v>1</v>
      </c>
      <c r="X89">
        <v>2.97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 t="s">
        <v>174</v>
      </c>
      <c r="AG89">
        <v>0.59400000000000008</v>
      </c>
      <c r="AH89">
        <v>2</v>
      </c>
      <c r="AI89">
        <v>46607217</v>
      </c>
      <c r="AJ89">
        <v>101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ROW(Source!A132)</f>
        <v>132</v>
      </c>
      <c r="B90">
        <v>46607226</v>
      </c>
      <c r="C90">
        <v>46607216</v>
      </c>
      <c r="D90">
        <v>45143190</v>
      </c>
      <c r="E90">
        <v>1</v>
      </c>
      <c r="F90">
        <v>1</v>
      </c>
      <c r="G90">
        <v>27</v>
      </c>
      <c r="H90">
        <v>2</v>
      </c>
      <c r="I90" t="s">
        <v>335</v>
      </c>
      <c r="J90" t="s">
        <v>336</v>
      </c>
      <c r="K90" t="s">
        <v>337</v>
      </c>
      <c r="L90">
        <v>1368</v>
      </c>
      <c r="N90">
        <v>1011</v>
      </c>
      <c r="O90" t="s">
        <v>286</v>
      </c>
      <c r="P90" t="s">
        <v>286</v>
      </c>
      <c r="Q90">
        <v>1</v>
      </c>
      <c r="X90">
        <v>0.38400000000000001</v>
      </c>
      <c r="Y90">
        <v>0</v>
      </c>
      <c r="Z90">
        <v>351.29</v>
      </c>
      <c r="AA90">
        <v>7.02</v>
      </c>
      <c r="AB90">
        <v>0</v>
      </c>
      <c r="AC90">
        <v>0</v>
      </c>
      <c r="AD90">
        <v>1</v>
      </c>
      <c r="AE90">
        <v>0</v>
      </c>
      <c r="AF90" t="s">
        <v>174</v>
      </c>
      <c r="AG90">
        <v>7.6800000000000007E-2</v>
      </c>
      <c r="AH90">
        <v>2</v>
      </c>
      <c r="AI90">
        <v>46607218</v>
      </c>
      <c r="AJ90">
        <v>102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ROW(Source!A132)</f>
        <v>132</v>
      </c>
      <c r="B91">
        <v>46607227</v>
      </c>
      <c r="C91">
        <v>46607216</v>
      </c>
      <c r="D91">
        <v>45143575</v>
      </c>
      <c r="E91">
        <v>1</v>
      </c>
      <c r="F91">
        <v>1</v>
      </c>
      <c r="G91">
        <v>27</v>
      </c>
      <c r="H91">
        <v>2</v>
      </c>
      <c r="I91" t="s">
        <v>338</v>
      </c>
      <c r="J91" t="s">
        <v>339</v>
      </c>
      <c r="K91" t="s">
        <v>340</v>
      </c>
      <c r="L91">
        <v>1368</v>
      </c>
      <c r="N91">
        <v>1011</v>
      </c>
      <c r="O91" t="s">
        <v>286</v>
      </c>
      <c r="P91" t="s">
        <v>286</v>
      </c>
      <c r="Q91">
        <v>1</v>
      </c>
      <c r="X91">
        <v>0.115</v>
      </c>
      <c r="Y91">
        <v>0</v>
      </c>
      <c r="Z91">
        <v>5.94</v>
      </c>
      <c r="AA91">
        <v>0.02</v>
      </c>
      <c r="AB91">
        <v>0</v>
      </c>
      <c r="AC91">
        <v>0</v>
      </c>
      <c r="AD91">
        <v>1</v>
      </c>
      <c r="AE91">
        <v>0</v>
      </c>
      <c r="AF91" t="s">
        <v>174</v>
      </c>
      <c r="AG91">
        <v>2.3000000000000003E-2</v>
      </c>
      <c r="AH91">
        <v>2</v>
      </c>
      <c r="AI91">
        <v>46607219</v>
      </c>
      <c r="AJ91">
        <v>103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ROW(Source!A132)</f>
        <v>132</v>
      </c>
      <c r="B92">
        <v>46607228</v>
      </c>
      <c r="C92">
        <v>46607216</v>
      </c>
      <c r="D92">
        <v>45143598</v>
      </c>
      <c r="E92">
        <v>1</v>
      </c>
      <c r="F92">
        <v>1</v>
      </c>
      <c r="G92">
        <v>27</v>
      </c>
      <c r="H92">
        <v>2</v>
      </c>
      <c r="I92" t="s">
        <v>341</v>
      </c>
      <c r="J92" t="s">
        <v>342</v>
      </c>
      <c r="K92" t="s">
        <v>343</v>
      </c>
      <c r="L92">
        <v>1368</v>
      </c>
      <c r="N92">
        <v>1011</v>
      </c>
      <c r="O92" t="s">
        <v>286</v>
      </c>
      <c r="P92" t="s">
        <v>286</v>
      </c>
      <c r="Q92">
        <v>1</v>
      </c>
      <c r="X92">
        <v>0.504</v>
      </c>
      <c r="Y92">
        <v>0</v>
      </c>
      <c r="Z92">
        <v>652.16</v>
      </c>
      <c r="AA92">
        <v>581.9</v>
      </c>
      <c r="AB92">
        <v>0</v>
      </c>
      <c r="AC92">
        <v>0</v>
      </c>
      <c r="AD92">
        <v>1</v>
      </c>
      <c r="AE92">
        <v>0</v>
      </c>
      <c r="AF92" t="s">
        <v>174</v>
      </c>
      <c r="AG92">
        <v>0.1008</v>
      </c>
      <c r="AH92">
        <v>2</v>
      </c>
      <c r="AI92">
        <v>46607220</v>
      </c>
      <c r="AJ92">
        <v>104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ROW(Source!A132)</f>
        <v>132</v>
      </c>
      <c r="B93">
        <v>46607229</v>
      </c>
      <c r="C93">
        <v>46607216</v>
      </c>
      <c r="D93">
        <v>45144555</v>
      </c>
      <c r="E93">
        <v>1</v>
      </c>
      <c r="F93">
        <v>1</v>
      </c>
      <c r="G93">
        <v>27</v>
      </c>
      <c r="H93">
        <v>3</v>
      </c>
      <c r="I93" t="s">
        <v>344</v>
      </c>
      <c r="J93" t="s">
        <v>345</v>
      </c>
      <c r="K93" t="s">
        <v>346</v>
      </c>
      <c r="L93">
        <v>1348</v>
      </c>
      <c r="N93">
        <v>1009</v>
      </c>
      <c r="O93" t="s">
        <v>65</v>
      </c>
      <c r="P93" t="s">
        <v>65</v>
      </c>
      <c r="Q93">
        <v>1000</v>
      </c>
      <c r="X93">
        <v>1.01E-3</v>
      </c>
      <c r="Y93">
        <v>38268.54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173</v>
      </c>
      <c r="AG93">
        <v>0</v>
      </c>
      <c r="AH93">
        <v>2</v>
      </c>
      <c r="AI93">
        <v>46607221</v>
      </c>
      <c r="AJ93">
        <v>105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ROW(Source!A132)</f>
        <v>132</v>
      </c>
      <c r="B94">
        <v>46607230</v>
      </c>
      <c r="C94">
        <v>46607216</v>
      </c>
      <c r="D94">
        <v>45144413</v>
      </c>
      <c r="E94">
        <v>1</v>
      </c>
      <c r="F94">
        <v>1</v>
      </c>
      <c r="G94">
        <v>27</v>
      </c>
      <c r="H94">
        <v>3</v>
      </c>
      <c r="I94" t="s">
        <v>84</v>
      </c>
      <c r="J94" t="s">
        <v>86</v>
      </c>
      <c r="K94" t="s">
        <v>85</v>
      </c>
      <c r="L94">
        <v>1348</v>
      </c>
      <c r="N94">
        <v>1009</v>
      </c>
      <c r="O94" t="s">
        <v>65</v>
      </c>
      <c r="P94" t="s">
        <v>65</v>
      </c>
      <c r="Q94">
        <v>1000</v>
      </c>
      <c r="X94">
        <v>0.14899999999999999</v>
      </c>
      <c r="Y94">
        <v>37537.54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173</v>
      </c>
      <c r="AG94">
        <v>0</v>
      </c>
      <c r="AH94">
        <v>2</v>
      </c>
      <c r="AI94">
        <v>46607222</v>
      </c>
      <c r="AJ94">
        <v>106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ROW(Source!A132)</f>
        <v>132</v>
      </c>
      <c r="B95">
        <v>46607231</v>
      </c>
      <c r="C95">
        <v>46607216</v>
      </c>
      <c r="D95">
        <v>45145543</v>
      </c>
      <c r="E95">
        <v>1</v>
      </c>
      <c r="F95">
        <v>1</v>
      </c>
      <c r="G95">
        <v>27</v>
      </c>
      <c r="H95">
        <v>3</v>
      </c>
      <c r="I95" t="s">
        <v>320</v>
      </c>
      <c r="J95" t="s">
        <v>321</v>
      </c>
      <c r="K95" t="s">
        <v>322</v>
      </c>
      <c r="L95">
        <v>1348</v>
      </c>
      <c r="N95">
        <v>1009</v>
      </c>
      <c r="O95" t="s">
        <v>65</v>
      </c>
      <c r="P95" t="s">
        <v>65</v>
      </c>
      <c r="Q95">
        <v>1000</v>
      </c>
      <c r="X95">
        <v>5.0000000000000001E-4</v>
      </c>
      <c r="Y95">
        <v>110781.14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173</v>
      </c>
      <c r="AG95">
        <v>0</v>
      </c>
      <c r="AH95">
        <v>2</v>
      </c>
      <c r="AI95">
        <v>46607223</v>
      </c>
      <c r="AJ95">
        <v>107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ROW(Source!A132)</f>
        <v>132</v>
      </c>
      <c r="B96">
        <v>46607232</v>
      </c>
      <c r="C96">
        <v>46607216</v>
      </c>
      <c r="D96">
        <v>45147864</v>
      </c>
      <c r="E96">
        <v>1</v>
      </c>
      <c r="F96">
        <v>1</v>
      </c>
      <c r="G96">
        <v>27</v>
      </c>
      <c r="H96">
        <v>3</v>
      </c>
      <c r="I96" t="s">
        <v>347</v>
      </c>
      <c r="J96" t="s">
        <v>348</v>
      </c>
      <c r="K96" t="s">
        <v>349</v>
      </c>
      <c r="L96">
        <v>1354</v>
      </c>
      <c r="N96">
        <v>1010</v>
      </c>
      <c r="O96" t="s">
        <v>350</v>
      </c>
      <c r="P96" t="s">
        <v>350</v>
      </c>
      <c r="Q96">
        <v>1</v>
      </c>
      <c r="X96">
        <v>1.4E-2</v>
      </c>
      <c r="Y96">
        <v>16.54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173</v>
      </c>
      <c r="AG96">
        <v>0</v>
      </c>
      <c r="AH96">
        <v>2</v>
      </c>
      <c r="AI96">
        <v>46607224</v>
      </c>
      <c r="AJ96">
        <v>108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ROW(Source!A133)</f>
        <v>133</v>
      </c>
      <c r="B97">
        <v>46607238</v>
      </c>
      <c r="C97">
        <v>46607233</v>
      </c>
      <c r="D97">
        <v>45130551</v>
      </c>
      <c r="E97">
        <v>27</v>
      </c>
      <c r="F97">
        <v>1</v>
      </c>
      <c r="G97">
        <v>27</v>
      </c>
      <c r="H97">
        <v>1</v>
      </c>
      <c r="I97" t="s">
        <v>280</v>
      </c>
      <c r="J97" t="s">
        <v>3</v>
      </c>
      <c r="K97" t="s">
        <v>281</v>
      </c>
      <c r="L97">
        <v>1191</v>
      </c>
      <c r="N97">
        <v>1013</v>
      </c>
      <c r="O97" t="s">
        <v>282</v>
      </c>
      <c r="P97" t="s">
        <v>282</v>
      </c>
      <c r="Q97">
        <v>1</v>
      </c>
      <c r="X97">
        <v>8.27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8.27</v>
      </c>
      <c r="AH97">
        <v>2</v>
      </c>
      <c r="AI97">
        <v>46607234</v>
      </c>
      <c r="AJ97">
        <v>109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ROW(Source!A133)</f>
        <v>133</v>
      </c>
      <c r="B98">
        <v>46607239</v>
      </c>
      <c r="C98">
        <v>46607233</v>
      </c>
      <c r="D98">
        <v>45143091</v>
      </c>
      <c r="E98">
        <v>1</v>
      </c>
      <c r="F98">
        <v>1</v>
      </c>
      <c r="G98">
        <v>27</v>
      </c>
      <c r="H98">
        <v>2</v>
      </c>
      <c r="I98" t="s">
        <v>369</v>
      </c>
      <c r="J98" t="s">
        <v>370</v>
      </c>
      <c r="K98" t="s">
        <v>371</v>
      </c>
      <c r="L98">
        <v>1368</v>
      </c>
      <c r="N98">
        <v>1011</v>
      </c>
      <c r="O98" t="s">
        <v>286</v>
      </c>
      <c r="P98" t="s">
        <v>286</v>
      </c>
      <c r="Q98">
        <v>1</v>
      </c>
      <c r="X98">
        <v>1.95</v>
      </c>
      <c r="Y98">
        <v>0</v>
      </c>
      <c r="Z98">
        <v>470.71</v>
      </c>
      <c r="AA98">
        <v>359.8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1.95</v>
      </c>
      <c r="AH98">
        <v>2</v>
      </c>
      <c r="AI98">
        <v>46607235</v>
      </c>
      <c r="AJ98">
        <v>110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ROW(Source!A133)</f>
        <v>133</v>
      </c>
      <c r="B99">
        <v>46607240</v>
      </c>
      <c r="C99">
        <v>46607233</v>
      </c>
      <c r="D99">
        <v>45143607</v>
      </c>
      <c r="E99">
        <v>1</v>
      </c>
      <c r="F99">
        <v>1</v>
      </c>
      <c r="G99">
        <v>27</v>
      </c>
      <c r="H99">
        <v>2</v>
      </c>
      <c r="I99" t="s">
        <v>372</v>
      </c>
      <c r="J99" t="s">
        <v>373</v>
      </c>
      <c r="K99" t="s">
        <v>374</v>
      </c>
      <c r="L99">
        <v>1368</v>
      </c>
      <c r="N99">
        <v>1011</v>
      </c>
      <c r="O99" t="s">
        <v>286</v>
      </c>
      <c r="P99" t="s">
        <v>286</v>
      </c>
      <c r="Q99">
        <v>1</v>
      </c>
      <c r="X99">
        <v>1.95</v>
      </c>
      <c r="Y99">
        <v>0</v>
      </c>
      <c r="Z99">
        <v>6.02</v>
      </c>
      <c r="AA99">
        <v>0.02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1.95</v>
      </c>
      <c r="AH99">
        <v>2</v>
      </c>
      <c r="AI99">
        <v>46607236</v>
      </c>
      <c r="AJ99">
        <v>111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ROW(Source!A133)</f>
        <v>133</v>
      </c>
      <c r="B100">
        <v>46607241</v>
      </c>
      <c r="C100">
        <v>46607233</v>
      </c>
      <c r="D100">
        <v>45132303</v>
      </c>
      <c r="E100">
        <v>27</v>
      </c>
      <c r="F100">
        <v>1</v>
      </c>
      <c r="G100">
        <v>27</v>
      </c>
      <c r="H100">
        <v>3</v>
      </c>
      <c r="I100" t="s">
        <v>375</v>
      </c>
      <c r="J100" t="s">
        <v>3</v>
      </c>
      <c r="K100" t="s">
        <v>376</v>
      </c>
      <c r="L100">
        <v>1348</v>
      </c>
      <c r="N100">
        <v>1009</v>
      </c>
      <c r="O100" t="s">
        <v>65</v>
      </c>
      <c r="P100" t="s">
        <v>65</v>
      </c>
      <c r="Q100">
        <v>1000</v>
      </c>
      <c r="X100">
        <v>2.4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2.4</v>
      </c>
      <c r="AH100">
        <v>2</v>
      </c>
      <c r="AI100">
        <v>46607237</v>
      </c>
      <c r="AJ100">
        <v>112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ROW(Source!A134)</f>
        <v>134</v>
      </c>
      <c r="B101">
        <v>46607244</v>
      </c>
      <c r="C101">
        <v>46607242</v>
      </c>
      <c r="D101">
        <v>45130551</v>
      </c>
      <c r="E101">
        <v>27</v>
      </c>
      <c r="F101">
        <v>1</v>
      </c>
      <c r="G101">
        <v>27</v>
      </c>
      <c r="H101">
        <v>1</v>
      </c>
      <c r="I101" t="s">
        <v>280</v>
      </c>
      <c r="J101" t="s">
        <v>3</v>
      </c>
      <c r="K101" t="s">
        <v>281</v>
      </c>
      <c r="L101">
        <v>1191</v>
      </c>
      <c r="N101">
        <v>1013</v>
      </c>
      <c r="O101" t="s">
        <v>282</v>
      </c>
      <c r="P101" t="s">
        <v>282</v>
      </c>
      <c r="Q101">
        <v>1</v>
      </c>
      <c r="X101">
        <v>221.6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 t="s">
        <v>3</v>
      </c>
      <c r="AG101">
        <v>221.6</v>
      </c>
      <c r="AH101">
        <v>2</v>
      </c>
      <c r="AI101">
        <v>46607243</v>
      </c>
      <c r="AJ101">
        <v>113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ROW(Source!A135)</f>
        <v>135</v>
      </c>
      <c r="B102">
        <v>46607247</v>
      </c>
      <c r="C102">
        <v>46607245</v>
      </c>
      <c r="D102">
        <v>45130551</v>
      </c>
      <c r="E102">
        <v>27</v>
      </c>
      <c r="F102">
        <v>1</v>
      </c>
      <c r="G102">
        <v>27</v>
      </c>
      <c r="H102">
        <v>1</v>
      </c>
      <c r="I102" t="s">
        <v>280</v>
      </c>
      <c r="J102" t="s">
        <v>3</v>
      </c>
      <c r="K102" t="s">
        <v>281</v>
      </c>
      <c r="L102">
        <v>1191</v>
      </c>
      <c r="N102">
        <v>1013</v>
      </c>
      <c r="O102" t="s">
        <v>282</v>
      </c>
      <c r="P102" t="s">
        <v>282</v>
      </c>
      <c r="Q102">
        <v>1</v>
      </c>
      <c r="X102">
        <v>123.1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 t="s">
        <v>3</v>
      </c>
      <c r="AG102">
        <v>123.1</v>
      </c>
      <c r="AH102">
        <v>2</v>
      </c>
      <c r="AI102">
        <v>46607246</v>
      </c>
      <c r="AJ102">
        <v>114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ROW(Source!A136)</f>
        <v>136</v>
      </c>
      <c r="B103">
        <v>46607250</v>
      </c>
      <c r="C103">
        <v>46607248</v>
      </c>
      <c r="D103">
        <v>45130551</v>
      </c>
      <c r="E103">
        <v>27</v>
      </c>
      <c r="F103">
        <v>1</v>
      </c>
      <c r="G103">
        <v>27</v>
      </c>
      <c r="H103">
        <v>1</v>
      </c>
      <c r="I103" t="s">
        <v>280</v>
      </c>
      <c r="J103" t="s">
        <v>3</v>
      </c>
      <c r="K103" t="s">
        <v>281</v>
      </c>
      <c r="L103">
        <v>1191</v>
      </c>
      <c r="N103">
        <v>1013</v>
      </c>
      <c r="O103" t="s">
        <v>282</v>
      </c>
      <c r="P103" t="s">
        <v>282</v>
      </c>
      <c r="Q103">
        <v>1</v>
      </c>
      <c r="X103">
        <v>83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 t="s">
        <v>3</v>
      </c>
      <c r="AG103">
        <v>83</v>
      </c>
      <c r="AH103">
        <v>2</v>
      </c>
      <c r="AI103">
        <v>46607249</v>
      </c>
      <c r="AJ103">
        <v>115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ROW(Source!A137)</f>
        <v>137</v>
      </c>
      <c r="B104">
        <v>46607253</v>
      </c>
      <c r="C104">
        <v>46607251</v>
      </c>
      <c r="D104">
        <v>45143535</v>
      </c>
      <c r="E104">
        <v>1</v>
      </c>
      <c r="F104">
        <v>1</v>
      </c>
      <c r="G104">
        <v>27</v>
      </c>
      <c r="H104">
        <v>2</v>
      </c>
      <c r="I104" t="s">
        <v>283</v>
      </c>
      <c r="J104" t="s">
        <v>284</v>
      </c>
      <c r="K104" t="s">
        <v>285</v>
      </c>
      <c r="L104">
        <v>1368</v>
      </c>
      <c r="N104">
        <v>1011</v>
      </c>
      <c r="O104" t="s">
        <v>286</v>
      </c>
      <c r="P104" t="s">
        <v>286</v>
      </c>
      <c r="Q104">
        <v>1</v>
      </c>
      <c r="X104">
        <v>3.1E-2</v>
      </c>
      <c r="Y104">
        <v>0</v>
      </c>
      <c r="Z104">
        <v>1014.12</v>
      </c>
      <c r="AA104">
        <v>317.13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3.1E-2</v>
      </c>
      <c r="AH104">
        <v>2</v>
      </c>
      <c r="AI104">
        <v>46607252</v>
      </c>
      <c r="AJ104">
        <v>116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ROW(Source!A138)</f>
        <v>138</v>
      </c>
      <c r="B105">
        <v>46607256</v>
      </c>
      <c r="C105">
        <v>46607254</v>
      </c>
      <c r="D105">
        <v>45143535</v>
      </c>
      <c r="E105">
        <v>1</v>
      </c>
      <c r="F105">
        <v>1</v>
      </c>
      <c r="G105">
        <v>27</v>
      </c>
      <c r="H105">
        <v>2</v>
      </c>
      <c r="I105" t="s">
        <v>283</v>
      </c>
      <c r="J105" t="s">
        <v>284</v>
      </c>
      <c r="K105" t="s">
        <v>285</v>
      </c>
      <c r="L105">
        <v>1368</v>
      </c>
      <c r="N105">
        <v>1011</v>
      </c>
      <c r="O105" t="s">
        <v>286</v>
      </c>
      <c r="P105" t="s">
        <v>286</v>
      </c>
      <c r="Q105">
        <v>1</v>
      </c>
      <c r="X105">
        <v>0.01</v>
      </c>
      <c r="Y105">
        <v>0</v>
      </c>
      <c r="Z105">
        <v>1014.12</v>
      </c>
      <c r="AA105">
        <v>317.13</v>
      </c>
      <c r="AB105">
        <v>0</v>
      </c>
      <c r="AC105">
        <v>0</v>
      </c>
      <c r="AD105">
        <v>1</v>
      </c>
      <c r="AE105">
        <v>0</v>
      </c>
      <c r="AF105" t="s">
        <v>36</v>
      </c>
      <c r="AG105">
        <v>0.32</v>
      </c>
      <c r="AH105">
        <v>2</v>
      </c>
      <c r="AI105">
        <v>46607255</v>
      </c>
      <c r="AJ105">
        <v>117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ROW(Source!A139)</f>
        <v>139</v>
      </c>
      <c r="B106">
        <v>46607262</v>
      </c>
      <c r="C106">
        <v>46607257</v>
      </c>
      <c r="D106">
        <v>45130551</v>
      </c>
      <c r="E106">
        <v>27</v>
      </c>
      <c r="F106">
        <v>1</v>
      </c>
      <c r="G106">
        <v>27</v>
      </c>
      <c r="H106">
        <v>1</v>
      </c>
      <c r="I106" t="s">
        <v>280</v>
      </c>
      <c r="J106" t="s">
        <v>3</v>
      </c>
      <c r="K106" t="s">
        <v>281</v>
      </c>
      <c r="L106">
        <v>1191</v>
      </c>
      <c r="N106">
        <v>1013</v>
      </c>
      <c r="O106" t="s">
        <v>282</v>
      </c>
      <c r="P106" t="s">
        <v>282</v>
      </c>
      <c r="Q106">
        <v>1</v>
      </c>
      <c r="X106">
        <v>1.25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 t="s">
        <v>3</v>
      </c>
      <c r="AG106">
        <v>1.25</v>
      </c>
      <c r="AH106">
        <v>2</v>
      </c>
      <c r="AI106">
        <v>46607258</v>
      </c>
      <c r="AJ106">
        <v>118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ROW(Source!A139)</f>
        <v>139</v>
      </c>
      <c r="B107">
        <v>46607263</v>
      </c>
      <c r="C107">
        <v>46607257</v>
      </c>
      <c r="D107">
        <v>45144915</v>
      </c>
      <c r="E107">
        <v>1</v>
      </c>
      <c r="F107">
        <v>1</v>
      </c>
      <c r="G107">
        <v>27</v>
      </c>
      <c r="H107">
        <v>3</v>
      </c>
      <c r="I107" t="s">
        <v>287</v>
      </c>
      <c r="J107" t="s">
        <v>288</v>
      </c>
      <c r="K107" t="s">
        <v>289</v>
      </c>
      <c r="L107">
        <v>1339</v>
      </c>
      <c r="N107">
        <v>1007</v>
      </c>
      <c r="O107" t="s">
        <v>29</v>
      </c>
      <c r="P107" t="s">
        <v>29</v>
      </c>
      <c r="Q107">
        <v>1</v>
      </c>
      <c r="X107">
        <v>0.06</v>
      </c>
      <c r="Y107">
        <v>1865.77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0.06</v>
      </c>
      <c r="AH107">
        <v>2</v>
      </c>
      <c r="AI107">
        <v>46607259</v>
      </c>
      <c r="AJ107">
        <v>119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ROW(Source!A139)</f>
        <v>139</v>
      </c>
      <c r="B108">
        <v>46607264</v>
      </c>
      <c r="C108">
        <v>46607257</v>
      </c>
      <c r="D108">
        <v>45144916</v>
      </c>
      <c r="E108">
        <v>1</v>
      </c>
      <c r="F108">
        <v>1</v>
      </c>
      <c r="G108">
        <v>27</v>
      </c>
      <c r="H108">
        <v>3</v>
      </c>
      <c r="I108" t="s">
        <v>290</v>
      </c>
      <c r="J108" t="s">
        <v>291</v>
      </c>
      <c r="K108" t="s">
        <v>292</v>
      </c>
      <c r="L108">
        <v>1339</v>
      </c>
      <c r="N108">
        <v>1007</v>
      </c>
      <c r="O108" t="s">
        <v>29</v>
      </c>
      <c r="P108" t="s">
        <v>29</v>
      </c>
      <c r="Q108">
        <v>1</v>
      </c>
      <c r="X108">
        <v>0.24</v>
      </c>
      <c r="Y108">
        <v>1763.75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0.24</v>
      </c>
      <c r="AH108">
        <v>2</v>
      </c>
      <c r="AI108">
        <v>46607260</v>
      </c>
      <c r="AJ108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ROW(Source!A139)</f>
        <v>139</v>
      </c>
      <c r="B109">
        <v>46607265</v>
      </c>
      <c r="C109">
        <v>46607257</v>
      </c>
      <c r="D109">
        <v>45145636</v>
      </c>
      <c r="E109">
        <v>1</v>
      </c>
      <c r="F109">
        <v>1</v>
      </c>
      <c r="G109">
        <v>27</v>
      </c>
      <c r="H109">
        <v>3</v>
      </c>
      <c r="I109" t="s">
        <v>293</v>
      </c>
      <c r="J109" t="s">
        <v>294</v>
      </c>
      <c r="K109" t="s">
        <v>295</v>
      </c>
      <c r="L109">
        <v>1339</v>
      </c>
      <c r="N109">
        <v>1007</v>
      </c>
      <c r="O109" t="s">
        <v>29</v>
      </c>
      <c r="P109" t="s">
        <v>29</v>
      </c>
      <c r="Q109">
        <v>1</v>
      </c>
      <c r="X109">
        <v>0.03</v>
      </c>
      <c r="Y109">
        <v>35.25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0.03</v>
      </c>
      <c r="AH109">
        <v>2</v>
      </c>
      <c r="AI109">
        <v>46607261</v>
      </c>
      <c r="AJ109">
        <v>121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ROW(Source!A140)</f>
        <v>140</v>
      </c>
      <c r="B110">
        <v>46607271</v>
      </c>
      <c r="C110">
        <v>46607266</v>
      </c>
      <c r="D110">
        <v>45130551</v>
      </c>
      <c r="E110">
        <v>27</v>
      </c>
      <c r="F110">
        <v>1</v>
      </c>
      <c r="G110">
        <v>27</v>
      </c>
      <c r="H110">
        <v>1</v>
      </c>
      <c r="I110" t="s">
        <v>280</v>
      </c>
      <c r="J110" t="s">
        <v>3</v>
      </c>
      <c r="K110" t="s">
        <v>281</v>
      </c>
      <c r="L110">
        <v>1191</v>
      </c>
      <c r="N110">
        <v>1013</v>
      </c>
      <c r="O110" t="s">
        <v>282</v>
      </c>
      <c r="P110" t="s">
        <v>282</v>
      </c>
      <c r="Q110">
        <v>1</v>
      </c>
      <c r="X110">
        <v>0.37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 t="s">
        <v>3</v>
      </c>
      <c r="AG110">
        <v>0.37</v>
      </c>
      <c r="AH110">
        <v>2</v>
      </c>
      <c r="AI110">
        <v>46607267</v>
      </c>
      <c r="AJ110">
        <v>122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ROW(Source!A140)</f>
        <v>140</v>
      </c>
      <c r="B111">
        <v>46607272</v>
      </c>
      <c r="C111">
        <v>46607266</v>
      </c>
      <c r="D111">
        <v>45142937</v>
      </c>
      <c r="E111">
        <v>1</v>
      </c>
      <c r="F111">
        <v>1</v>
      </c>
      <c r="G111">
        <v>27</v>
      </c>
      <c r="H111">
        <v>2</v>
      </c>
      <c r="I111" t="s">
        <v>296</v>
      </c>
      <c r="J111" t="s">
        <v>297</v>
      </c>
      <c r="K111" t="s">
        <v>298</v>
      </c>
      <c r="L111">
        <v>1368</v>
      </c>
      <c r="N111">
        <v>1011</v>
      </c>
      <c r="O111" t="s">
        <v>286</v>
      </c>
      <c r="P111" t="s">
        <v>286</v>
      </c>
      <c r="Q111">
        <v>1</v>
      </c>
      <c r="X111">
        <v>3.0000000000000001E-3</v>
      </c>
      <c r="Y111">
        <v>0</v>
      </c>
      <c r="Z111">
        <v>1270.56</v>
      </c>
      <c r="AA111">
        <v>493.86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3.0000000000000001E-3</v>
      </c>
      <c r="AH111">
        <v>2</v>
      </c>
      <c r="AI111">
        <v>46607268</v>
      </c>
      <c r="AJ111">
        <v>123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ROW(Source!A140)</f>
        <v>140</v>
      </c>
      <c r="B112">
        <v>46607273</v>
      </c>
      <c r="C112">
        <v>46607266</v>
      </c>
      <c r="D112">
        <v>45144891</v>
      </c>
      <c r="E112">
        <v>1</v>
      </c>
      <c r="F112">
        <v>1</v>
      </c>
      <c r="G112">
        <v>27</v>
      </c>
      <c r="H112">
        <v>3</v>
      </c>
      <c r="I112" t="s">
        <v>299</v>
      </c>
      <c r="J112" t="s">
        <v>300</v>
      </c>
      <c r="K112" t="s">
        <v>301</v>
      </c>
      <c r="L112">
        <v>1339</v>
      </c>
      <c r="N112">
        <v>1007</v>
      </c>
      <c r="O112" t="s">
        <v>29</v>
      </c>
      <c r="P112" t="s">
        <v>29</v>
      </c>
      <c r="Q112">
        <v>1</v>
      </c>
      <c r="X112">
        <v>0.105</v>
      </c>
      <c r="Y112">
        <v>590.78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0.105</v>
      </c>
      <c r="AH112">
        <v>2</v>
      </c>
      <c r="AI112">
        <v>46607269</v>
      </c>
      <c r="AJ112">
        <v>124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ROW(Source!A140)</f>
        <v>140</v>
      </c>
      <c r="B113">
        <v>46607274</v>
      </c>
      <c r="C113">
        <v>46607266</v>
      </c>
      <c r="D113">
        <v>45145636</v>
      </c>
      <c r="E113">
        <v>1</v>
      </c>
      <c r="F113">
        <v>1</v>
      </c>
      <c r="G113">
        <v>27</v>
      </c>
      <c r="H113">
        <v>3</v>
      </c>
      <c r="I113" t="s">
        <v>293</v>
      </c>
      <c r="J113" t="s">
        <v>294</v>
      </c>
      <c r="K113" t="s">
        <v>295</v>
      </c>
      <c r="L113">
        <v>1339</v>
      </c>
      <c r="N113">
        <v>1007</v>
      </c>
      <c r="O113" t="s">
        <v>29</v>
      </c>
      <c r="P113" t="s">
        <v>29</v>
      </c>
      <c r="Q113">
        <v>1</v>
      </c>
      <c r="X113">
        <v>0.01</v>
      </c>
      <c r="Y113">
        <v>35.25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0.01</v>
      </c>
      <c r="AH113">
        <v>2</v>
      </c>
      <c r="AI113">
        <v>46607270</v>
      </c>
      <c r="AJ113">
        <v>125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ROW(Source!A141)</f>
        <v>141</v>
      </c>
      <c r="B114">
        <v>46607291</v>
      </c>
      <c r="C114">
        <v>46607275</v>
      </c>
      <c r="D114">
        <v>45130551</v>
      </c>
      <c r="E114">
        <v>27</v>
      </c>
      <c r="F114">
        <v>1</v>
      </c>
      <c r="G114">
        <v>27</v>
      </c>
      <c r="H114">
        <v>1</v>
      </c>
      <c r="I114" t="s">
        <v>280</v>
      </c>
      <c r="J114" t="s">
        <v>3</v>
      </c>
      <c r="K114" t="s">
        <v>281</v>
      </c>
      <c r="L114">
        <v>1191</v>
      </c>
      <c r="N114">
        <v>1013</v>
      </c>
      <c r="O114" t="s">
        <v>282</v>
      </c>
      <c r="P114" t="s">
        <v>282</v>
      </c>
      <c r="Q114">
        <v>1</v>
      </c>
      <c r="X114">
        <v>205.85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 t="s">
        <v>3</v>
      </c>
      <c r="AG114">
        <v>205.85</v>
      </c>
      <c r="AH114">
        <v>2</v>
      </c>
      <c r="AI114">
        <v>46607276</v>
      </c>
      <c r="AJ114">
        <v>126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ROW(Source!A141)</f>
        <v>141</v>
      </c>
      <c r="B115">
        <v>46607292</v>
      </c>
      <c r="C115">
        <v>46607275</v>
      </c>
      <c r="D115">
        <v>45143189</v>
      </c>
      <c r="E115">
        <v>1</v>
      </c>
      <c r="F115">
        <v>1</v>
      </c>
      <c r="G115">
        <v>27</v>
      </c>
      <c r="H115">
        <v>2</v>
      </c>
      <c r="I115" t="s">
        <v>302</v>
      </c>
      <c r="J115" t="s">
        <v>303</v>
      </c>
      <c r="K115" t="s">
        <v>304</v>
      </c>
      <c r="L115">
        <v>1368</v>
      </c>
      <c r="N115">
        <v>1011</v>
      </c>
      <c r="O115" t="s">
        <v>286</v>
      </c>
      <c r="P115" t="s">
        <v>286</v>
      </c>
      <c r="Q115">
        <v>1</v>
      </c>
      <c r="X115">
        <v>150</v>
      </c>
      <c r="Y115">
        <v>0</v>
      </c>
      <c r="Z115">
        <v>27.21</v>
      </c>
      <c r="AA115">
        <v>0.13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150</v>
      </c>
      <c r="AH115">
        <v>2</v>
      </c>
      <c r="AI115">
        <v>46607277</v>
      </c>
      <c r="AJ115">
        <v>127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ROW(Source!A141)</f>
        <v>141</v>
      </c>
      <c r="B116">
        <v>46607293</v>
      </c>
      <c r="C116">
        <v>46607275</v>
      </c>
      <c r="D116">
        <v>45143582</v>
      </c>
      <c r="E116">
        <v>1</v>
      </c>
      <c r="F116">
        <v>1</v>
      </c>
      <c r="G116">
        <v>27</v>
      </c>
      <c r="H116">
        <v>2</v>
      </c>
      <c r="I116" t="s">
        <v>305</v>
      </c>
      <c r="J116" t="s">
        <v>306</v>
      </c>
      <c r="K116" t="s">
        <v>307</v>
      </c>
      <c r="L116">
        <v>1368</v>
      </c>
      <c r="N116">
        <v>1011</v>
      </c>
      <c r="O116" t="s">
        <v>286</v>
      </c>
      <c r="P116" t="s">
        <v>286</v>
      </c>
      <c r="Q116">
        <v>1</v>
      </c>
      <c r="X116">
        <v>0.12</v>
      </c>
      <c r="Y116">
        <v>0</v>
      </c>
      <c r="Z116">
        <v>3.67</v>
      </c>
      <c r="AA116">
        <v>0.01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0.12</v>
      </c>
      <c r="AH116">
        <v>2</v>
      </c>
      <c r="AI116">
        <v>46607278</v>
      </c>
      <c r="AJ116">
        <v>128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ROW(Source!A141)</f>
        <v>141</v>
      </c>
      <c r="B117">
        <v>46607294</v>
      </c>
      <c r="C117">
        <v>46607275</v>
      </c>
      <c r="D117">
        <v>45142852</v>
      </c>
      <c r="E117">
        <v>1</v>
      </c>
      <c r="F117">
        <v>1</v>
      </c>
      <c r="G117">
        <v>27</v>
      </c>
      <c r="H117">
        <v>2</v>
      </c>
      <c r="I117" t="s">
        <v>308</v>
      </c>
      <c r="J117" t="s">
        <v>309</v>
      </c>
      <c r="K117" t="s">
        <v>310</v>
      </c>
      <c r="L117">
        <v>1368</v>
      </c>
      <c r="N117">
        <v>1011</v>
      </c>
      <c r="O117" t="s">
        <v>286</v>
      </c>
      <c r="P117" t="s">
        <v>286</v>
      </c>
      <c r="Q117">
        <v>1</v>
      </c>
      <c r="X117">
        <v>0.31</v>
      </c>
      <c r="Y117">
        <v>0</v>
      </c>
      <c r="Z117">
        <v>683.9</v>
      </c>
      <c r="AA117">
        <v>371.27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0.31</v>
      </c>
      <c r="AH117">
        <v>2</v>
      </c>
      <c r="AI117">
        <v>46607279</v>
      </c>
      <c r="AJ117">
        <v>129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ROW(Source!A141)</f>
        <v>141</v>
      </c>
      <c r="B118">
        <v>46607295</v>
      </c>
      <c r="C118">
        <v>46607275</v>
      </c>
      <c r="D118">
        <v>45143022</v>
      </c>
      <c r="E118">
        <v>1</v>
      </c>
      <c r="F118">
        <v>1</v>
      </c>
      <c r="G118">
        <v>27</v>
      </c>
      <c r="H118">
        <v>2</v>
      </c>
      <c r="I118" t="s">
        <v>311</v>
      </c>
      <c r="J118" t="s">
        <v>312</v>
      </c>
      <c r="K118" t="s">
        <v>313</v>
      </c>
      <c r="L118">
        <v>1368</v>
      </c>
      <c r="N118">
        <v>1011</v>
      </c>
      <c r="O118" t="s">
        <v>286</v>
      </c>
      <c r="P118" t="s">
        <v>286</v>
      </c>
      <c r="Q118">
        <v>1</v>
      </c>
      <c r="X118">
        <v>11.25</v>
      </c>
      <c r="Y118">
        <v>0</v>
      </c>
      <c r="Z118">
        <v>10.82</v>
      </c>
      <c r="AA118">
        <v>2.97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11.25</v>
      </c>
      <c r="AH118">
        <v>2</v>
      </c>
      <c r="AI118">
        <v>46607280</v>
      </c>
      <c r="AJ118">
        <v>130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ROW(Source!A141)</f>
        <v>141</v>
      </c>
      <c r="B119">
        <v>46607296</v>
      </c>
      <c r="C119">
        <v>46607275</v>
      </c>
      <c r="D119">
        <v>45144711</v>
      </c>
      <c r="E119">
        <v>1</v>
      </c>
      <c r="F119">
        <v>1</v>
      </c>
      <c r="G119">
        <v>27</v>
      </c>
      <c r="H119">
        <v>3</v>
      </c>
      <c r="I119" t="s">
        <v>314</v>
      </c>
      <c r="J119" t="s">
        <v>315</v>
      </c>
      <c r="K119" t="s">
        <v>316</v>
      </c>
      <c r="L119">
        <v>1348</v>
      </c>
      <c r="N119">
        <v>1009</v>
      </c>
      <c r="O119" t="s">
        <v>65</v>
      </c>
      <c r="P119" t="s">
        <v>65</v>
      </c>
      <c r="Q119">
        <v>1000</v>
      </c>
      <c r="X119">
        <v>2E-3</v>
      </c>
      <c r="Y119">
        <v>49736.04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2E-3</v>
      </c>
      <c r="AH119">
        <v>2</v>
      </c>
      <c r="AI119">
        <v>46607281</v>
      </c>
      <c r="AJ119">
        <v>131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ROW(Source!A141)</f>
        <v>141</v>
      </c>
      <c r="B120">
        <v>46607298</v>
      </c>
      <c r="C120">
        <v>46607275</v>
      </c>
      <c r="D120">
        <v>45145459</v>
      </c>
      <c r="E120">
        <v>1</v>
      </c>
      <c r="F120">
        <v>1</v>
      </c>
      <c r="G120">
        <v>27</v>
      </c>
      <c r="H120">
        <v>3</v>
      </c>
      <c r="I120" t="s">
        <v>317</v>
      </c>
      <c r="J120" t="s">
        <v>318</v>
      </c>
      <c r="K120" t="s">
        <v>319</v>
      </c>
      <c r="L120">
        <v>1327</v>
      </c>
      <c r="N120">
        <v>1005</v>
      </c>
      <c r="O120" t="s">
        <v>40</v>
      </c>
      <c r="P120" t="s">
        <v>40</v>
      </c>
      <c r="Q120">
        <v>1</v>
      </c>
      <c r="X120">
        <v>30</v>
      </c>
      <c r="Y120">
        <v>91.89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30</v>
      </c>
      <c r="AH120">
        <v>2</v>
      </c>
      <c r="AI120">
        <v>46607283</v>
      </c>
      <c r="AJ120">
        <v>132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ROW(Source!A141)</f>
        <v>141</v>
      </c>
      <c r="B121">
        <v>46607299</v>
      </c>
      <c r="C121">
        <v>46607275</v>
      </c>
      <c r="D121">
        <v>45145543</v>
      </c>
      <c r="E121">
        <v>1</v>
      </c>
      <c r="F121">
        <v>1</v>
      </c>
      <c r="G121">
        <v>27</v>
      </c>
      <c r="H121">
        <v>3</v>
      </c>
      <c r="I121" t="s">
        <v>320</v>
      </c>
      <c r="J121" t="s">
        <v>321</v>
      </c>
      <c r="K121" t="s">
        <v>322</v>
      </c>
      <c r="L121">
        <v>1348</v>
      </c>
      <c r="N121">
        <v>1009</v>
      </c>
      <c r="O121" t="s">
        <v>65</v>
      </c>
      <c r="P121" t="s">
        <v>65</v>
      </c>
      <c r="Q121">
        <v>1000</v>
      </c>
      <c r="X121">
        <v>0.16</v>
      </c>
      <c r="Y121">
        <v>110781.14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0.16</v>
      </c>
      <c r="AH121">
        <v>2</v>
      </c>
      <c r="AI121">
        <v>46607284</v>
      </c>
      <c r="AJ121">
        <v>133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ROW(Source!A141)</f>
        <v>141</v>
      </c>
      <c r="B122">
        <v>46607297</v>
      </c>
      <c r="C122">
        <v>46607275</v>
      </c>
      <c r="D122">
        <v>45143830</v>
      </c>
      <c r="E122">
        <v>1</v>
      </c>
      <c r="F122">
        <v>1</v>
      </c>
      <c r="G122">
        <v>27</v>
      </c>
      <c r="H122">
        <v>3</v>
      </c>
      <c r="I122" t="s">
        <v>323</v>
      </c>
      <c r="J122" t="s">
        <v>324</v>
      </c>
      <c r="K122" t="s">
        <v>325</v>
      </c>
      <c r="L122">
        <v>1348</v>
      </c>
      <c r="N122">
        <v>1009</v>
      </c>
      <c r="O122" t="s">
        <v>65</v>
      </c>
      <c r="P122" t="s">
        <v>65</v>
      </c>
      <c r="Q122">
        <v>1000</v>
      </c>
      <c r="X122">
        <v>0.01</v>
      </c>
      <c r="Y122">
        <v>4752.34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0.01</v>
      </c>
      <c r="AH122">
        <v>2</v>
      </c>
      <c r="AI122">
        <v>46607282</v>
      </c>
      <c r="AJ122">
        <v>134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ROW(Source!A141)</f>
        <v>141</v>
      </c>
      <c r="B123">
        <v>46607300</v>
      </c>
      <c r="C123">
        <v>46607275</v>
      </c>
      <c r="D123">
        <v>45145636</v>
      </c>
      <c r="E123">
        <v>1</v>
      </c>
      <c r="F123">
        <v>1</v>
      </c>
      <c r="G123">
        <v>27</v>
      </c>
      <c r="H123">
        <v>3</v>
      </c>
      <c r="I123" t="s">
        <v>293</v>
      </c>
      <c r="J123" t="s">
        <v>294</v>
      </c>
      <c r="K123" t="s">
        <v>295</v>
      </c>
      <c r="L123">
        <v>1339</v>
      </c>
      <c r="N123">
        <v>1007</v>
      </c>
      <c r="O123" t="s">
        <v>29</v>
      </c>
      <c r="P123" t="s">
        <v>29</v>
      </c>
      <c r="Q123">
        <v>1</v>
      </c>
      <c r="X123">
        <v>0.73</v>
      </c>
      <c r="Y123">
        <v>35.25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0.73</v>
      </c>
      <c r="AH123">
        <v>2</v>
      </c>
      <c r="AI123">
        <v>46607285</v>
      </c>
      <c r="AJ123">
        <v>135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ROW(Source!A141)</f>
        <v>141</v>
      </c>
      <c r="B124">
        <v>46607301</v>
      </c>
      <c r="C124">
        <v>46607275</v>
      </c>
      <c r="D124">
        <v>45144338</v>
      </c>
      <c r="E124">
        <v>1</v>
      </c>
      <c r="F124">
        <v>1</v>
      </c>
      <c r="G124">
        <v>27</v>
      </c>
      <c r="H124">
        <v>3</v>
      </c>
      <c r="I124" t="s">
        <v>326</v>
      </c>
      <c r="J124" t="s">
        <v>327</v>
      </c>
      <c r="K124" t="s">
        <v>328</v>
      </c>
      <c r="L124">
        <v>1339</v>
      </c>
      <c r="N124">
        <v>1007</v>
      </c>
      <c r="O124" t="s">
        <v>29</v>
      </c>
      <c r="P124" t="s">
        <v>29</v>
      </c>
      <c r="Q124">
        <v>1</v>
      </c>
      <c r="X124">
        <v>0.04</v>
      </c>
      <c r="Y124">
        <v>7098.7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0.04</v>
      </c>
      <c r="AH124">
        <v>2</v>
      </c>
      <c r="AI124">
        <v>46607286</v>
      </c>
      <c r="AJ124">
        <v>136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ROW(Source!A141)</f>
        <v>141</v>
      </c>
      <c r="B125">
        <v>46607302</v>
      </c>
      <c r="C125">
        <v>46607275</v>
      </c>
      <c r="D125">
        <v>45146605</v>
      </c>
      <c r="E125">
        <v>1</v>
      </c>
      <c r="F125">
        <v>1</v>
      </c>
      <c r="G125">
        <v>27</v>
      </c>
      <c r="H125">
        <v>3</v>
      </c>
      <c r="I125" t="s">
        <v>55</v>
      </c>
      <c r="J125" t="s">
        <v>57</v>
      </c>
      <c r="K125" t="s">
        <v>56</v>
      </c>
      <c r="L125">
        <v>1339</v>
      </c>
      <c r="N125">
        <v>1007</v>
      </c>
      <c r="O125" t="s">
        <v>29</v>
      </c>
      <c r="P125" t="s">
        <v>29</v>
      </c>
      <c r="Q125">
        <v>1</v>
      </c>
      <c r="X125">
        <v>101.5</v>
      </c>
      <c r="Y125">
        <v>3714.73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101.5</v>
      </c>
      <c r="AH125">
        <v>2</v>
      </c>
      <c r="AI125">
        <v>46607287</v>
      </c>
      <c r="AJ125">
        <v>137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ROW(Source!A141)</f>
        <v>141</v>
      </c>
      <c r="B126">
        <v>46607303</v>
      </c>
      <c r="C126">
        <v>46607275</v>
      </c>
      <c r="D126">
        <v>45146856</v>
      </c>
      <c r="E126">
        <v>1</v>
      </c>
      <c r="F126">
        <v>1</v>
      </c>
      <c r="G126">
        <v>27</v>
      </c>
      <c r="H126">
        <v>3</v>
      </c>
      <c r="I126" t="s">
        <v>329</v>
      </c>
      <c r="J126" t="s">
        <v>330</v>
      </c>
      <c r="K126" t="s">
        <v>331</v>
      </c>
      <c r="L126">
        <v>1348</v>
      </c>
      <c r="N126">
        <v>1009</v>
      </c>
      <c r="O126" t="s">
        <v>65</v>
      </c>
      <c r="P126" t="s">
        <v>65</v>
      </c>
      <c r="Q126">
        <v>1000</v>
      </c>
      <c r="X126">
        <v>8.1</v>
      </c>
      <c r="Y126">
        <v>34634.379999999997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8.1</v>
      </c>
      <c r="AH126">
        <v>2</v>
      </c>
      <c r="AI126">
        <v>46607289</v>
      </c>
      <c r="AJ126">
        <v>139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ROW(Source!A141)</f>
        <v>141</v>
      </c>
      <c r="B127">
        <v>46607304</v>
      </c>
      <c r="C127">
        <v>46607275</v>
      </c>
      <c r="D127">
        <v>45148767</v>
      </c>
      <c r="E127">
        <v>1</v>
      </c>
      <c r="F127">
        <v>1</v>
      </c>
      <c r="G127">
        <v>27</v>
      </c>
      <c r="H127">
        <v>3</v>
      </c>
      <c r="I127" t="s">
        <v>332</v>
      </c>
      <c r="J127" t="s">
        <v>333</v>
      </c>
      <c r="K127" t="s">
        <v>334</v>
      </c>
      <c r="L127">
        <v>1327</v>
      </c>
      <c r="N127">
        <v>1005</v>
      </c>
      <c r="O127" t="s">
        <v>40</v>
      </c>
      <c r="P127" t="s">
        <v>40</v>
      </c>
      <c r="Q127">
        <v>1</v>
      </c>
      <c r="X127">
        <v>3.6</v>
      </c>
      <c r="Y127">
        <v>473.82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3.6</v>
      </c>
      <c r="AH127">
        <v>2</v>
      </c>
      <c r="AI127">
        <v>46607290</v>
      </c>
      <c r="AJ127">
        <v>140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ROW(Source!A144)</f>
        <v>144</v>
      </c>
      <c r="B128">
        <v>46607309</v>
      </c>
      <c r="C128">
        <v>46607307</v>
      </c>
      <c r="D128">
        <v>45130551</v>
      </c>
      <c r="E128">
        <v>27</v>
      </c>
      <c r="F128">
        <v>1</v>
      </c>
      <c r="G128">
        <v>27</v>
      </c>
      <c r="H128">
        <v>1</v>
      </c>
      <c r="I128" t="s">
        <v>280</v>
      </c>
      <c r="J128" t="s">
        <v>3</v>
      </c>
      <c r="K128" t="s">
        <v>281</v>
      </c>
      <c r="L128">
        <v>1191</v>
      </c>
      <c r="N128">
        <v>1013</v>
      </c>
      <c r="O128" t="s">
        <v>282</v>
      </c>
      <c r="P128" t="s">
        <v>282</v>
      </c>
      <c r="Q128">
        <v>1</v>
      </c>
      <c r="X128">
        <v>0.6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 t="s">
        <v>3</v>
      </c>
      <c r="AG128">
        <v>0.6</v>
      </c>
      <c r="AH128">
        <v>2</v>
      </c>
      <c r="AI128">
        <v>46607308</v>
      </c>
      <c r="AJ128">
        <v>141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ROW(Source!A145)</f>
        <v>145</v>
      </c>
      <c r="B129">
        <v>46607313</v>
      </c>
      <c r="C129">
        <v>46607310</v>
      </c>
      <c r="D129">
        <v>45130551</v>
      </c>
      <c r="E129">
        <v>27</v>
      </c>
      <c r="F129">
        <v>1</v>
      </c>
      <c r="G129">
        <v>27</v>
      </c>
      <c r="H129">
        <v>1</v>
      </c>
      <c r="I129" t="s">
        <v>280</v>
      </c>
      <c r="J129" t="s">
        <v>3</v>
      </c>
      <c r="K129" t="s">
        <v>281</v>
      </c>
      <c r="L129">
        <v>1191</v>
      </c>
      <c r="N129">
        <v>1013</v>
      </c>
      <c r="O129" t="s">
        <v>282</v>
      </c>
      <c r="P129" t="s">
        <v>282</v>
      </c>
      <c r="Q129">
        <v>1</v>
      </c>
      <c r="X129">
        <v>174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 t="s">
        <v>3</v>
      </c>
      <c r="AG129">
        <v>174</v>
      </c>
      <c r="AH129">
        <v>2</v>
      </c>
      <c r="AI129">
        <v>46607311</v>
      </c>
      <c r="AJ129">
        <v>142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ROW(Source!A145)</f>
        <v>145</v>
      </c>
      <c r="B130">
        <v>46607314</v>
      </c>
      <c r="C130">
        <v>46607310</v>
      </c>
      <c r="D130">
        <v>45146676</v>
      </c>
      <c r="E130">
        <v>1</v>
      </c>
      <c r="F130">
        <v>1</v>
      </c>
      <c r="G130">
        <v>27</v>
      </c>
      <c r="H130">
        <v>3</v>
      </c>
      <c r="I130" t="s">
        <v>377</v>
      </c>
      <c r="J130" t="s">
        <v>378</v>
      </c>
      <c r="K130" t="s">
        <v>379</v>
      </c>
      <c r="L130">
        <v>1339</v>
      </c>
      <c r="N130">
        <v>1007</v>
      </c>
      <c r="O130" t="s">
        <v>29</v>
      </c>
      <c r="P130" t="s">
        <v>29</v>
      </c>
      <c r="Q130">
        <v>1</v>
      </c>
      <c r="X130">
        <v>2.2000000000000002</v>
      </c>
      <c r="Y130">
        <v>3386.9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2.2000000000000002</v>
      </c>
      <c r="AH130">
        <v>2</v>
      </c>
      <c r="AI130">
        <v>46607312</v>
      </c>
      <c r="AJ130">
        <v>143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ROW(Source!A146)</f>
        <v>146</v>
      </c>
      <c r="B131">
        <v>46607324</v>
      </c>
      <c r="C131">
        <v>46607315</v>
      </c>
      <c r="D131">
        <v>45130551</v>
      </c>
      <c r="E131">
        <v>27</v>
      </c>
      <c r="F131">
        <v>1</v>
      </c>
      <c r="G131">
        <v>27</v>
      </c>
      <c r="H131">
        <v>1</v>
      </c>
      <c r="I131" t="s">
        <v>280</v>
      </c>
      <c r="J131" t="s">
        <v>3</v>
      </c>
      <c r="K131" t="s">
        <v>281</v>
      </c>
      <c r="L131">
        <v>1191</v>
      </c>
      <c r="N131">
        <v>1013</v>
      </c>
      <c r="O131" t="s">
        <v>282</v>
      </c>
      <c r="P131" t="s">
        <v>282</v>
      </c>
      <c r="Q131">
        <v>1</v>
      </c>
      <c r="X131">
        <v>11.6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 t="s">
        <v>3</v>
      </c>
      <c r="AG131">
        <v>11.6</v>
      </c>
      <c r="AH131">
        <v>2</v>
      </c>
      <c r="AI131">
        <v>46607316</v>
      </c>
      <c r="AJ131">
        <v>144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ROW(Source!A146)</f>
        <v>146</v>
      </c>
      <c r="B132">
        <v>46607325</v>
      </c>
      <c r="C132">
        <v>46607315</v>
      </c>
      <c r="D132">
        <v>45143099</v>
      </c>
      <c r="E132">
        <v>1</v>
      </c>
      <c r="F132">
        <v>1</v>
      </c>
      <c r="G132">
        <v>27</v>
      </c>
      <c r="H132">
        <v>2</v>
      </c>
      <c r="I132" t="s">
        <v>351</v>
      </c>
      <c r="J132" t="s">
        <v>352</v>
      </c>
      <c r="K132" t="s">
        <v>353</v>
      </c>
      <c r="L132">
        <v>1368</v>
      </c>
      <c r="N132">
        <v>1011</v>
      </c>
      <c r="O132" t="s">
        <v>286</v>
      </c>
      <c r="P132" t="s">
        <v>286</v>
      </c>
      <c r="Q132">
        <v>1</v>
      </c>
      <c r="X132">
        <v>5.2</v>
      </c>
      <c r="Y132">
        <v>0</v>
      </c>
      <c r="Z132">
        <v>98.05</v>
      </c>
      <c r="AA132">
        <v>33.06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5.2</v>
      </c>
      <c r="AH132">
        <v>2</v>
      </c>
      <c r="AI132">
        <v>46607317</v>
      </c>
      <c r="AJ132">
        <v>145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ROW(Source!A146)</f>
        <v>146</v>
      </c>
      <c r="B133">
        <v>46607326</v>
      </c>
      <c r="C133">
        <v>46607315</v>
      </c>
      <c r="D133">
        <v>45143219</v>
      </c>
      <c r="E133">
        <v>1</v>
      </c>
      <c r="F133">
        <v>1</v>
      </c>
      <c r="G133">
        <v>27</v>
      </c>
      <c r="H133">
        <v>2</v>
      </c>
      <c r="I133" t="s">
        <v>380</v>
      </c>
      <c r="J133" t="s">
        <v>381</v>
      </c>
      <c r="K133" t="s">
        <v>382</v>
      </c>
      <c r="L133">
        <v>1368</v>
      </c>
      <c r="N133">
        <v>1011</v>
      </c>
      <c r="O133" t="s">
        <v>286</v>
      </c>
      <c r="P133" t="s">
        <v>286</v>
      </c>
      <c r="Q133">
        <v>1</v>
      </c>
      <c r="X133">
        <v>10.4</v>
      </c>
      <c r="Y133">
        <v>0</v>
      </c>
      <c r="Z133">
        <v>45.47</v>
      </c>
      <c r="AA133">
        <v>25.5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10.4</v>
      </c>
      <c r="AH133">
        <v>2</v>
      </c>
      <c r="AI133">
        <v>46607318</v>
      </c>
      <c r="AJ133">
        <v>146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ROW(Source!A146)</f>
        <v>146</v>
      </c>
      <c r="B134">
        <v>46607327</v>
      </c>
      <c r="C134">
        <v>46607315</v>
      </c>
      <c r="D134">
        <v>45142866</v>
      </c>
      <c r="E134">
        <v>1</v>
      </c>
      <c r="F134">
        <v>1</v>
      </c>
      <c r="G134">
        <v>27</v>
      </c>
      <c r="H134">
        <v>2</v>
      </c>
      <c r="I134" t="s">
        <v>354</v>
      </c>
      <c r="J134" t="s">
        <v>355</v>
      </c>
      <c r="K134" t="s">
        <v>356</v>
      </c>
      <c r="L134">
        <v>1368</v>
      </c>
      <c r="N134">
        <v>1011</v>
      </c>
      <c r="O134" t="s">
        <v>286</v>
      </c>
      <c r="P134" t="s">
        <v>286</v>
      </c>
      <c r="Q134">
        <v>1</v>
      </c>
      <c r="X134">
        <v>0.09</v>
      </c>
      <c r="Y134">
        <v>0</v>
      </c>
      <c r="Z134">
        <v>16.920000000000002</v>
      </c>
      <c r="AA134">
        <v>0.09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0.09</v>
      </c>
      <c r="AH134">
        <v>2</v>
      </c>
      <c r="AI134">
        <v>46607319</v>
      </c>
      <c r="AJ134">
        <v>147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ROW(Source!A146)</f>
        <v>146</v>
      </c>
      <c r="B135">
        <v>46607328</v>
      </c>
      <c r="C135">
        <v>46607315</v>
      </c>
      <c r="D135">
        <v>45145449</v>
      </c>
      <c r="E135">
        <v>1</v>
      </c>
      <c r="F135">
        <v>1</v>
      </c>
      <c r="G135">
        <v>27</v>
      </c>
      <c r="H135">
        <v>3</v>
      </c>
      <c r="I135" t="s">
        <v>383</v>
      </c>
      <c r="J135" t="s">
        <v>384</v>
      </c>
      <c r="K135" t="s">
        <v>385</v>
      </c>
      <c r="L135">
        <v>1346</v>
      </c>
      <c r="N135">
        <v>1009</v>
      </c>
      <c r="O135" t="s">
        <v>359</v>
      </c>
      <c r="P135" t="s">
        <v>359</v>
      </c>
      <c r="Q135">
        <v>1</v>
      </c>
      <c r="X135">
        <v>0.41</v>
      </c>
      <c r="Y135">
        <v>28.41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0.41</v>
      </c>
      <c r="AH135">
        <v>2</v>
      </c>
      <c r="AI135">
        <v>46607320</v>
      </c>
      <c r="AJ135">
        <v>148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ROW(Source!A146)</f>
        <v>146</v>
      </c>
      <c r="B136">
        <v>46607329</v>
      </c>
      <c r="C136">
        <v>46607315</v>
      </c>
      <c r="D136">
        <v>45144148</v>
      </c>
      <c r="E136">
        <v>1</v>
      </c>
      <c r="F136">
        <v>1</v>
      </c>
      <c r="G136">
        <v>27</v>
      </c>
      <c r="H136">
        <v>3</v>
      </c>
      <c r="I136" t="s">
        <v>363</v>
      </c>
      <c r="J136" t="s">
        <v>364</v>
      </c>
      <c r="K136" t="s">
        <v>365</v>
      </c>
      <c r="L136">
        <v>1348</v>
      </c>
      <c r="N136">
        <v>1009</v>
      </c>
      <c r="O136" t="s">
        <v>65</v>
      </c>
      <c r="P136" t="s">
        <v>65</v>
      </c>
      <c r="Q136">
        <v>1000</v>
      </c>
      <c r="X136">
        <v>1.6000000000000001E-3</v>
      </c>
      <c r="Y136">
        <v>63195.54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1.6000000000000001E-3</v>
      </c>
      <c r="AH136">
        <v>2</v>
      </c>
      <c r="AI136">
        <v>46607321</v>
      </c>
      <c r="AJ136">
        <v>149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ROW(Source!A146)</f>
        <v>146</v>
      </c>
      <c r="B137">
        <v>46607330</v>
      </c>
      <c r="C137">
        <v>46607315</v>
      </c>
      <c r="D137">
        <v>45144091</v>
      </c>
      <c r="E137">
        <v>1</v>
      </c>
      <c r="F137">
        <v>1</v>
      </c>
      <c r="G137">
        <v>27</v>
      </c>
      <c r="H137">
        <v>3</v>
      </c>
      <c r="I137" t="s">
        <v>210</v>
      </c>
      <c r="J137" t="s">
        <v>212</v>
      </c>
      <c r="K137" t="s">
        <v>211</v>
      </c>
      <c r="L137">
        <v>1348</v>
      </c>
      <c r="N137">
        <v>1009</v>
      </c>
      <c r="O137" t="s">
        <v>65</v>
      </c>
      <c r="P137" t="s">
        <v>65</v>
      </c>
      <c r="Q137">
        <v>1000</v>
      </c>
      <c r="X137">
        <v>5.3800000000000001E-2</v>
      </c>
      <c r="Y137">
        <v>103647.55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5.3800000000000001E-2</v>
      </c>
      <c r="AH137">
        <v>2</v>
      </c>
      <c r="AI137">
        <v>46607322</v>
      </c>
      <c r="AJ137">
        <v>150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ROW(Source!A149)</f>
        <v>149</v>
      </c>
      <c r="B138">
        <v>46607336</v>
      </c>
      <c r="C138">
        <v>46607333</v>
      </c>
      <c r="D138">
        <v>45130551</v>
      </c>
      <c r="E138">
        <v>27</v>
      </c>
      <c r="F138">
        <v>1</v>
      </c>
      <c r="G138">
        <v>27</v>
      </c>
      <c r="H138">
        <v>1</v>
      </c>
      <c r="I138" t="s">
        <v>280</v>
      </c>
      <c r="J138" t="s">
        <v>3</v>
      </c>
      <c r="K138" t="s">
        <v>281</v>
      </c>
      <c r="L138">
        <v>1191</v>
      </c>
      <c r="N138">
        <v>1013</v>
      </c>
      <c r="O138" t="s">
        <v>282</v>
      </c>
      <c r="P138" t="s">
        <v>282</v>
      </c>
      <c r="Q138">
        <v>1</v>
      </c>
      <c r="X138">
        <v>111.78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 t="s">
        <v>3</v>
      </c>
      <c r="AG138">
        <v>111.78</v>
      </c>
      <c r="AH138">
        <v>2</v>
      </c>
      <c r="AI138">
        <v>46607334</v>
      </c>
      <c r="AJ138">
        <v>152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ROW(Source!A149)</f>
        <v>149</v>
      </c>
      <c r="B139">
        <v>46607337</v>
      </c>
      <c r="C139">
        <v>46607333</v>
      </c>
      <c r="D139">
        <v>45144549</v>
      </c>
      <c r="E139">
        <v>1</v>
      </c>
      <c r="F139">
        <v>1</v>
      </c>
      <c r="G139">
        <v>27</v>
      </c>
      <c r="H139">
        <v>3</v>
      </c>
      <c r="I139" t="s">
        <v>386</v>
      </c>
      <c r="J139" t="s">
        <v>387</v>
      </c>
      <c r="K139" t="s">
        <v>388</v>
      </c>
      <c r="L139">
        <v>1348</v>
      </c>
      <c r="N139">
        <v>1009</v>
      </c>
      <c r="O139" t="s">
        <v>65</v>
      </c>
      <c r="P139" t="s">
        <v>65</v>
      </c>
      <c r="Q139">
        <v>1000</v>
      </c>
      <c r="X139">
        <v>0.56999999999999995</v>
      </c>
      <c r="Y139">
        <v>52115.040000000001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0.56999999999999995</v>
      </c>
      <c r="AH139">
        <v>2</v>
      </c>
      <c r="AI139">
        <v>46607335</v>
      </c>
      <c r="AJ139">
        <v>153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ROW(Source!A150)</f>
        <v>150</v>
      </c>
      <c r="B140">
        <v>46607354</v>
      </c>
      <c r="C140">
        <v>46607338</v>
      </c>
      <c r="D140">
        <v>45130551</v>
      </c>
      <c r="E140">
        <v>27</v>
      </c>
      <c r="F140">
        <v>1</v>
      </c>
      <c r="G140">
        <v>27</v>
      </c>
      <c r="H140">
        <v>1</v>
      </c>
      <c r="I140" t="s">
        <v>280</v>
      </c>
      <c r="J140" t="s">
        <v>3</v>
      </c>
      <c r="K140" t="s">
        <v>281</v>
      </c>
      <c r="L140">
        <v>1191</v>
      </c>
      <c r="N140">
        <v>1013</v>
      </c>
      <c r="O140" t="s">
        <v>282</v>
      </c>
      <c r="P140" t="s">
        <v>282</v>
      </c>
      <c r="Q140">
        <v>1</v>
      </c>
      <c r="X140">
        <v>2.97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 t="s">
        <v>3</v>
      </c>
      <c r="AG140">
        <v>2.97</v>
      </c>
      <c r="AH140">
        <v>2</v>
      </c>
      <c r="AI140">
        <v>46607339</v>
      </c>
      <c r="AJ140">
        <v>154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ROW(Source!A150)</f>
        <v>150</v>
      </c>
      <c r="B141">
        <v>46607355</v>
      </c>
      <c r="C141">
        <v>46607338</v>
      </c>
      <c r="D141">
        <v>45143190</v>
      </c>
      <c r="E141">
        <v>1</v>
      </c>
      <c r="F141">
        <v>1</v>
      </c>
      <c r="G141">
        <v>27</v>
      </c>
      <c r="H141">
        <v>2</v>
      </c>
      <c r="I141" t="s">
        <v>335</v>
      </c>
      <c r="J141" t="s">
        <v>336</v>
      </c>
      <c r="K141" t="s">
        <v>337</v>
      </c>
      <c r="L141">
        <v>1368</v>
      </c>
      <c r="N141">
        <v>1011</v>
      </c>
      <c r="O141" t="s">
        <v>286</v>
      </c>
      <c r="P141" t="s">
        <v>286</v>
      </c>
      <c r="Q141">
        <v>1</v>
      </c>
      <c r="X141">
        <v>0.38400000000000001</v>
      </c>
      <c r="Y141">
        <v>0</v>
      </c>
      <c r="Z141">
        <v>351.29</v>
      </c>
      <c r="AA141">
        <v>7.02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0.38400000000000001</v>
      </c>
      <c r="AH141">
        <v>2</v>
      </c>
      <c r="AI141">
        <v>46607340</v>
      </c>
      <c r="AJ141">
        <v>155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ROW(Source!A150)</f>
        <v>150</v>
      </c>
      <c r="B142">
        <v>46607356</v>
      </c>
      <c r="C142">
        <v>46607338</v>
      </c>
      <c r="D142">
        <v>45143575</v>
      </c>
      <c r="E142">
        <v>1</v>
      </c>
      <c r="F142">
        <v>1</v>
      </c>
      <c r="G142">
        <v>27</v>
      </c>
      <c r="H142">
        <v>2</v>
      </c>
      <c r="I142" t="s">
        <v>338</v>
      </c>
      <c r="J142" t="s">
        <v>339</v>
      </c>
      <c r="K142" t="s">
        <v>340</v>
      </c>
      <c r="L142">
        <v>1368</v>
      </c>
      <c r="N142">
        <v>1011</v>
      </c>
      <c r="O142" t="s">
        <v>286</v>
      </c>
      <c r="P142" t="s">
        <v>286</v>
      </c>
      <c r="Q142">
        <v>1</v>
      </c>
      <c r="X142">
        <v>0.115</v>
      </c>
      <c r="Y142">
        <v>0</v>
      </c>
      <c r="Z142">
        <v>5.94</v>
      </c>
      <c r="AA142">
        <v>0.02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0.115</v>
      </c>
      <c r="AH142">
        <v>2</v>
      </c>
      <c r="AI142">
        <v>46607341</v>
      </c>
      <c r="AJ142">
        <v>156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ROW(Source!A150)</f>
        <v>150</v>
      </c>
      <c r="B143">
        <v>46607357</v>
      </c>
      <c r="C143">
        <v>46607338</v>
      </c>
      <c r="D143">
        <v>45143598</v>
      </c>
      <c r="E143">
        <v>1</v>
      </c>
      <c r="F143">
        <v>1</v>
      </c>
      <c r="G143">
        <v>27</v>
      </c>
      <c r="H143">
        <v>2</v>
      </c>
      <c r="I143" t="s">
        <v>341</v>
      </c>
      <c r="J143" t="s">
        <v>342</v>
      </c>
      <c r="K143" t="s">
        <v>343</v>
      </c>
      <c r="L143">
        <v>1368</v>
      </c>
      <c r="N143">
        <v>1011</v>
      </c>
      <c r="O143" t="s">
        <v>286</v>
      </c>
      <c r="P143" t="s">
        <v>286</v>
      </c>
      <c r="Q143">
        <v>1</v>
      </c>
      <c r="X143">
        <v>0.504</v>
      </c>
      <c r="Y143">
        <v>0</v>
      </c>
      <c r="Z143">
        <v>652.16</v>
      </c>
      <c r="AA143">
        <v>581.9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0.504</v>
      </c>
      <c r="AH143">
        <v>2</v>
      </c>
      <c r="AI143">
        <v>46607342</v>
      </c>
      <c r="AJ143">
        <v>157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ROW(Source!A150)</f>
        <v>150</v>
      </c>
      <c r="B144">
        <v>46607358</v>
      </c>
      <c r="C144">
        <v>46607338</v>
      </c>
      <c r="D144">
        <v>45144555</v>
      </c>
      <c r="E144">
        <v>1</v>
      </c>
      <c r="F144">
        <v>1</v>
      </c>
      <c r="G144">
        <v>27</v>
      </c>
      <c r="H144">
        <v>3</v>
      </c>
      <c r="I144" t="s">
        <v>344</v>
      </c>
      <c r="J144" t="s">
        <v>345</v>
      </c>
      <c r="K144" t="s">
        <v>346</v>
      </c>
      <c r="L144">
        <v>1348</v>
      </c>
      <c r="N144">
        <v>1009</v>
      </c>
      <c r="O144" t="s">
        <v>65</v>
      </c>
      <c r="P144" t="s">
        <v>65</v>
      </c>
      <c r="Q144">
        <v>1000</v>
      </c>
      <c r="X144">
        <v>1.01E-3</v>
      </c>
      <c r="Y144">
        <v>38268.54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1.01E-3</v>
      </c>
      <c r="AH144">
        <v>2</v>
      </c>
      <c r="AI144">
        <v>46607344</v>
      </c>
      <c r="AJ144">
        <v>159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ROW(Source!A150)</f>
        <v>150</v>
      </c>
      <c r="B145">
        <v>46607359</v>
      </c>
      <c r="C145">
        <v>46607338</v>
      </c>
      <c r="D145">
        <v>45144413</v>
      </c>
      <c r="E145">
        <v>1</v>
      </c>
      <c r="F145">
        <v>1</v>
      </c>
      <c r="G145">
        <v>27</v>
      </c>
      <c r="H145">
        <v>3</v>
      </c>
      <c r="I145" t="s">
        <v>84</v>
      </c>
      <c r="J145" t="s">
        <v>86</v>
      </c>
      <c r="K145" t="s">
        <v>85</v>
      </c>
      <c r="L145">
        <v>1348</v>
      </c>
      <c r="N145">
        <v>1009</v>
      </c>
      <c r="O145" t="s">
        <v>65</v>
      </c>
      <c r="P145" t="s">
        <v>65</v>
      </c>
      <c r="Q145">
        <v>1000</v>
      </c>
      <c r="X145">
        <v>0.14899999999999999</v>
      </c>
      <c r="Y145">
        <v>37537.54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0.14899999999999999</v>
      </c>
      <c r="AH145">
        <v>2</v>
      </c>
      <c r="AI145">
        <v>46607345</v>
      </c>
      <c r="AJ145">
        <v>160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ROW(Source!A150)</f>
        <v>150</v>
      </c>
      <c r="B146">
        <v>46607360</v>
      </c>
      <c r="C146">
        <v>46607338</v>
      </c>
      <c r="D146">
        <v>45145543</v>
      </c>
      <c r="E146">
        <v>1</v>
      </c>
      <c r="F146">
        <v>1</v>
      </c>
      <c r="G146">
        <v>27</v>
      </c>
      <c r="H146">
        <v>3</v>
      </c>
      <c r="I146" t="s">
        <v>320</v>
      </c>
      <c r="J146" t="s">
        <v>321</v>
      </c>
      <c r="K146" t="s">
        <v>322</v>
      </c>
      <c r="L146">
        <v>1348</v>
      </c>
      <c r="N146">
        <v>1009</v>
      </c>
      <c r="O146" t="s">
        <v>65</v>
      </c>
      <c r="P146" t="s">
        <v>65</v>
      </c>
      <c r="Q146">
        <v>1000</v>
      </c>
      <c r="X146">
        <v>5.0000000000000001E-4</v>
      </c>
      <c r="Y146">
        <v>110781.14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5.0000000000000001E-4</v>
      </c>
      <c r="AH146">
        <v>2</v>
      </c>
      <c r="AI146">
        <v>46607348</v>
      </c>
      <c r="AJ146">
        <v>163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ROW(Source!A150)</f>
        <v>150</v>
      </c>
      <c r="B147">
        <v>46607361</v>
      </c>
      <c r="C147">
        <v>46607338</v>
      </c>
      <c r="D147">
        <v>45147864</v>
      </c>
      <c r="E147">
        <v>1</v>
      </c>
      <c r="F147">
        <v>1</v>
      </c>
      <c r="G147">
        <v>27</v>
      </c>
      <c r="H147">
        <v>3</v>
      </c>
      <c r="I147" t="s">
        <v>347</v>
      </c>
      <c r="J147" t="s">
        <v>348</v>
      </c>
      <c r="K147" t="s">
        <v>349</v>
      </c>
      <c r="L147">
        <v>1354</v>
      </c>
      <c r="N147">
        <v>1010</v>
      </c>
      <c r="O147" t="s">
        <v>350</v>
      </c>
      <c r="P147" t="s">
        <v>350</v>
      </c>
      <c r="Q147">
        <v>1</v>
      </c>
      <c r="X147">
        <v>1.4E-2</v>
      </c>
      <c r="Y147">
        <v>16.54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1.4E-2</v>
      </c>
      <c r="AH147">
        <v>2</v>
      </c>
      <c r="AI147">
        <v>46607349</v>
      </c>
      <c r="AJ147">
        <v>164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ROW(Source!A159)</f>
        <v>159</v>
      </c>
      <c r="B148">
        <v>46607377</v>
      </c>
      <c r="C148">
        <v>46607370</v>
      </c>
      <c r="D148">
        <v>45130551</v>
      </c>
      <c r="E148">
        <v>27</v>
      </c>
      <c r="F148">
        <v>1</v>
      </c>
      <c r="G148">
        <v>27</v>
      </c>
      <c r="H148">
        <v>1</v>
      </c>
      <c r="I148" t="s">
        <v>280</v>
      </c>
      <c r="J148" t="s">
        <v>3</v>
      </c>
      <c r="K148" t="s">
        <v>281</v>
      </c>
      <c r="L148">
        <v>1191</v>
      </c>
      <c r="N148">
        <v>1013</v>
      </c>
      <c r="O148" t="s">
        <v>282</v>
      </c>
      <c r="P148" t="s">
        <v>282</v>
      </c>
      <c r="Q148">
        <v>1</v>
      </c>
      <c r="X148">
        <v>6.11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 t="s">
        <v>3</v>
      </c>
      <c r="AG148">
        <v>6.11</v>
      </c>
      <c r="AH148">
        <v>2</v>
      </c>
      <c r="AI148">
        <v>46607371</v>
      </c>
      <c r="AJ148">
        <v>169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ROW(Source!A159)</f>
        <v>159</v>
      </c>
      <c r="B149">
        <v>46607378</v>
      </c>
      <c r="C149">
        <v>46607370</v>
      </c>
      <c r="D149">
        <v>45143099</v>
      </c>
      <c r="E149">
        <v>1</v>
      </c>
      <c r="F149">
        <v>1</v>
      </c>
      <c r="G149">
        <v>27</v>
      </c>
      <c r="H149">
        <v>2</v>
      </c>
      <c r="I149" t="s">
        <v>351</v>
      </c>
      <c r="J149" t="s">
        <v>352</v>
      </c>
      <c r="K149" t="s">
        <v>353</v>
      </c>
      <c r="L149">
        <v>1368</v>
      </c>
      <c r="N149">
        <v>1011</v>
      </c>
      <c r="O149" t="s">
        <v>286</v>
      </c>
      <c r="P149" t="s">
        <v>286</v>
      </c>
      <c r="Q149">
        <v>1</v>
      </c>
      <c r="X149">
        <v>1.4</v>
      </c>
      <c r="Y149">
        <v>0</v>
      </c>
      <c r="Z149">
        <v>98.05</v>
      </c>
      <c r="AA149">
        <v>33.06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1.4</v>
      </c>
      <c r="AH149">
        <v>2</v>
      </c>
      <c r="AI149">
        <v>46607372</v>
      </c>
      <c r="AJ149">
        <v>170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ROW(Source!A159)</f>
        <v>159</v>
      </c>
      <c r="B150">
        <v>46607379</v>
      </c>
      <c r="C150">
        <v>46607370</v>
      </c>
      <c r="D150">
        <v>45142852</v>
      </c>
      <c r="E150">
        <v>1</v>
      </c>
      <c r="F150">
        <v>1</v>
      </c>
      <c r="G150">
        <v>27</v>
      </c>
      <c r="H150">
        <v>2</v>
      </c>
      <c r="I150" t="s">
        <v>308</v>
      </c>
      <c r="J150" t="s">
        <v>309</v>
      </c>
      <c r="K150" t="s">
        <v>310</v>
      </c>
      <c r="L150">
        <v>1368</v>
      </c>
      <c r="N150">
        <v>1011</v>
      </c>
      <c r="O150" t="s">
        <v>286</v>
      </c>
      <c r="P150" t="s">
        <v>286</v>
      </c>
      <c r="Q150">
        <v>1</v>
      </c>
      <c r="X150">
        <v>0.01</v>
      </c>
      <c r="Y150">
        <v>0</v>
      </c>
      <c r="Z150">
        <v>683.9</v>
      </c>
      <c r="AA150">
        <v>371.27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0.01</v>
      </c>
      <c r="AH150">
        <v>2</v>
      </c>
      <c r="AI150">
        <v>46607373</v>
      </c>
      <c r="AJ150">
        <v>171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ROW(Source!A159)</f>
        <v>159</v>
      </c>
      <c r="B151">
        <v>46607380</v>
      </c>
      <c r="C151">
        <v>46607370</v>
      </c>
      <c r="D151">
        <v>45142866</v>
      </c>
      <c r="E151">
        <v>1</v>
      </c>
      <c r="F151">
        <v>1</v>
      </c>
      <c r="G151">
        <v>27</v>
      </c>
      <c r="H151">
        <v>2</v>
      </c>
      <c r="I151" t="s">
        <v>354</v>
      </c>
      <c r="J151" t="s">
        <v>355</v>
      </c>
      <c r="K151" t="s">
        <v>356</v>
      </c>
      <c r="L151">
        <v>1368</v>
      </c>
      <c r="N151">
        <v>1011</v>
      </c>
      <c r="O151" t="s">
        <v>286</v>
      </c>
      <c r="P151" t="s">
        <v>286</v>
      </c>
      <c r="Q151">
        <v>1</v>
      </c>
      <c r="X151">
        <v>0.01</v>
      </c>
      <c r="Y151">
        <v>0</v>
      </c>
      <c r="Z151">
        <v>16.920000000000002</v>
      </c>
      <c r="AA151">
        <v>0.09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0.01</v>
      </c>
      <c r="AH151">
        <v>2</v>
      </c>
      <c r="AI151">
        <v>46607374</v>
      </c>
      <c r="AJ151">
        <v>172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ROW(Source!A159)</f>
        <v>159</v>
      </c>
      <c r="B152">
        <v>46607381</v>
      </c>
      <c r="C152">
        <v>46607370</v>
      </c>
      <c r="D152">
        <v>45131998</v>
      </c>
      <c r="E152">
        <v>27</v>
      </c>
      <c r="F152">
        <v>1</v>
      </c>
      <c r="G152">
        <v>27</v>
      </c>
      <c r="H152">
        <v>3</v>
      </c>
      <c r="I152" t="s">
        <v>357</v>
      </c>
      <c r="J152" t="s">
        <v>3</v>
      </c>
      <c r="K152" t="s">
        <v>358</v>
      </c>
      <c r="L152">
        <v>1346</v>
      </c>
      <c r="N152">
        <v>1009</v>
      </c>
      <c r="O152" t="s">
        <v>359</v>
      </c>
      <c r="P152" t="s">
        <v>359</v>
      </c>
      <c r="Q152">
        <v>1</v>
      </c>
      <c r="X152">
        <v>1.5</v>
      </c>
      <c r="Y152">
        <v>99.303030000000007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 t="s">
        <v>3</v>
      </c>
      <c r="AG152">
        <v>1.5</v>
      </c>
      <c r="AH152">
        <v>2</v>
      </c>
      <c r="AI152">
        <v>46607375</v>
      </c>
      <c r="AJ152">
        <v>173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ROW(Source!A159)</f>
        <v>159</v>
      </c>
      <c r="B153">
        <v>46607382</v>
      </c>
      <c r="C153">
        <v>46607370</v>
      </c>
      <c r="D153">
        <v>45144050</v>
      </c>
      <c r="E153">
        <v>1</v>
      </c>
      <c r="F153">
        <v>1</v>
      </c>
      <c r="G153">
        <v>27</v>
      </c>
      <c r="H153">
        <v>3</v>
      </c>
      <c r="I153" t="s">
        <v>360</v>
      </c>
      <c r="J153" t="s">
        <v>361</v>
      </c>
      <c r="K153" t="s">
        <v>362</v>
      </c>
      <c r="L153">
        <v>1348</v>
      </c>
      <c r="N153">
        <v>1009</v>
      </c>
      <c r="O153" t="s">
        <v>65</v>
      </c>
      <c r="P153" t="s">
        <v>65</v>
      </c>
      <c r="Q153">
        <v>1000</v>
      </c>
      <c r="X153">
        <v>8.9999999999999993E-3</v>
      </c>
      <c r="Y153">
        <v>97017.58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8.9999999999999993E-3</v>
      </c>
      <c r="AH153">
        <v>2</v>
      </c>
      <c r="AI153">
        <v>46607376</v>
      </c>
      <c r="AJ153">
        <v>174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ROW(Source!A160)</f>
        <v>160</v>
      </c>
      <c r="B154">
        <v>46607388</v>
      </c>
      <c r="C154">
        <v>46607383</v>
      </c>
      <c r="D154">
        <v>45130551</v>
      </c>
      <c r="E154">
        <v>27</v>
      </c>
      <c r="F154">
        <v>1</v>
      </c>
      <c r="G154">
        <v>27</v>
      </c>
      <c r="H154">
        <v>1</v>
      </c>
      <c r="I154" t="s">
        <v>280</v>
      </c>
      <c r="J154" t="s">
        <v>3</v>
      </c>
      <c r="K154" t="s">
        <v>281</v>
      </c>
      <c r="L154">
        <v>1191</v>
      </c>
      <c r="N154">
        <v>1013</v>
      </c>
      <c r="O154" t="s">
        <v>282</v>
      </c>
      <c r="P154" t="s">
        <v>282</v>
      </c>
      <c r="Q154">
        <v>1</v>
      </c>
      <c r="X154">
        <v>2.4500000000000002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 t="s">
        <v>3</v>
      </c>
      <c r="AG154">
        <v>2.4500000000000002</v>
      </c>
      <c r="AH154">
        <v>2</v>
      </c>
      <c r="AI154">
        <v>46607384</v>
      </c>
      <c r="AJ154">
        <v>175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ROW(Source!A160)</f>
        <v>160</v>
      </c>
      <c r="B155">
        <v>46607389</v>
      </c>
      <c r="C155">
        <v>46607383</v>
      </c>
      <c r="D155">
        <v>45142852</v>
      </c>
      <c r="E155">
        <v>1</v>
      </c>
      <c r="F155">
        <v>1</v>
      </c>
      <c r="G155">
        <v>27</v>
      </c>
      <c r="H155">
        <v>2</v>
      </c>
      <c r="I155" t="s">
        <v>308</v>
      </c>
      <c r="J155" t="s">
        <v>309</v>
      </c>
      <c r="K155" t="s">
        <v>310</v>
      </c>
      <c r="L155">
        <v>1368</v>
      </c>
      <c r="N155">
        <v>1011</v>
      </c>
      <c r="O155" t="s">
        <v>286</v>
      </c>
      <c r="P155" t="s">
        <v>286</v>
      </c>
      <c r="Q155">
        <v>1</v>
      </c>
      <c r="X155">
        <v>0.01</v>
      </c>
      <c r="Y155">
        <v>0</v>
      </c>
      <c r="Z155">
        <v>683.9</v>
      </c>
      <c r="AA155">
        <v>371.27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0.01</v>
      </c>
      <c r="AH155">
        <v>2</v>
      </c>
      <c r="AI155">
        <v>46607385</v>
      </c>
      <c r="AJ155">
        <v>176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ROW(Source!A160)</f>
        <v>160</v>
      </c>
      <c r="B156">
        <v>46607390</v>
      </c>
      <c r="C156">
        <v>46607383</v>
      </c>
      <c r="D156">
        <v>45144148</v>
      </c>
      <c r="E156">
        <v>1</v>
      </c>
      <c r="F156">
        <v>1</v>
      </c>
      <c r="G156">
        <v>27</v>
      </c>
      <c r="H156">
        <v>3</v>
      </c>
      <c r="I156" t="s">
        <v>363</v>
      </c>
      <c r="J156" t="s">
        <v>364</v>
      </c>
      <c r="K156" t="s">
        <v>365</v>
      </c>
      <c r="L156">
        <v>1348</v>
      </c>
      <c r="N156">
        <v>1009</v>
      </c>
      <c r="O156" t="s">
        <v>65</v>
      </c>
      <c r="P156" t="s">
        <v>65</v>
      </c>
      <c r="Q156">
        <v>1000</v>
      </c>
      <c r="X156">
        <v>1.48E-3</v>
      </c>
      <c r="Y156">
        <v>63195.54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1.48E-3</v>
      </c>
      <c r="AH156">
        <v>2</v>
      </c>
      <c r="AI156">
        <v>46607386</v>
      </c>
      <c r="AJ156">
        <v>177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ROW(Source!A160)</f>
        <v>160</v>
      </c>
      <c r="B157">
        <v>46607391</v>
      </c>
      <c r="C157">
        <v>46607383</v>
      </c>
      <c r="D157">
        <v>45144173</v>
      </c>
      <c r="E157">
        <v>1</v>
      </c>
      <c r="F157">
        <v>1</v>
      </c>
      <c r="G157">
        <v>27</v>
      </c>
      <c r="H157">
        <v>3</v>
      </c>
      <c r="I157" t="s">
        <v>366</v>
      </c>
      <c r="J157" t="s">
        <v>367</v>
      </c>
      <c r="K157" t="s">
        <v>368</v>
      </c>
      <c r="L157">
        <v>1346</v>
      </c>
      <c r="N157">
        <v>1009</v>
      </c>
      <c r="O157" t="s">
        <v>359</v>
      </c>
      <c r="P157" t="s">
        <v>359</v>
      </c>
      <c r="Q157">
        <v>1</v>
      </c>
      <c r="X157">
        <v>9</v>
      </c>
      <c r="Y157">
        <v>105.32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3</v>
      </c>
      <c r="AG157">
        <v>9</v>
      </c>
      <c r="AH157">
        <v>2</v>
      </c>
      <c r="AI157">
        <v>46607387</v>
      </c>
      <c r="AJ157">
        <v>178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ROW(Source!A195)</f>
        <v>195</v>
      </c>
      <c r="B158">
        <v>46607532</v>
      </c>
      <c r="C158">
        <v>46607523</v>
      </c>
      <c r="D158">
        <v>45130551</v>
      </c>
      <c r="E158">
        <v>27</v>
      </c>
      <c r="F158">
        <v>1</v>
      </c>
      <c r="G158">
        <v>27</v>
      </c>
      <c r="H158">
        <v>1</v>
      </c>
      <c r="I158" t="s">
        <v>280</v>
      </c>
      <c r="J158" t="s">
        <v>3</v>
      </c>
      <c r="K158" t="s">
        <v>281</v>
      </c>
      <c r="L158">
        <v>1191</v>
      </c>
      <c r="N158">
        <v>1013</v>
      </c>
      <c r="O158" t="s">
        <v>282</v>
      </c>
      <c r="P158" t="s">
        <v>282</v>
      </c>
      <c r="Q158">
        <v>1</v>
      </c>
      <c r="X158">
        <v>2.97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 t="s">
        <v>174</v>
      </c>
      <c r="AG158">
        <v>0.59400000000000008</v>
      </c>
      <c r="AH158">
        <v>2</v>
      </c>
      <c r="AI158">
        <v>46607524</v>
      </c>
      <c r="AJ158">
        <v>179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ROW(Source!A195)</f>
        <v>195</v>
      </c>
      <c r="B159">
        <v>46607533</v>
      </c>
      <c r="C159">
        <v>46607523</v>
      </c>
      <c r="D159">
        <v>45143190</v>
      </c>
      <c r="E159">
        <v>1</v>
      </c>
      <c r="F159">
        <v>1</v>
      </c>
      <c r="G159">
        <v>27</v>
      </c>
      <c r="H159">
        <v>2</v>
      </c>
      <c r="I159" t="s">
        <v>335</v>
      </c>
      <c r="J159" t="s">
        <v>336</v>
      </c>
      <c r="K159" t="s">
        <v>337</v>
      </c>
      <c r="L159">
        <v>1368</v>
      </c>
      <c r="N159">
        <v>1011</v>
      </c>
      <c r="O159" t="s">
        <v>286</v>
      </c>
      <c r="P159" t="s">
        <v>286</v>
      </c>
      <c r="Q159">
        <v>1</v>
      </c>
      <c r="X159">
        <v>0.38400000000000001</v>
      </c>
      <c r="Y159">
        <v>0</v>
      </c>
      <c r="Z159">
        <v>351.29</v>
      </c>
      <c r="AA159">
        <v>7.02</v>
      </c>
      <c r="AB159">
        <v>0</v>
      </c>
      <c r="AC159">
        <v>0</v>
      </c>
      <c r="AD159">
        <v>1</v>
      </c>
      <c r="AE159">
        <v>0</v>
      </c>
      <c r="AF159" t="s">
        <v>174</v>
      </c>
      <c r="AG159">
        <v>7.6800000000000007E-2</v>
      </c>
      <c r="AH159">
        <v>2</v>
      </c>
      <c r="AI159">
        <v>46607525</v>
      </c>
      <c r="AJ159">
        <v>180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ROW(Source!A195)</f>
        <v>195</v>
      </c>
      <c r="B160">
        <v>46607534</v>
      </c>
      <c r="C160">
        <v>46607523</v>
      </c>
      <c r="D160">
        <v>45143575</v>
      </c>
      <c r="E160">
        <v>1</v>
      </c>
      <c r="F160">
        <v>1</v>
      </c>
      <c r="G160">
        <v>27</v>
      </c>
      <c r="H160">
        <v>2</v>
      </c>
      <c r="I160" t="s">
        <v>338</v>
      </c>
      <c r="J160" t="s">
        <v>339</v>
      </c>
      <c r="K160" t="s">
        <v>340</v>
      </c>
      <c r="L160">
        <v>1368</v>
      </c>
      <c r="N160">
        <v>1011</v>
      </c>
      <c r="O160" t="s">
        <v>286</v>
      </c>
      <c r="P160" t="s">
        <v>286</v>
      </c>
      <c r="Q160">
        <v>1</v>
      </c>
      <c r="X160">
        <v>0.115</v>
      </c>
      <c r="Y160">
        <v>0</v>
      </c>
      <c r="Z160">
        <v>5.94</v>
      </c>
      <c r="AA160">
        <v>0.02</v>
      </c>
      <c r="AB160">
        <v>0</v>
      </c>
      <c r="AC160">
        <v>0</v>
      </c>
      <c r="AD160">
        <v>1</v>
      </c>
      <c r="AE160">
        <v>0</v>
      </c>
      <c r="AF160" t="s">
        <v>174</v>
      </c>
      <c r="AG160">
        <v>2.3000000000000003E-2</v>
      </c>
      <c r="AH160">
        <v>2</v>
      </c>
      <c r="AI160">
        <v>46607526</v>
      </c>
      <c r="AJ160">
        <v>181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ROW(Source!A195)</f>
        <v>195</v>
      </c>
      <c r="B161">
        <v>46607535</v>
      </c>
      <c r="C161">
        <v>46607523</v>
      </c>
      <c r="D161">
        <v>45143598</v>
      </c>
      <c r="E161">
        <v>1</v>
      </c>
      <c r="F161">
        <v>1</v>
      </c>
      <c r="G161">
        <v>27</v>
      </c>
      <c r="H161">
        <v>2</v>
      </c>
      <c r="I161" t="s">
        <v>341</v>
      </c>
      <c r="J161" t="s">
        <v>342</v>
      </c>
      <c r="K161" t="s">
        <v>343</v>
      </c>
      <c r="L161">
        <v>1368</v>
      </c>
      <c r="N161">
        <v>1011</v>
      </c>
      <c r="O161" t="s">
        <v>286</v>
      </c>
      <c r="P161" t="s">
        <v>286</v>
      </c>
      <c r="Q161">
        <v>1</v>
      </c>
      <c r="X161">
        <v>0.504</v>
      </c>
      <c r="Y161">
        <v>0</v>
      </c>
      <c r="Z161">
        <v>652.16</v>
      </c>
      <c r="AA161">
        <v>581.9</v>
      </c>
      <c r="AB161">
        <v>0</v>
      </c>
      <c r="AC161">
        <v>0</v>
      </c>
      <c r="AD161">
        <v>1</v>
      </c>
      <c r="AE161">
        <v>0</v>
      </c>
      <c r="AF161" t="s">
        <v>174</v>
      </c>
      <c r="AG161">
        <v>0.1008</v>
      </c>
      <c r="AH161">
        <v>2</v>
      </c>
      <c r="AI161">
        <v>46607527</v>
      </c>
      <c r="AJ161">
        <v>182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ROW(Source!A195)</f>
        <v>195</v>
      </c>
      <c r="B162">
        <v>46607536</v>
      </c>
      <c r="C162">
        <v>46607523</v>
      </c>
      <c r="D162">
        <v>45144555</v>
      </c>
      <c r="E162">
        <v>1</v>
      </c>
      <c r="F162">
        <v>1</v>
      </c>
      <c r="G162">
        <v>27</v>
      </c>
      <c r="H162">
        <v>3</v>
      </c>
      <c r="I162" t="s">
        <v>344</v>
      </c>
      <c r="J162" t="s">
        <v>345</v>
      </c>
      <c r="K162" t="s">
        <v>346</v>
      </c>
      <c r="L162">
        <v>1348</v>
      </c>
      <c r="N162">
        <v>1009</v>
      </c>
      <c r="O162" t="s">
        <v>65</v>
      </c>
      <c r="P162" t="s">
        <v>65</v>
      </c>
      <c r="Q162">
        <v>1000</v>
      </c>
      <c r="X162">
        <v>1.01E-3</v>
      </c>
      <c r="Y162">
        <v>38268.54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173</v>
      </c>
      <c r="AG162">
        <v>0</v>
      </c>
      <c r="AH162">
        <v>2</v>
      </c>
      <c r="AI162">
        <v>46607528</v>
      </c>
      <c r="AJ162">
        <v>183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ROW(Source!A195)</f>
        <v>195</v>
      </c>
      <c r="B163">
        <v>46607537</v>
      </c>
      <c r="C163">
        <v>46607523</v>
      </c>
      <c r="D163">
        <v>45144413</v>
      </c>
      <c r="E163">
        <v>1</v>
      </c>
      <c r="F163">
        <v>1</v>
      </c>
      <c r="G163">
        <v>27</v>
      </c>
      <c r="H163">
        <v>3</v>
      </c>
      <c r="I163" t="s">
        <v>84</v>
      </c>
      <c r="J163" t="s">
        <v>86</v>
      </c>
      <c r="K163" t="s">
        <v>85</v>
      </c>
      <c r="L163">
        <v>1348</v>
      </c>
      <c r="N163">
        <v>1009</v>
      </c>
      <c r="O163" t="s">
        <v>65</v>
      </c>
      <c r="P163" t="s">
        <v>65</v>
      </c>
      <c r="Q163">
        <v>1000</v>
      </c>
      <c r="X163">
        <v>0.14899999999999999</v>
      </c>
      <c r="Y163">
        <v>37537.54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 t="s">
        <v>173</v>
      </c>
      <c r="AG163">
        <v>0</v>
      </c>
      <c r="AH163">
        <v>2</v>
      </c>
      <c r="AI163">
        <v>46607529</v>
      </c>
      <c r="AJ163">
        <v>184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ROW(Source!A195)</f>
        <v>195</v>
      </c>
      <c r="B164">
        <v>46607538</v>
      </c>
      <c r="C164">
        <v>46607523</v>
      </c>
      <c r="D164">
        <v>45145543</v>
      </c>
      <c r="E164">
        <v>1</v>
      </c>
      <c r="F164">
        <v>1</v>
      </c>
      <c r="G164">
        <v>27</v>
      </c>
      <c r="H164">
        <v>3</v>
      </c>
      <c r="I164" t="s">
        <v>320</v>
      </c>
      <c r="J164" t="s">
        <v>321</v>
      </c>
      <c r="K164" t="s">
        <v>322</v>
      </c>
      <c r="L164">
        <v>1348</v>
      </c>
      <c r="N164">
        <v>1009</v>
      </c>
      <c r="O164" t="s">
        <v>65</v>
      </c>
      <c r="P164" t="s">
        <v>65</v>
      </c>
      <c r="Q164">
        <v>1000</v>
      </c>
      <c r="X164">
        <v>5.0000000000000001E-4</v>
      </c>
      <c r="Y164">
        <v>110781.14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 t="s">
        <v>173</v>
      </c>
      <c r="AG164">
        <v>0</v>
      </c>
      <c r="AH164">
        <v>2</v>
      </c>
      <c r="AI164">
        <v>46607530</v>
      </c>
      <c r="AJ164">
        <v>185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ROW(Source!A195)</f>
        <v>195</v>
      </c>
      <c r="B165">
        <v>46607539</v>
      </c>
      <c r="C165">
        <v>46607523</v>
      </c>
      <c r="D165">
        <v>45147864</v>
      </c>
      <c r="E165">
        <v>1</v>
      </c>
      <c r="F165">
        <v>1</v>
      </c>
      <c r="G165">
        <v>27</v>
      </c>
      <c r="H165">
        <v>3</v>
      </c>
      <c r="I165" t="s">
        <v>347</v>
      </c>
      <c r="J165" t="s">
        <v>348</v>
      </c>
      <c r="K165" t="s">
        <v>349</v>
      </c>
      <c r="L165">
        <v>1354</v>
      </c>
      <c r="N165">
        <v>1010</v>
      </c>
      <c r="O165" t="s">
        <v>350</v>
      </c>
      <c r="P165" t="s">
        <v>350</v>
      </c>
      <c r="Q165">
        <v>1</v>
      </c>
      <c r="X165">
        <v>1.4E-2</v>
      </c>
      <c r="Y165">
        <v>16.54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173</v>
      </c>
      <c r="AG165">
        <v>0</v>
      </c>
      <c r="AH165">
        <v>2</v>
      </c>
      <c r="AI165">
        <v>46607531</v>
      </c>
      <c r="AJ165">
        <v>186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ROW(Source!A196)</f>
        <v>196</v>
      </c>
      <c r="B166">
        <v>46607545</v>
      </c>
      <c r="C166">
        <v>46607540</v>
      </c>
      <c r="D166">
        <v>45130551</v>
      </c>
      <c r="E166">
        <v>27</v>
      </c>
      <c r="F166">
        <v>1</v>
      </c>
      <c r="G166">
        <v>27</v>
      </c>
      <c r="H166">
        <v>1</v>
      </c>
      <c r="I166" t="s">
        <v>280</v>
      </c>
      <c r="J166" t="s">
        <v>3</v>
      </c>
      <c r="K166" t="s">
        <v>281</v>
      </c>
      <c r="L166">
        <v>1191</v>
      </c>
      <c r="N166">
        <v>1013</v>
      </c>
      <c r="O166" t="s">
        <v>282</v>
      </c>
      <c r="P166" t="s">
        <v>282</v>
      </c>
      <c r="Q166">
        <v>1</v>
      </c>
      <c r="X166">
        <v>8.27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 t="s">
        <v>3</v>
      </c>
      <c r="AG166">
        <v>8.27</v>
      </c>
      <c r="AH166">
        <v>2</v>
      </c>
      <c r="AI166">
        <v>46607541</v>
      </c>
      <c r="AJ166">
        <v>187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ROW(Source!A196)</f>
        <v>196</v>
      </c>
      <c r="B167">
        <v>46607546</v>
      </c>
      <c r="C167">
        <v>46607540</v>
      </c>
      <c r="D167">
        <v>45143091</v>
      </c>
      <c r="E167">
        <v>1</v>
      </c>
      <c r="F167">
        <v>1</v>
      </c>
      <c r="G167">
        <v>27</v>
      </c>
      <c r="H167">
        <v>2</v>
      </c>
      <c r="I167" t="s">
        <v>369</v>
      </c>
      <c r="J167" t="s">
        <v>370</v>
      </c>
      <c r="K167" t="s">
        <v>371</v>
      </c>
      <c r="L167">
        <v>1368</v>
      </c>
      <c r="N167">
        <v>1011</v>
      </c>
      <c r="O167" t="s">
        <v>286</v>
      </c>
      <c r="P167" t="s">
        <v>286</v>
      </c>
      <c r="Q167">
        <v>1</v>
      </c>
      <c r="X167">
        <v>1.95</v>
      </c>
      <c r="Y167">
        <v>0</v>
      </c>
      <c r="Z167">
        <v>470.71</v>
      </c>
      <c r="AA167">
        <v>359.8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1.95</v>
      </c>
      <c r="AH167">
        <v>2</v>
      </c>
      <c r="AI167">
        <v>46607542</v>
      </c>
      <c r="AJ167">
        <v>188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ROW(Source!A196)</f>
        <v>196</v>
      </c>
      <c r="B168">
        <v>46607547</v>
      </c>
      <c r="C168">
        <v>46607540</v>
      </c>
      <c r="D168">
        <v>45143607</v>
      </c>
      <c r="E168">
        <v>1</v>
      </c>
      <c r="F168">
        <v>1</v>
      </c>
      <c r="G168">
        <v>27</v>
      </c>
      <c r="H168">
        <v>2</v>
      </c>
      <c r="I168" t="s">
        <v>372</v>
      </c>
      <c r="J168" t="s">
        <v>373</v>
      </c>
      <c r="K168" t="s">
        <v>374</v>
      </c>
      <c r="L168">
        <v>1368</v>
      </c>
      <c r="N168">
        <v>1011</v>
      </c>
      <c r="O168" t="s">
        <v>286</v>
      </c>
      <c r="P168" t="s">
        <v>286</v>
      </c>
      <c r="Q168">
        <v>1</v>
      </c>
      <c r="X168">
        <v>1.95</v>
      </c>
      <c r="Y168">
        <v>0</v>
      </c>
      <c r="Z168">
        <v>6.02</v>
      </c>
      <c r="AA168">
        <v>0.02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1.95</v>
      </c>
      <c r="AH168">
        <v>2</v>
      </c>
      <c r="AI168">
        <v>46607543</v>
      </c>
      <c r="AJ168">
        <v>189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ROW(Source!A196)</f>
        <v>196</v>
      </c>
      <c r="B169">
        <v>46607548</v>
      </c>
      <c r="C169">
        <v>46607540</v>
      </c>
      <c r="D169">
        <v>45132303</v>
      </c>
      <c r="E169">
        <v>27</v>
      </c>
      <c r="F169">
        <v>1</v>
      </c>
      <c r="G169">
        <v>27</v>
      </c>
      <c r="H169">
        <v>3</v>
      </c>
      <c r="I169" t="s">
        <v>375</v>
      </c>
      <c r="J169" t="s">
        <v>3</v>
      </c>
      <c r="K169" t="s">
        <v>376</v>
      </c>
      <c r="L169">
        <v>1348</v>
      </c>
      <c r="N169">
        <v>1009</v>
      </c>
      <c r="O169" t="s">
        <v>65</v>
      </c>
      <c r="P169" t="s">
        <v>65</v>
      </c>
      <c r="Q169">
        <v>1000</v>
      </c>
      <c r="X169">
        <v>2.4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2.4</v>
      </c>
      <c r="AH169">
        <v>2</v>
      </c>
      <c r="AI169">
        <v>46607544</v>
      </c>
      <c r="AJ169">
        <v>190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ROW(Source!A197)</f>
        <v>197</v>
      </c>
      <c r="B170">
        <v>46607551</v>
      </c>
      <c r="C170">
        <v>46607549</v>
      </c>
      <c r="D170">
        <v>45130551</v>
      </c>
      <c r="E170">
        <v>27</v>
      </c>
      <c r="F170">
        <v>1</v>
      </c>
      <c r="G170">
        <v>27</v>
      </c>
      <c r="H170">
        <v>1</v>
      </c>
      <c r="I170" t="s">
        <v>280</v>
      </c>
      <c r="J170" t="s">
        <v>3</v>
      </c>
      <c r="K170" t="s">
        <v>281</v>
      </c>
      <c r="L170">
        <v>1191</v>
      </c>
      <c r="N170">
        <v>1013</v>
      </c>
      <c r="O170" t="s">
        <v>282</v>
      </c>
      <c r="P170" t="s">
        <v>282</v>
      </c>
      <c r="Q170">
        <v>1</v>
      </c>
      <c r="X170">
        <v>221.6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 t="s">
        <v>3</v>
      </c>
      <c r="AG170">
        <v>221.6</v>
      </c>
      <c r="AH170">
        <v>2</v>
      </c>
      <c r="AI170">
        <v>46607550</v>
      </c>
      <c r="AJ170">
        <v>191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ROW(Source!A198)</f>
        <v>198</v>
      </c>
      <c r="B171">
        <v>46607554</v>
      </c>
      <c r="C171">
        <v>46607552</v>
      </c>
      <c r="D171">
        <v>45130551</v>
      </c>
      <c r="E171">
        <v>27</v>
      </c>
      <c r="F171">
        <v>1</v>
      </c>
      <c r="G171">
        <v>27</v>
      </c>
      <c r="H171">
        <v>1</v>
      </c>
      <c r="I171" t="s">
        <v>280</v>
      </c>
      <c r="J171" t="s">
        <v>3</v>
      </c>
      <c r="K171" t="s">
        <v>281</v>
      </c>
      <c r="L171">
        <v>1191</v>
      </c>
      <c r="N171">
        <v>1013</v>
      </c>
      <c r="O171" t="s">
        <v>282</v>
      </c>
      <c r="P171" t="s">
        <v>282</v>
      </c>
      <c r="Q171">
        <v>1</v>
      </c>
      <c r="X171">
        <v>123.1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 t="s">
        <v>3</v>
      </c>
      <c r="AG171">
        <v>123.1</v>
      </c>
      <c r="AH171">
        <v>2</v>
      </c>
      <c r="AI171">
        <v>46607553</v>
      </c>
      <c r="AJ171">
        <v>192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ROW(Source!A199)</f>
        <v>199</v>
      </c>
      <c r="B172">
        <v>46607560</v>
      </c>
      <c r="C172">
        <v>46607555</v>
      </c>
      <c r="D172">
        <v>45130551</v>
      </c>
      <c r="E172">
        <v>27</v>
      </c>
      <c r="F172">
        <v>1</v>
      </c>
      <c r="G172">
        <v>27</v>
      </c>
      <c r="H172">
        <v>1</v>
      </c>
      <c r="I172" t="s">
        <v>280</v>
      </c>
      <c r="J172" t="s">
        <v>3</v>
      </c>
      <c r="K172" t="s">
        <v>281</v>
      </c>
      <c r="L172">
        <v>1191</v>
      </c>
      <c r="N172">
        <v>1013</v>
      </c>
      <c r="O172" t="s">
        <v>282</v>
      </c>
      <c r="P172" t="s">
        <v>282</v>
      </c>
      <c r="Q172">
        <v>1</v>
      </c>
      <c r="X172">
        <v>1.25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 t="s">
        <v>3</v>
      </c>
      <c r="AG172">
        <v>1.25</v>
      </c>
      <c r="AH172">
        <v>2</v>
      </c>
      <c r="AI172">
        <v>46607556</v>
      </c>
      <c r="AJ172">
        <v>193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ROW(Source!A199)</f>
        <v>199</v>
      </c>
      <c r="B173">
        <v>46607561</v>
      </c>
      <c r="C173">
        <v>46607555</v>
      </c>
      <c r="D173">
        <v>45144915</v>
      </c>
      <c r="E173">
        <v>1</v>
      </c>
      <c r="F173">
        <v>1</v>
      </c>
      <c r="G173">
        <v>27</v>
      </c>
      <c r="H173">
        <v>3</v>
      </c>
      <c r="I173" t="s">
        <v>287</v>
      </c>
      <c r="J173" t="s">
        <v>288</v>
      </c>
      <c r="K173" t="s">
        <v>289</v>
      </c>
      <c r="L173">
        <v>1339</v>
      </c>
      <c r="N173">
        <v>1007</v>
      </c>
      <c r="O173" t="s">
        <v>29</v>
      </c>
      <c r="P173" t="s">
        <v>29</v>
      </c>
      <c r="Q173">
        <v>1</v>
      </c>
      <c r="X173">
        <v>0.06</v>
      </c>
      <c r="Y173">
        <v>1865.77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0.06</v>
      </c>
      <c r="AH173">
        <v>2</v>
      </c>
      <c r="AI173">
        <v>46607557</v>
      </c>
      <c r="AJ173">
        <v>194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ROW(Source!A199)</f>
        <v>199</v>
      </c>
      <c r="B174">
        <v>46607562</v>
      </c>
      <c r="C174">
        <v>46607555</v>
      </c>
      <c r="D174">
        <v>45144916</v>
      </c>
      <c r="E174">
        <v>1</v>
      </c>
      <c r="F174">
        <v>1</v>
      </c>
      <c r="G174">
        <v>27</v>
      </c>
      <c r="H174">
        <v>3</v>
      </c>
      <c r="I174" t="s">
        <v>290</v>
      </c>
      <c r="J174" t="s">
        <v>291</v>
      </c>
      <c r="K174" t="s">
        <v>292</v>
      </c>
      <c r="L174">
        <v>1339</v>
      </c>
      <c r="N174">
        <v>1007</v>
      </c>
      <c r="O174" t="s">
        <v>29</v>
      </c>
      <c r="P174" t="s">
        <v>29</v>
      </c>
      <c r="Q174">
        <v>1</v>
      </c>
      <c r="X174">
        <v>0.24</v>
      </c>
      <c r="Y174">
        <v>1763.75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0.24</v>
      </c>
      <c r="AH174">
        <v>2</v>
      </c>
      <c r="AI174">
        <v>46607558</v>
      </c>
      <c r="AJ174">
        <v>195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ROW(Source!A199)</f>
        <v>199</v>
      </c>
      <c r="B175">
        <v>46607563</v>
      </c>
      <c r="C175">
        <v>46607555</v>
      </c>
      <c r="D175">
        <v>45145636</v>
      </c>
      <c r="E175">
        <v>1</v>
      </c>
      <c r="F175">
        <v>1</v>
      </c>
      <c r="G175">
        <v>27</v>
      </c>
      <c r="H175">
        <v>3</v>
      </c>
      <c r="I175" t="s">
        <v>293</v>
      </c>
      <c r="J175" t="s">
        <v>294</v>
      </c>
      <c r="K175" t="s">
        <v>295</v>
      </c>
      <c r="L175">
        <v>1339</v>
      </c>
      <c r="N175">
        <v>1007</v>
      </c>
      <c r="O175" t="s">
        <v>29</v>
      </c>
      <c r="P175" t="s">
        <v>29</v>
      </c>
      <c r="Q175">
        <v>1</v>
      </c>
      <c r="X175">
        <v>0.03</v>
      </c>
      <c r="Y175">
        <v>35.25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0.03</v>
      </c>
      <c r="AH175">
        <v>2</v>
      </c>
      <c r="AI175">
        <v>46607559</v>
      </c>
      <c r="AJ175">
        <v>196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ROW(Source!A200)</f>
        <v>200</v>
      </c>
      <c r="B176">
        <v>46607569</v>
      </c>
      <c r="C176">
        <v>46607564</v>
      </c>
      <c r="D176">
        <v>45130551</v>
      </c>
      <c r="E176">
        <v>27</v>
      </c>
      <c r="F176">
        <v>1</v>
      </c>
      <c r="G176">
        <v>27</v>
      </c>
      <c r="H176">
        <v>1</v>
      </c>
      <c r="I176" t="s">
        <v>280</v>
      </c>
      <c r="J176" t="s">
        <v>3</v>
      </c>
      <c r="K176" t="s">
        <v>281</v>
      </c>
      <c r="L176">
        <v>1191</v>
      </c>
      <c r="N176">
        <v>1013</v>
      </c>
      <c r="O176" t="s">
        <v>282</v>
      </c>
      <c r="P176" t="s">
        <v>282</v>
      </c>
      <c r="Q176">
        <v>1</v>
      </c>
      <c r="X176">
        <v>0.37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 t="s">
        <v>3</v>
      </c>
      <c r="AG176">
        <v>0.37</v>
      </c>
      <c r="AH176">
        <v>2</v>
      </c>
      <c r="AI176">
        <v>46607565</v>
      </c>
      <c r="AJ176">
        <v>197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ROW(Source!A200)</f>
        <v>200</v>
      </c>
      <c r="B177">
        <v>46607570</v>
      </c>
      <c r="C177">
        <v>46607564</v>
      </c>
      <c r="D177">
        <v>45142937</v>
      </c>
      <c r="E177">
        <v>1</v>
      </c>
      <c r="F177">
        <v>1</v>
      </c>
      <c r="G177">
        <v>27</v>
      </c>
      <c r="H177">
        <v>2</v>
      </c>
      <c r="I177" t="s">
        <v>296</v>
      </c>
      <c r="J177" t="s">
        <v>297</v>
      </c>
      <c r="K177" t="s">
        <v>298</v>
      </c>
      <c r="L177">
        <v>1368</v>
      </c>
      <c r="N177">
        <v>1011</v>
      </c>
      <c r="O177" t="s">
        <v>286</v>
      </c>
      <c r="P177" t="s">
        <v>286</v>
      </c>
      <c r="Q177">
        <v>1</v>
      </c>
      <c r="X177">
        <v>3.0000000000000001E-3</v>
      </c>
      <c r="Y177">
        <v>0</v>
      </c>
      <c r="Z177">
        <v>1270.56</v>
      </c>
      <c r="AA177">
        <v>493.86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3.0000000000000001E-3</v>
      </c>
      <c r="AH177">
        <v>2</v>
      </c>
      <c r="AI177">
        <v>46607566</v>
      </c>
      <c r="AJ177">
        <v>198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ROW(Source!A200)</f>
        <v>200</v>
      </c>
      <c r="B178">
        <v>46607571</v>
      </c>
      <c r="C178">
        <v>46607564</v>
      </c>
      <c r="D178">
        <v>45144891</v>
      </c>
      <c r="E178">
        <v>1</v>
      </c>
      <c r="F178">
        <v>1</v>
      </c>
      <c r="G178">
        <v>27</v>
      </c>
      <c r="H178">
        <v>3</v>
      </c>
      <c r="I178" t="s">
        <v>299</v>
      </c>
      <c r="J178" t="s">
        <v>300</v>
      </c>
      <c r="K178" t="s">
        <v>301</v>
      </c>
      <c r="L178">
        <v>1339</v>
      </c>
      <c r="N178">
        <v>1007</v>
      </c>
      <c r="O178" t="s">
        <v>29</v>
      </c>
      <c r="P178" t="s">
        <v>29</v>
      </c>
      <c r="Q178">
        <v>1</v>
      </c>
      <c r="X178">
        <v>0.105</v>
      </c>
      <c r="Y178">
        <v>590.78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0.105</v>
      </c>
      <c r="AH178">
        <v>2</v>
      </c>
      <c r="AI178">
        <v>46607567</v>
      </c>
      <c r="AJ178">
        <v>199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ROW(Source!A200)</f>
        <v>200</v>
      </c>
      <c r="B179">
        <v>46607572</v>
      </c>
      <c r="C179">
        <v>46607564</v>
      </c>
      <c r="D179">
        <v>45145636</v>
      </c>
      <c r="E179">
        <v>1</v>
      </c>
      <c r="F179">
        <v>1</v>
      </c>
      <c r="G179">
        <v>27</v>
      </c>
      <c r="H179">
        <v>3</v>
      </c>
      <c r="I179" t="s">
        <v>293</v>
      </c>
      <c r="J179" t="s">
        <v>294</v>
      </c>
      <c r="K179" t="s">
        <v>295</v>
      </c>
      <c r="L179">
        <v>1339</v>
      </c>
      <c r="N179">
        <v>1007</v>
      </c>
      <c r="O179" t="s">
        <v>29</v>
      </c>
      <c r="P179" t="s">
        <v>29</v>
      </c>
      <c r="Q179">
        <v>1</v>
      </c>
      <c r="X179">
        <v>0.01</v>
      </c>
      <c r="Y179">
        <v>35.25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0.01</v>
      </c>
      <c r="AH179">
        <v>2</v>
      </c>
      <c r="AI179">
        <v>46607568</v>
      </c>
      <c r="AJ179">
        <v>200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ROW(Source!A201)</f>
        <v>201</v>
      </c>
      <c r="B180">
        <v>46607589</v>
      </c>
      <c r="C180">
        <v>46607573</v>
      </c>
      <c r="D180">
        <v>45130551</v>
      </c>
      <c r="E180">
        <v>27</v>
      </c>
      <c r="F180">
        <v>1</v>
      </c>
      <c r="G180">
        <v>27</v>
      </c>
      <c r="H180">
        <v>1</v>
      </c>
      <c r="I180" t="s">
        <v>280</v>
      </c>
      <c r="J180" t="s">
        <v>3</v>
      </c>
      <c r="K180" t="s">
        <v>281</v>
      </c>
      <c r="L180">
        <v>1191</v>
      </c>
      <c r="N180">
        <v>1013</v>
      </c>
      <c r="O180" t="s">
        <v>282</v>
      </c>
      <c r="P180" t="s">
        <v>282</v>
      </c>
      <c r="Q180">
        <v>1</v>
      </c>
      <c r="X180">
        <v>205.85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 t="s">
        <v>3</v>
      </c>
      <c r="AG180">
        <v>205.85</v>
      </c>
      <c r="AH180">
        <v>2</v>
      </c>
      <c r="AI180">
        <v>46607574</v>
      </c>
      <c r="AJ180">
        <v>201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ROW(Source!A201)</f>
        <v>201</v>
      </c>
      <c r="B181">
        <v>46607590</v>
      </c>
      <c r="C181">
        <v>46607573</v>
      </c>
      <c r="D181">
        <v>45143189</v>
      </c>
      <c r="E181">
        <v>1</v>
      </c>
      <c r="F181">
        <v>1</v>
      </c>
      <c r="G181">
        <v>27</v>
      </c>
      <c r="H181">
        <v>2</v>
      </c>
      <c r="I181" t="s">
        <v>302</v>
      </c>
      <c r="J181" t="s">
        <v>303</v>
      </c>
      <c r="K181" t="s">
        <v>304</v>
      </c>
      <c r="L181">
        <v>1368</v>
      </c>
      <c r="N181">
        <v>1011</v>
      </c>
      <c r="O181" t="s">
        <v>286</v>
      </c>
      <c r="P181" t="s">
        <v>286</v>
      </c>
      <c r="Q181">
        <v>1</v>
      </c>
      <c r="X181">
        <v>150</v>
      </c>
      <c r="Y181">
        <v>0</v>
      </c>
      <c r="Z181">
        <v>27.21</v>
      </c>
      <c r="AA181">
        <v>0.13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150</v>
      </c>
      <c r="AH181">
        <v>2</v>
      </c>
      <c r="AI181">
        <v>46607575</v>
      </c>
      <c r="AJ181">
        <v>202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ROW(Source!A201)</f>
        <v>201</v>
      </c>
      <c r="B182">
        <v>46607591</v>
      </c>
      <c r="C182">
        <v>46607573</v>
      </c>
      <c r="D182">
        <v>45143582</v>
      </c>
      <c r="E182">
        <v>1</v>
      </c>
      <c r="F182">
        <v>1</v>
      </c>
      <c r="G182">
        <v>27</v>
      </c>
      <c r="H182">
        <v>2</v>
      </c>
      <c r="I182" t="s">
        <v>305</v>
      </c>
      <c r="J182" t="s">
        <v>306</v>
      </c>
      <c r="K182" t="s">
        <v>307</v>
      </c>
      <c r="L182">
        <v>1368</v>
      </c>
      <c r="N182">
        <v>1011</v>
      </c>
      <c r="O182" t="s">
        <v>286</v>
      </c>
      <c r="P182" t="s">
        <v>286</v>
      </c>
      <c r="Q182">
        <v>1</v>
      </c>
      <c r="X182">
        <v>0.12</v>
      </c>
      <c r="Y182">
        <v>0</v>
      </c>
      <c r="Z182">
        <v>3.67</v>
      </c>
      <c r="AA182">
        <v>0.01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0.12</v>
      </c>
      <c r="AH182">
        <v>2</v>
      </c>
      <c r="AI182">
        <v>46607576</v>
      </c>
      <c r="AJ182">
        <v>203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ROW(Source!A201)</f>
        <v>201</v>
      </c>
      <c r="B183">
        <v>46607592</v>
      </c>
      <c r="C183">
        <v>46607573</v>
      </c>
      <c r="D183">
        <v>45142852</v>
      </c>
      <c r="E183">
        <v>1</v>
      </c>
      <c r="F183">
        <v>1</v>
      </c>
      <c r="G183">
        <v>27</v>
      </c>
      <c r="H183">
        <v>2</v>
      </c>
      <c r="I183" t="s">
        <v>308</v>
      </c>
      <c r="J183" t="s">
        <v>309</v>
      </c>
      <c r="K183" t="s">
        <v>310</v>
      </c>
      <c r="L183">
        <v>1368</v>
      </c>
      <c r="N183">
        <v>1011</v>
      </c>
      <c r="O183" t="s">
        <v>286</v>
      </c>
      <c r="P183" t="s">
        <v>286</v>
      </c>
      <c r="Q183">
        <v>1</v>
      </c>
      <c r="X183">
        <v>0.31</v>
      </c>
      <c r="Y183">
        <v>0</v>
      </c>
      <c r="Z183">
        <v>683.9</v>
      </c>
      <c r="AA183">
        <v>371.27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0.31</v>
      </c>
      <c r="AH183">
        <v>2</v>
      </c>
      <c r="AI183">
        <v>46607577</v>
      </c>
      <c r="AJ183">
        <v>204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ROW(Source!A201)</f>
        <v>201</v>
      </c>
      <c r="B184">
        <v>46607593</v>
      </c>
      <c r="C184">
        <v>46607573</v>
      </c>
      <c r="D184">
        <v>45143022</v>
      </c>
      <c r="E184">
        <v>1</v>
      </c>
      <c r="F184">
        <v>1</v>
      </c>
      <c r="G184">
        <v>27</v>
      </c>
      <c r="H184">
        <v>2</v>
      </c>
      <c r="I184" t="s">
        <v>311</v>
      </c>
      <c r="J184" t="s">
        <v>312</v>
      </c>
      <c r="K184" t="s">
        <v>313</v>
      </c>
      <c r="L184">
        <v>1368</v>
      </c>
      <c r="N184">
        <v>1011</v>
      </c>
      <c r="O184" t="s">
        <v>286</v>
      </c>
      <c r="P184" t="s">
        <v>286</v>
      </c>
      <c r="Q184">
        <v>1</v>
      </c>
      <c r="X184">
        <v>11.25</v>
      </c>
      <c r="Y184">
        <v>0</v>
      </c>
      <c r="Z184">
        <v>10.82</v>
      </c>
      <c r="AA184">
        <v>2.97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11.25</v>
      </c>
      <c r="AH184">
        <v>2</v>
      </c>
      <c r="AI184">
        <v>46607578</v>
      </c>
      <c r="AJ184">
        <v>205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ROW(Source!A201)</f>
        <v>201</v>
      </c>
      <c r="B185">
        <v>46607594</v>
      </c>
      <c r="C185">
        <v>46607573</v>
      </c>
      <c r="D185">
        <v>45144711</v>
      </c>
      <c r="E185">
        <v>1</v>
      </c>
      <c r="F185">
        <v>1</v>
      </c>
      <c r="G185">
        <v>27</v>
      </c>
      <c r="H185">
        <v>3</v>
      </c>
      <c r="I185" t="s">
        <v>314</v>
      </c>
      <c r="J185" t="s">
        <v>315</v>
      </c>
      <c r="K185" t="s">
        <v>316</v>
      </c>
      <c r="L185">
        <v>1348</v>
      </c>
      <c r="N185">
        <v>1009</v>
      </c>
      <c r="O185" t="s">
        <v>65</v>
      </c>
      <c r="P185" t="s">
        <v>65</v>
      </c>
      <c r="Q185">
        <v>1000</v>
      </c>
      <c r="X185">
        <v>2E-3</v>
      </c>
      <c r="Y185">
        <v>49736.04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2E-3</v>
      </c>
      <c r="AH185">
        <v>2</v>
      </c>
      <c r="AI185">
        <v>46607579</v>
      </c>
      <c r="AJ185">
        <v>206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ROW(Source!A201)</f>
        <v>201</v>
      </c>
      <c r="B186">
        <v>46607596</v>
      </c>
      <c r="C186">
        <v>46607573</v>
      </c>
      <c r="D186">
        <v>45145459</v>
      </c>
      <c r="E186">
        <v>1</v>
      </c>
      <c r="F186">
        <v>1</v>
      </c>
      <c r="G186">
        <v>27</v>
      </c>
      <c r="H186">
        <v>3</v>
      </c>
      <c r="I186" t="s">
        <v>317</v>
      </c>
      <c r="J186" t="s">
        <v>318</v>
      </c>
      <c r="K186" t="s">
        <v>319</v>
      </c>
      <c r="L186">
        <v>1327</v>
      </c>
      <c r="N186">
        <v>1005</v>
      </c>
      <c r="O186" t="s">
        <v>40</v>
      </c>
      <c r="P186" t="s">
        <v>40</v>
      </c>
      <c r="Q186">
        <v>1</v>
      </c>
      <c r="X186">
        <v>30</v>
      </c>
      <c r="Y186">
        <v>91.89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30</v>
      </c>
      <c r="AH186">
        <v>2</v>
      </c>
      <c r="AI186">
        <v>46607581</v>
      </c>
      <c r="AJ186">
        <v>207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ROW(Source!A201)</f>
        <v>201</v>
      </c>
      <c r="B187">
        <v>46607597</v>
      </c>
      <c r="C187">
        <v>46607573</v>
      </c>
      <c r="D187">
        <v>45145543</v>
      </c>
      <c r="E187">
        <v>1</v>
      </c>
      <c r="F187">
        <v>1</v>
      </c>
      <c r="G187">
        <v>27</v>
      </c>
      <c r="H187">
        <v>3</v>
      </c>
      <c r="I187" t="s">
        <v>320</v>
      </c>
      <c r="J187" t="s">
        <v>321</v>
      </c>
      <c r="K187" t="s">
        <v>322</v>
      </c>
      <c r="L187">
        <v>1348</v>
      </c>
      <c r="N187">
        <v>1009</v>
      </c>
      <c r="O187" t="s">
        <v>65</v>
      </c>
      <c r="P187" t="s">
        <v>65</v>
      </c>
      <c r="Q187">
        <v>1000</v>
      </c>
      <c r="X187">
        <v>0.16</v>
      </c>
      <c r="Y187">
        <v>110781.14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0.16</v>
      </c>
      <c r="AH187">
        <v>2</v>
      </c>
      <c r="AI187">
        <v>46607582</v>
      </c>
      <c r="AJ187">
        <v>208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ROW(Source!A201)</f>
        <v>201</v>
      </c>
      <c r="B188">
        <v>46607595</v>
      </c>
      <c r="C188">
        <v>46607573</v>
      </c>
      <c r="D188">
        <v>45143830</v>
      </c>
      <c r="E188">
        <v>1</v>
      </c>
      <c r="F188">
        <v>1</v>
      </c>
      <c r="G188">
        <v>27</v>
      </c>
      <c r="H188">
        <v>3</v>
      </c>
      <c r="I188" t="s">
        <v>323</v>
      </c>
      <c r="J188" t="s">
        <v>324</v>
      </c>
      <c r="K188" t="s">
        <v>325</v>
      </c>
      <c r="L188">
        <v>1348</v>
      </c>
      <c r="N188">
        <v>1009</v>
      </c>
      <c r="O188" t="s">
        <v>65</v>
      </c>
      <c r="P188" t="s">
        <v>65</v>
      </c>
      <c r="Q188">
        <v>1000</v>
      </c>
      <c r="X188">
        <v>0.01</v>
      </c>
      <c r="Y188">
        <v>4752.34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0.01</v>
      </c>
      <c r="AH188">
        <v>2</v>
      </c>
      <c r="AI188">
        <v>46607580</v>
      </c>
      <c r="AJ188">
        <v>209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ROW(Source!A201)</f>
        <v>201</v>
      </c>
      <c r="B189">
        <v>46607598</v>
      </c>
      <c r="C189">
        <v>46607573</v>
      </c>
      <c r="D189">
        <v>45145636</v>
      </c>
      <c r="E189">
        <v>1</v>
      </c>
      <c r="F189">
        <v>1</v>
      </c>
      <c r="G189">
        <v>27</v>
      </c>
      <c r="H189">
        <v>3</v>
      </c>
      <c r="I189" t="s">
        <v>293</v>
      </c>
      <c r="J189" t="s">
        <v>294</v>
      </c>
      <c r="K189" t="s">
        <v>295</v>
      </c>
      <c r="L189">
        <v>1339</v>
      </c>
      <c r="N189">
        <v>1007</v>
      </c>
      <c r="O189" t="s">
        <v>29</v>
      </c>
      <c r="P189" t="s">
        <v>29</v>
      </c>
      <c r="Q189">
        <v>1</v>
      </c>
      <c r="X189">
        <v>0.73</v>
      </c>
      <c r="Y189">
        <v>35.25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0.73</v>
      </c>
      <c r="AH189">
        <v>2</v>
      </c>
      <c r="AI189">
        <v>46607583</v>
      </c>
      <c r="AJ189">
        <v>210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ROW(Source!A201)</f>
        <v>201</v>
      </c>
      <c r="B190">
        <v>46607599</v>
      </c>
      <c r="C190">
        <v>46607573</v>
      </c>
      <c r="D190">
        <v>45144338</v>
      </c>
      <c r="E190">
        <v>1</v>
      </c>
      <c r="F190">
        <v>1</v>
      </c>
      <c r="G190">
        <v>27</v>
      </c>
      <c r="H190">
        <v>3</v>
      </c>
      <c r="I190" t="s">
        <v>326</v>
      </c>
      <c r="J190" t="s">
        <v>327</v>
      </c>
      <c r="K190" t="s">
        <v>328</v>
      </c>
      <c r="L190">
        <v>1339</v>
      </c>
      <c r="N190">
        <v>1007</v>
      </c>
      <c r="O190" t="s">
        <v>29</v>
      </c>
      <c r="P190" t="s">
        <v>29</v>
      </c>
      <c r="Q190">
        <v>1</v>
      </c>
      <c r="X190">
        <v>0.04</v>
      </c>
      <c r="Y190">
        <v>7098.7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0.04</v>
      </c>
      <c r="AH190">
        <v>2</v>
      </c>
      <c r="AI190">
        <v>46607584</v>
      </c>
      <c r="AJ190">
        <v>211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ROW(Source!A201)</f>
        <v>201</v>
      </c>
      <c r="B191">
        <v>46607600</v>
      </c>
      <c r="C191">
        <v>46607573</v>
      </c>
      <c r="D191">
        <v>45146605</v>
      </c>
      <c r="E191">
        <v>1</v>
      </c>
      <c r="F191">
        <v>1</v>
      </c>
      <c r="G191">
        <v>27</v>
      </c>
      <c r="H191">
        <v>3</v>
      </c>
      <c r="I191" t="s">
        <v>55</v>
      </c>
      <c r="J191" t="s">
        <v>57</v>
      </c>
      <c r="K191" t="s">
        <v>56</v>
      </c>
      <c r="L191">
        <v>1339</v>
      </c>
      <c r="N191">
        <v>1007</v>
      </c>
      <c r="O191" t="s">
        <v>29</v>
      </c>
      <c r="P191" t="s">
        <v>29</v>
      </c>
      <c r="Q191">
        <v>1</v>
      </c>
      <c r="X191">
        <v>101.5</v>
      </c>
      <c r="Y191">
        <v>3714.73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101.5</v>
      </c>
      <c r="AH191">
        <v>2</v>
      </c>
      <c r="AI191">
        <v>46607585</v>
      </c>
      <c r="AJ191">
        <v>212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ROW(Source!A201)</f>
        <v>201</v>
      </c>
      <c r="B192">
        <v>46607601</v>
      </c>
      <c r="C192">
        <v>46607573</v>
      </c>
      <c r="D192">
        <v>45146856</v>
      </c>
      <c r="E192">
        <v>1</v>
      </c>
      <c r="F192">
        <v>1</v>
      </c>
      <c r="G192">
        <v>27</v>
      </c>
      <c r="H192">
        <v>3</v>
      </c>
      <c r="I192" t="s">
        <v>329</v>
      </c>
      <c r="J192" t="s">
        <v>330</v>
      </c>
      <c r="K192" t="s">
        <v>331</v>
      </c>
      <c r="L192">
        <v>1348</v>
      </c>
      <c r="N192">
        <v>1009</v>
      </c>
      <c r="O192" t="s">
        <v>65</v>
      </c>
      <c r="P192" t="s">
        <v>65</v>
      </c>
      <c r="Q192">
        <v>1000</v>
      </c>
      <c r="X192">
        <v>8.1</v>
      </c>
      <c r="Y192">
        <v>34634.379999999997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8.1</v>
      </c>
      <c r="AH192">
        <v>2</v>
      </c>
      <c r="AI192">
        <v>46607587</v>
      </c>
      <c r="AJ192">
        <v>214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ROW(Source!A201)</f>
        <v>201</v>
      </c>
      <c r="B193">
        <v>46607602</v>
      </c>
      <c r="C193">
        <v>46607573</v>
      </c>
      <c r="D193">
        <v>45148767</v>
      </c>
      <c r="E193">
        <v>1</v>
      </c>
      <c r="F193">
        <v>1</v>
      </c>
      <c r="G193">
        <v>27</v>
      </c>
      <c r="H193">
        <v>3</v>
      </c>
      <c r="I193" t="s">
        <v>332</v>
      </c>
      <c r="J193" t="s">
        <v>333</v>
      </c>
      <c r="K193" t="s">
        <v>334</v>
      </c>
      <c r="L193">
        <v>1327</v>
      </c>
      <c r="N193">
        <v>1005</v>
      </c>
      <c r="O193" t="s">
        <v>40</v>
      </c>
      <c r="P193" t="s">
        <v>40</v>
      </c>
      <c r="Q193">
        <v>1</v>
      </c>
      <c r="X193">
        <v>3.6</v>
      </c>
      <c r="Y193">
        <v>473.82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3.6</v>
      </c>
      <c r="AH193">
        <v>2</v>
      </c>
      <c r="AI193">
        <v>46607588</v>
      </c>
      <c r="AJ193">
        <v>215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ROW(Source!A204)</f>
        <v>204</v>
      </c>
      <c r="B194">
        <v>46607622</v>
      </c>
      <c r="C194">
        <v>46607605</v>
      </c>
      <c r="D194">
        <v>45130551</v>
      </c>
      <c r="E194">
        <v>27</v>
      </c>
      <c r="F194">
        <v>1</v>
      </c>
      <c r="G194">
        <v>27</v>
      </c>
      <c r="H194">
        <v>1</v>
      </c>
      <c r="I194" t="s">
        <v>280</v>
      </c>
      <c r="J194" t="s">
        <v>3</v>
      </c>
      <c r="K194" t="s">
        <v>281</v>
      </c>
      <c r="L194">
        <v>1191</v>
      </c>
      <c r="N194">
        <v>1013</v>
      </c>
      <c r="O194" t="s">
        <v>282</v>
      </c>
      <c r="P194" t="s">
        <v>282</v>
      </c>
      <c r="Q194">
        <v>1</v>
      </c>
      <c r="X194">
        <v>2.97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 t="s">
        <v>3</v>
      </c>
      <c r="AG194">
        <v>2.97</v>
      </c>
      <c r="AH194">
        <v>2</v>
      </c>
      <c r="AI194">
        <v>46607606</v>
      </c>
      <c r="AJ194">
        <v>216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ROW(Source!A204)</f>
        <v>204</v>
      </c>
      <c r="B195">
        <v>46607623</v>
      </c>
      <c r="C195">
        <v>46607605</v>
      </c>
      <c r="D195">
        <v>45143190</v>
      </c>
      <c r="E195">
        <v>1</v>
      </c>
      <c r="F195">
        <v>1</v>
      </c>
      <c r="G195">
        <v>27</v>
      </c>
      <c r="H195">
        <v>2</v>
      </c>
      <c r="I195" t="s">
        <v>335</v>
      </c>
      <c r="J195" t="s">
        <v>336</v>
      </c>
      <c r="K195" t="s">
        <v>337</v>
      </c>
      <c r="L195">
        <v>1368</v>
      </c>
      <c r="N195">
        <v>1011</v>
      </c>
      <c r="O195" t="s">
        <v>286</v>
      </c>
      <c r="P195" t="s">
        <v>286</v>
      </c>
      <c r="Q195">
        <v>1</v>
      </c>
      <c r="X195">
        <v>0.38400000000000001</v>
      </c>
      <c r="Y195">
        <v>0</v>
      </c>
      <c r="Z195">
        <v>351.29</v>
      </c>
      <c r="AA195">
        <v>7.02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0.38400000000000001</v>
      </c>
      <c r="AH195">
        <v>2</v>
      </c>
      <c r="AI195">
        <v>46607607</v>
      </c>
      <c r="AJ195">
        <v>217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ROW(Source!A204)</f>
        <v>204</v>
      </c>
      <c r="B196">
        <v>46607624</v>
      </c>
      <c r="C196">
        <v>46607605</v>
      </c>
      <c r="D196">
        <v>45143575</v>
      </c>
      <c r="E196">
        <v>1</v>
      </c>
      <c r="F196">
        <v>1</v>
      </c>
      <c r="G196">
        <v>27</v>
      </c>
      <c r="H196">
        <v>2</v>
      </c>
      <c r="I196" t="s">
        <v>338</v>
      </c>
      <c r="J196" t="s">
        <v>339</v>
      </c>
      <c r="K196" t="s">
        <v>340</v>
      </c>
      <c r="L196">
        <v>1368</v>
      </c>
      <c r="N196">
        <v>1011</v>
      </c>
      <c r="O196" t="s">
        <v>286</v>
      </c>
      <c r="P196" t="s">
        <v>286</v>
      </c>
      <c r="Q196">
        <v>1</v>
      </c>
      <c r="X196">
        <v>0.115</v>
      </c>
      <c r="Y196">
        <v>0</v>
      </c>
      <c r="Z196">
        <v>5.94</v>
      </c>
      <c r="AA196">
        <v>0.02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0.115</v>
      </c>
      <c r="AH196">
        <v>2</v>
      </c>
      <c r="AI196">
        <v>46607608</v>
      </c>
      <c r="AJ196">
        <v>218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ROW(Source!A204)</f>
        <v>204</v>
      </c>
      <c r="B197">
        <v>46607625</v>
      </c>
      <c r="C197">
        <v>46607605</v>
      </c>
      <c r="D197">
        <v>45143598</v>
      </c>
      <c r="E197">
        <v>1</v>
      </c>
      <c r="F197">
        <v>1</v>
      </c>
      <c r="G197">
        <v>27</v>
      </c>
      <c r="H197">
        <v>2</v>
      </c>
      <c r="I197" t="s">
        <v>341</v>
      </c>
      <c r="J197" t="s">
        <v>342</v>
      </c>
      <c r="K197" t="s">
        <v>343</v>
      </c>
      <c r="L197">
        <v>1368</v>
      </c>
      <c r="N197">
        <v>1011</v>
      </c>
      <c r="O197" t="s">
        <v>286</v>
      </c>
      <c r="P197" t="s">
        <v>286</v>
      </c>
      <c r="Q197">
        <v>1</v>
      </c>
      <c r="X197">
        <v>0.504</v>
      </c>
      <c r="Y197">
        <v>0</v>
      </c>
      <c r="Z197">
        <v>652.16</v>
      </c>
      <c r="AA197">
        <v>581.9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0.504</v>
      </c>
      <c r="AH197">
        <v>2</v>
      </c>
      <c r="AI197">
        <v>46607609</v>
      </c>
      <c r="AJ197">
        <v>219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ROW(Source!A204)</f>
        <v>204</v>
      </c>
      <c r="B198">
        <v>46607626</v>
      </c>
      <c r="C198">
        <v>46607605</v>
      </c>
      <c r="D198">
        <v>45144555</v>
      </c>
      <c r="E198">
        <v>1</v>
      </c>
      <c r="F198">
        <v>1</v>
      </c>
      <c r="G198">
        <v>27</v>
      </c>
      <c r="H198">
        <v>3</v>
      </c>
      <c r="I198" t="s">
        <v>344</v>
      </c>
      <c r="J198" t="s">
        <v>345</v>
      </c>
      <c r="K198" t="s">
        <v>346</v>
      </c>
      <c r="L198">
        <v>1348</v>
      </c>
      <c r="N198">
        <v>1009</v>
      </c>
      <c r="O198" t="s">
        <v>65</v>
      </c>
      <c r="P198" t="s">
        <v>65</v>
      </c>
      <c r="Q198">
        <v>1000</v>
      </c>
      <c r="X198">
        <v>1.01E-3</v>
      </c>
      <c r="Y198">
        <v>38268.54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1.01E-3</v>
      </c>
      <c r="AH198">
        <v>2</v>
      </c>
      <c r="AI198">
        <v>46607611</v>
      </c>
      <c r="AJ198">
        <v>221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ROW(Source!A204)</f>
        <v>204</v>
      </c>
      <c r="B199">
        <v>46607627</v>
      </c>
      <c r="C199">
        <v>46607605</v>
      </c>
      <c r="D199">
        <v>45144413</v>
      </c>
      <c r="E199">
        <v>1</v>
      </c>
      <c r="F199">
        <v>1</v>
      </c>
      <c r="G199">
        <v>27</v>
      </c>
      <c r="H199">
        <v>3</v>
      </c>
      <c r="I199" t="s">
        <v>84</v>
      </c>
      <c r="J199" t="s">
        <v>86</v>
      </c>
      <c r="K199" t="s">
        <v>85</v>
      </c>
      <c r="L199">
        <v>1348</v>
      </c>
      <c r="N199">
        <v>1009</v>
      </c>
      <c r="O199" t="s">
        <v>65</v>
      </c>
      <c r="P199" t="s">
        <v>65</v>
      </c>
      <c r="Q199">
        <v>1000</v>
      </c>
      <c r="X199">
        <v>0.14899999999999999</v>
      </c>
      <c r="Y199">
        <v>37537.54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0.14899999999999999</v>
      </c>
      <c r="AH199">
        <v>2</v>
      </c>
      <c r="AI199">
        <v>46607612</v>
      </c>
      <c r="AJ199">
        <v>222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ROW(Source!A204)</f>
        <v>204</v>
      </c>
      <c r="B200">
        <v>46607628</v>
      </c>
      <c r="C200">
        <v>46607605</v>
      </c>
      <c r="D200">
        <v>45145543</v>
      </c>
      <c r="E200">
        <v>1</v>
      </c>
      <c r="F200">
        <v>1</v>
      </c>
      <c r="G200">
        <v>27</v>
      </c>
      <c r="H200">
        <v>3</v>
      </c>
      <c r="I200" t="s">
        <v>320</v>
      </c>
      <c r="J200" t="s">
        <v>321</v>
      </c>
      <c r="K200" t="s">
        <v>322</v>
      </c>
      <c r="L200">
        <v>1348</v>
      </c>
      <c r="N200">
        <v>1009</v>
      </c>
      <c r="O200" t="s">
        <v>65</v>
      </c>
      <c r="P200" t="s">
        <v>65</v>
      </c>
      <c r="Q200">
        <v>1000</v>
      </c>
      <c r="X200">
        <v>5.0000000000000001E-4</v>
      </c>
      <c r="Y200">
        <v>110781.14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5.0000000000000001E-4</v>
      </c>
      <c r="AH200">
        <v>2</v>
      </c>
      <c r="AI200">
        <v>46607615</v>
      </c>
      <c r="AJ200">
        <v>225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ROW(Source!A204)</f>
        <v>204</v>
      </c>
      <c r="B201">
        <v>46607629</v>
      </c>
      <c r="C201">
        <v>46607605</v>
      </c>
      <c r="D201">
        <v>45147864</v>
      </c>
      <c r="E201">
        <v>1</v>
      </c>
      <c r="F201">
        <v>1</v>
      </c>
      <c r="G201">
        <v>27</v>
      </c>
      <c r="H201">
        <v>3</v>
      </c>
      <c r="I201" t="s">
        <v>347</v>
      </c>
      <c r="J201" t="s">
        <v>348</v>
      </c>
      <c r="K201" t="s">
        <v>349</v>
      </c>
      <c r="L201">
        <v>1354</v>
      </c>
      <c r="N201">
        <v>1010</v>
      </c>
      <c r="O201" t="s">
        <v>350</v>
      </c>
      <c r="P201" t="s">
        <v>350</v>
      </c>
      <c r="Q201">
        <v>1</v>
      </c>
      <c r="X201">
        <v>1.4E-2</v>
      </c>
      <c r="Y201">
        <v>16.54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1.4E-2</v>
      </c>
      <c r="AH201">
        <v>2</v>
      </c>
      <c r="AI201">
        <v>46607616</v>
      </c>
      <c r="AJ201">
        <v>226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ROW(Source!A214)</f>
        <v>214</v>
      </c>
      <c r="B202">
        <v>46607646</v>
      </c>
      <c r="C202">
        <v>46607639</v>
      </c>
      <c r="D202">
        <v>45130551</v>
      </c>
      <c r="E202">
        <v>27</v>
      </c>
      <c r="F202">
        <v>1</v>
      </c>
      <c r="G202">
        <v>27</v>
      </c>
      <c r="H202">
        <v>1</v>
      </c>
      <c r="I202" t="s">
        <v>280</v>
      </c>
      <c r="J202" t="s">
        <v>3</v>
      </c>
      <c r="K202" t="s">
        <v>281</v>
      </c>
      <c r="L202">
        <v>1191</v>
      </c>
      <c r="N202">
        <v>1013</v>
      </c>
      <c r="O202" t="s">
        <v>282</v>
      </c>
      <c r="P202" t="s">
        <v>282</v>
      </c>
      <c r="Q202">
        <v>1</v>
      </c>
      <c r="X202">
        <v>6.11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 t="s">
        <v>3</v>
      </c>
      <c r="AG202">
        <v>6.11</v>
      </c>
      <c r="AH202">
        <v>2</v>
      </c>
      <c r="AI202">
        <v>46607640</v>
      </c>
      <c r="AJ202">
        <v>232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ROW(Source!A214)</f>
        <v>214</v>
      </c>
      <c r="B203">
        <v>46607647</v>
      </c>
      <c r="C203">
        <v>46607639</v>
      </c>
      <c r="D203">
        <v>45143099</v>
      </c>
      <c r="E203">
        <v>1</v>
      </c>
      <c r="F203">
        <v>1</v>
      </c>
      <c r="G203">
        <v>27</v>
      </c>
      <c r="H203">
        <v>2</v>
      </c>
      <c r="I203" t="s">
        <v>351</v>
      </c>
      <c r="J203" t="s">
        <v>352</v>
      </c>
      <c r="K203" t="s">
        <v>353</v>
      </c>
      <c r="L203">
        <v>1368</v>
      </c>
      <c r="N203">
        <v>1011</v>
      </c>
      <c r="O203" t="s">
        <v>286</v>
      </c>
      <c r="P203" t="s">
        <v>286</v>
      </c>
      <c r="Q203">
        <v>1</v>
      </c>
      <c r="X203">
        <v>1.4</v>
      </c>
      <c r="Y203">
        <v>0</v>
      </c>
      <c r="Z203">
        <v>98.05</v>
      </c>
      <c r="AA203">
        <v>33.06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1.4</v>
      </c>
      <c r="AH203">
        <v>2</v>
      </c>
      <c r="AI203">
        <v>46607641</v>
      </c>
      <c r="AJ203">
        <v>233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ROW(Source!A214)</f>
        <v>214</v>
      </c>
      <c r="B204">
        <v>46607648</v>
      </c>
      <c r="C204">
        <v>46607639</v>
      </c>
      <c r="D204">
        <v>45142852</v>
      </c>
      <c r="E204">
        <v>1</v>
      </c>
      <c r="F204">
        <v>1</v>
      </c>
      <c r="G204">
        <v>27</v>
      </c>
      <c r="H204">
        <v>2</v>
      </c>
      <c r="I204" t="s">
        <v>308</v>
      </c>
      <c r="J204" t="s">
        <v>309</v>
      </c>
      <c r="K204" t="s">
        <v>310</v>
      </c>
      <c r="L204">
        <v>1368</v>
      </c>
      <c r="N204">
        <v>1011</v>
      </c>
      <c r="O204" t="s">
        <v>286</v>
      </c>
      <c r="P204" t="s">
        <v>286</v>
      </c>
      <c r="Q204">
        <v>1</v>
      </c>
      <c r="X204">
        <v>0.01</v>
      </c>
      <c r="Y204">
        <v>0</v>
      </c>
      <c r="Z204">
        <v>683.9</v>
      </c>
      <c r="AA204">
        <v>371.27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0.01</v>
      </c>
      <c r="AH204">
        <v>2</v>
      </c>
      <c r="AI204">
        <v>46607642</v>
      </c>
      <c r="AJ204">
        <v>234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ROW(Source!A214)</f>
        <v>214</v>
      </c>
      <c r="B205">
        <v>46607649</v>
      </c>
      <c r="C205">
        <v>46607639</v>
      </c>
      <c r="D205">
        <v>45142866</v>
      </c>
      <c r="E205">
        <v>1</v>
      </c>
      <c r="F205">
        <v>1</v>
      </c>
      <c r="G205">
        <v>27</v>
      </c>
      <c r="H205">
        <v>2</v>
      </c>
      <c r="I205" t="s">
        <v>354</v>
      </c>
      <c r="J205" t="s">
        <v>355</v>
      </c>
      <c r="K205" t="s">
        <v>356</v>
      </c>
      <c r="L205">
        <v>1368</v>
      </c>
      <c r="N205">
        <v>1011</v>
      </c>
      <c r="O205" t="s">
        <v>286</v>
      </c>
      <c r="P205" t="s">
        <v>286</v>
      </c>
      <c r="Q205">
        <v>1</v>
      </c>
      <c r="X205">
        <v>0.01</v>
      </c>
      <c r="Y205">
        <v>0</v>
      </c>
      <c r="Z205">
        <v>16.920000000000002</v>
      </c>
      <c r="AA205">
        <v>0.09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0.01</v>
      </c>
      <c r="AH205">
        <v>2</v>
      </c>
      <c r="AI205">
        <v>46607643</v>
      </c>
      <c r="AJ205">
        <v>235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ROW(Source!A214)</f>
        <v>214</v>
      </c>
      <c r="B206">
        <v>46607650</v>
      </c>
      <c r="C206">
        <v>46607639</v>
      </c>
      <c r="D206">
        <v>45131998</v>
      </c>
      <c r="E206">
        <v>27</v>
      </c>
      <c r="F206">
        <v>1</v>
      </c>
      <c r="G206">
        <v>27</v>
      </c>
      <c r="H206">
        <v>3</v>
      </c>
      <c r="I206" t="s">
        <v>357</v>
      </c>
      <c r="J206" t="s">
        <v>3</v>
      </c>
      <c r="K206" t="s">
        <v>358</v>
      </c>
      <c r="L206">
        <v>1346</v>
      </c>
      <c r="N206">
        <v>1009</v>
      </c>
      <c r="O206" t="s">
        <v>359</v>
      </c>
      <c r="P206" t="s">
        <v>359</v>
      </c>
      <c r="Q206">
        <v>1</v>
      </c>
      <c r="X206">
        <v>1.5</v>
      </c>
      <c r="Y206">
        <v>99.303030000000007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 t="s">
        <v>3</v>
      </c>
      <c r="AG206">
        <v>1.5</v>
      </c>
      <c r="AH206">
        <v>2</v>
      </c>
      <c r="AI206">
        <v>46607644</v>
      </c>
      <c r="AJ206">
        <v>236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ROW(Source!A214)</f>
        <v>214</v>
      </c>
      <c r="B207">
        <v>46607651</v>
      </c>
      <c r="C207">
        <v>46607639</v>
      </c>
      <c r="D207">
        <v>45144050</v>
      </c>
      <c r="E207">
        <v>1</v>
      </c>
      <c r="F207">
        <v>1</v>
      </c>
      <c r="G207">
        <v>27</v>
      </c>
      <c r="H207">
        <v>3</v>
      </c>
      <c r="I207" t="s">
        <v>360</v>
      </c>
      <c r="J207" t="s">
        <v>361</v>
      </c>
      <c r="K207" t="s">
        <v>362</v>
      </c>
      <c r="L207">
        <v>1348</v>
      </c>
      <c r="N207">
        <v>1009</v>
      </c>
      <c r="O207" t="s">
        <v>65</v>
      </c>
      <c r="P207" t="s">
        <v>65</v>
      </c>
      <c r="Q207">
        <v>1000</v>
      </c>
      <c r="X207">
        <v>8.9999999999999993E-3</v>
      </c>
      <c r="Y207">
        <v>97017.58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8.9999999999999993E-3</v>
      </c>
      <c r="AH207">
        <v>2</v>
      </c>
      <c r="AI207">
        <v>46607645</v>
      </c>
      <c r="AJ207">
        <v>237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ROW(Source!A215)</f>
        <v>215</v>
      </c>
      <c r="B208">
        <v>46607657</v>
      </c>
      <c r="C208">
        <v>46607652</v>
      </c>
      <c r="D208">
        <v>45130551</v>
      </c>
      <c r="E208">
        <v>27</v>
      </c>
      <c r="F208">
        <v>1</v>
      </c>
      <c r="G208">
        <v>27</v>
      </c>
      <c r="H208">
        <v>1</v>
      </c>
      <c r="I208" t="s">
        <v>280</v>
      </c>
      <c r="J208" t="s">
        <v>3</v>
      </c>
      <c r="K208" t="s">
        <v>281</v>
      </c>
      <c r="L208">
        <v>1191</v>
      </c>
      <c r="N208">
        <v>1013</v>
      </c>
      <c r="O208" t="s">
        <v>282</v>
      </c>
      <c r="P208" t="s">
        <v>282</v>
      </c>
      <c r="Q208">
        <v>1</v>
      </c>
      <c r="X208">
        <v>2.4500000000000002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1</v>
      </c>
      <c r="AF208" t="s">
        <v>3</v>
      </c>
      <c r="AG208">
        <v>2.4500000000000002</v>
      </c>
      <c r="AH208">
        <v>2</v>
      </c>
      <c r="AI208">
        <v>46607653</v>
      </c>
      <c r="AJ208">
        <v>238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ROW(Source!A215)</f>
        <v>215</v>
      </c>
      <c r="B209">
        <v>46607658</v>
      </c>
      <c r="C209">
        <v>46607652</v>
      </c>
      <c r="D209">
        <v>45142852</v>
      </c>
      <c r="E209">
        <v>1</v>
      </c>
      <c r="F209">
        <v>1</v>
      </c>
      <c r="G209">
        <v>27</v>
      </c>
      <c r="H209">
        <v>2</v>
      </c>
      <c r="I209" t="s">
        <v>308</v>
      </c>
      <c r="J209" t="s">
        <v>309</v>
      </c>
      <c r="K209" t="s">
        <v>310</v>
      </c>
      <c r="L209">
        <v>1368</v>
      </c>
      <c r="N209">
        <v>1011</v>
      </c>
      <c r="O209" t="s">
        <v>286</v>
      </c>
      <c r="P209" t="s">
        <v>286</v>
      </c>
      <c r="Q209">
        <v>1</v>
      </c>
      <c r="X209">
        <v>0.01</v>
      </c>
      <c r="Y209">
        <v>0</v>
      </c>
      <c r="Z209">
        <v>683.9</v>
      </c>
      <c r="AA209">
        <v>371.27</v>
      </c>
      <c r="AB209">
        <v>0</v>
      </c>
      <c r="AC209">
        <v>0</v>
      </c>
      <c r="AD209">
        <v>1</v>
      </c>
      <c r="AE209">
        <v>0</v>
      </c>
      <c r="AF209" t="s">
        <v>3</v>
      </c>
      <c r="AG209">
        <v>0.01</v>
      </c>
      <c r="AH209">
        <v>2</v>
      </c>
      <c r="AI209">
        <v>46607654</v>
      </c>
      <c r="AJ209">
        <v>239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ROW(Source!A215)</f>
        <v>215</v>
      </c>
      <c r="B210">
        <v>46607659</v>
      </c>
      <c r="C210">
        <v>46607652</v>
      </c>
      <c r="D210">
        <v>45144148</v>
      </c>
      <c r="E210">
        <v>1</v>
      </c>
      <c r="F210">
        <v>1</v>
      </c>
      <c r="G210">
        <v>27</v>
      </c>
      <c r="H210">
        <v>3</v>
      </c>
      <c r="I210" t="s">
        <v>363</v>
      </c>
      <c r="J210" t="s">
        <v>364</v>
      </c>
      <c r="K210" t="s">
        <v>365</v>
      </c>
      <c r="L210">
        <v>1348</v>
      </c>
      <c r="N210">
        <v>1009</v>
      </c>
      <c r="O210" t="s">
        <v>65</v>
      </c>
      <c r="P210" t="s">
        <v>65</v>
      </c>
      <c r="Q210">
        <v>1000</v>
      </c>
      <c r="X210">
        <v>1.48E-3</v>
      </c>
      <c r="Y210">
        <v>63195.54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 t="s">
        <v>3</v>
      </c>
      <c r="AG210">
        <v>1.48E-3</v>
      </c>
      <c r="AH210">
        <v>2</v>
      </c>
      <c r="AI210">
        <v>46607655</v>
      </c>
      <c r="AJ210">
        <v>240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ROW(Source!A215)</f>
        <v>215</v>
      </c>
      <c r="B211">
        <v>46607660</v>
      </c>
      <c r="C211">
        <v>46607652</v>
      </c>
      <c r="D211">
        <v>45144173</v>
      </c>
      <c r="E211">
        <v>1</v>
      </c>
      <c r="F211">
        <v>1</v>
      </c>
      <c r="G211">
        <v>27</v>
      </c>
      <c r="H211">
        <v>3</v>
      </c>
      <c r="I211" t="s">
        <v>366</v>
      </c>
      <c r="J211" t="s">
        <v>367</v>
      </c>
      <c r="K211" t="s">
        <v>368</v>
      </c>
      <c r="L211">
        <v>1346</v>
      </c>
      <c r="N211">
        <v>1009</v>
      </c>
      <c r="O211" t="s">
        <v>359</v>
      </c>
      <c r="P211" t="s">
        <v>359</v>
      </c>
      <c r="Q211">
        <v>1</v>
      </c>
      <c r="X211">
        <v>9</v>
      </c>
      <c r="Y211">
        <v>105.32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9</v>
      </c>
      <c r="AH211">
        <v>2</v>
      </c>
      <c r="AI211">
        <v>46607656</v>
      </c>
      <c r="AJ211">
        <v>241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ROW(Source!A250)</f>
        <v>250</v>
      </c>
      <c r="B212">
        <v>46607450</v>
      </c>
      <c r="C212">
        <v>46607448</v>
      </c>
      <c r="D212">
        <v>45142736</v>
      </c>
      <c r="E212">
        <v>1</v>
      </c>
      <c r="F212">
        <v>1</v>
      </c>
      <c r="G212">
        <v>27</v>
      </c>
      <c r="H212">
        <v>2</v>
      </c>
      <c r="I212" t="s">
        <v>389</v>
      </c>
      <c r="J212" t="s">
        <v>390</v>
      </c>
      <c r="K212" t="s">
        <v>391</v>
      </c>
      <c r="L212">
        <v>1368</v>
      </c>
      <c r="N212">
        <v>1011</v>
      </c>
      <c r="O212" t="s">
        <v>286</v>
      </c>
      <c r="P212" t="s">
        <v>286</v>
      </c>
      <c r="Q212">
        <v>1</v>
      </c>
      <c r="X212">
        <v>5.3699999999999998E-2</v>
      </c>
      <c r="Y212">
        <v>0</v>
      </c>
      <c r="Z212">
        <v>1494.43</v>
      </c>
      <c r="AA212">
        <v>481.21</v>
      </c>
      <c r="AB212">
        <v>0</v>
      </c>
      <c r="AC212">
        <v>0</v>
      </c>
      <c r="AD212">
        <v>1</v>
      </c>
      <c r="AE212">
        <v>0</v>
      </c>
      <c r="AF212" t="s">
        <v>3</v>
      </c>
      <c r="AG212">
        <v>5.3699999999999998E-2</v>
      </c>
      <c r="AH212">
        <v>2</v>
      </c>
      <c r="AI212">
        <v>46607449</v>
      </c>
      <c r="AJ212">
        <v>242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ROW(Source!A251)</f>
        <v>251</v>
      </c>
      <c r="B213">
        <v>46607454</v>
      </c>
      <c r="C213">
        <v>46607451</v>
      </c>
      <c r="D213">
        <v>45143534</v>
      </c>
      <c r="E213">
        <v>1</v>
      </c>
      <c r="F213">
        <v>1</v>
      </c>
      <c r="G213">
        <v>27</v>
      </c>
      <c r="H213">
        <v>2</v>
      </c>
      <c r="I213" t="s">
        <v>392</v>
      </c>
      <c r="J213" t="s">
        <v>393</v>
      </c>
      <c r="K213" t="s">
        <v>394</v>
      </c>
      <c r="L213">
        <v>1368</v>
      </c>
      <c r="N213">
        <v>1011</v>
      </c>
      <c r="O213" t="s">
        <v>286</v>
      </c>
      <c r="P213" t="s">
        <v>286</v>
      </c>
      <c r="Q213">
        <v>1</v>
      </c>
      <c r="X213">
        <v>0.02</v>
      </c>
      <c r="Y213">
        <v>0</v>
      </c>
      <c r="Z213">
        <v>1009.4</v>
      </c>
      <c r="AA213">
        <v>316.82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0.02</v>
      </c>
      <c r="AH213">
        <v>2</v>
      </c>
      <c r="AI213">
        <v>46607452</v>
      </c>
      <c r="AJ213">
        <v>243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ROW(Source!A251)</f>
        <v>251</v>
      </c>
      <c r="B214">
        <v>46607455</v>
      </c>
      <c r="C214">
        <v>46607451</v>
      </c>
      <c r="D214">
        <v>45143535</v>
      </c>
      <c r="E214">
        <v>1</v>
      </c>
      <c r="F214">
        <v>1</v>
      </c>
      <c r="G214">
        <v>27</v>
      </c>
      <c r="H214">
        <v>2</v>
      </c>
      <c r="I214" t="s">
        <v>283</v>
      </c>
      <c r="J214" t="s">
        <v>284</v>
      </c>
      <c r="K214" t="s">
        <v>285</v>
      </c>
      <c r="L214">
        <v>1368</v>
      </c>
      <c r="N214">
        <v>1011</v>
      </c>
      <c r="O214" t="s">
        <v>286</v>
      </c>
      <c r="P214" t="s">
        <v>286</v>
      </c>
      <c r="Q214">
        <v>1</v>
      </c>
      <c r="X214">
        <v>1.7999999999999999E-2</v>
      </c>
      <c r="Y214">
        <v>0</v>
      </c>
      <c r="Z214">
        <v>1014.12</v>
      </c>
      <c r="AA214">
        <v>317.13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1.7999999999999999E-2</v>
      </c>
      <c r="AH214">
        <v>2</v>
      </c>
      <c r="AI214">
        <v>46607453</v>
      </c>
      <c r="AJ214">
        <v>244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ROW(Source!A252)</f>
        <v>252</v>
      </c>
      <c r="B215">
        <v>46607459</v>
      </c>
      <c r="C215">
        <v>46607456</v>
      </c>
      <c r="D215">
        <v>45143534</v>
      </c>
      <c r="E215">
        <v>1</v>
      </c>
      <c r="F215">
        <v>1</v>
      </c>
      <c r="G215">
        <v>27</v>
      </c>
      <c r="H215">
        <v>2</v>
      </c>
      <c r="I215" t="s">
        <v>392</v>
      </c>
      <c r="J215" t="s">
        <v>393</v>
      </c>
      <c r="K215" t="s">
        <v>394</v>
      </c>
      <c r="L215">
        <v>1368</v>
      </c>
      <c r="N215">
        <v>1011</v>
      </c>
      <c r="O215" t="s">
        <v>286</v>
      </c>
      <c r="P215" t="s">
        <v>286</v>
      </c>
      <c r="Q215">
        <v>1</v>
      </c>
      <c r="X215">
        <v>0.01</v>
      </c>
      <c r="Y215">
        <v>0</v>
      </c>
      <c r="Z215">
        <v>1009.4</v>
      </c>
      <c r="AA215">
        <v>316.82</v>
      </c>
      <c r="AB215">
        <v>0</v>
      </c>
      <c r="AC215">
        <v>0</v>
      </c>
      <c r="AD215">
        <v>1</v>
      </c>
      <c r="AE215">
        <v>0</v>
      </c>
      <c r="AF215" t="s">
        <v>274</v>
      </c>
      <c r="AG215">
        <v>0.32</v>
      </c>
      <c r="AH215">
        <v>2</v>
      </c>
      <c r="AI215">
        <v>46607457</v>
      </c>
      <c r="AJ215">
        <v>245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ROW(Source!A252)</f>
        <v>252</v>
      </c>
      <c r="B216">
        <v>46607460</v>
      </c>
      <c r="C216">
        <v>46607456</v>
      </c>
      <c r="D216">
        <v>45143535</v>
      </c>
      <c r="E216">
        <v>1</v>
      </c>
      <c r="F216">
        <v>1</v>
      </c>
      <c r="G216">
        <v>27</v>
      </c>
      <c r="H216">
        <v>2</v>
      </c>
      <c r="I216" t="s">
        <v>283</v>
      </c>
      <c r="J216" t="s">
        <v>284</v>
      </c>
      <c r="K216" t="s">
        <v>285</v>
      </c>
      <c r="L216">
        <v>1368</v>
      </c>
      <c r="N216">
        <v>1011</v>
      </c>
      <c r="O216" t="s">
        <v>286</v>
      </c>
      <c r="P216" t="s">
        <v>286</v>
      </c>
      <c r="Q216">
        <v>1</v>
      </c>
      <c r="X216">
        <v>8.0000000000000002E-3</v>
      </c>
      <c r="Y216">
        <v>0</v>
      </c>
      <c r="Z216">
        <v>1014.12</v>
      </c>
      <c r="AA216">
        <v>317.13</v>
      </c>
      <c r="AB216">
        <v>0</v>
      </c>
      <c r="AC216">
        <v>0</v>
      </c>
      <c r="AD216">
        <v>1</v>
      </c>
      <c r="AE216">
        <v>0</v>
      </c>
      <c r="AF216" t="s">
        <v>274</v>
      </c>
      <c r="AG216">
        <v>0.25600000000000001</v>
      </c>
      <c r="AH216">
        <v>2</v>
      </c>
      <c r="AI216">
        <v>46607458</v>
      </c>
      <c r="AJ216">
        <v>246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Дефектная ведомость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cp:lastPrinted>2021-03-18T13:10:32Z</cp:lastPrinted>
  <dcterms:created xsi:type="dcterms:W3CDTF">2021-03-18T10:19:32Z</dcterms:created>
  <dcterms:modified xsi:type="dcterms:W3CDTF">2021-03-18T13:10:33Z</dcterms:modified>
</cp:coreProperties>
</file>