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Буянова\Desktop\Аукционы 2022\Благоустройство 2023\"/>
    </mc:Choice>
  </mc:AlternateContent>
  <bookViews>
    <workbookView xWindow="0" yWindow="0" windowWidth="28800" windowHeight="11430"/>
  </bookViews>
  <sheets>
    <sheet name="Смета СН-2012 по гл. 1-5" sheetId="5" r:id="rId1"/>
    <sheet name="RV_DATA" sheetId="7" state="hidden" r:id="rId2"/>
    <sheet name="Расчет стоимости ресурсов" sheetId="6" r:id="rId3"/>
    <sheet name="Дефектная ведомость" sheetId="8" r:id="rId4"/>
    <sheet name="Source" sheetId="1" r:id="rId5"/>
    <sheet name="SourceObSm" sheetId="2" r:id="rId6"/>
    <sheet name="SmtRes" sheetId="3" r:id="rId7"/>
    <sheet name="EtalonRes" sheetId="4" r:id="rId8"/>
  </sheets>
  <definedNames>
    <definedName name="_xlnm.Print_Titles" localSheetId="3">'Дефектная ведомость'!$18:$18</definedName>
    <definedName name="_xlnm.Print_Titles" localSheetId="2">'Расчет стоимости ресурсов'!$5:$8</definedName>
    <definedName name="_xlnm.Print_Titles" localSheetId="0">'Смета СН-2012 по гл. 1-5'!$30:$30</definedName>
    <definedName name="_xlnm.Print_Area" localSheetId="3">'Дефектная ведомость'!$A$1:$E$61</definedName>
    <definedName name="_xlnm.Print_Area" localSheetId="2">'Расчет стоимости ресурсов'!$A$1:$F$42</definedName>
    <definedName name="_xlnm.Print_Area" localSheetId="0">'Смета СН-2012 по гл. 1-5'!$A$1:$K$308</definedName>
  </definedNames>
  <calcPr calcId="162913"/>
</workbook>
</file>

<file path=xl/calcChain.xml><?xml version="1.0" encoding="utf-8"?>
<calcChain xmlns="http://schemas.openxmlformats.org/spreadsheetml/2006/main">
  <c r="D56" i="8" l="1"/>
  <c r="C56" i="8"/>
  <c r="B56" i="8"/>
  <c r="D55" i="8"/>
  <c r="C55" i="8"/>
  <c r="B55" i="8"/>
  <c r="D54" i="8"/>
  <c r="C54" i="8"/>
  <c r="B54" i="8"/>
  <c r="A53" i="8"/>
  <c r="D52" i="8"/>
  <c r="C52" i="8"/>
  <c r="B52" i="8"/>
  <c r="D51" i="8"/>
  <c r="C51" i="8"/>
  <c r="B51" i="8"/>
  <c r="A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A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A33" i="8"/>
  <c r="C32" i="8"/>
  <c r="B32" i="8"/>
  <c r="C31" i="8"/>
  <c r="B31" i="8"/>
  <c r="C30" i="8"/>
  <c r="B30" i="8"/>
  <c r="C29" i="8"/>
  <c r="B29" i="8"/>
  <c r="C28" i="8"/>
  <c r="B28" i="8"/>
  <c r="C27" i="8"/>
  <c r="B27" i="8"/>
  <c r="D26" i="8"/>
  <c r="C26" i="8"/>
  <c r="B26" i="8"/>
  <c r="D25" i="8"/>
  <c r="C25" i="8"/>
  <c r="B25" i="8"/>
  <c r="C24" i="8"/>
  <c r="B24" i="8"/>
  <c r="C23" i="8"/>
  <c r="B23" i="8"/>
  <c r="C22" i="8"/>
  <c r="B22" i="8"/>
  <c r="D21" i="8"/>
  <c r="C21" i="8"/>
  <c r="B21" i="8"/>
  <c r="A20" i="8"/>
  <c r="A19" i="8"/>
  <c r="A12" i="8"/>
  <c r="A11" i="8"/>
  <c r="A1" i="8"/>
  <c r="A2" i="6"/>
  <c r="G39" i="7"/>
  <c r="A39" i="7"/>
  <c r="G38" i="7"/>
  <c r="A38" i="7"/>
  <c r="G37" i="7"/>
  <c r="A37" i="7"/>
  <c r="Y36" i="7"/>
  <c r="S36" i="7"/>
  <c r="P36" i="7"/>
  <c r="N36" i="7"/>
  <c r="K36" i="7"/>
  <c r="E35" i="6" s="1"/>
  <c r="J36" i="7"/>
  <c r="H36" i="7"/>
  <c r="G36" i="7"/>
  <c r="F36" i="7"/>
  <c r="E36" i="7"/>
  <c r="Y35" i="7"/>
  <c r="S35" i="7"/>
  <c r="P35" i="7"/>
  <c r="N35" i="7"/>
  <c r="K35" i="7"/>
  <c r="E30" i="6" s="1"/>
  <c r="J35" i="7"/>
  <c r="H35" i="7"/>
  <c r="G35" i="7"/>
  <c r="F35" i="7"/>
  <c r="E35" i="7"/>
  <c r="Y34" i="7"/>
  <c r="S34" i="7"/>
  <c r="P34" i="7"/>
  <c r="N34" i="7"/>
  <c r="K34" i="7"/>
  <c r="J34" i="7"/>
  <c r="H34" i="7"/>
  <c r="G34" i="7"/>
  <c r="F34" i="7"/>
  <c r="E34" i="7"/>
  <c r="Y33" i="7"/>
  <c r="S33" i="7"/>
  <c r="P33" i="7"/>
  <c r="N33" i="7"/>
  <c r="K33" i="7"/>
  <c r="E32" i="6" s="1"/>
  <c r="J33" i="7"/>
  <c r="H33" i="7"/>
  <c r="G33" i="7"/>
  <c r="F33" i="7"/>
  <c r="E33" i="7"/>
  <c r="Y32" i="7"/>
  <c r="H32" i="7"/>
  <c r="G32" i="7"/>
  <c r="F32" i="7"/>
  <c r="E32" i="7"/>
  <c r="D32" i="7"/>
  <c r="A32" i="7"/>
  <c r="Y31" i="7"/>
  <c r="S31" i="7"/>
  <c r="P31" i="7"/>
  <c r="N31" i="7"/>
  <c r="K31" i="7"/>
  <c r="E29" i="6" s="1"/>
  <c r="J31" i="7"/>
  <c r="H31" i="7"/>
  <c r="G31" i="7"/>
  <c r="F31" i="7"/>
  <c r="E31" i="7"/>
  <c r="Y30" i="7"/>
  <c r="S30" i="7"/>
  <c r="P30" i="7"/>
  <c r="N30" i="7"/>
  <c r="K30" i="7"/>
  <c r="J30" i="7"/>
  <c r="H30" i="7"/>
  <c r="G30" i="7"/>
  <c r="F30" i="7"/>
  <c r="E30" i="7"/>
  <c r="Y29" i="7"/>
  <c r="S29" i="7"/>
  <c r="P29" i="7"/>
  <c r="N29" i="7"/>
  <c r="K29" i="7"/>
  <c r="E28" i="6" s="1"/>
  <c r="J29" i="7"/>
  <c r="H29" i="7"/>
  <c r="G29" i="7"/>
  <c r="F29" i="7"/>
  <c r="E29" i="7"/>
  <c r="Y28" i="7"/>
  <c r="S28" i="7"/>
  <c r="P28" i="7"/>
  <c r="N28" i="7"/>
  <c r="K28" i="7"/>
  <c r="E31" i="6" s="1"/>
  <c r="J28" i="7"/>
  <c r="H28" i="7"/>
  <c r="G28" i="7"/>
  <c r="F28" i="7"/>
  <c r="E28" i="7"/>
  <c r="Y27" i="7"/>
  <c r="S27" i="7"/>
  <c r="P27" i="7"/>
  <c r="N27" i="7"/>
  <c r="K27" i="7"/>
  <c r="E33" i="6" s="1"/>
  <c r="J27" i="7"/>
  <c r="H27" i="7"/>
  <c r="G27" i="7"/>
  <c r="F27" i="7"/>
  <c r="E27" i="7"/>
  <c r="Y26" i="7"/>
  <c r="S26" i="7"/>
  <c r="P26" i="7"/>
  <c r="N26" i="7"/>
  <c r="K26" i="7"/>
  <c r="E34" i="6" s="1"/>
  <c r="J26" i="7"/>
  <c r="H26" i="7"/>
  <c r="G26" i="7"/>
  <c r="F26" i="7"/>
  <c r="E26" i="7"/>
  <c r="Y25" i="7"/>
  <c r="S25" i="7"/>
  <c r="P25" i="7"/>
  <c r="N25" i="7"/>
  <c r="K25" i="7"/>
  <c r="E37" i="6" s="1"/>
  <c r="J25" i="7"/>
  <c r="H25" i="7"/>
  <c r="G25" i="7"/>
  <c r="F25" i="7"/>
  <c r="E25" i="7"/>
  <c r="G24" i="7"/>
  <c r="A24" i="7"/>
  <c r="Y23" i="7"/>
  <c r="S23" i="7"/>
  <c r="P23" i="7"/>
  <c r="N23" i="7"/>
  <c r="K23" i="7"/>
  <c r="E22" i="6" s="1"/>
  <c r="J23" i="7"/>
  <c r="H23" i="7"/>
  <c r="G23" i="7"/>
  <c r="F23" i="7"/>
  <c r="E23" i="7"/>
  <c r="Y22" i="7"/>
  <c r="S22" i="7"/>
  <c r="P22" i="7"/>
  <c r="N22" i="7"/>
  <c r="K22" i="7"/>
  <c r="E21" i="6" s="1"/>
  <c r="J22" i="7"/>
  <c r="H22" i="7"/>
  <c r="G22" i="7"/>
  <c r="F22" i="7"/>
  <c r="E22" i="7"/>
  <c r="Y21" i="7"/>
  <c r="H21" i="7"/>
  <c r="G21" i="7"/>
  <c r="F21" i="7"/>
  <c r="E21" i="7"/>
  <c r="D21" i="7"/>
  <c r="A21" i="7"/>
  <c r="Y20" i="7"/>
  <c r="S20" i="7"/>
  <c r="P20" i="7"/>
  <c r="N20" i="7"/>
  <c r="K20" i="7"/>
  <c r="E16" i="6" s="1"/>
  <c r="J20" i="7"/>
  <c r="H20" i="7"/>
  <c r="G20" i="7"/>
  <c r="F20" i="7"/>
  <c r="E20" i="7"/>
  <c r="Y19" i="7"/>
  <c r="S19" i="7"/>
  <c r="P19" i="7"/>
  <c r="N19" i="7"/>
  <c r="K19" i="7"/>
  <c r="E18" i="6" s="1"/>
  <c r="J19" i="7"/>
  <c r="H19" i="7"/>
  <c r="G19" i="7"/>
  <c r="F19" i="7"/>
  <c r="E19" i="7"/>
  <c r="Y18" i="7"/>
  <c r="S18" i="7"/>
  <c r="P18" i="7"/>
  <c r="N18" i="7"/>
  <c r="K18" i="7"/>
  <c r="E13" i="6" s="1"/>
  <c r="J18" i="7"/>
  <c r="H18" i="7"/>
  <c r="G18" i="7"/>
  <c r="F18" i="7"/>
  <c r="E18" i="7"/>
  <c r="Y17" i="7"/>
  <c r="S17" i="7"/>
  <c r="P17" i="7"/>
  <c r="N17" i="7"/>
  <c r="K17" i="7"/>
  <c r="J17" i="7"/>
  <c r="H17" i="7"/>
  <c r="G17" i="7"/>
  <c r="F17" i="7"/>
  <c r="E17" i="7"/>
  <c r="Y16" i="7"/>
  <c r="S16" i="7"/>
  <c r="P16" i="7"/>
  <c r="N16" i="7"/>
  <c r="K16" i="7"/>
  <c r="E12" i="6" s="1"/>
  <c r="J16" i="7"/>
  <c r="H16" i="7"/>
  <c r="G16" i="7"/>
  <c r="F16" i="7"/>
  <c r="E16" i="7"/>
  <c r="Y15" i="7"/>
  <c r="S15" i="7"/>
  <c r="P15" i="7"/>
  <c r="N15" i="7"/>
  <c r="K15" i="7"/>
  <c r="J15" i="7"/>
  <c r="H15" i="7"/>
  <c r="G15" i="7"/>
  <c r="F15" i="7"/>
  <c r="E15" i="7"/>
  <c r="Y14" i="7"/>
  <c r="S14" i="7"/>
  <c r="P14" i="7"/>
  <c r="N14" i="7"/>
  <c r="K14" i="7"/>
  <c r="E19" i="6" s="1"/>
  <c r="J14" i="7"/>
  <c r="I14" i="7"/>
  <c r="D19" i="6" s="1"/>
  <c r="H14" i="7"/>
  <c r="G14" i="7"/>
  <c r="F14" i="7"/>
  <c r="E14" i="7"/>
  <c r="Y13" i="7"/>
  <c r="S13" i="7"/>
  <c r="P13" i="7"/>
  <c r="N13" i="7"/>
  <c r="K13" i="7"/>
  <c r="J13" i="7"/>
  <c r="I13" i="7"/>
  <c r="H13" i="7"/>
  <c r="G13" i="7"/>
  <c r="F13" i="7"/>
  <c r="E13" i="7"/>
  <c r="Y12" i="7"/>
  <c r="S12" i="7"/>
  <c r="P12" i="7"/>
  <c r="N12" i="7"/>
  <c r="K12" i="7"/>
  <c r="E17" i="6" s="1"/>
  <c r="J12" i="7"/>
  <c r="I12" i="7"/>
  <c r="D17" i="6" s="1"/>
  <c r="H12" i="7"/>
  <c r="G12" i="7"/>
  <c r="F12" i="7"/>
  <c r="E12" i="7"/>
  <c r="Y11" i="7"/>
  <c r="S11" i="7"/>
  <c r="P11" i="7"/>
  <c r="N11" i="7"/>
  <c r="K11" i="7"/>
  <c r="E20" i="6" s="1"/>
  <c r="J11" i="7"/>
  <c r="I11" i="7"/>
  <c r="D20" i="6" s="1"/>
  <c r="H11" i="7"/>
  <c r="G11" i="7"/>
  <c r="F11" i="7"/>
  <c r="E11" i="7"/>
  <c r="Y10" i="7"/>
  <c r="S10" i="7"/>
  <c r="P10" i="7"/>
  <c r="N10" i="7"/>
  <c r="K10" i="7"/>
  <c r="E24" i="6" s="1"/>
  <c r="J10" i="7"/>
  <c r="I10" i="7"/>
  <c r="D24" i="6" s="1"/>
  <c r="H10" i="7"/>
  <c r="G10" i="7"/>
  <c r="F10" i="7"/>
  <c r="E10" i="7"/>
  <c r="Y9" i="7"/>
  <c r="S9" i="7"/>
  <c r="P9" i="7"/>
  <c r="N9" i="7"/>
  <c r="K9" i="7"/>
  <c r="E14" i="6" s="1"/>
  <c r="J9" i="7"/>
  <c r="I9" i="7"/>
  <c r="H9" i="7"/>
  <c r="G9" i="7"/>
  <c r="F9" i="7"/>
  <c r="E9" i="7"/>
  <c r="Y8" i="7"/>
  <c r="S8" i="7"/>
  <c r="P8" i="7"/>
  <c r="N8" i="7"/>
  <c r="K8" i="7"/>
  <c r="E15" i="6" s="1"/>
  <c r="J8" i="7"/>
  <c r="I8" i="7"/>
  <c r="D15" i="6" s="1"/>
  <c r="H8" i="7"/>
  <c r="G8" i="7"/>
  <c r="F8" i="7"/>
  <c r="E8" i="7"/>
  <c r="G7" i="7"/>
  <c r="A7" i="7"/>
  <c r="G6" i="7"/>
  <c r="A6" i="7"/>
  <c r="H306" i="5"/>
  <c r="H303" i="5"/>
  <c r="C306" i="5"/>
  <c r="C303" i="5"/>
  <c r="C300" i="5"/>
  <c r="C299" i="5"/>
  <c r="I291" i="5"/>
  <c r="H291" i="5"/>
  <c r="G291" i="5"/>
  <c r="F291" i="5"/>
  <c r="I290" i="5"/>
  <c r="H290" i="5"/>
  <c r="G290" i="5"/>
  <c r="F290" i="5"/>
  <c r="E289" i="5"/>
  <c r="D289" i="5"/>
  <c r="C289" i="5"/>
  <c r="B289" i="5"/>
  <c r="I287" i="5"/>
  <c r="H287" i="5"/>
  <c r="G287" i="5"/>
  <c r="F287" i="5"/>
  <c r="I286" i="5"/>
  <c r="H286" i="5"/>
  <c r="G286" i="5"/>
  <c r="F286" i="5"/>
  <c r="E285" i="5"/>
  <c r="D285" i="5"/>
  <c r="C285" i="5"/>
  <c r="B285" i="5"/>
  <c r="E283" i="5"/>
  <c r="I282" i="5"/>
  <c r="H282" i="5"/>
  <c r="G282" i="5"/>
  <c r="F282" i="5"/>
  <c r="I281" i="5"/>
  <c r="H281" i="5"/>
  <c r="G281" i="5"/>
  <c r="F281" i="5"/>
  <c r="E280" i="5"/>
  <c r="D280" i="5"/>
  <c r="C280" i="5"/>
  <c r="B280" i="5"/>
  <c r="A279" i="5"/>
  <c r="I273" i="5"/>
  <c r="H273" i="5"/>
  <c r="G273" i="5"/>
  <c r="F273" i="5"/>
  <c r="I272" i="5"/>
  <c r="H272" i="5"/>
  <c r="G272" i="5"/>
  <c r="F272" i="5"/>
  <c r="E271" i="5"/>
  <c r="D271" i="5"/>
  <c r="C271" i="5"/>
  <c r="B271" i="5"/>
  <c r="I269" i="5"/>
  <c r="H269" i="5"/>
  <c r="G269" i="5"/>
  <c r="F269" i="5"/>
  <c r="I268" i="5"/>
  <c r="H268" i="5"/>
  <c r="G268" i="5"/>
  <c r="F268" i="5"/>
  <c r="E267" i="5"/>
  <c r="D267" i="5"/>
  <c r="C267" i="5"/>
  <c r="B267" i="5"/>
  <c r="A266" i="5"/>
  <c r="I260" i="5"/>
  <c r="H260" i="5"/>
  <c r="G260" i="5"/>
  <c r="F260" i="5"/>
  <c r="I259" i="5"/>
  <c r="H259" i="5"/>
  <c r="G259" i="5"/>
  <c r="F259" i="5"/>
  <c r="E258" i="5"/>
  <c r="D258" i="5"/>
  <c r="C258" i="5"/>
  <c r="B258" i="5"/>
  <c r="I256" i="5"/>
  <c r="H256" i="5"/>
  <c r="G256" i="5"/>
  <c r="F256" i="5"/>
  <c r="I255" i="5"/>
  <c r="H255" i="5"/>
  <c r="G255" i="5"/>
  <c r="F255" i="5"/>
  <c r="E254" i="5"/>
  <c r="D254" i="5"/>
  <c r="C254" i="5"/>
  <c r="B254" i="5"/>
  <c r="E252" i="5"/>
  <c r="I251" i="5"/>
  <c r="H251" i="5"/>
  <c r="G251" i="5"/>
  <c r="F251" i="5"/>
  <c r="I250" i="5"/>
  <c r="H250" i="5"/>
  <c r="G250" i="5"/>
  <c r="F250" i="5"/>
  <c r="E249" i="5"/>
  <c r="D249" i="5"/>
  <c r="C249" i="5"/>
  <c r="B249" i="5"/>
  <c r="I247" i="5"/>
  <c r="H247" i="5"/>
  <c r="G247" i="5"/>
  <c r="F247" i="5"/>
  <c r="I246" i="5"/>
  <c r="H246" i="5"/>
  <c r="G246" i="5"/>
  <c r="F246" i="5"/>
  <c r="E245" i="5"/>
  <c r="D245" i="5"/>
  <c r="C245" i="5"/>
  <c r="B245" i="5"/>
  <c r="I243" i="5"/>
  <c r="H243" i="5"/>
  <c r="G243" i="5"/>
  <c r="F243" i="5"/>
  <c r="I242" i="5"/>
  <c r="H242" i="5"/>
  <c r="G242" i="5"/>
  <c r="F242" i="5"/>
  <c r="E241" i="5"/>
  <c r="D241" i="5"/>
  <c r="C241" i="5"/>
  <c r="B241" i="5"/>
  <c r="E239" i="5"/>
  <c r="I238" i="5"/>
  <c r="H238" i="5"/>
  <c r="G238" i="5"/>
  <c r="F238" i="5"/>
  <c r="I237" i="5"/>
  <c r="H237" i="5"/>
  <c r="G237" i="5"/>
  <c r="F237" i="5"/>
  <c r="E236" i="5"/>
  <c r="D236" i="5"/>
  <c r="C236" i="5"/>
  <c r="B236" i="5"/>
  <c r="A235" i="5"/>
  <c r="H229" i="5"/>
  <c r="G229" i="5"/>
  <c r="E229" i="5"/>
  <c r="E228" i="5"/>
  <c r="E227" i="5"/>
  <c r="E226" i="5"/>
  <c r="I225" i="5"/>
  <c r="H225" i="5"/>
  <c r="G225" i="5"/>
  <c r="F225" i="5"/>
  <c r="I224" i="5"/>
  <c r="H224" i="5"/>
  <c r="G224" i="5"/>
  <c r="F224" i="5"/>
  <c r="I223" i="5"/>
  <c r="H223" i="5"/>
  <c r="G223" i="5"/>
  <c r="F223" i="5"/>
  <c r="I222" i="5"/>
  <c r="H222" i="5"/>
  <c r="G222" i="5"/>
  <c r="F222" i="5"/>
  <c r="D220" i="5"/>
  <c r="C220" i="5"/>
  <c r="B220" i="5"/>
  <c r="H218" i="5"/>
  <c r="G218" i="5"/>
  <c r="E218" i="5"/>
  <c r="E217" i="5"/>
  <c r="E216" i="5"/>
  <c r="E215" i="5"/>
  <c r="I214" i="5"/>
  <c r="H214" i="5"/>
  <c r="G214" i="5"/>
  <c r="F214" i="5"/>
  <c r="I213" i="5"/>
  <c r="H213" i="5"/>
  <c r="G213" i="5"/>
  <c r="F213" i="5"/>
  <c r="I212" i="5"/>
  <c r="H212" i="5"/>
  <c r="G212" i="5"/>
  <c r="F212" i="5"/>
  <c r="I211" i="5"/>
  <c r="H211" i="5"/>
  <c r="G211" i="5"/>
  <c r="F211" i="5"/>
  <c r="D209" i="5"/>
  <c r="C209" i="5"/>
  <c r="B209" i="5"/>
  <c r="H207" i="5"/>
  <c r="G207" i="5"/>
  <c r="E207" i="5"/>
  <c r="E206" i="5"/>
  <c r="E205" i="5"/>
  <c r="I204" i="5"/>
  <c r="H204" i="5"/>
  <c r="F204" i="5"/>
  <c r="D204" i="5"/>
  <c r="C204" i="5"/>
  <c r="B204" i="5"/>
  <c r="I203" i="5"/>
  <c r="H203" i="5"/>
  <c r="G203" i="5"/>
  <c r="F203" i="5"/>
  <c r="D201" i="5"/>
  <c r="C201" i="5"/>
  <c r="B201" i="5"/>
  <c r="H199" i="5"/>
  <c r="G199" i="5"/>
  <c r="E199" i="5"/>
  <c r="E198" i="5"/>
  <c r="E197" i="5"/>
  <c r="E196" i="5"/>
  <c r="I195" i="5"/>
  <c r="H195" i="5"/>
  <c r="G195" i="5"/>
  <c r="F195" i="5"/>
  <c r="I194" i="5"/>
  <c r="H194" i="5"/>
  <c r="G194" i="5"/>
  <c r="F194" i="5"/>
  <c r="I193" i="5"/>
  <c r="H193" i="5"/>
  <c r="G193" i="5"/>
  <c r="F193" i="5"/>
  <c r="I192" i="5"/>
  <c r="H192" i="5"/>
  <c r="G192" i="5"/>
  <c r="F192" i="5"/>
  <c r="D190" i="5"/>
  <c r="C190" i="5"/>
  <c r="B190" i="5"/>
  <c r="H188" i="5"/>
  <c r="G188" i="5"/>
  <c r="E188" i="5"/>
  <c r="E187" i="5"/>
  <c r="E186" i="5"/>
  <c r="E185" i="5"/>
  <c r="I184" i="5"/>
  <c r="H184" i="5"/>
  <c r="G184" i="5"/>
  <c r="F184" i="5"/>
  <c r="I183" i="5"/>
  <c r="H183" i="5"/>
  <c r="G183" i="5"/>
  <c r="F183" i="5"/>
  <c r="I182" i="5"/>
  <c r="H182" i="5"/>
  <c r="G182" i="5"/>
  <c r="F182" i="5"/>
  <c r="I181" i="5"/>
  <c r="H181" i="5"/>
  <c r="G181" i="5"/>
  <c r="F181" i="5"/>
  <c r="D179" i="5"/>
  <c r="C179" i="5"/>
  <c r="B179" i="5"/>
  <c r="H177" i="5"/>
  <c r="G177" i="5"/>
  <c r="E177" i="5"/>
  <c r="E176" i="5"/>
  <c r="E175" i="5"/>
  <c r="I174" i="5"/>
  <c r="H174" i="5"/>
  <c r="G174" i="5"/>
  <c r="F174" i="5"/>
  <c r="I173" i="5"/>
  <c r="H173" i="5"/>
  <c r="G173" i="5"/>
  <c r="F173" i="5"/>
  <c r="D171" i="5"/>
  <c r="C171" i="5"/>
  <c r="B171" i="5"/>
  <c r="H169" i="5"/>
  <c r="G169" i="5"/>
  <c r="E169" i="5"/>
  <c r="E168" i="5"/>
  <c r="E167" i="5"/>
  <c r="E166" i="5"/>
  <c r="I165" i="5"/>
  <c r="H165" i="5"/>
  <c r="G165" i="5"/>
  <c r="F165" i="5"/>
  <c r="I164" i="5"/>
  <c r="H164" i="5"/>
  <c r="G164" i="5"/>
  <c r="F164" i="5"/>
  <c r="I163" i="5"/>
  <c r="H163" i="5"/>
  <c r="G163" i="5"/>
  <c r="F163" i="5"/>
  <c r="D161" i="5"/>
  <c r="C161" i="5"/>
  <c r="B161" i="5"/>
  <c r="H159" i="5"/>
  <c r="G159" i="5"/>
  <c r="E159" i="5"/>
  <c r="E158" i="5"/>
  <c r="E157" i="5"/>
  <c r="E156" i="5"/>
  <c r="I155" i="5"/>
  <c r="H155" i="5"/>
  <c r="G155" i="5"/>
  <c r="F155" i="5"/>
  <c r="I154" i="5"/>
  <c r="H154" i="5"/>
  <c r="G154" i="5"/>
  <c r="F154" i="5"/>
  <c r="I153" i="5"/>
  <c r="H153" i="5"/>
  <c r="G153" i="5"/>
  <c r="F153" i="5"/>
  <c r="D151" i="5"/>
  <c r="C151" i="5"/>
  <c r="B151" i="5"/>
  <c r="A150" i="5"/>
  <c r="H144" i="5"/>
  <c r="G144" i="5"/>
  <c r="E144" i="5"/>
  <c r="E143" i="5"/>
  <c r="E142" i="5"/>
  <c r="I141" i="5"/>
  <c r="H141" i="5"/>
  <c r="G141" i="5"/>
  <c r="F141" i="5"/>
  <c r="I140" i="5"/>
  <c r="H140" i="5"/>
  <c r="G140" i="5"/>
  <c r="F140" i="5"/>
  <c r="D138" i="5"/>
  <c r="C138" i="5"/>
  <c r="B138" i="5"/>
  <c r="H136" i="5"/>
  <c r="G136" i="5"/>
  <c r="E136" i="5"/>
  <c r="E135" i="5"/>
  <c r="E134" i="5"/>
  <c r="E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I129" i="5"/>
  <c r="H129" i="5"/>
  <c r="G129" i="5"/>
  <c r="F129" i="5"/>
  <c r="D127" i="5"/>
  <c r="C127" i="5"/>
  <c r="B127" i="5"/>
  <c r="H125" i="5"/>
  <c r="G125" i="5"/>
  <c r="E125" i="5"/>
  <c r="E124" i="5"/>
  <c r="E123" i="5"/>
  <c r="E122" i="5"/>
  <c r="I121" i="5"/>
  <c r="H121" i="5"/>
  <c r="F121" i="5"/>
  <c r="D121" i="5"/>
  <c r="C121" i="5"/>
  <c r="B121" i="5"/>
  <c r="I120" i="5"/>
  <c r="H120" i="5"/>
  <c r="G120" i="5"/>
  <c r="F120" i="5"/>
  <c r="I119" i="5"/>
  <c r="H119" i="5"/>
  <c r="G119" i="5"/>
  <c r="F119" i="5"/>
  <c r="I118" i="5"/>
  <c r="H118" i="5"/>
  <c r="G118" i="5"/>
  <c r="F118" i="5"/>
  <c r="I117" i="5"/>
  <c r="H117" i="5"/>
  <c r="G117" i="5"/>
  <c r="F117" i="5"/>
  <c r="D115" i="5"/>
  <c r="C115" i="5"/>
  <c r="B115" i="5"/>
  <c r="H113" i="5"/>
  <c r="G113" i="5"/>
  <c r="E113" i="5"/>
  <c r="E112" i="5"/>
  <c r="E111" i="5"/>
  <c r="E110" i="5"/>
  <c r="I109" i="5"/>
  <c r="H109" i="5"/>
  <c r="G109" i="5"/>
  <c r="F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D104" i="5"/>
  <c r="C104" i="5"/>
  <c r="B104" i="5"/>
  <c r="H102" i="5"/>
  <c r="G102" i="5"/>
  <c r="E102" i="5"/>
  <c r="E101" i="5"/>
  <c r="E100" i="5"/>
  <c r="E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D93" i="5"/>
  <c r="C93" i="5"/>
  <c r="B93" i="5"/>
  <c r="H91" i="5"/>
  <c r="G91" i="5"/>
  <c r="E91" i="5"/>
  <c r="E90" i="5"/>
  <c r="E89" i="5"/>
  <c r="E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E83" i="5"/>
  <c r="D83" i="5"/>
  <c r="C83" i="5"/>
  <c r="B83" i="5"/>
  <c r="H81" i="5"/>
  <c r="G81" i="5"/>
  <c r="E81" i="5"/>
  <c r="E80" i="5"/>
  <c r="E79" i="5"/>
  <c r="E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E73" i="5"/>
  <c r="D73" i="5"/>
  <c r="C73" i="5"/>
  <c r="B73" i="5"/>
  <c r="H71" i="5"/>
  <c r="G71" i="5"/>
  <c r="E71" i="5"/>
  <c r="E70" i="5"/>
  <c r="E69" i="5"/>
  <c r="E68" i="5"/>
  <c r="I67" i="5"/>
  <c r="H67" i="5"/>
  <c r="G67" i="5"/>
  <c r="F67" i="5"/>
  <c r="I66" i="5"/>
  <c r="H66" i="5"/>
  <c r="G66" i="5"/>
  <c r="F66" i="5"/>
  <c r="I65" i="5"/>
  <c r="H65" i="5"/>
  <c r="G65" i="5"/>
  <c r="F65" i="5"/>
  <c r="D63" i="5"/>
  <c r="C63" i="5"/>
  <c r="B63" i="5"/>
  <c r="H61" i="5"/>
  <c r="G61" i="5"/>
  <c r="E61" i="5"/>
  <c r="E60" i="5"/>
  <c r="E59" i="5"/>
  <c r="E58" i="5"/>
  <c r="I57" i="5"/>
  <c r="H57" i="5"/>
  <c r="G57" i="5"/>
  <c r="F57" i="5"/>
  <c r="I56" i="5"/>
  <c r="H56" i="5"/>
  <c r="G56" i="5"/>
  <c r="F56" i="5"/>
  <c r="I55" i="5"/>
  <c r="H55" i="5"/>
  <c r="G55" i="5"/>
  <c r="F55" i="5"/>
  <c r="D53" i="5"/>
  <c r="C53" i="5"/>
  <c r="B53" i="5"/>
  <c r="H51" i="5"/>
  <c r="G51" i="5"/>
  <c r="E51" i="5"/>
  <c r="E50" i="5"/>
  <c r="E49" i="5"/>
  <c r="E48" i="5"/>
  <c r="I47" i="5"/>
  <c r="H47" i="5"/>
  <c r="G47" i="5"/>
  <c r="F47" i="5"/>
  <c r="I46" i="5"/>
  <c r="H46" i="5"/>
  <c r="G46" i="5"/>
  <c r="F46" i="5"/>
  <c r="I45" i="5"/>
  <c r="H45" i="5"/>
  <c r="G45" i="5"/>
  <c r="F45" i="5"/>
  <c r="D43" i="5"/>
  <c r="C43" i="5"/>
  <c r="B43" i="5"/>
  <c r="H41" i="5"/>
  <c r="G41" i="5"/>
  <c r="E41" i="5"/>
  <c r="E40" i="5"/>
  <c r="E39" i="5"/>
  <c r="E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E33" i="5"/>
  <c r="D33" i="5"/>
  <c r="C33" i="5"/>
  <c r="B33" i="5"/>
  <c r="A32" i="5"/>
  <c r="A18" i="5"/>
  <c r="A15" i="5"/>
  <c r="A13" i="5"/>
  <c r="A10" i="5"/>
  <c r="G6" i="5"/>
  <c r="B6" i="5"/>
  <c r="A1" i="5"/>
  <c r="A1" i="4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" i="3"/>
  <c r="CX1" i="3"/>
  <c r="CY1" i="3"/>
  <c r="CZ1" i="3"/>
  <c r="DA1" i="3"/>
  <c r="DB1" i="3"/>
  <c r="DC1" i="3"/>
  <c r="A2" i="3"/>
  <c r="CX2" i="3"/>
  <c r="CY2" i="3"/>
  <c r="CZ2" i="3"/>
  <c r="DB2" i="3" s="1"/>
  <c r="DA2" i="3"/>
  <c r="DC2" i="3"/>
  <c r="A3" i="3"/>
  <c r="CX3" i="3"/>
  <c r="CY3" i="3"/>
  <c r="CZ3" i="3"/>
  <c r="DB3" i="3" s="1"/>
  <c r="DA3" i="3"/>
  <c r="DC3" i="3"/>
  <c r="A4" i="3"/>
  <c r="CX4" i="3"/>
  <c r="CY4" i="3"/>
  <c r="CZ4" i="3"/>
  <c r="DB4" i="3" s="1"/>
  <c r="L9" i="7" s="1"/>
  <c r="DA4" i="3"/>
  <c r="DC4" i="3"/>
  <c r="Q9" i="7" s="1"/>
  <c r="T9" i="7" s="1"/>
  <c r="A5" i="3"/>
  <c r="CX5" i="3"/>
  <c r="CY5" i="3"/>
  <c r="CZ5" i="3"/>
  <c r="DB5" i="3" s="1"/>
  <c r="L8" i="7" s="1"/>
  <c r="DA5" i="3"/>
  <c r="DC5" i="3"/>
  <c r="Q8" i="7" s="1"/>
  <c r="A6" i="3"/>
  <c r="CY6" i="3"/>
  <c r="CZ6" i="3"/>
  <c r="DB6" i="3" s="1"/>
  <c r="DA6" i="3"/>
  <c r="DC6" i="3"/>
  <c r="A7" i="3"/>
  <c r="CY7" i="3"/>
  <c r="CZ7" i="3"/>
  <c r="DB7" i="3" s="1"/>
  <c r="DA7" i="3"/>
  <c r="DC7" i="3"/>
  <c r="A8" i="3"/>
  <c r="CY8" i="3"/>
  <c r="CZ8" i="3"/>
  <c r="DB8" i="3" s="1"/>
  <c r="DA8" i="3"/>
  <c r="DC8" i="3"/>
  <c r="A9" i="3"/>
  <c r="CY9" i="3"/>
  <c r="CZ9" i="3"/>
  <c r="DA9" i="3"/>
  <c r="DB9" i="3"/>
  <c r="DC9" i="3"/>
  <c r="A10" i="3"/>
  <c r="CY10" i="3"/>
  <c r="CZ10" i="3"/>
  <c r="DB10" i="3" s="1"/>
  <c r="DA10" i="3"/>
  <c r="DC10" i="3"/>
  <c r="A11" i="3"/>
  <c r="CY11" i="3"/>
  <c r="CZ11" i="3"/>
  <c r="DB11" i="3" s="1"/>
  <c r="DA11" i="3"/>
  <c r="DC11" i="3"/>
  <c r="A12" i="3"/>
  <c r="CY12" i="3"/>
  <c r="CZ12" i="3"/>
  <c r="DA12" i="3"/>
  <c r="DB12" i="3"/>
  <c r="DC12" i="3"/>
  <c r="A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B15" i="3" s="1"/>
  <c r="DA15" i="3"/>
  <c r="DC15" i="3"/>
  <c r="A16" i="3"/>
  <c r="CY16" i="3"/>
  <c r="CZ16" i="3"/>
  <c r="DB16" i="3" s="1"/>
  <c r="DA16" i="3"/>
  <c r="DC16" i="3"/>
  <c r="A17" i="3"/>
  <c r="CX17" i="3"/>
  <c r="CY17" i="3"/>
  <c r="CZ17" i="3"/>
  <c r="DA17" i="3"/>
  <c r="DB17" i="3"/>
  <c r="DC17" i="3"/>
  <c r="A18" i="3"/>
  <c r="CX18" i="3"/>
  <c r="CY18" i="3"/>
  <c r="CZ18" i="3"/>
  <c r="DB18" i="3" s="1"/>
  <c r="DA18" i="3"/>
  <c r="DC18" i="3"/>
  <c r="A19" i="3"/>
  <c r="CX19" i="3"/>
  <c r="CY19" i="3"/>
  <c r="CZ19" i="3"/>
  <c r="DB19" i="3" s="1"/>
  <c r="DA19" i="3"/>
  <c r="DC19" i="3"/>
  <c r="A20" i="3"/>
  <c r="CX20" i="3"/>
  <c r="CY20" i="3"/>
  <c r="CZ20" i="3"/>
  <c r="DA20" i="3"/>
  <c r="DB20" i="3"/>
  <c r="DC20" i="3"/>
  <c r="A21" i="3"/>
  <c r="CX21" i="3"/>
  <c r="CY21" i="3"/>
  <c r="CZ21" i="3"/>
  <c r="DB21" i="3" s="1"/>
  <c r="DA21" i="3"/>
  <c r="DC21" i="3"/>
  <c r="A22" i="3"/>
  <c r="CX22" i="3"/>
  <c r="CY22" i="3"/>
  <c r="CZ22" i="3"/>
  <c r="DB22" i="3" s="1"/>
  <c r="L12" i="7" s="1"/>
  <c r="DA22" i="3"/>
  <c r="DC22" i="3"/>
  <c r="Q12" i="7" s="1"/>
  <c r="A23" i="3"/>
  <c r="CX23" i="3"/>
  <c r="CY23" i="3"/>
  <c r="CZ23" i="3"/>
  <c r="DB23" i="3" s="1"/>
  <c r="L11" i="7" s="1"/>
  <c r="DA23" i="3"/>
  <c r="DC23" i="3"/>
  <c r="Q11" i="7" s="1"/>
  <c r="A24" i="3"/>
  <c r="CX24" i="3"/>
  <c r="CY24" i="3"/>
  <c r="CZ24" i="3"/>
  <c r="DB24" i="3" s="1"/>
  <c r="L10" i="7" s="1"/>
  <c r="DA24" i="3"/>
  <c r="DC24" i="3"/>
  <c r="Q10" i="7" s="1"/>
  <c r="R10" i="7" s="1"/>
  <c r="A25" i="3"/>
  <c r="CX25" i="3"/>
  <c r="CY25" i="3"/>
  <c r="CZ25" i="3"/>
  <c r="DA25" i="3"/>
  <c r="DB25" i="3"/>
  <c r="DC25" i="3"/>
  <c r="A26" i="3"/>
  <c r="CX26" i="3"/>
  <c r="CY26" i="3"/>
  <c r="CZ26" i="3"/>
  <c r="DB26" i="3" s="1"/>
  <c r="DA26" i="3"/>
  <c r="DC26" i="3"/>
  <c r="A27" i="3"/>
  <c r="CX27" i="3"/>
  <c r="CY27" i="3"/>
  <c r="CZ27" i="3"/>
  <c r="DB27" i="3" s="1"/>
  <c r="DA27" i="3"/>
  <c r="DC27" i="3"/>
  <c r="A28" i="3"/>
  <c r="CX28" i="3"/>
  <c r="CY28" i="3"/>
  <c r="CZ28" i="3"/>
  <c r="DA28" i="3"/>
  <c r="DB28" i="3"/>
  <c r="DC28" i="3"/>
  <c r="A29" i="3"/>
  <c r="CX29" i="3"/>
  <c r="CY29" i="3"/>
  <c r="CZ29" i="3"/>
  <c r="DB29" i="3" s="1"/>
  <c r="DA29" i="3"/>
  <c r="DC29" i="3"/>
  <c r="A30" i="3"/>
  <c r="CX30" i="3"/>
  <c r="CY30" i="3"/>
  <c r="CZ30" i="3"/>
  <c r="DB30" i="3" s="1"/>
  <c r="DA30" i="3"/>
  <c r="DC30" i="3"/>
  <c r="A31" i="3"/>
  <c r="CX31" i="3"/>
  <c r="CY31" i="3"/>
  <c r="CZ31" i="3"/>
  <c r="DB31" i="3" s="1"/>
  <c r="L14" i="7" s="1"/>
  <c r="O14" i="7" s="1"/>
  <c r="DA31" i="3"/>
  <c r="DC31" i="3"/>
  <c r="Q14" i="7" s="1"/>
  <c r="T14" i="7" s="1"/>
  <c r="A32" i="3"/>
  <c r="CX32" i="3"/>
  <c r="CY32" i="3"/>
  <c r="CZ32" i="3"/>
  <c r="DB32" i="3" s="1"/>
  <c r="L13" i="7" s="1"/>
  <c r="DA32" i="3"/>
  <c r="DC32" i="3"/>
  <c r="Q13" i="7" s="1"/>
  <c r="T13" i="7" s="1"/>
  <c r="A33" i="3"/>
  <c r="CY33" i="3"/>
  <c r="CZ33" i="3"/>
  <c r="DA33" i="3"/>
  <c r="DB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A36" i="3"/>
  <c r="DB36" i="3"/>
  <c r="DC36" i="3"/>
  <c r="A37" i="3"/>
  <c r="CY37" i="3"/>
  <c r="CZ37" i="3"/>
  <c r="DB37" i="3" s="1"/>
  <c r="DA37" i="3"/>
  <c r="DC37" i="3"/>
  <c r="A38" i="3"/>
  <c r="CY38" i="3"/>
  <c r="CZ38" i="3"/>
  <c r="DB38" i="3" s="1"/>
  <c r="DA38" i="3"/>
  <c r="DC38" i="3"/>
  <c r="A39" i="3"/>
  <c r="CY39" i="3"/>
  <c r="CZ39" i="3"/>
  <c r="DB39" i="3" s="1"/>
  <c r="L16" i="7" s="1"/>
  <c r="DA39" i="3"/>
  <c r="DC39" i="3"/>
  <c r="Q16" i="7" s="1"/>
  <c r="A40" i="3"/>
  <c r="CY40" i="3"/>
  <c r="CZ40" i="3"/>
  <c r="DB40" i="3" s="1"/>
  <c r="L15" i="7" s="1"/>
  <c r="O15" i="7" s="1"/>
  <c r="DA40" i="3"/>
  <c r="DC40" i="3"/>
  <c r="Q15" i="7" s="1"/>
  <c r="A41" i="3"/>
  <c r="CY41" i="3"/>
  <c r="CZ41" i="3"/>
  <c r="DA41" i="3"/>
  <c r="DB41" i="3"/>
  <c r="DC41" i="3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A44" i="3"/>
  <c r="DB44" i="3"/>
  <c r="DC44" i="3"/>
  <c r="A45" i="3"/>
  <c r="CY45" i="3"/>
  <c r="CZ45" i="3"/>
  <c r="DB45" i="3" s="1"/>
  <c r="DA45" i="3"/>
  <c r="DC45" i="3"/>
  <c r="A46" i="3"/>
  <c r="CY46" i="3"/>
  <c r="CZ46" i="3"/>
  <c r="DB46" i="3" s="1"/>
  <c r="DA46" i="3"/>
  <c r="DC46" i="3"/>
  <c r="A47" i="3"/>
  <c r="CY47" i="3"/>
  <c r="CZ47" i="3"/>
  <c r="DB47" i="3" s="1"/>
  <c r="DA47" i="3"/>
  <c r="DC47" i="3"/>
  <c r="A48" i="3"/>
  <c r="CY48" i="3"/>
  <c r="CZ48" i="3"/>
  <c r="DB48" i="3" s="1"/>
  <c r="L18" i="7" s="1"/>
  <c r="DA48" i="3"/>
  <c r="DC48" i="3"/>
  <c r="Q18" i="7" s="1"/>
  <c r="A49" i="3"/>
  <c r="CY49" i="3"/>
  <c r="CZ49" i="3"/>
  <c r="DA49" i="3"/>
  <c r="DB49" i="3"/>
  <c r="L17" i="7" s="1"/>
  <c r="DC49" i="3"/>
  <c r="Q17" i="7" s="1"/>
  <c r="A50" i="3"/>
  <c r="CY50" i="3"/>
  <c r="CZ50" i="3"/>
  <c r="DB50" i="3" s="1"/>
  <c r="DA50" i="3"/>
  <c r="DC50" i="3"/>
  <c r="A51" i="3"/>
  <c r="CY51" i="3"/>
  <c r="CZ51" i="3"/>
  <c r="DB51" i="3" s="1"/>
  <c r="DA51" i="3"/>
  <c r="DC51" i="3"/>
  <c r="A52" i="3"/>
  <c r="CY52" i="3"/>
  <c r="CZ52" i="3"/>
  <c r="DA52" i="3"/>
  <c r="DB52" i="3"/>
  <c r="DC52" i="3"/>
  <c r="A53" i="3"/>
  <c r="CY53" i="3"/>
  <c r="CZ53" i="3"/>
  <c r="DB53" i="3" s="1"/>
  <c r="DA53" i="3"/>
  <c r="DC53" i="3"/>
  <c r="A54" i="3"/>
  <c r="CY54" i="3"/>
  <c r="CZ54" i="3"/>
  <c r="DB54" i="3" s="1"/>
  <c r="L20" i="7" s="1"/>
  <c r="DA54" i="3"/>
  <c r="DC54" i="3"/>
  <c r="Q20" i="7" s="1"/>
  <c r="A55" i="3"/>
  <c r="CY55" i="3"/>
  <c r="CZ55" i="3"/>
  <c r="DB55" i="3" s="1"/>
  <c r="L19" i="7" s="1"/>
  <c r="DA55" i="3"/>
  <c r="DC55" i="3"/>
  <c r="Q19" i="7" s="1"/>
  <c r="A56" i="3"/>
  <c r="CY56" i="3"/>
  <c r="CZ56" i="3"/>
  <c r="DB56" i="3" s="1"/>
  <c r="DA56" i="3"/>
  <c r="DC56" i="3"/>
  <c r="A57" i="3"/>
  <c r="CY57" i="3"/>
  <c r="CZ57" i="3"/>
  <c r="DA57" i="3"/>
  <c r="DB57" i="3"/>
  <c r="DC57" i="3"/>
  <c r="A58" i="3"/>
  <c r="CY58" i="3"/>
  <c r="CZ58" i="3"/>
  <c r="DB58" i="3" s="1"/>
  <c r="DA58" i="3"/>
  <c r="DC58" i="3"/>
  <c r="A59" i="3"/>
  <c r="CY59" i="3"/>
  <c r="CZ59" i="3"/>
  <c r="DB59" i="3" s="1"/>
  <c r="DA59" i="3"/>
  <c r="DC59" i="3"/>
  <c r="A60" i="3"/>
  <c r="CY60" i="3"/>
  <c r="CZ60" i="3"/>
  <c r="DA60" i="3"/>
  <c r="DB60" i="3"/>
  <c r="L22" i="7" s="1"/>
  <c r="DC60" i="3"/>
  <c r="Q22" i="7" s="1"/>
  <c r="A61" i="3"/>
  <c r="CY61" i="3"/>
  <c r="CZ61" i="3"/>
  <c r="DB61" i="3" s="1"/>
  <c r="DA61" i="3"/>
  <c r="DC61" i="3"/>
  <c r="A62" i="3"/>
  <c r="CY62" i="3"/>
  <c r="CZ62" i="3"/>
  <c r="DB62" i="3" s="1"/>
  <c r="L23" i="7" s="1"/>
  <c r="DA62" i="3"/>
  <c r="DC62" i="3"/>
  <c r="Q23" i="7" s="1"/>
  <c r="R23" i="7" s="1"/>
  <c r="A63" i="3"/>
  <c r="CY63" i="3"/>
  <c r="CZ63" i="3"/>
  <c r="DB63" i="3" s="1"/>
  <c r="DA63" i="3"/>
  <c r="DC63" i="3"/>
  <c r="A64" i="3"/>
  <c r="CY64" i="3"/>
  <c r="CZ64" i="3"/>
  <c r="DB64" i="3" s="1"/>
  <c r="DA64" i="3"/>
  <c r="DC64" i="3"/>
  <c r="A65" i="3"/>
  <c r="CY65" i="3"/>
  <c r="CZ65" i="3"/>
  <c r="DA65" i="3"/>
  <c r="DB65" i="3"/>
  <c r="DC65" i="3"/>
  <c r="A66" i="3"/>
  <c r="CY66" i="3"/>
  <c r="CZ66" i="3"/>
  <c r="DB66" i="3" s="1"/>
  <c r="DA66" i="3"/>
  <c r="DC66" i="3"/>
  <c r="A67" i="3"/>
  <c r="CY67" i="3"/>
  <c r="CZ67" i="3"/>
  <c r="DB67" i="3" s="1"/>
  <c r="DA67" i="3"/>
  <c r="DC67" i="3"/>
  <c r="A68" i="3"/>
  <c r="CY68" i="3"/>
  <c r="CZ68" i="3"/>
  <c r="DA68" i="3"/>
  <c r="DB68" i="3"/>
  <c r="DC68" i="3"/>
  <c r="A69" i="3"/>
  <c r="CY69" i="3"/>
  <c r="CZ69" i="3"/>
  <c r="DB69" i="3" s="1"/>
  <c r="DA69" i="3"/>
  <c r="DC69" i="3"/>
  <c r="A70" i="3"/>
  <c r="CY70" i="3"/>
  <c r="CZ70" i="3"/>
  <c r="DB70" i="3" s="1"/>
  <c r="L27" i="7" s="1"/>
  <c r="DA70" i="3"/>
  <c r="DC70" i="3"/>
  <c r="Q27" i="7" s="1"/>
  <c r="A71" i="3"/>
  <c r="CY71" i="3"/>
  <c r="CZ71" i="3"/>
  <c r="DB71" i="3" s="1"/>
  <c r="L26" i="7" s="1"/>
  <c r="DA71" i="3"/>
  <c r="DC71" i="3"/>
  <c r="Q26" i="7" s="1"/>
  <c r="R26" i="7" s="1"/>
  <c r="A72" i="3"/>
  <c r="CY72" i="3"/>
  <c r="CZ72" i="3"/>
  <c r="DB72" i="3" s="1"/>
  <c r="L25" i="7" s="1"/>
  <c r="DA72" i="3"/>
  <c r="DC72" i="3"/>
  <c r="Q25" i="7" s="1"/>
  <c r="A73" i="3"/>
  <c r="CY73" i="3"/>
  <c r="CZ73" i="3"/>
  <c r="DA73" i="3"/>
  <c r="DB73" i="3"/>
  <c r="DC73" i="3"/>
  <c r="A74" i="3"/>
  <c r="CY74" i="3"/>
  <c r="CZ74" i="3"/>
  <c r="DB74" i="3" s="1"/>
  <c r="DA74" i="3"/>
  <c r="DC74" i="3"/>
  <c r="A75" i="3"/>
  <c r="CY75" i="3"/>
  <c r="CZ75" i="3"/>
  <c r="DB75" i="3" s="1"/>
  <c r="DA75" i="3"/>
  <c r="DC75" i="3"/>
  <c r="A76" i="3"/>
  <c r="CY76" i="3"/>
  <c r="CZ76" i="3"/>
  <c r="DA76" i="3"/>
  <c r="DB76" i="3"/>
  <c r="DC76" i="3"/>
  <c r="A77" i="3"/>
  <c r="CY77" i="3"/>
  <c r="CZ77" i="3"/>
  <c r="DB77" i="3" s="1"/>
  <c r="DA77" i="3"/>
  <c r="DC77" i="3"/>
  <c r="A78" i="3"/>
  <c r="CY78" i="3"/>
  <c r="CZ78" i="3"/>
  <c r="DB78" i="3" s="1"/>
  <c r="DA78" i="3"/>
  <c r="DC78" i="3"/>
  <c r="A79" i="3"/>
  <c r="CY79" i="3"/>
  <c r="CZ79" i="3"/>
  <c r="DB79" i="3" s="1"/>
  <c r="L29" i="7" s="1"/>
  <c r="DA79" i="3"/>
  <c r="DC79" i="3"/>
  <c r="Q29" i="7" s="1"/>
  <c r="A80" i="3"/>
  <c r="CY80" i="3"/>
  <c r="CZ80" i="3"/>
  <c r="DB80" i="3" s="1"/>
  <c r="L28" i="7" s="1"/>
  <c r="DA80" i="3"/>
  <c r="DC80" i="3"/>
  <c r="Q28" i="7" s="1"/>
  <c r="A81" i="3"/>
  <c r="CY81" i="3"/>
  <c r="CZ81" i="3"/>
  <c r="DA81" i="3"/>
  <c r="DB81" i="3"/>
  <c r="DC81" i="3"/>
  <c r="A82" i="3"/>
  <c r="CY82" i="3"/>
  <c r="CZ82" i="3"/>
  <c r="DB82" i="3" s="1"/>
  <c r="DA82" i="3"/>
  <c r="DC82" i="3"/>
  <c r="A83" i="3"/>
  <c r="CY83" i="3"/>
  <c r="CZ83" i="3"/>
  <c r="DB83" i="3" s="1"/>
  <c r="DA83" i="3"/>
  <c r="DC83" i="3"/>
  <c r="A84" i="3"/>
  <c r="CY84" i="3"/>
  <c r="CZ84" i="3"/>
  <c r="DA84" i="3"/>
  <c r="DB84" i="3"/>
  <c r="DC84" i="3"/>
  <c r="A85" i="3"/>
  <c r="CY85" i="3"/>
  <c r="CZ85" i="3"/>
  <c r="DB85" i="3" s="1"/>
  <c r="DA85" i="3"/>
  <c r="DC85" i="3"/>
  <c r="A86" i="3"/>
  <c r="CY86" i="3"/>
  <c r="CZ86" i="3"/>
  <c r="DB86" i="3" s="1"/>
  <c r="DA86" i="3"/>
  <c r="DC86" i="3"/>
  <c r="A87" i="3"/>
  <c r="CY87" i="3"/>
  <c r="CZ87" i="3"/>
  <c r="DB87" i="3" s="1"/>
  <c r="DA87" i="3"/>
  <c r="DC87" i="3"/>
  <c r="A88" i="3"/>
  <c r="CY88" i="3"/>
  <c r="CZ88" i="3"/>
  <c r="DB88" i="3" s="1"/>
  <c r="L31" i="7" s="1"/>
  <c r="O31" i="7" s="1"/>
  <c r="DA88" i="3"/>
  <c r="DC88" i="3"/>
  <c r="Q31" i="7" s="1"/>
  <c r="A89" i="3"/>
  <c r="CY89" i="3"/>
  <c r="CZ89" i="3"/>
  <c r="DA89" i="3"/>
  <c r="DB89" i="3"/>
  <c r="L30" i="7" s="1"/>
  <c r="DC89" i="3"/>
  <c r="Q30" i="7" s="1"/>
  <c r="R30" i="7" s="1"/>
  <c r="A90" i="3"/>
  <c r="CY90" i="3"/>
  <c r="CZ90" i="3"/>
  <c r="DB90" i="3" s="1"/>
  <c r="DA90" i="3"/>
  <c r="DC90" i="3"/>
  <c r="A91" i="3"/>
  <c r="CY91" i="3"/>
  <c r="CZ91" i="3"/>
  <c r="DB91" i="3" s="1"/>
  <c r="DA91" i="3"/>
  <c r="DC91" i="3"/>
  <c r="A92" i="3"/>
  <c r="CY92" i="3"/>
  <c r="CZ92" i="3"/>
  <c r="DA92" i="3"/>
  <c r="DB92" i="3"/>
  <c r="DC92" i="3"/>
  <c r="A93" i="3"/>
  <c r="CY93" i="3"/>
  <c r="CZ93" i="3"/>
  <c r="DB93" i="3" s="1"/>
  <c r="DA93" i="3"/>
  <c r="DC93" i="3"/>
  <c r="A94" i="3"/>
  <c r="CY94" i="3"/>
  <c r="CZ94" i="3"/>
  <c r="DB94" i="3" s="1"/>
  <c r="L35" i="7" s="1"/>
  <c r="DA94" i="3"/>
  <c r="DC94" i="3"/>
  <c r="Q35" i="7" s="1"/>
  <c r="A95" i="3"/>
  <c r="CY95" i="3"/>
  <c r="CZ95" i="3"/>
  <c r="DB95" i="3" s="1"/>
  <c r="L34" i="7" s="1"/>
  <c r="DA95" i="3"/>
  <c r="DC95" i="3"/>
  <c r="Q34" i="7" s="1"/>
  <c r="A96" i="3"/>
  <c r="CY96" i="3"/>
  <c r="CZ96" i="3"/>
  <c r="DB96" i="3" s="1"/>
  <c r="L33" i="7" s="1"/>
  <c r="DA96" i="3"/>
  <c r="DC96" i="3"/>
  <c r="Q33" i="7" s="1"/>
  <c r="A97" i="3"/>
  <c r="CY97" i="3"/>
  <c r="CZ97" i="3"/>
  <c r="DA97" i="3"/>
  <c r="DB97" i="3"/>
  <c r="DC97" i="3"/>
  <c r="A98" i="3"/>
  <c r="CY98" i="3"/>
  <c r="CZ98" i="3"/>
  <c r="DB98" i="3" s="1"/>
  <c r="DA98" i="3"/>
  <c r="DC98" i="3"/>
  <c r="A99" i="3"/>
  <c r="CY99" i="3"/>
  <c r="CZ99" i="3"/>
  <c r="DB99" i="3" s="1"/>
  <c r="DA99" i="3"/>
  <c r="DC99" i="3"/>
  <c r="A100" i="3"/>
  <c r="CY100" i="3"/>
  <c r="CZ100" i="3"/>
  <c r="DA100" i="3"/>
  <c r="DB100" i="3"/>
  <c r="L36" i="7" s="1"/>
  <c r="O36" i="7" s="1"/>
  <c r="DC100" i="3"/>
  <c r="Q36" i="7" s="1"/>
  <c r="A101" i="3"/>
  <c r="CX101" i="3"/>
  <c r="CY101" i="3"/>
  <c r="CZ101" i="3"/>
  <c r="DB101" i="3" s="1"/>
  <c r="DA101" i="3"/>
  <c r="DC101" i="3"/>
  <c r="A102" i="3"/>
  <c r="CX102" i="3"/>
  <c r="CY102" i="3"/>
  <c r="CZ102" i="3"/>
  <c r="DB102" i="3" s="1"/>
  <c r="DA102" i="3"/>
  <c r="DC102" i="3"/>
  <c r="A103" i="3"/>
  <c r="CX103" i="3"/>
  <c r="CY103" i="3"/>
  <c r="CZ103" i="3"/>
  <c r="DB103" i="3" s="1"/>
  <c r="DA103" i="3"/>
  <c r="DC103" i="3"/>
  <c r="A104" i="3"/>
  <c r="CX104" i="3"/>
  <c r="CY104" i="3"/>
  <c r="CZ104" i="3"/>
  <c r="DB104" i="3" s="1"/>
  <c r="DA104" i="3"/>
  <c r="DC104" i="3"/>
  <c r="A105" i="3"/>
  <c r="CX105" i="3"/>
  <c r="CY105" i="3"/>
  <c r="CZ105" i="3"/>
  <c r="DA105" i="3"/>
  <c r="DB105" i="3"/>
  <c r="DC105" i="3"/>
  <c r="A106" i="3"/>
  <c r="CX106" i="3"/>
  <c r="CY106" i="3"/>
  <c r="CZ106" i="3"/>
  <c r="DB106" i="3" s="1"/>
  <c r="DA106" i="3"/>
  <c r="DC106" i="3"/>
  <c r="A107" i="3"/>
  <c r="CX107" i="3"/>
  <c r="CY107" i="3"/>
  <c r="CZ107" i="3"/>
  <c r="DB107" i="3" s="1"/>
  <c r="DA107" i="3"/>
  <c r="DC107" i="3"/>
  <c r="A108" i="3"/>
  <c r="CX108" i="3"/>
  <c r="CY108" i="3"/>
  <c r="CZ108" i="3"/>
  <c r="DA108" i="3"/>
  <c r="DB108" i="3"/>
  <c r="DC108" i="3"/>
  <c r="A109" i="3"/>
  <c r="CX109" i="3"/>
  <c r="CY109" i="3"/>
  <c r="CZ109" i="3"/>
  <c r="DB109" i="3" s="1"/>
  <c r="DA109" i="3"/>
  <c r="DC109" i="3"/>
  <c r="A110" i="3"/>
  <c r="CX110" i="3"/>
  <c r="CY110" i="3"/>
  <c r="CZ110" i="3"/>
  <c r="DB110" i="3" s="1"/>
  <c r="DA110" i="3"/>
  <c r="DC110" i="3"/>
  <c r="A111" i="3"/>
  <c r="CX111" i="3"/>
  <c r="CY111" i="3"/>
  <c r="CZ111" i="3"/>
  <c r="DB111" i="3" s="1"/>
  <c r="DA111" i="3"/>
  <c r="DC111" i="3"/>
  <c r="A112" i="3"/>
  <c r="CX112" i="3"/>
  <c r="CY112" i="3"/>
  <c r="CZ112" i="3"/>
  <c r="DB112" i="3" s="1"/>
  <c r="DA112" i="3"/>
  <c r="DC112" i="3"/>
  <c r="A113" i="3"/>
  <c r="CX113" i="3"/>
  <c r="CY113" i="3"/>
  <c r="CZ113" i="3"/>
  <c r="DA113" i="3"/>
  <c r="DB113" i="3"/>
  <c r="DC113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AC28" i="1"/>
  <c r="CQ28" i="1" s="1"/>
  <c r="P28" i="1" s="1"/>
  <c r="J37" i="5" s="1"/>
  <c r="AE28" i="1"/>
  <c r="CS28" i="1" s="1"/>
  <c r="AF28" i="1"/>
  <c r="CT28" i="1" s="1"/>
  <c r="S28" i="1" s="1"/>
  <c r="J34" i="5" s="1"/>
  <c r="AG28" i="1"/>
  <c r="CU28" i="1" s="1"/>
  <c r="T28" i="1" s="1"/>
  <c r="AH28" i="1"/>
  <c r="AI28" i="1"/>
  <c r="CW28" i="1" s="1"/>
  <c r="V28" i="1" s="1"/>
  <c r="AJ28" i="1"/>
  <c r="CX28" i="1" s="1"/>
  <c r="W28" i="1" s="1"/>
  <c r="CV28" i="1"/>
  <c r="U28" i="1" s="1"/>
  <c r="K41" i="5" s="1"/>
  <c r="FR28" i="1"/>
  <c r="BY41" i="1" s="1"/>
  <c r="BY26" i="1" s="1"/>
  <c r="GL28" i="1"/>
  <c r="GN28" i="1"/>
  <c r="GO28" i="1"/>
  <c r="GV28" i="1"/>
  <c r="HC28" i="1" s="1"/>
  <c r="GX28" i="1" s="1"/>
  <c r="C29" i="1"/>
  <c r="D29" i="1"/>
  <c r="I29" i="1"/>
  <c r="K29" i="1"/>
  <c r="AC29" i="1"/>
  <c r="CQ29" i="1" s="1"/>
  <c r="P29" i="1" s="1"/>
  <c r="AE29" i="1"/>
  <c r="CR29" i="1" s="1"/>
  <c r="Q29" i="1" s="1"/>
  <c r="J46" i="5" s="1"/>
  <c r="AF29" i="1"/>
  <c r="AG29" i="1"/>
  <c r="CU29" i="1" s="1"/>
  <c r="AH29" i="1"/>
  <c r="AI29" i="1"/>
  <c r="CW29" i="1" s="1"/>
  <c r="V29" i="1" s="1"/>
  <c r="AJ29" i="1"/>
  <c r="CT29" i="1"/>
  <c r="S29" i="1" s="1"/>
  <c r="J45" i="5" s="1"/>
  <c r="CV29" i="1"/>
  <c r="U29" i="1" s="1"/>
  <c r="K51" i="5" s="1"/>
  <c r="CX29" i="1"/>
  <c r="W29" i="1" s="1"/>
  <c r="FR29" i="1"/>
  <c r="GL29" i="1"/>
  <c r="BZ41" i="1" s="1"/>
  <c r="BZ26" i="1" s="1"/>
  <c r="GN29" i="1"/>
  <c r="CB41" i="1" s="1"/>
  <c r="GO29" i="1"/>
  <c r="GV29" i="1"/>
  <c r="HC29" i="1" s="1"/>
  <c r="GX29" i="1" s="1"/>
  <c r="C30" i="1"/>
  <c r="D30" i="1"/>
  <c r="I30" i="1"/>
  <c r="K30" i="1"/>
  <c r="AC30" i="1"/>
  <c r="CQ30" i="1" s="1"/>
  <c r="P30" i="1" s="1"/>
  <c r="AE30" i="1"/>
  <c r="CS30" i="1" s="1"/>
  <c r="AF30" i="1"/>
  <c r="AG30" i="1"/>
  <c r="AH30" i="1"/>
  <c r="CV30" i="1" s="1"/>
  <c r="U30" i="1" s="1"/>
  <c r="K61" i="5" s="1"/>
  <c r="AI30" i="1"/>
  <c r="CW30" i="1" s="1"/>
  <c r="V30" i="1" s="1"/>
  <c r="AJ30" i="1"/>
  <c r="CX30" i="1" s="1"/>
  <c r="W30" i="1" s="1"/>
  <c r="CU30" i="1"/>
  <c r="T30" i="1" s="1"/>
  <c r="FR30" i="1"/>
  <c r="GL30" i="1"/>
  <c r="GN30" i="1"/>
  <c r="GO30" i="1"/>
  <c r="GV30" i="1"/>
  <c r="HC30" i="1" s="1"/>
  <c r="GX30" i="1" s="1"/>
  <c r="C31" i="1"/>
  <c r="D31" i="1"/>
  <c r="I31" i="1"/>
  <c r="K31" i="1"/>
  <c r="AC31" i="1"/>
  <c r="AE31" i="1"/>
  <c r="AF31" i="1"/>
  <c r="CT31" i="1" s="1"/>
  <c r="S31" i="1" s="1"/>
  <c r="J65" i="5" s="1"/>
  <c r="AG31" i="1"/>
  <c r="CU31" i="1" s="1"/>
  <c r="T31" i="1" s="1"/>
  <c r="AH31" i="1"/>
  <c r="AI31" i="1"/>
  <c r="CW31" i="1" s="1"/>
  <c r="AJ31" i="1"/>
  <c r="CX31" i="1" s="1"/>
  <c r="W31" i="1" s="1"/>
  <c r="CQ31" i="1"/>
  <c r="P31" i="1" s="1"/>
  <c r="CR31" i="1"/>
  <c r="CV31" i="1"/>
  <c r="U31" i="1" s="1"/>
  <c r="K71" i="5" s="1"/>
  <c r="FR31" i="1"/>
  <c r="GL31" i="1"/>
  <c r="GN31" i="1"/>
  <c r="GO31" i="1"/>
  <c r="GV31" i="1"/>
  <c r="HC31" i="1" s="1"/>
  <c r="C32" i="1"/>
  <c r="D32" i="1"/>
  <c r="AC32" i="1"/>
  <c r="AE32" i="1"/>
  <c r="AF32" i="1"/>
  <c r="AG32" i="1"/>
  <c r="CU32" i="1" s="1"/>
  <c r="T32" i="1" s="1"/>
  <c r="AH32" i="1"/>
  <c r="AI32" i="1"/>
  <c r="AJ32" i="1"/>
  <c r="CX32" i="1" s="1"/>
  <c r="W32" i="1" s="1"/>
  <c r="CQ32" i="1"/>
  <c r="P32" i="1" s="1"/>
  <c r="J77" i="5" s="1"/>
  <c r="CR32" i="1"/>
  <c r="Q32" i="1" s="1"/>
  <c r="J75" i="5" s="1"/>
  <c r="CS32" i="1"/>
  <c r="CV32" i="1"/>
  <c r="U32" i="1" s="1"/>
  <c r="K81" i="5" s="1"/>
  <c r="CW32" i="1"/>
  <c r="V32" i="1" s="1"/>
  <c r="FR32" i="1"/>
  <c r="GL32" i="1"/>
  <c r="GN32" i="1"/>
  <c r="GO32" i="1"/>
  <c r="GV32" i="1"/>
  <c r="HC32" i="1" s="1"/>
  <c r="GX32" i="1" s="1"/>
  <c r="C33" i="1"/>
  <c r="D33" i="1"/>
  <c r="AC33" i="1"/>
  <c r="CQ33" i="1" s="1"/>
  <c r="P33" i="1" s="1"/>
  <c r="AE33" i="1"/>
  <c r="AF33" i="1"/>
  <c r="CT33" i="1" s="1"/>
  <c r="S33" i="1" s="1"/>
  <c r="J84" i="5" s="1"/>
  <c r="AG33" i="1"/>
  <c r="CU33" i="1" s="1"/>
  <c r="T33" i="1" s="1"/>
  <c r="AH33" i="1"/>
  <c r="AI33" i="1"/>
  <c r="AJ33" i="1"/>
  <c r="CX33" i="1" s="1"/>
  <c r="W33" i="1" s="1"/>
  <c r="CR33" i="1"/>
  <c r="Q33" i="1" s="1"/>
  <c r="J85" i="5" s="1"/>
  <c r="CS33" i="1"/>
  <c r="CV33" i="1"/>
  <c r="U33" i="1" s="1"/>
  <c r="K91" i="5" s="1"/>
  <c r="CW33" i="1"/>
  <c r="V33" i="1" s="1"/>
  <c r="FR33" i="1"/>
  <c r="GL33" i="1"/>
  <c r="GN33" i="1"/>
  <c r="GO33" i="1"/>
  <c r="GV33" i="1"/>
  <c r="HC33" i="1" s="1"/>
  <c r="GX33" i="1" s="1"/>
  <c r="C34" i="1"/>
  <c r="D34" i="1"/>
  <c r="I34" i="1"/>
  <c r="K34" i="1"/>
  <c r="AC34" i="1"/>
  <c r="CQ34" i="1" s="1"/>
  <c r="P34" i="1" s="1"/>
  <c r="J98" i="5" s="1"/>
  <c r="AE34" i="1"/>
  <c r="CR34" i="1" s="1"/>
  <c r="Q34" i="1" s="1"/>
  <c r="J96" i="5" s="1"/>
  <c r="AF34" i="1"/>
  <c r="AG34" i="1"/>
  <c r="AH34" i="1"/>
  <c r="CV34" i="1" s="1"/>
  <c r="U34" i="1" s="1"/>
  <c r="K102" i="5" s="1"/>
  <c r="AI34" i="1"/>
  <c r="CW34" i="1" s="1"/>
  <c r="V34" i="1" s="1"/>
  <c r="AJ34" i="1"/>
  <c r="CX34" i="1" s="1"/>
  <c r="W34" i="1" s="1"/>
  <c r="CS34" i="1"/>
  <c r="CU34" i="1"/>
  <c r="T34" i="1" s="1"/>
  <c r="FR34" i="1"/>
  <c r="GL34" i="1"/>
  <c r="GN34" i="1"/>
  <c r="GO34" i="1"/>
  <c r="GV34" i="1"/>
  <c r="HC34" i="1" s="1"/>
  <c r="GX34" i="1" s="1"/>
  <c r="C35" i="1"/>
  <c r="D35" i="1"/>
  <c r="I35" i="1"/>
  <c r="K35" i="1"/>
  <c r="AC35" i="1"/>
  <c r="AE35" i="1"/>
  <c r="AF35" i="1"/>
  <c r="CT35" i="1" s="1"/>
  <c r="S35" i="1" s="1"/>
  <c r="J106" i="5" s="1"/>
  <c r="AG35" i="1"/>
  <c r="CU35" i="1" s="1"/>
  <c r="T35" i="1" s="1"/>
  <c r="AH35" i="1"/>
  <c r="CV35" i="1" s="1"/>
  <c r="U35" i="1" s="1"/>
  <c r="K113" i="5" s="1"/>
  <c r="AI35" i="1"/>
  <c r="CW35" i="1" s="1"/>
  <c r="AJ35" i="1"/>
  <c r="CQ35" i="1"/>
  <c r="P35" i="1" s="1"/>
  <c r="CX35" i="1"/>
  <c r="W35" i="1" s="1"/>
  <c r="FR35" i="1"/>
  <c r="GL35" i="1"/>
  <c r="GN35" i="1"/>
  <c r="GO35" i="1"/>
  <c r="GV35" i="1"/>
  <c r="HC35" i="1" s="1"/>
  <c r="GX35" i="1" s="1"/>
  <c r="C36" i="1"/>
  <c r="D36" i="1"/>
  <c r="I36" i="1"/>
  <c r="K36" i="1"/>
  <c r="AC36" i="1"/>
  <c r="AE36" i="1"/>
  <c r="U115" i="5" s="1"/>
  <c r="AF36" i="1"/>
  <c r="CT36" i="1" s="1"/>
  <c r="S36" i="1" s="1"/>
  <c r="J117" i="5" s="1"/>
  <c r="AG36" i="1"/>
  <c r="AH36" i="1"/>
  <c r="CV36" i="1" s="1"/>
  <c r="AI36" i="1"/>
  <c r="CW36" i="1" s="1"/>
  <c r="V36" i="1" s="1"/>
  <c r="AJ36" i="1"/>
  <c r="CX36" i="1" s="1"/>
  <c r="W36" i="1" s="1"/>
  <c r="CQ36" i="1"/>
  <c r="CS36" i="1"/>
  <c r="CU36" i="1"/>
  <c r="FR36" i="1"/>
  <c r="GL36" i="1"/>
  <c r="GN36" i="1"/>
  <c r="GO36" i="1"/>
  <c r="GV36" i="1"/>
  <c r="HC36" i="1" s="1"/>
  <c r="GX36" i="1" s="1"/>
  <c r="I37" i="1"/>
  <c r="AC37" i="1"/>
  <c r="AE37" i="1"/>
  <c r="AF37" i="1"/>
  <c r="AG37" i="1"/>
  <c r="CU37" i="1" s="1"/>
  <c r="T37" i="1" s="1"/>
  <c r="AH37" i="1"/>
  <c r="CV37" i="1" s="1"/>
  <c r="U37" i="1" s="1"/>
  <c r="AI37" i="1"/>
  <c r="CW37" i="1" s="1"/>
  <c r="AJ37" i="1"/>
  <c r="CX37" i="1" s="1"/>
  <c r="CQ37" i="1"/>
  <c r="P37" i="1" s="1"/>
  <c r="CS37" i="1"/>
  <c r="FR37" i="1"/>
  <c r="GL37" i="1"/>
  <c r="GN37" i="1"/>
  <c r="GO37" i="1"/>
  <c r="GV37" i="1"/>
  <c r="HC37" i="1" s="1"/>
  <c r="C38" i="1"/>
  <c r="D38" i="1"/>
  <c r="I38" i="1"/>
  <c r="K38" i="1"/>
  <c r="AC38" i="1"/>
  <c r="CQ38" i="1" s="1"/>
  <c r="P38" i="1" s="1"/>
  <c r="J132" i="5" s="1"/>
  <c r="AE38" i="1"/>
  <c r="AF38" i="1"/>
  <c r="AG38" i="1"/>
  <c r="CU38" i="1" s="1"/>
  <c r="T38" i="1" s="1"/>
  <c r="AH38" i="1"/>
  <c r="CV38" i="1" s="1"/>
  <c r="U38" i="1" s="1"/>
  <c r="K136" i="5" s="1"/>
  <c r="AI38" i="1"/>
  <c r="CW38" i="1" s="1"/>
  <c r="V38" i="1" s="1"/>
  <c r="AJ38" i="1"/>
  <c r="CT38" i="1"/>
  <c r="S38" i="1" s="1"/>
  <c r="J129" i="5" s="1"/>
  <c r="CX38" i="1"/>
  <c r="W38" i="1" s="1"/>
  <c r="FR38" i="1"/>
  <c r="GL38" i="1"/>
  <c r="GN38" i="1"/>
  <c r="GO38" i="1"/>
  <c r="GV38" i="1"/>
  <c r="HC38" i="1" s="1"/>
  <c r="GX38" i="1" s="1"/>
  <c r="C39" i="1"/>
  <c r="D39" i="1"/>
  <c r="I39" i="1"/>
  <c r="K39" i="1"/>
  <c r="AC39" i="1"/>
  <c r="AD39" i="1"/>
  <c r="AE39" i="1"/>
  <c r="U138" i="5" s="1"/>
  <c r="AF39" i="1"/>
  <c r="AG39" i="1"/>
  <c r="AH39" i="1"/>
  <c r="CV39" i="1" s="1"/>
  <c r="U39" i="1" s="1"/>
  <c r="K144" i="5" s="1"/>
  <c r="AI39" i="1"/>
  <c r="AJ39" i="1"/>
  <c r="CX39" i="1" s="1"/>
  <c r="W39" i="1" s="1"/>
  <c r="CQ39" i="1"/>
  <c r="P39" i="1" s="1"/>
  <c r="J141" i="5" s="1"/>
  <c r="CR39" i="1"/>
  <c r="Q39" i="1" s="1"/>
  <c r="CS39" i="1"/>
  <c r="CT39" i="1"/>
  <c r="S39" i="1" s="1"/>
  <c r="J140" i="5" s="1"/>
  <c r="CU39" i="1"/>
  <c r="T39" i="1" s="1"/>
  <c r="CW39" i="1"/>
  <c r="V39" i="1" s="1"/>
  <c r="FR39" i="1"/>
  <c r="GL39" i="1"/>
  <c r="GN39" i="1"/>
  <c r="GO39" i="1"/>
  <c r="GV39" i="1"/>
  <c r="HC39" i="1" s="1"/>
  <c r="GX39" i="1" s="1"/>
  <c r="B41" i="1"/>
  <c r="B26" i="1" s="1"/>
  <c r="C41" i="1"/>
  <c r="C26" i="1" s="1"/>
  <c r="D41" i="1"/>
  <c r="D26" i="1" s="1"/>
  <c r="F41" i="1"/>
  <c r="F26" i="1" s="1"/>
  <c r="G41" i="1"/>
  <c r="BX41" i="1"/>
  <c r="AO41" i="1" s="1"/>
  <c r="AO26" i="1" s="1"/>
  <c r="CC41" i="1"/>
  <c r="CC26" i="1" s="1"/>
  <c r="CK41" i="1"/>
  <c r="CK26" i="1" s="1"/>
  <c r="CL41" i="1"/>
  <c r="CM41" i="1"/>
  <c r="D71" i="1"/>
  <c r="E73" i="1"/>
  <c r="Z73" i="1"/>
  <c r="AA73" i="1"/>
  <c r="AM73" i="1"/>
  <c r="AN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C75" i="1"/>
  <c r="D75" i="1"/>
  <c r="I75" i="1"/>
  <c r="K75" i="1"/>
  <c r="AC75" i="1"/>
  <c r="AE75" i="1"/>
  <c r="AF75" i="1"/>
  <c r="CT75" i="1" s="1"/>
  <c r="S75" i="1" s="1"/>
  <c r="J153" i="5" s="1"/>
  <c r="AG75" i="1"/>
  <c r="CU75" i="1" s="1"/>
  <c r="AH75" i="1"/>
  <c r="CV75" i="1" s="1"/>
  <c r="AI75" i="1"/>
  <c r="CW75" i="1" s="1"/>
  <c r="AJ75" i="1"/>
  <c r="CX75" i="1" s="1"/>
  <c r="W75" i="1" s="1"/>
  <c r="FR75" i="1"/>
  <c r="GL75" i="1"/>
  <c r="GN75" i="1"/>
  <c r="GO75" i="1"/>
  <c r="GV75" i="1"/>
  <c r="HC75" i="1" s="1"/>
  <c r="GX75" i="1" s="1"/>
  <c r="C76" i="1"/>
  <c r="D76" i="1"/>
  <c r="I76" i="1"/>
  <c r="K76" i="1"/>
  <c r="AC76" i="1"/>
  <c r="CQ76" i="1" s="1"/>
  <c r="AE76" i="1"/>
  <c r="CR76" i="1" s="1"/>
  <c r="Q76" i="1" s="1"/>
  <c r="J164" i="5" s="1"/>
  <c r="AF76" i="1"/>
  <c r="AG76" i="1"/>
  <c r="CU76" i="1" s="1"/>
  <c r="AH76" i="1"/>
  <c r="AI76" i="1"/>
  <c r="CW76" i="1" s="1"/>
  <c r="AJ76" i="1"/>
  <c r="CX76" i="1" s="1"/>
  <c r="W76" i="1" s="1"/>
  <c r="CV76" i="1"/>
  <c r="FR76" i="1"/>
  <c r="GL76" i="1"/>
  <c r="GN76" i="1"/>
  <c r="GO76" i="1"/>
  <c r="GV76" i="1"/>
  <c r="HC76" i="1" s="1"/>
  <c r="C77" i="1"/>
  <c r="D77" i="1"/>
  <c r="I77" i="1"/>
  <c r="K77" i="1"/>
  <c r="AC77" i="1"/>
  <c r="CQ77" i="1" s="1"/>
  <c r="P77" i="1" s="1"/>
  <c r="J174" i="5" s="1"/>
  <c r="AE77" i="1"/>
  <c r="AF77" i="1"/>
  <c r="AG77" i="1"/>
  <c r="AH77" i="1"/>
  <c r="CV77" i="1" s="1"/>
  <c r="U77" i="1" s="1"/>
  <c r="K177" i="5" s="1"/>
  <c r="AI77" i="1"/>
  <c r="CW77" i="1" s="1"/>
  <c r="AJ77" i="1"/>
  <c r="CX77" i="1" s="1"/>
  <c r="W77" i="1" s="1"/>
  <c r="CU77" i="1"/>
  <c r="T77" i="1" s="1"/>
  <c r="FR77" i="1"/>
  <c r="GL77" i="1"/>
  <c r="GN77" i="1"/>
  <c r="CB85" i="1" s="1"/>
  <c r="CB73" i="1" s="1"/>
  <c r="GO77" i="1"/>
  <c r="GV77" i="1"/>
  <c r="HC77" i="1" s="1"/>
  <c r="GX77" i="1" s="1"/>
  <c r="C78" i="1"/>
  <c r="D78" i="1"/>
  <c r="I78" i="1"/>
  <c r="K78" i="1"/>
  <c r="AC78" i="1"/>
  <c r="CQ78" i="1" s="1"/>
  <c r="P78" i="1" s="1"/>
  <c r="J184" i="5" s="1"/>
  <c r="AD78" i="1"/>
  <c r="AE78" i="1"/>
  <c r="AF78" i="1"/>
  <c r="AG78" i="1"/>
  <c r="CU78" i="1" s="1"/>
  <c r="T78" i="1" s="1"/>
  <c r="AH78" i="1"/>
  <c r="CV78" i="1" s="1"/>
  <c r="U78" i="1" s="1"/>
  <c r="K188" i="5" s="1"/>
  <c r="AI78" i="1"/>
  <c r="CW78" i="1" s="1"/>
  <c r="V78" i="1" s="1"/>
  <c r="AJ78" i="1"/>
  <c r="CX78" i="1" s="1"/>
  <c r="W78" i="1" s="1"/>
  <c r="CR78" i="1"/>
  <c r="Q78" i="1" s="1"/>
  <c r="J182" i="5" s="1"/>
  <c r="FR78" i="1"/>
  <c r="GL78" i="1"/>
  <c r="GN78" i="1"/>
  <c r="GO78" i="1"/>
  <c r="GV78" i="1"/>
  <c r="HC78" i="1" s="1"/>
  <c r="GX78" i="1" s="1"/>
  <c r="C79" i="1"/>
  <c r="D79" i="1"/>
  <c r="I79" i="1"/>
  <c r="K79" i="1"/>
  <c r="AC79" i="1"/>
  <c r="AD79" i="1"/>
  <c r="AE79" i="1"/>
  <c r="AF79" i="1"/>
  <c r="AG79" i="1"/>
  <c r="CU79" i="1" s="1"/>
  <c r="AH79" i="1"/>
  <c r="CV79" i="1" s="1"/>
  <c r="U79" i="1" s="1"/>
  <c r="K199" i="5" s="1"/>
  <c r="AI79" i="1"/>
  <c r="AJ79" i="1"/>
  <c r="CX79" i="1" s="1"/>
  <c r="W79" i="1" s="1"/>
  <c r="CR79" i="1"/>
  <c r="CS79" i="1"/>
  <c r="CW79" i="1"/>
  <c r="V79" i="1" s="1"/>
  <c r="FR79" i="1"/>
  <c r="GL79" i="1"/>
  <c r="GN79" i="1"/>
  <c r="GO79" i="1"/>
  <c r="GV79" i="1"/>
  <c r="HC79" i="1" s="1"/>
  <c r="GX79" i="1" s="1"/>
  <c r="C80" i="1"/>
  <c r="D80" i="1"/>
  <c r="I80" i="1"/>
  <c r="K80" i="1"/>
  <c r="AC80" i="1"/>
  <c r="CQ80" i="1" s="1"/>
  <c r="P80" i="1" s="1"/>
  <c r="AE80" i="1"/>
  <c r="AF80" i="1"/>
  <c r="AG80" i="1"/>
  <c r="CU80" i="1" s="1"/>
  <c r="AH80" i="1"/>
  <c r="CV80" i="1" s="1"/>
  <c r="U80" i="1" s="1"/>
  <c r="K207" i="5" s="1"/>
  <c r="AI80" i="1"/>
  <c r="CW80" i="1" s="1"/>
  <c r="V80" i="1" s="1"/>
  <c r="AJ80" i="1"/>
  <c r="CX80" i="1" s="1"/>
  <c r="W80" i="1" s="1"/>
  <c r="FR80" i="1"/>
  <c r="GL80" i="1"/>
  <c r="GN80" i="1"/>
  <c r="GO80" i="1"/>
  <c r="GV80" i="1"/>
  <c r="HC80" i="1" s="1"/>
  <c r="GX80" i="1"/>
  <c r="AC81" i="1"/>
  <c r="AE81" i="1"/>
  <c r="AF81" i="1"/>
  <c r="CT81" i="1" s="1"/>
  <c r="AG81" i="1"/>
  <c r="CU81" i="1" s="1"/>
  <c r="AH81" i="1"/>
  <c r="AI81" i="1"/>
  <c r="CW81" i="1" s="1"/>
  <c r="AJ81" i="1"/>
  <c r="CX81" i="1" s="1"/>
  <c r="CQ81" i="1"/>
  <c r="CV81" i="1"/>
  <c r="FR81" i="1"/>
  <c r="GL81" i="1"/>
  <c r="GN81" i="1"/>
  <c r="GO81" i="1"/>
  <c r="GV81" i="1"/>
  <c r="HC81" i="1" s="1"/>
  <c r="C82" i="1"/>
  <c r="D82" i="1"/>
  <c r="I82" i="1"/>
  <c r="K82" i="1"/>
  <c r="AC82" i="1"/>
  <c r="AE82" i="1"/>
  <c r="CS82" i="1" s="1"/>
  <c r="AF82" i="1"/>
  <c r="AG82" i="1"/>
  <c r="AH82" i="1"/>
  <c r="CV82" i="1" s="1"/>
  <c r="AI82" i="1"/>
  <c r="CW82" i="1" s="1"/>
  <c r="AJ82" i="1"/>
  <c r="CX82" i="1" s="1"/>
  <c r="W82" i="1" s="1"/>
  <c r="CQ82" i="1"/>
  <c r="CU82" i="1"/>
  <c r="T82" i="1" s="1"/>
  <c r="FR82" i="1"/>
  <c r="GL82" i="1"/>
  <c r="GN82" i="1"/>
  <c r="GO82" i="1"/>
  <c r="GV82" i="1"/>
  <c r="HC82" i="1" s="1"/>
  <c r="C83" i="1"/>
  <c r="D83" i="1"/>
  <c r="I83" i="1"/>
  <c r="K83" i="1"/>
  <c r="AC83" i="1"/>
  <c r="CQ83" i="1" s="1"/>
  <c r="P83" i="1" s="1"/>
  <c r="J225" i="5" s="1"/>
  <c r="AE83" i="1"/>
  <c r="AF83" i="1"/>
  <c r="CT83" i="1" s="1"/>
  <c r="AG83" i="1"/>
  <c r="CU83" i="1" s="1"/>
  <c r="T83" i="1" s="1"/>
  <c r="AH83" i="1"/>
  <c r="CV83" i="1" s="1"/>
  <c r="AI83" i="1"/>
  <c r="CW83" i="1" s="1"/>
  <c r="AJ83" i="1"/>
  <c r="CS83" i="1"/>
  <c r="CX83" i="1"/>
  <c r="W83" i="1" s="1"/>
  <c r="FR83" i="1"/>
  <c r="GL83" i="1"/>
  <c r="GN83" i="1"/>
  <c r="GO83" i="1"/>
  <c r="GV83" i="1"/>
  <c r="HC83" i="1" s="1"/>
  <c r="GX83" i="1" s="1"/>
  <c r="B85" i="1"/>
  <c r="B73" i="1" s="1"/>
  <c r="C85" i="1"/>
  <c r="C73" i="1" s="1"/>
  <c r="D85" i="1"/>
  <c r="D73" i="1" s="1"/>
  <c r="F85" i="1"/>
  <c r="F73" i="1" s="1"/>
  <c r="G85" i="1"/>
  <c r="BX85" i="1"/>
  <c r="BX73" i="1" s="1"/>
  <c r="BY85" i="1"/>
  <c r="BY73" i="1" s="1"/>
  <c r="CK85" i="1"/>
  <c r="CL85" i="1"/>
  <c r="CL73" i="1" s="1"/>
  <c r="CM85" i="1"/>
  <c r="CM73" i="1" s="1"/>
  <c r="D115" i="1"/>
  <c r="E117" i="1"/>
  <c r="Z117" i="1"/>
  <c r="AA117" i="1"/>
  <c r="AM117" i="1"/>
  <c r="AN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C119" i="1"/>
  <c r="D119" i="1"/>
  <c r="AC119" i="1"/>
  <c r="AE119" i="1"/>
  <c r="U236" i="5" s="1"/>
  <c r="AF119" i="1"/>
  <c r="AG119" i="1"/>
  <c r="CU119" i="1" s="1"/>
  <c r="T119" i="1" s="1"/>
  <c r="AH119" i="1"/>
  <c r="CV119" i="1" s="1"/>
  <c r="U119" i="1" s="1"/>
  <c r="AI119" i="1"/>
  <c r="CW119" i="1" s="1"/>
  <c r="V119" i="1" s="1"/>
  <c r="AJ119" i="1"/>
  <c r="CT119" i="1"/>
  <c r="S119" i="1" s="1"/>
  <c r="CX119" i="1"/>
  <c r="W119" i="1" s="1"/>
  <c r="FR119" i="1"/>
  <c r="GL119" i="1"/>
  <c r="GN119" i="1"/>
  <c r="GO119" i="1"/>
  <c r="GV119" i="1"/>
  <c r="HC119" i="1"/>
  <c r="GX119" i="1" s="1"/>
  <c r="C120" i="1"/>
  <c r="D120" i="1"/>
  <c r="AC120" i="1"/>
  <c r="CQ120" i="1" s="1"/>
  <c r="P120" i="1" s="1"/>
  <c r="AE120" i="1"/>
  <c r="AF120" i="1"/>
  <c r="AG120" i="1"/>
  <c r="CU120" i="1" s="1"/>
  <c r="T120" i="1" s="1"/>
  <c r="AH120" i="1"/>
  <c r="AI120" i="1"/>
  <c r="CW120" i="1" s="1"/>
  <c r="V120" i="1" s="1"/>
  <c r="AJ120" i="1"/>
  <c r="CX120" i="1" s="1"/>
  <c r="W120" i="1" s="1"/>
  <c r="CT120" i="1"/>
  <c r="S120" i="1" s="1"/>
  <c r="CZ120" i="1" s="1"/>
  <c r="Y120" i="1" s="1"/>
  <c r="T241" i="5" s="1"/>
  <c r="CV120" i="1"/>
  <c r="U120" i="1" s="1"/>
  <c r="FR120" i="1"/>
  <c r="GL120" i="1"/>
  <c r="GN120" i="1"/>
  <c r="GO120" i="1"/>
  <c r="GV120" i="1"/>
  <c r="HC120" i="1" s="1"/>
  <c r="GX120" i="1" s="1"/>
  <c r="C121" i="1"/>
  <c r="D121" i="1"/>
  <c r="AC121" i="1"/>
  <c r="CQ121" i="1" s="1"/>
  <c r="P121" i="1" s="1"/>
  <c r="CP121" i="1" s="1"/>
  <c r="O121" i="1" s="1"/>
  <c r="AE121" i="1"/>
  <c r="AF121" i="1"/>
  <c r="AG121" i="1"/>
  <c r="CU121" i="1" s="1"/>
  <c r="T121" i="1" s="1"/>
  <c r="AH121" i="1"/>
  <c r="CV121" i="1" s="1"/>
  <c r="U121" i="1" s="1"/>
  <c r="AI121" i="1"/>
  <c r="AJ121" i="1"/>
  <c r="CX121" i="1" s="1"/>
  <c r="W121" i="1" s="1"/>
  <c r="CR121" i="1"/>
  <c r="Q121" i="1" s="1"/>
  <c r="J246" i="5" s="1"/>
  <c r="I248" i="5" s="1"/>
  <c r="CS121" i="1"/>
  <c r="V245" i="5" s="1"/>
  <c r="CT121" i="1"/>
  <c r="S121" i="1" s="1"/>
  <c r="CW121" i="1"/>
  <c r="V121" i="1" s="1"/>
  <c r="FR121" i="1"/>
  <c r="GL121" i="1"/>
  <c r="GN121" i="1"/>
  <c r="GO121" i="1"/>
  <c r="GV121" i="1"/>
  <c r="HC121" i="1" s="1"/>
  <c r="GX121" i="1" s="1"/>
  <c r="C122" i="1"/>
  <c r="D122" i="1"/>
  <c r="AC122" i="1"/>
  <c r="AD122" i="1"/>
  <c r="AE122" i="1"/>
  <c r="AF122" i="1"/>
  <c r="AG122" i="1"/>
  <c r="CU122" i="1" s="1"/>
  <c r="T122" i="1" s="1"/>
  <c r="AH122" i="1"/>
  <c r="CV122" i="1" s="1"/>
  <c r="U122" i="1" s="1"/>
  <c r="AI122" i="1"/>
  <c r="CW122" i="1" s="1"/>
  <c r="V122" i="1" s="1"/>
  <c r="AJ122" i="1"/>
  <c r="CX122" i="1" s="1"/>
  <c r="W122" i="1" s="1"/>
  <c r="CR122" i="1"/>
  <c r="Q122" i="1" s="1"/>
  <c r="J250" i="5" s="1"/>
  <c r="CT122" i="1"/>
  <c r="S122" i="1" s="1"/>
  <c r="FR122" i="1"/>
  <c r="GL122" i="1"/>
  <c r="BZ126" i="1" s="1"/>
  <c r="BZ117" i="1" s="1"/>
  <c r="GN122" i="1"/>
  <c r="GO122" i="1"/>
  <c r="GV122" i="1"/>
  <c r="HC122" i="1" s="1"/>
  <c r="GX122" i="1" s="1"/>
  <c r="C123" i="1"/>
  <c r="D123" i="1"/>
  <c r="AC123" i="1"/>
  <c r="CQ123" i="1" s="1"/>
  <c r="P123" i="1" s="1"/>
  <c r="AE123" i="1"/>
  <c r="U254" i="5" s="1"/>
  <c r="AF123" i="1"/>
  <c r="AG123" i="1"/>
  <c r="CU123" i="1" s="1"/>
  <c r="T123" i="1" s="1"/>
  <c r="AH123" i="1"/>
  <c r="CV123" i="1" s="1"/>
  <c r="U123" i="1" s="1"/>
  <c r="AI123" i="1"/>
  <c r="CW123" i="1" s="1"/>
  <c r="V123" i="1" s="1"/>
  <c r="AJ123" i="1"/>
  <c r="CX123" i="1" s="1"/>
  <c r="W123" i="1" s="1"/>
  <c r="FR123" i="1"/>
  <c r="GL123" i="1"/>
  <c r="GN123" i="1"/>
  <c r="GO123" i="1"/>
  <c r="GV123" i="1"/>
  <c r="HC123" i="1"/>
  <c r="GX123" i="1" s="1"/>
  <c r="C124" i="1"/>
  <c r="D124" i="1"/>
  <c r="AC124" i="1"/>
  <c r="AD124" i="1"/>
  <c r="AE124" i="1"/>
  <c r="AF124" i="1"/>
  <c r="AG124" i="1"/>
  <c r="CU124" i="1" s="1"/>
  <c r="T124" i="1" s="1"/>
  <c r="AH124" i="1"/>
  <c r="CV124" i="1" s="1"/>
  <c r="U124" i="1" s="1"/>
  <c r="AI124" i="1"/>
  <c r="CW124" i="1" s="1"/>
  <c r="V124" i="1" s="1"/>
  <c r="AJ124" i="1"/>
  <c r="CX124" i="1" s="1"/>
  <c r="W124" i="1" s="1"/>
  <c r="CQ124" i="1"/>
  <c r="P124" i="1" s="1"/>
  <c r="CR124" i="1"/>
  <c r="Q124" i="1" s="1"/>
  <c r="J259" i="5" s="1"/>
  <c r="I261" i="5" s="1"/>
  <c r="P261" i="5" s="1"/>
  <c r="FR124" i="1"/>
  <c r="GL124" i="1"/>
  <c r="GN124" i="1"/>
  <c r="CB126" i="1" s="1"/>
  <c r="GO124" i="1"/>
  <c r="GV124" i="1"/>
  <c r="HC124" i="1" s="1"/>
  <c r="GX124" i="1" s="1"/>
  <c r="B126" i="1"/>
  <c r="B117" i="1" s="1"/>
  <c r="C126" i="1"/>
  <c r="C117" i="1" s="1"/>
  <c r="D126" i="1"/>
  <c r="D117" i="1" s="1"/>
  <c r="F126" i="1"/>
  <c r="F117" i="1" s="1"/>
  <c r="G126" i="1"/>
  <c r="BX126" i="1"/>
  <c r="BX117" i="1" s="1"/>
  <c r="CK126" i="1"/>
  <c r="CK117" i="1" s="1"/>
  <c r="CL126" i="1"/>
  <c r="BC126" i="1" s="1"/>
  <c r="CM126" i="1"/>
  <c r="CM117" i="1" s="1"/>
  <c r="D156" i="1"/>
  <c r="E158" i="1"/>
  <c r="Z158" i="1"/>
  <c r="AA158" i="1"/>
  <c r="AM158" i="1"/>
  <c r="AN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C160" i="1"/>
  <c r="D160" i="1"/>
  <c r="AC160" i="1"/>
  <c r="CQ160" i="1" s="1"/>
  <c r="P160" i="1" s="1"/>
  <c r="AE160" i="1"/>
  <c r="CR160" i="1" s="1"/>
  <c r="Q160" i="1" s="1"/>
  <c r="J268" i="5" s="1"/>
  <c r="I270" i="5" s="1"/>
  <c r="AF160" i="1"/>
  <c r="AG160" i="1"/>
  <c r="AH160" i="1"/>
  <c r="CV160" i="1" s="1"/>
  <c r="U160" i="1" s="1"/>
  <c r="AI160" i="1"/>
  <c r="AJ160" i="1"/>
  <c r="CX160" i="1" s="1"/>
  <c r="W160" i="1" s="1"/>
  <c r="CU160" i="1"/>
  <c r="T160" i="1" s="1"/>
  <c r="CW160" i="1"/>
  <c r="V160" i="1" s="1"/>
  <c r="FR160" i="1"/>
  <c r="GL160" i="1"/>
  <c r="GN160" i="1"/>
  <c r="GO160" i="1"/>
  <c r="CC163" i="1" s="1"/>
  <c r="AT163" i="1" s="1"/>
  <c r="GV160" i="1"/>
  <c r="HC160" i="1"/>
  <c r="GX160" i="1" s="1"/>
  <c r="C161" i="1"/>
  <c r="D161" i="1"/>
  <c r="AC161" i="1"/>
  <c r="AE161" i="1"/>
  <c r="AF161" i="1"/>
  <c r="CT161" i="1" s="1"/>
  <c r="S161" i="1" s="1"/>
  <c r="AG161" i="1"/>
  <c r="CU161" i="1" s="1"/>
  <c r="T161" i="1" s="1"/>
  <c r="AH161" i="1"/>
  <c r="CV161" i="1" s="1"/>
  <c r="U161" i="1" s="1"/>
  <c r="AI161" i="1"/>
  <c r="CW161" i="1" s="1"/>
  <c r="V161" i="1" s="1"/>
  <c r="AJ161" i="1"/>
  <c r="CX161" i="1" s="1"/>
  <c r="W161" i="1" s="1"/>
  <c r="CQ161" i="1"/>
  <c r="P161" i="1" s="1"/>
  <c r="FR161" i="1"/>
  <c r="BY163" i="1" s="1"/>
  <c r="AP163" i="1" s="1"/>
  <c r="GL161" i="1"/>
  <c r="BZ163" i="1" s="1"/>
  <c r="CG163" i="1" s="1"/>
  <c r="GN161" i="1"/>
  <c r="GO161" i="1"/>
  <c r="GV161" i="1"/>
  <c r="HC161" i="1" s="1"/>
  <c r="GX161" i="1" s="1"/>
  <c r="B163" i="1"/>
  <c r="B158" i="1" s="1"/>
  <c r="C163" i="1"/>
  <c r="C158" i="1" s="1"/>
  <c r="D163" i="1"/>
  <c r="D158" i="1" s="1"/>
  <c r="F163" i="1"/>
  <c r="F158" i="1" s="1"/>
  <c r="G163" i="1"/>
  <c r="BX163" i="1"/>
  <c r="AO163" i="1" s="1"/>
  <c r="CK163" i="1"/>
  <c r="BB163" i="1" s="1"/>
  <c r="CL163" i="1"/>
  <c r="BC163" i="1" s="1"/>
  <c r="CM163" i="1"/>
  <c r="CM158" i="1" s="1"/>
  <c r="D193" i="1"/>
  <c r="E195" i="1"/>
  <c r="Z195" i="1"/>
  <c r="AA195" i="1"/>
  <c r="AM195" i="1"/>
  <c r="AN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C197" i="1"/>
  <c r="D197" i="1"/>
  <c r="AC197" i="1"/>
  <c r="AE197" i="1"/>
  <c r="AD197" i="1" s="1"/>
  <c r="AF197" i="1"/>
  <c r="AG197" i="1"/>
  <c r="AH197" i="1"/>
  <c r="CV197" i="1" s="1"/>
  <c r="U197" i="1" s="1"/>
  <c r="AI197" i="1"/>
  <c r="CW197" i="1" s="1"/>
  <c r="V197" i="1" s="1"/>
  <c r="AJ197" i="1"/>
  <c r="CX197" i="1" s="1"/>
  <c r="W197" i="1" s="1"/>
  <c r="CQ197" i="1"/>
  <c r="P197" i="1" s="1"/>
  <c r="CU197" i="1"/>
  <c r="T197" i="1" s="1"/>
  <c r="FR197" i="1"/>
  <c r="GL197" i="1"/>
  <c r="GN197" i="1"/>
  <c r="GO197" i="1"/>
  <c r="CC201" i="1" s="1"/>
  <c r="CC195" i="1" s="1"/>
  <c r="GV197" i="1"/>
  <c r="HC197" i="1" s="1"/>
  <c r="GX197" i="1" s="1"/>
  <c r="C198" i="1"/>
  <c r="D198" i="1"/>
  <c r="AC198" i="1"/>
  <c r="CQ198" i="1" s="1"/>
  <c r="P198" i="1" s="1"/>
  <c r="AE198" i="1"/>
  <c r="CR198" i="1" s="1"/>
  <c r="Q198" i="1" s="1"/>
  <c r="J286" i="5" s="1"/>
  <c r="I288" i="5" s="1"/>
  <c r="P288" i="5" s="1"/>
  <c r="AF198" i="1"/>
  <c r="AG198" i="1"/>
  <c r="CU198" i="1" s="1"/>
  <c r="T198" i="1" s="1"/>
  <c r="AH198" i="1"/>
  <c r="AI198" i="1"/>
  <c r="CW198" i="1" s="1"/>
  <c r="V198" i="1" s="1"/>
  <c r="AJ198" i="1"/>
  <c r="CX198" i="1" s="1"/>
  <c r="W198" i="1" s="1"/>
  <c r="CV198" i="1"/>
  <c r="U198" i="1" s="1"/>
  <c r="FR198" i="1"/>
  <c r="GL198" i="1"/>
  <c r="GN198" i="1"/>
  <c r="GO198" i="1"/>
  <c r="GV198" i="1"/>
  <c r="HC198" i="1" s="1"/>
  <c r="GX198" i="1" s="1"/>
  <c r="C199" i="1"/>
  <c r="D199" i="1"/>
  <c r="AC199" i="1"/>
  <c r="AD199" i="1"/>
  <c r="AE199" i="1"/>
  <c r="AF199" i="1"/>
  <c r="AG199" i="1"/>
  <c r="CU199" i="1" s="1"/>
  <c r="T199" i="1" s="1"/>
  <c r="AG201" i="1" s="1"/>
  <c r="AH199" i="1"/>
  <c r="CV199" i="1" s="1"/>
  <c r="U199" i="1" s="1"/>
  <c r="AI199" i="1"/>
  <c r="CW199" i="1" s="1"/>
  <c r="V199" i="1" s="1"/>
  <c r="AJ199" i="1"/>
  <c r="CX199" i="1" s="1"/>
  <c r="W199" i="1" s="1"/>
  <c r="CQ199" i="1"/>
  <c r="P199" i="1" s="1"/>
  <c r="CR199" i="1"/>
  <c r="Q199" i="1" s="1"/>
  <c r="J290" i="5" s="1"/>
  <c r="I292" i="5" s="1"/>
  <c r="P292" i="5" s="1"/>
  <c r="FR199" i="1"/>
  <c r="GL199" i="1"/>
  <c r="GN199" i="1"/>
  <c r="GO199" i="1"/>
  <c r="GV199" i="1"/>
  <c r="HC199" i="1" s="1"/>
  <c r="GX199" i="1" s="1"/>
  <c r="B201" i="1"/>
  <c r="B195" i="1" s="1"/>
  <c r="C201" i="1"/>
  <c r="C195" i="1" s="1"/>
  <c r="D201" i="1"/>
  <c r="D195" i="1" s="1"/>
  <c r="F201" i="1"/>
  <c r="F195" i="1" s="1"/>
  <c r="G201" i="1"/>
  <c r="BX201" i="1"/>
  <c r="BX195" i="1" s="1"/>
  <c r="CK201" i="1"/>
  <c r="CK195" i="1" s="1"/>
  <c r="CL201" i="1"/>
  <c r="CL195" i="1" s="1"/>
  <c r="CM201" i="1"/>
  <c r="CM195" i="1" s="1"/>
  <c r="B231" i="1"/>
  <c r="B22" i="1" s="1"/>
  <c r="C231" i="1"/>
  <c r="C22" i="1" s="1"/>
  <c r="D231" i="1"/>
  <c r="D22" i="1" s="1"/>
  <c r="F231" i="1"/>
  <c r="F22" i="1" s="1"/>
  <c r="G231" i="1"/>
  <c r="B263" i="1"/>
  <c r="B18" i="1" s="1"/>
  <c r="C263" i="1"/>
  <c r="C18" i="1" s="1"/>
  <c r="D263" i="1"/>
  <c r="D18" i="1" s="1"/>
  <c r="F263" i="1"/>
  <c r="F18" i="1" s="1"/>
  <c r="G263" i="1"/>
  <c r="CY120" i="1" l="1"/>
  <c r="X120" i="1" s="1"/>
  <c r="R241" i="5" s="1"/>
  <c r="GX76" i="1"/>
  <c r="V76" i="1"/>
  <c r="U151" i="5"/>
  <c r="GX37" i="1"/>
  <c r="CR30" i="1"/>
  <c r="Q30" i="1" s="1"/>
  <c r="J56" i="5" s="1"/>
  <c r="T35" i="7"/>
  <c r="V75" i="1"/>
  <c r="CR197" i="1"/>
  <c r="Q197" i="1" s="1"/>
  <c r="J281" i="5" s="1"/>
  <c r="CS160" i="1"/>
  <c r="CC126" i="1"/>
  <c r="CR119" i="1"/>
  <c r="Q119" i="1" s="1"/>
  <c r="J237" i="5" s="1"/>
  <c r="CC85" i="1"/>
  <c r="CR82" i="1"/>
  <c r="Q82" i="1" s="1"/>
  <c r="J212" i="5" s="1"/>
  <c r="U82" i="1"/>
  <c r="K218" i="5" s="1"/>
  <c r="AD82" i="1"/>
  <c r="U76" i="1"/>
  <c r="K169" i="5" s="1"/>
  <c r="P76" i="1"/>
  <c r="V37" i="1"/>
  <c r="CR36" i="1"/>
  <c r="Q36" i="1" s="1"/>
  <c r="J118" i="5" s="1"/>
  <c r="U36" i="1"/>
  <c r="K125" i="5" s="1"/>
  <c r="AD36" i="1"/>
  <c r="V35" i="1"/>
  <c r="GX31" i="1"/>
  <c r="CJ41" i="1" s="1"/>
  <c r="V31" i="1"/>
  <c r="M19" i="7"/>
  <c r="F18" i="6" s="1"/>
  <c r="T18" i="7"/>
  <c r="AJ201" i="1"/>
  <c r="AJ195" i="1" s="1"/>
  <c r="BZ201" i="1"/>
  <c r="BZ195" i="1" s="1"/>
  <c r="CR123" i="1"/>
  <c r="Q123" i="1" s="1"/>
  <c r="J255" i="5" s="1"/>
  <c r="I257" i="5" s="1"/>
  <c r="V83" i="1"/>
  <c r="U220" i="5"/>
  <c r="V77" i="1"/>
  <c r="T76" i="1"/>
  <c r="CR75" i="1"/>
  <c r="Q75" i="1" s="1"/>
  <c r="J154" i="5" s="1"/>
  <c r="T75" i="1"/>
  <c r="F45" i="1"/>
  <c r="CG41" i="1"/>
  <c r="CG26" i="1" s="1"/>
  <c r="T36" i="1"/>
  <c r="P36" i="1"/>
  <c r="J120" i="5" s="1"/>
  <c r="Q31" i="1"/>
  <c r="J66" i="5" s="1"/>
  <c r="M27" i="7"/>
  <c r="F33" i="6" s="1"/>
  <c r="O11" i="7"/>
  <c r="G22" i="1"/>
  <c r="A9" i="6" s="1"/>
  <c r="A297" i="5"/>
  <c r="Q289" i="5"/>
  <c r="S289" i="5"/>
  <c r="AD198" i="1"/>
  <c r="AB198" i="1" s="1"/>
  <c r="U285" i="5"/>
  <c r="AH201" i="1"/>
  <c r="CT197" i="1"/>
  <c r="S197" i="1" s="1"/>
  <c r="S280" i="5"/>
  <c r="Q280" i="5"/>
  <c r="AB197" i="1"/>
  <c r="G158" i="1"/>
  <c r="A40" i="6" s="1"/>
  <c r="A276" i="5"/>
  <c r="CS161" i="1"/>
  <c r="U271" i="5"/>
  <c r="G18" i="1"/>
  <c r="A4" i="6"/>
  <c r="G195" i="1"/>
  <c r="A41" i="6" s="1"/>
  <c r="A294" i="5"/>
  <c r="CT199" i="1"/>
  <c r="S199" i="1" s="1"/>
  <c r="CZ199" i="1" s="1"/>
  <c r="Y199" i="1" s="1"/>
  <c r="T289" i="5" s="1"/>
  <c r="CS199" i="1"/>
  <c r="U289" i="5"/>
  <c r="CB201" i="1"/>
  <c r="BY201" i="1"/>
  <c r="CS198" i="1"/>
  <c r="CT198" i="1"/>
  <c r="S198" i="1" s="1"/>
  <c r="Q285" i="5"/>
  <c r="S285" i="5"/>
  <c r="CS197" i="1"/>
  <c r="U280" i="5"/>
  <c r="CR161" i="1"/>
  <c r="Q161" i="1" s="1"/>
  <c r="J272" i="5" s="1"/>
  <c r="I274" i="5" s="1"/>
  <c r="S271" i="5"/>
  <c r="Q271" i="5"/>
  <c r="AD161" i="1"/>
  <c r="AB161" i="1" s="1"/>
  <c r="AI163" i="1"/>
  <c r="AG163" i="1"/>
  <c r="K270" i="5"/>
  <c r="P270" i="5"/>
  <c r="CT160" i="1"/>
  <c r="S160" i="1" s="1"/>
  <c r="S267" i="5"/>
  <c r="Q267" i="5"/>
  <c r="BX158" i="1"/>
  <c r="CT124" i="1"/>
  <c r="S124" i="1" s="1"/>
  <c r="S258" i="5"/>
  <c r="Q258" i="5"/>
  <c r="AB124" i="1"/>
  <c r="K257" i="5"/>
  <c r="P257" i="5"/>
  <c r="BY126" i="1"/>
  <c r="BY117" i="1" s="1"/>
  <c r="S249" i="5"/>
  <c r="Q249" i="5"/>
  <c r="K248" i="5"/>
  <c r="P248" i="5"/>
  <c r="S245" i="5"/>
  <c r="Q245" i="5"/>
  <c r="S241" i="5"/>
  <c r="Q241" i="5"/>
  <c r="R83" i="1"/>
  <c r="V220" i="5"/>
  <c r="J228" i="5" s="1"/>
  <c r="D42" i="8"/>
  <c r="I36" i="7"/>
  <c r="D35" i="6" s="1"/>
  <c r="E220" i="5"/>
  <c r="C221" i="5"/>
  <c r="BZ85" i="1"/>
  <c r="CG85" i="1" s="1"/>
  <c r="AB82" i="1"/>
  <c r="S209" i="5"/>
  <c r="Q209" i="5"/>
  <c r="I34" i="7"/>
  <c r="D41" i="8"/>
  <c r="I35" i="7"/>
  <c r="D30" i="6" s="1"/>
  <c r="I33" i="7"/>
  <c r="D32" i="6" s="1"/>
  <c r="E209" i="5"/>
  <c r="C210" i="5"/>
  <c r="CS81" i="1"/>
  <c r="P32" i="7"/>
  <c r="S32" i="7"/>
  <c r="CT80" i="1"/>
  <c r="S80" i="1" s="1"/>
  <c r="S201" i="5"/>
  <c r="Q201" i="5"/>
  <c r="D39" i="8"/>
  <c r="C202" i="5"/>
  <c r="E201" i="5"/>
  <c r="R79" i="1"/>
  <c r="V190" i="5"/>
  <c r="J198" i="5" s="1"/>
  <c r="Q190" i="5"/>
  <c r="S190" i="5"/>
  <c r="D38" i="8"/>
  <c r="I31" i="7"/>
  <c r="D29" i="6" s="1"/>
  <c r="I30" i="7"/>
  <c r="C191" i="5"/>
  <c r="E190" i="5"/>
  <c r="S179" i="5"/>
  <c r="Q179" i="5"/>
  <c r="AD77" i="1"/>
  <c r="AB77" i="1" s="1"/>
  <c r="U171" i="5"/>
  <c r="AD76" i="1"/>
  <c r="AB76" i="1" s="1"/>
  <c r="U161" i="5"/>
  <c r="D34" i="8"/>
  <c r="C152" i="5"/>
  <c r="E151" i="5"/>
  <c r="AP41" i="1"/>
  <c r="AP26" i="1" s="1"/>
  <c r="G26" i="1"/>
  <c r="A10" i="6" s="1"/>
  <c r="A147" i="5"/>
  <c r="S138" i="5"/>
  <c r="Q138" i="5"/>
  <c r="CS38" i="1"/>
  <c r="U127" i="5"/>
  <c r="R37" i="1"/>
  <c r="GK37" i="1" s="1"/>
  <c r="V121" i="5"/>
  <c r="AD37" i="1"/>
  <c r="AB37" i="1" s="1"/>
  <c r="S21" i="7"/>
  <c r="P21" i="7"/>
  <c r="U121" i="5"/>
  <c r="D30" i="8"/>
  <c r="I21" i="7"/>
  <c r="D23" i="6" s="1"/>
  <c r="E121" i="5"/>
  <c r="Q115" i="5"/>
  <c r="S115" i="5"/>
  <c r="J109" i="5"/>
  <c r="CS35" i="1"/>
  <c r="U104" i="5"/>
  <c r="R34" i="1"/>
  <c r="V93" i="5"/>
  <c r="J101" i="5" s="1"/>
  <c r="AD34" i="1"/>
  <c r="AB34" i="1" s="1"/>
  <c r="U93" i="5"/>
  <c r="R33" i="1"/>
  <c r="V83" i="5"/>
  <c r="J90" i="5" s="1"/>
  <c r="S83" i="5"/>
  <c r="Q83" i="5"/>
  <c r="CP33" i="1"/>
  <c r="O33" i="1" s="1"/>
  <c r="J87" i="5"/>
  <c r="CT32" i="1"/>
  <c r="S32" i="1" s="1"/>
  <c r="J74" i="5" s="1"/>
  <c r="S73" i="5"/>
  <c r="Q73" i="5"/>
  <c r="S63" i="5"/>
  <c r="Q63" i="5"/>
  <c r="D24" i="8"/>
  <c r="E63" i="5"/>
  <c r="C64" i="5"/>
  <c r="CT30" i="1"/>
  <c r="S30" i="1" s="1"/>
  <c r="J55" i="5" s="1"/>
  <c r="Q53" i="5"/>
  <c r="S53" i="5"/>
  <c r="D23" i="8"/>
  <c r="C54" i="5"/>
  <c r="E53" i="5"/>
  <c r="T29" i="1"/>
  <c r="AD29" i="1"/>
  <c r="U43" i="5"/>
  <c r="Q33" i="5"/>
  <c r="S33" i="5"/>
  <c r="R36" i="7"/>
  <c r="T36" i="7"/>
  <c r="T33" i="7"/>
  <c r="R33" i="7"/>
  <c r="T34" i="7"/>
  <c r="O34" i="7"/>
  <c r="M34" i="7"/>
  <c r="R31" i="7"/>
  <c r="T31" i="7"/>
  <c r="T28" i="7"/>
  <c r="R28" i="7"/>
  <c r="T29" i="7"/>
  <c r="O29" i="7"/>
  <c r="M29" i="7"/>
  <c r="F28" i="6" s="1"/>
  <c r="T25" i="7"/>
  <c r="O26" i="7"/>
  <c r="M26" i="7"/>
  <c r="F34" i="6" s="1"/>
  <c r="T22" i="7"/>
  <c r="R19" i="7"/>
  <c r="T19" i="7"/>
  <c r="T17" i="7"/>
  <c r="T15" i="7"/>
  <c r="R15" i="7"/>
  <c r="R16" i="7"/>
  <c r="T16" i="7"/>
  <c r="O16" i="7"/>
  <c r="M16" i="7"/>
  <c r="F12" i="6" s="1"/>
  <c r="R8" i="7"/>
  <c r="T8" i="7"/>
  <c r="M9" i="7"/>
  <c r="O9" i="7"/>
  <c r="M14" i="7"/>
  <c r="F19" i="6" s="1"/>
  <c r="R35" i="7"/>
  <c r="T30" i="7"/>
  <c r="O27" i="7"/>
  <c r="R17" i="7"/>
  <c r="R14" i="7"/>
  <c r="M11" i="7"/>
  <c r="K292" i="5"/>
  <c r="M36" i="7"/>
  <c r="F35" i="6" s="1"/>
  <c r="M31" i="7"/>
  <c r="F29" i="6" s="1"/>
  <c r="T26" i="7"/>
  <c r="T23" i="7"/>
  <c r="R18" i="7"/>
  <c r="M15" i="7"/>
  <c r="T10" i="7"/>
  <c r="K288" i="5"/>
  <c r="K261" i="5"/>
  <c r="R25" i="7"/>
  <c r="O19" i="7"/>
  <c r="CB163" i="1"/>
  <c r="R160" i="1"/>
  <c r="V267" i="5"/>
  <c r="AD160" i="1"/>
  <c r="AB160" i="1" s="1"/>
  <c r="U267" i="5"/>
  <c r="G117" i="1"/>
  <c r="A39" i="6" s="1"/>
  <c r="A263" i="5"/>
  <c r="CS124" i="1"/>
  <c r="U258" i="5"/>
  <c r="CS123" i="1"/>
  <c r="Q254" i="5"/>
  <c r="S254" i="5"/>
  <c r="AD123" i="1"/>
  <c r="AB123" i="1" s="1"/>
  <c r="CS122" i="1"/>
  <c r="U249" i="5"/>
  <c r="AB122" i="1"/>
  <c r="AD121" i="1"/>
  <c r="U245" i="5"/>
  <c r="AB121" i="1"/>
  <c r="R121" i="1"/>
  <c r="J247" i="5" s="1"/>
  <c r="CS120" i="1"/>
  <c r="U241" i="5"/>
  <c r="CS119" i="1"/>
  <c r="Q236" i="5"/>
  <c r="S236" i="5"/>
  <c r="AD119" i="1"/>
  <c r="AB119" i="1" s="1"/>
  <c r="G73" i="1"/>
  <c r="A26" i="6" s="1"/>
  <c r="A232" i="5"/>
  <c r="S83" i="1"/>
  <c r="J222" i="5" s="1"/>
  <c r="CR83" i="1"/>
  <c r="Q83" i="1" s="1"/>
  <c r="J223" i="5" s="1"/>
  <c r="U83" i="1"/>
  <c r="K229" i="5" s="1"/>
  <c r="S220" i="5"/>
  <c r="Q220" i="5"/>
  <c r="AD83" i="1"/>
  <c r="AB83" i="1" s="1"/>
  <c r="GX82" i="1"/>
  <c r="V82" i="1"/>
  <c r="R82" i="1"/>
  <c r="V209" i="5"/>
  <c r="J217" i="5" s="1"/>
  <c r="P82" i="1"/>
  <c r="J214" i="5" s="1"/>
  <c r="U209" i="5"/>
  <c r="CR81" i="1"/>
  <c r="K32" i="7"/>
  <c r="N32" i="7"/>
  <c r="AD80" i="1"/>
  <c r="AB80" i="1" s="1"/>
  <c r="U201" i="5"/>
  <c r="CT79" i="1"/>
  <c r="S79" i="1" s="1"/>
  <c r="J192" i="5" s="1"/>
  <c r="Q79" i="1"/>
  <c r="J193" i="5" s="1"/>
  <c r="T79" i="1"/>
  <c r="U190" i="5"/>
  <c r="CT78" i="1"/>
  <c r="S78" i="1" s="1"/>
  <c r="CS78" i="1"/>
  <c r="U179" i="5"/>
  <c r="I29" i="7"/>
  <c r="D28" i="6" s="1"/>
  <c r="D37" i="8"/>
  <c r="I28" i="7"/>
  <c r="D31" i="6" s="1"/>
  <c r="E179" i="5"/>
  <c r="C180" i="5"/>
  <c r="CR77" i="1"/>
  <c r="Q77" i="1" s="1"/>
  <c r="CT77" i="1"/>
  <c r="S77" i="1" s="1"/>
  <c r="J173" i="5" s="1"/>
  <c r="S171" i="5"/>
  <c r="Q171" i="5"/>
  <c r="D36" i="8"/>
  <c r="I27" i="7"/>
  <c r="D33" i="6" s="1"/>
  <c r="I26" i="7"/>
  <c r="D34" i="6" s="1"/>
  <c r="I25" i="7"/>
  <c r="D37" i="6" s="1"/>
  <c r="E171" i="5"/>
  <c r="C172" i="5"/>
  <c r="CS76" i="1"/>
  <c r="CT76" i="1"/>
  <c r="S76" i="1" s="1"/>
  <c r="J163" i="5" s="1"/>
  <c r="Q161" i="5"/>
  <c r="S161" i="5"/>
  <c r="D35" i="8"/>
  <c r="C162" i="5"/>
  <c r="E161" i="5"/>
  <c r="CS75" i="1"/>
  <c r="U75" i="1"/>
  <c r="K159" i="5" s="1"/>
  <c r="Q151" i="5"/>
  <c r="S151" i="5"/>
  <c r="AD75" i="1"/>
  <c r="AB75" i="1" s="1"/>
  <c r="CI41" i="1"/>
  <c r="R39" i="1"/>
  <c r="GK39" i="1" s="1"/>
  <c r="V138" i="5"/>
  <c r="AB39" i="1"/>
  <c r="D32" i="8"/>
  <c r="I23" i="7"/>
  <c r="D22" i="6" s="1"/>
  <c r="E138" i="5"/>
  <c r="C139" i="5"/>
  <c r="CR38" i="1"/>
  <c r="Q38" i="1" s="1"/>
  <c r="J130" i="5" s="1"/>
  <c r="Q127" i="5"/>
  <c r="S127" i="5"/>
  <c r="I22" i="7"/>
  <c r="D21" i="6" s="1"/>
  <c r="D31" i="8"/>
  <c r="C128" i="5"/>
  <c r="E127" i="5"/>
  <c r="CR37" i="1"/>
  <c r="Q37" i="1" s="1"/>
  <c r="CP37" i="1" s="1"/>
  <c r="O37" i="1" s="1"/>
  <c r="J121" i="5" s="1"/>
  <c r="W37" i="1"/>
  <c r="AJ41" i="1" s="1"/>
  <c r="CT37" i="1"/>
  <c r="S37" i="1" s="1"/>
  <c r="S121" i="5"/>
  <c r="Q121" i="5"/>
  <c r="N21" i="7"/>
  <c r="O21" i="7" s="1"/>
  <c r="K21" i="7"/>
  <c r="R36" i="1"/>
  <c r="V115" i="5"/>
  <c r="J124" i="5" s="1"/>
  <c r="AB36" i="1"/>
  <c r="I19" i="7"/>
  <c r="D18" i="6" s="1"/>
  <c r="D29" i="8"/>
  <c r="I20" i="7"/>
  <c r="D16" i="6" s="1"/>
  <c r="C116" i="5"/>
  <c r="E115" i="5"/>
  <c r="CR35" i="1"/>
  <c r="Q35" i="1" s="1"/>
  <c r="J107" i="5" s="1"/>
  <c r="S104" i="5"/>
  <c r="Q104" i="5"/>
  <c r="D28" i="8"/>
  <c r="I18" i="7"/>
  <c r="D13" i="6" s="1"/>
  <c r="I17" i="7"/>
  <c r="E104" i="5"/>
  <c r="C105" i="5"/>
  <c r="CT34" i="1"/>
  <c r="S34" i="1" s="1"/>
  <c r="J95" i="5" s="1"/>
  <c r="S93" i="5"/>
  <c r="Q93" i="5"/>
  <c r="I16" i="7"/>
  <c r="D12" i="6" s="1"/>
  <c r="D27" i="8"/>
  <c r="I15" i="7"/>
  <c r="D14" i="6" s="1"/>
  <c r="E93" i="5"/>
  <c r="C94" i="5"/>
  <c r="AD33" i="1"/>
  <c r="U83" i="5"/>
  <c r="R32" i="1"/>
  <c r="V73" i="5"/>
  <c r="J80" i="5" s="1"/>
  <c r="AD32" i="1"/>
  <c r="AB32" i="1" s="1"/>
  <c r="U73" i="5"/>
  <c r="CS31" i="1"/>
  <c r="U63" i="5"/>
  <c r="R30" i="1"/>
  <c r="V53" i="5"/>
  <c r="J60" i="5" s="1"/>
  <c r="AD30" i="1"/>
  <c r="AB30" i="1" s="1"/>
  <c r="U53" i="5"/>
  <c r="Q43" i="5"/>
  <c r="S43" i="5"/>
  <c r="D22" i="8"/>
  <c r="C44" i="5"/>
  <c r="E43" i="5"/>
  <c r="R28" i="1"/>
  <c r="J36" i="5" s="1"/>
  <c r="V33" i="5"/>
  <c r="J40" i="5" s="1"/>
  <c r="AD28" i="1"/>
  <c r="AB28" i="1" s="1"/>
  <c r="U33" i="5"/>
  <c r="M33" i="7"/>
  <c r="F32" i="6" s="1"/>
  <c r="O33" i="7"/>
  <c r="O35" i="7"/>
  <c r="O30" i="7"/>
  <c r="M28" i="7"/>
  <c r="O28" i="7"/>
  <c r="M25" i="7"/>
  <c r="F37" i="6" s="1"/>
  <c r="O25" i="7"/>
  <c r="R27" i="7"/>
  <c r="T27" i="7"/>
  <c r="O23" i="7"/>
  <c r="M23" i="7"/>
  <c r="F22" i="6" s="1"/>
  <c r="O22" i="7"/>
  <c r="M22" i="7"/>
  <c r="F21" i="6" s="1"/>
  <c r="T20" i="7"/>
  <c r="R20" i="7"/>
  <c r="M20" i="7"/>
  <c r="F16" i="6" s="1"/>
  <c r="O20" i="7"/>
  <c r="M17" i="7"/>
  <c r="O17" i="7"/>
  <c r="O18" i="7"/>
  <c r="M18" i="7"/>
  <c r="F13" i="6" s="1"/>
  <c r="M13" i="7"/>
  <c r="O13" i="7"/>
  <c r="O10" i="7"/>
  <c r="M10" i="7"/>
  <c r="F24" i="6" s="1"/>
  <c r="T11" i="7"/>
  <c r="R11" i="7"/>
  <c r="R12" i="7"/>
  <c r="T12" i="7"/>
  <c r="O12" i="7"/>
  <c r="M12" i="7"/>
  <c r="F17" i="6" s="1"/>
  <c r="O8" i="7"/>
  <c r="M8" i="7"/>
  <c r="F15" i="6" s="1"/>
  <c r="M35" i="7"/>
  <c r="F30" i="6" s="1"/>
  <c r="M30" i="7"/>
  <c r="R9" i="7"/>
  <c r="R34" i="7"/>
  <c r="R29" i="7"/>
  <c r="R13" i="7"/>
  <c r="R22" i="7"/>
  <c r="CP199" i="1"/>
  <c r="O199" i="1" s="1"/>
  <c r="AC201" i="1"/>
  <c r="CI201" i="1"/>
  <c r="BY195" i="1"/>
  <c r="AP201" i="1"/>
  <c r="AD201" i="1"/>
  <c r="AH195" i="1"/>
  <c r="U201" i="1"/>
  <c r="T201" i="1"/>
  <c r="AG195" i="1"/>
  <c r="CG201" i="1"/>
  <c r="AQ201" i="1"/>
  <c r="CB195" i="1"/>
  <c r="AS201" i="1"/>
  <c r="F176" i="1"/>
  <c r="BB158" i="1"/>
  <c r="F167" i="1"/>
  <c r="AO158" i="1"/>
  <c r="AI158" i="1"/>
  <c r="V163" i="1"/>
  <c r="AD163" i="1"/>
  <c r="CB117" i="1"/>
  <c r="AS126" i="1"/>
  <c r="AP126" i="1"/>
  <c r="CZ122" i="1"/>
  <c r="Y122" i="1" s="1"/>
  <c r="T249" i="5" s="1"/>
  <c r="CY122" i="1"/>
  <c r="X122" i="1" s="1"/>
  <c r="R249" i="5" s="1"/>
  <c r="AH126" i="1"/>
  <c r="AJ126" i="1"/>
  <c r="AG126" i="1"/>
  <c r="AF201" i="1"/>
  <c r="CY199" i="1"/>
  <c r="X199" i="1" s="1"/>
  <c r="AI201" i="1"/>
  <c r="AT158" i="1"/>
  <c r="F181" i="1"/>
  <c r="CY161" i="1"/>
  <c r="X161" i="1" s="1"/>
  <c r="R271" i="5" s="1"/>
  <c r="CZ161" i="1"/>
  <c r="Y161" i="1" s="1"/>
  <c r="T271" i="5" s="1"/>
  <c r="CB158" i="1"/>
  <c r="AS163" i="1"/>
  <c r="AH163" i="1"/>
  <c r="AC163" i="1"/>
  <c r="CP160" i="1"/>
  <c r="O160" i="1" s="1"/>
  <c r="BC117" i="1"/>
  <c r="F142" i="1"/>
  <c r="CP124" i="1"/>
  <c r="O124" i="1" s="1"/>
  <c r="BC201" i="1"/>
  <c r="CP198" i="1"/>
  <c r="O198" i="1" s="1"/>
  <c r="AX163" i="1"/>
  <c r="CG158" i="1"/>
  <c r="CJ163" i="1"/>
  <c r="AG158" i="1"/>
  <c r="T163" i="1"/>
  <c r="AJ163" i="1"/>
  <c r="CZ160" i="1"/>
  <c r="Y160" i="1" s="1"/>
  <c r="AF163" i="1"/>
  <c r="CY160" i="1"/>
  <c r="X160" i="1" s="1"/>
  <c r="CY124" i="1"/>
  <c r="X124" i="1" s="1"/>
  <c r="R258" i="5" s="1"/>
  <c r="CZ124" i="1"/>
  <c r="Y124" i="1" s="1"/>
  <c r="T258" i="5" s="1"/>
  <c r="CC117" i="1"/>
  <c r="AT126" i="1"/>
  <c r="AI126" i="1"/>
  <c r="CZ119" i="1"/>
  <c r="Y119" i="1" s="1"/>
  <c r="T236" i="5" s="1"/>
  <c r="CY119" i="1"/>
  <c r="X119" i="1" s="1"/>
  <c r="R236" i="5" s="1"/>
  <c r="BB201" i="1"/>
  <c r="AT201" i="1"/>
  <c r="AB199" i="1"/>
  <c r="CJ201" i="1"/>
  <c r="CP197" i="1"/>
  <c r="O197" i="1" s="1"/>
  <c r="BC158" i="1"/>
  <c r="F179" i="1"/>
  <c r="F172" i="1"/>
  <c r="AP158" i="1"/>
  <c r="CP161" i="1"/>
  <c r="O161" i="1" s="1"/>
  <c r="CJ126" i="1"/>
  <c r="AO201" i="1"/>
  <c r="CL158" i="1"/>
  <c r="BZ158" i="1"/>
  <c r="CG126" i="1"/>
  <c r="BB126" i="1"/>
  <c r="CR120" i="1"/>
  <c r="Q120" i="1" s="1"/>
  <c r="AD120" i="1"/>
  <c r="AB120" i="1" s="1"/>
  <c r="CP83" i="1"/>
  <c r="O83" i="1" s="1"/>
  <c r="BZ73" i="1"/>
  <c r="AQ85" i="1"/>
  <c r="BD201" i="1"/>
  <c r="CI163" i="1"/>
  <c r="BD163" i="1"/>
  <c r="CK158" i="1"/>
  <c r="CC158" i="1"/>
  <c r="BY158" i="1"/>
  <c r="AO126" i="1"/>
  <c r="CQ119" i="1"/>
  <c r="P119" i="1" s="1"/>
  <c r="CK73" i="1"/>
  <c r="BB85" i="1"/>
  <c r="CY83" i="1"/>
  <c r="X83" i="1" s="1"/>
  <c r="R220" i="5" s="1"/>
  <c r="J226" i="5" s="1"/>
  <c r="CZ83" i="1"/>
  <c r="Y83" i="1" s="1"/>
  <c r="T220" i="5" s="1"/>
  <c r="J227" i="5" s="1"/>
  <c r="AQ163" i="1"/>
  <c r="BD126" i="1"/>
  <c r="CT123" i="1"/>
  <c r="S123" i="1" s="1"/>
  <c r="CP123" i="1" s="1"/>
  <c r="O123" i="1" s="1"/>
  <c r="CQ122" i="1"/>
  <c r="P122" i="1" s="1"/>
  <c r="CP122" i="1" s="1"/>
  <c r="O122" i="1" s="1"/>
  <c r="CY121" i="1"/>
  <c r="X121" i="1" s="1"/>
  <c r="CZ121" i="1"/>
  <c r="Y121" i="1" s="1"/>
  <c r="T245" i="5" s="1"/>
  <c r="CL117" i="1"/>
  <c r="CG73" i="1"/>
  <c r="AX85" i="1"/>
  <c r="AQ126" i="1"/>
  <c r="CP120" i="1"/>
  <c r="O120" i="1" s="1"/>
  <c r="CC73" i="1"/>
  <c r="AT85" i="1"/>
  <c r="CI85" i="1"/>
  <c r="BD85" i="1"/>
  <c r="CS80" i="1"/>
  <c r="CX91" i="3"/>
  <c r="CX90" i="3"/>
  <c r="I81" i="1"/>
  <c r="U204" i="5" s="1"/>
  <c r="AB79" i="1"/>
  <c r="CQ79" i="1"/>
  <c r="P79" i="1" s="1"/>
  <c r="AB78" i="1"/>
  <c r="CY75" i="1"/>
  <c r="X75" i="1" s="1"/>
  <c r="R151" i="5" s="1"/>
  <c r="J156" i="5" s="1"/>
  <c r="CZ75" i="1"/>
  <c r="Y75" i="1" s="1"/>
  <c r="T151" i="5" s="1"/>
  <c r="J157" i="5" s="1"/>
  <c r="BC85" i="1"/>
  <c r="CX99" i="3"/>
  <c r="CX98" i="3"/>
  <c r="CX97" i="3"/>
  <c r="CX100" i="3"/>
  <c r="CT82" i="1"/>
  <c r="S82" i="1" s="1"/>
  <c r="J211" i="5" s="1"/>
  <c r="CZ80" i="1"/>
  <c r="Y80" i="1" s="1"/>
  <c r="T201" i="5" s="1"/>
  <c r="CR80" i="1"/>
  <c r="Q80" i="1" s="1"/>
  <c r="T80" i="1"/>
  <c r="CZ77" i="1"/>
  <c r="Y77" i="1" s="1"/>
  <c r="T171" i="5" s="1"/>
  <c r="J176" i="5" s="1"/>
  <c r="CZ76" i="1"/>
  <c r="Y76" i="1" s="1"/>
  <c r="T161" i="5" s="1"/>
  <c r="J167" i="5" s="1"/>
  <c r="CY76" i="1"/>
  <c r="X76" i="1" s="1"/>
  <c r="AP85" i="1"/>
  <c r="R81" i="1"/>
  <c r="GK81" i="1" s="1"/>
  <c r="CY79" i="1"/>
  <c r="X79" i="1" s="1"/>
  <c r="R190" i="5" s="1"/>
  <c r="J196" i="5" s="1"/>
  <c r="CZ79" i="1"/>
  <c r="Y79" i="1" s="1"/>
  <c r="T190" i="5" s="1"/>
  <c r="J197" i="5" s="1"/>
  <c r="AS85" i="1"/>
  <c r="AO85" i="1"/>
  <c r="AD81" i="1"/>
  <c r="AB81" i="1" s="1"/>
  <c r="CY78" i="1"/>
  <c r="X78" i="1" s="1"/>
  <c r="R179" i="5" s="1"/>
  <c r="J185" i="5" s="1"/>
  <c r="CP78" i="1"/>
  <c r="O78" i="1" s="1"/>
  <c r="CX95" i="3"/>
  <c r="CX94" i="3"/>
  <c r="CX93" i="3"/>
  <c r="CX92" i="3"/>
  <c r="CX96" i="3"/>
  <c r="CX83" i="3"/>
  <c r="CX87" i="3"/>
  <c r="CX82" i="3"/>
  <c r="CX86" i="3"/>
  <c r="CX81" i="3"/>
  <c r="CX85" i="3"/>
  <c r="CX89" i="3"/>
  <c r="CX84" i="3"/>
  <c r="CX88" i="3"/>
  <c r="CX63" i="3"/>
  <c r="CX65" i="3"/>
  <c r="CX64" i="3"/>
  <c r="AX41" i="1"/>
  <c r="CP38" i="1"/>
  <c r="O38" i="1" s="1"/>
  <c r="CZ36" i="1"/>
  <c r="Y36" i="1" s="1"/>
  <c r="T115" i="5" s="1"/>
  <c r="CY36" i="1"/>
  <c r="X36" i="1" s="1"/>
  <c r="R115" i="5" s="1"/>
  <c r="CY35" i="1"/>
  <c r="X35" i="1" s="1"/>
  <c r="R104" i="5" s="1"/>
  <c r="J110" i="5" s="1"/>
  <c r="CZ35" i="1"/>
  <c r="Y35" i="1" s="1"/>
  <c r="T104" i="5" s="1"/>
  <c r="J111" i="5" s="1"/>
  <c r="CP34" i="1"/>
  <c r="O34" i="1" s="1"/>
  <c r="CX75" i="3"/>
  <c r="CX79" i="3"/>
  <c r="CX74" i="3"/>
  <c r="CX78" i="3"/>
  <c r="CX73" i="3"/>
  <c r="CX77" i="3"/>
  <c r="CX76" i="3"/>
  <c r="CX80" i="3"/>
  <c r="CS77" i="1"/>
  <c r="CQ75" i="1"/>
  <c r="P75" i="1" s="1"/>
  <c r="CM26" i="1"/>
  <c r="BD41" i="1"/>
  <c r="CI26" i="1"/>
  <c r="AZ41" i="1"/>
  <c r="AT41" i="1"/>
  <c r="CP39" i="1"/>
  <c r="O39" i="1" s="1"/>
  <c r="CY34" i="1"/>
  <c r="X34" i="1" s="1"/>
  <c r="R93" i="5" s="1"/>
  <c r="J99" i="5" s="1"/>
  <c r="CZ34" i="1"/>
  <c r="Y34" i="1" s="1"/>
  <c r="T93" i="5" s="1"/>
  <c r="J100" i="5" s="1"/>
  <c r="CY33" i="1"/>
  <c r="X33" i="1" s="1"/>
  <c r="R83" i="5" s="1"/>
  <c r="J88" i="5" s="1"/>
  <c r="CZ33" i="1"/>
  <c r="Y33" i="1" s="1"/>
  <c r="T83" i="5" s="1"/>
  <c r="J89" i="5" s="1"/>
  <c r="CY31" i="1"/>
  <c r="X31" i="1" s="1"/>
  <c r="R63" i="5" s="1"/>
  <c r="J68" i="5" s="1"/>
  <c r="CZ31" i="1"/>
  <c r="Y31" i="1" s="1"/>
  <c r="T63" i="5" s="1"/>
  <c r="J69" i="5" s="1"/>
  <c r="CY29" i="1"/>
  <c r="X29" i="1" s="1"/>
  <c r="R43" i="5" s="1"/>
  <c r="J48" i="5" s="1"/>
  <c r="CZ29" i="1"/>
  <c r="Y29" i="1" s="1"/>
  <c r="T43" i="5" s="1"/>
  <c r="J49" i="5" s="1"/>
  <c r="AC41" i="1"/>
  <c r="CP29" i="1"/>
  <c r="O29" i="1" s="1"/>
  <c r="AH41" i="1"/>
  <c r="AI41" i="1"/>
  <c r="CX71" i="3"/>
  <c r="CX70" i="3"/>
  <c r="CX69" i="3"/>
  <c r="CX72" i="3"/>
  <c r="CL26" i="1"/>
  <c r="BC41" i="1"/>
  <c r="CZ39" i="1"/>
  <c r="Y39" i="1" s="1"/>
  <c r="T138" i="5" s="1"/>
  <c r="J143" i="5" s="1"/>
  <c r="CY39" i="1"/>
  <c r="X39" i="1" s="1"/>
  <c r="R138" i="5" s="1"/>
  <c r="J142" i="5" s="1"/>
  <c r="CY38" i="1"/>
  <c r="X38" i="1" s="1"/>
  <c r="R127" i="5" s="1"/>
  <c r="J133" i="5" s="1"/>
  <c r="CZ38" i="1"/>
  <c r="Y38" i="1" s="1"/>
  <c r="T127" i="5" s="1"/>
  <c r="J134" i="5" s="1"/>
  <c r="CY30" i="1"/>
  <c r="X30" i="1" s="1"/>
  <c r="R53" i="5" s="1"/>
  <c r="J58" i="5" s="1"/>
  <c r="AG41" i="1"/>
  <c r="CZ28" i="1"/>
  <c r="Y28" i="1" s="1"/>
  <c r="T33" i="5" s="1"/>
  <c r="J39" i="5" s="1"/>
  <c r="CY28" i="1"/>
  <c r="X28" i="1" s="1"/>
  <c r="R33" i="5" s="1"/>
  <c r="J38" i="5" s="1"/>
  <c r="CX67" i="3"/>
  <c r="CX66" i="3"/>
  <c r="CX68" i="3"/>
  <c r="CB26" i="1"/>
  <c r="AS41" i="1"/>
  <c r="BB41" i="1"/>
  <c r="CY37" i="1"/>
  <c r="X37" i="1" s="1"/>
  <c r="CZ37" i="1"/>
  <c r="Y37" i="1" s="1"/>
  <c r="T121" i="5" s="1"/>
  <c r="CP36" i="1"/>
  <c r="O36" i="1" s="1"/>
  <c r="CP31" i="1"/>
  <c r="O31" i="1" s="1"/>
  <c r="CX59" i="3"/>
  <c r="CX58" i="3"/>
  <c r="CX57" i="3"/>
  <c r="CX60" i="3"/>
  <c r="CX43" i="3"/>
  <c r="CX47" i="3"/>
  <c r="CX42" i="3"/>
  <c r="CX46" i="3"/>
  <c r="CX41" i="3"/>
  <c r="CX45" i="3"/>
  <c r="CX49" i="3"/>
  <c r="CX44" i="3"/>
  <c r="CX48" i="3"/>
  <c r="CX15" i="3"/>
  <c r="CX14" i="3"/>
  <c r="CX16" i="3"/>
  <c r="BX26" i="1"/>
  <c r="AD38" i="1"/>
  <c r="AB38" i="1" s="1"/>
  <c r="AD35" i="1"/>
  <c r="AB35" i="1" s="1"/>
  <c r="CX35" i="3"/>
  <c r="CX39" i="3"/>
  <c r="CX34" i="3"/>
  <c r="CX38" i="3"/>
  <c r="CX33" i="3"/>
  <c r="CX37" i="3"/>
  <c r="CX36" i="3"/>
  <c r="CX40" i="3"/>
  <c r="AB33" i="1"/>
  <c r="AD31" i="1"/>
  <c r="AB31" i="1" s="1"/>
  <c r="CX11" i="3"/>
  <c r="CX10" i="3"/>
  <c r="CX13" i="3"/>
  <c r="CX12" i="3"/>
  <c r="CS29" i="1"/>
  <c r="AB29" i="1"/>
  <c r="CX7" i="3"/>
  <c r="CX6" i="3"/>
  <c r="CX9" i="3"/>
  <c r="CX8" i="3"/>
  <c r="CR28" i="1"/>
  <c r="Q28" i="1" s="1"/>
  <c r="J35" i="5" s="1"/>
  <c r="AQ41" i="1"/>
  <c r="CX62" i="3"/>
  <c r="CX61" i="3"/>
  <c r="CX51" i="3"/>
  <c r="CX55" i="3"/>
  <c r="CX50" i="3"/>
  <c r="CX54" i="3"/>
  <c r="CX53" i="3"/>
  <c r="CX52" i="3"/>
  <c r="CX56" i="3"/>
  <c r="CJ26" i="1" l="1"/>
  <c r="BA41" i="1"/>
  <c r="CP32" i="1"/>
  <c r="O32" i="1" s="1"/>
  <c r="CP30" i="1"/>
  <c r="O30" i="1" s="1"/>
  <c r="GM30" i="1" s="1"/>
  <c r="CZ32" i="1"/>
  <c r="Y32" i="1" s="1"/>
  <c r="T73" i="5" s="1"/>
  <c r="J79" i="5" s="1"/>
  <c r="CY77" i="1"/>
  <c r="X77" i="1" s="1"/>
  <c r="R171" i="5" s="1"/>
  <c r="J175" i="5" s="1"/>
  <c r="CP77" i="1"/>
  <c r="O77" i="1" s="1"/>
  <c r="CI126" i="1"/>
  <c r="CI117" i="1" s="1"/>
  <c r="F31" i="6"/>
  <c r="I103" i="5"/>
  <c r="I92" i="5"/>
  <c r="F50" i="1"/>
  <c r="CY32" i="1"/>
  <c r="X32" i="1" s="1"/>
  <c r="R73" i="5" s="1"/>
  <c r="J78" i="5" s="1"/>
  <c r="W201" i="1"/>
  <c r="I42" i="5"/>
  <c r="GK28" i="1"/>
  <c r="AF41" i="1"/>
  <c r="CZ30" i="1"/>
  <c r="Y30" i="1" s="1"/>
  <c r="T53" i="5" s="1"/>
  <c r="J59" i="5" s="1"/>
  <c r="I145" i="5"/>
  <c r="P145" i="5" s="1"/>
  <c r="K42" i="5"/>
  <c r="P42" i="5"/>
  <c r="K145" i="5"/>
  <c r="P103" i="5"/>
  <c r="K103" i="5"/>
  <c r="W41" i="1"/>
  <c r="AJ26" i="1"/>
  <c r="K92" i="5"/>
  <c r="P92" i="5"/>
  <c r="GK36" i="1"/>
  <c r="J119" i="5"/>
  <c r="R78" i="1"/>
  <c r="V179" i="5"/>
  <c r="J187" i="5" s="1"/>
  <c r="S204" i="5"/>
  <c r="GK82" i="1"/>
  <c r="J213" i="5"/>
  <c r="R119" i="1"/>
  <c r="V236" i="5"/>
  <c r="J239" i="5" s="1"/>
  <c r="I240" i="5" s="1"/>
  <c r="R120" i="1"/>
  <c r="J243" i="5" s="1"/>
  <c r="V241" i="5"/>
  <c r="R123" i="1"/>
  <c r="J256" i="5" s="1"/>
  <c r="V254" i="5"/>
  <c r="R124" i="1"/>
  <c r="J260" i="5" s="1"/>
  <c r="V258" i="5"/>
  <c r="J269" i="5"/>
  <c r="F14" i="6"/>
  <c r="I82" i="5"/>
  <c r="GK33" i="1"/>
  <c r="GP33" i="1" s="1"/>
  <c r="J86" i="5"/>
  <c r="GK34" i="1"/>
  <c r="GM34" i="1" s="1"/>
  <c r="J97" i="5"/>
  <c r="R21" i="7"/>
  <c r="K274" i="5"/>
  <c r="P274" i="5"/>
  <c r="R197" i="1"/>
  <c r="V280" i="5"/>
  <c r="J283" i="5" s="1"/>
  <c r="I284" i="5" s="1"/>
  <c r="R198" i="1"/>
  <c r="J287" i="5" s="1"/>
  <c r="V285" i="5"/>
  <c r="R199" i="1"/>
  <c r="J291" i="5" s="1"/>
  <c r="V289" i="5"/>
  <c r="R161" i="1"/>
  <c r="J273" i="5" s="1"/>
  <c r="V271" i="5"/>
  <c r="CZ197" i="1"/>
  <c r="Y197" i="1" s="1"/>
  <c r="CY197" i="1"/>
  <c r="X197" i="1" s="1"/>
  <c r="R280" i="5" s="1"/>
  <c r="R29" i="1"/>
  <c r="V43" i="5"/>
  <c r="J50" i="5" s="1"/>
  <c r="I52" i="5" s="1"/>
  <c r="GP37" i="1"/>
  <c r="R121" i="5"/>
  <c r="J122" i="5" s="1"/>
  <c r="R77" i="1"/>
  <c r="V171" i="5"/>
  <c r="CP79" i="1"/>
  <c r="O79" i="1" s="1"/>
  <c r="J195" i="5"/>
  <c r="I200" i="5" s="1"/>
  <c r="S81" i="1"/>
  <c r="CY81" i="1" s="1"/>
  <c r="X81" i="1" s="1"/>
  <c r="D40" i="8"/>
  <c r="I32" i="7"/>
  <c r="D36" i="6" s="1"/>
  <c r="E204" i="5"/>
  <c r="GM121" i="1"/>
  <c r="R245" i="5"/>
  <c r="AD126" i="1"/>
  <c r="AD117" i="1" s="1"/>
  <c r="J242" i="5"/>
  <c r="I244" i="5" s="1"/>
  <c r="AK163" i="1"/>
  <c r="X163" i="1" s="1"/>
  <c r="R267" i="5"/>
  <c r="AL163" i="1"/>
  <c r="Y163" i="1" s="1"/>
  <c r="T267" i="5"/>
  <c r="I62" i="5"/>
  <c r="GM33" i="1"/>
  <c r="J123" i="5"/>
  <c r="GX81" i="1"/>
  <c r="CJ85" i="1" s="1"/>
  <c r="V81" i="1"/>
  <c r="AI85" i="1" s="1"/>
  <c r="V85" i="1" s="1"/>
  <c r="R161" i="5"/>
  <c r="J166" i="5" s="1"/>
  <c r="I170" i="5" s="1"/>
  <c r="I178" i="5"/>
  <c r="R80" i="1"/>
  <c r="GK80" i="1" s="1"/>
  <c r="V201" i="5"/>
  <c r="R289" i="5"/>
  <c r="GK30" i="1"/>
  <c r="J57" i="5"/>
  <c r="R31" i="1"/>
  <c r="V63" i="5"/>
  <c r="J70" i="5" s="1"/>
  <c r="I72" i="5" s="1"/>
  <c r="GK32" i="1"/>
  <c r="GM32" i="1" s="1"/>
  <c r="J76" i="5"/>
  <c r="E23" i="6"/>
  <c r="M21" i="7"/>
  <c r="F23" i="6" s="1"/>
  <c r="R75" i="1"/>
  <c r="V151" i="5"/>
  <c r="J158" i="5" s="1"/>
  <c r="I160" i="5" s="1"/>
  <c r="CP76" i="1"/>
  <c r="O76" i="1" s="1"/>
  <c r="R76" i="1"/>
  <c r="V161" i="5"/>
  <c r="J168" i="5" s="1"/>
  <c r="CZ78" i="1"/>
  <c r="Y78" i="1" s="1"/>
  <c r="T179" i="5" s="1"/>
  <c r="J186" i="5" s="1"/>
  <c r="J181" i="5"/>
  <c r="E36" i="6"/>
  <c r="Q204" i="5"/>
  <c r="I230" i="5"/>
  <c r="R122" i="1"/>
  <c r="V249" i="5"/>
  <c r="J252" i="5" s="1"/>
  <c r="I253" i="5" s="1"/>
  <c r="F20" i="6"/>
  <c r="R35" i="1"/>
  <c r="V104" i="5"/>
  <c r="J112" i="5" s="1"/>
  <c r="I114" i="5" s="1"/>
  <c r="CP35" i="1"/>
  <c r="O35" i="1" s="1"/>
  <c r="T21" i="7"/>
  <c r="R38" i="1"/>
  <c r="V127" i="5"/>
  <c r="J135" i="5" s="1"/>
  <c r="I137" i="5" s="1"/>
  <c r="GK79" i="1"/>
  <c r="J194" i="5"/>
  <c r="CY80" i="1"/>
  <c r="X80" i="1" s="1"/>
  <c r="R201" i="5" s="1"/>
  <c r="J203" i="5"/>
  <c r="T32" i="7"/>
  <c r="V204" i="5"/>
  <c r="GK83" i="1"/>
  <c r="GM83" i="1" s="1"/>
  <c r="J224" i="5"/>
  <c r="I276" i="5"/>
  <c r="CY198" i="1"/>
  <c r="X198" i="1" s="1"/>
  <c r="R285" i="5" s="1"/>
  <c r="CZ198" i="1"/>
  <c r="Y198" i="1" s="1"/>
  <c r="T285" i="5" s="1"/>
  <c r="CJ73" i="1"/>
  <c r="BA85" i="1"/>
  <c r="AI73" i="1"/>
  <c r="AQ26" i="1"/>
  <c r="F51" i="1"/>
  <c r="AQ231" i="1"/>
  <c r="GP32" i="1"/>
  <c r="AS26" i="1"/>
  <c r="F58" i="1"/>
  <c r="AS231" i="1"/>
  <c r="T41" i="1"/>
  <c r="AG26" i="1"/>
  <c r="GM37" i="1"/>
  <c r="AI26" i="1"/>
  <c r="V41" i="1"/>
  <c r="AZ26" i="1"/>
  <c r="F52" i="1"/>
  <c r="AS73" i="1"/>
  <c r="F102" i="1"/>
  <c r="BC73" i="1"/>
  <c r="F101" i="1"/>
  <c r="AT73" i="1"/>
  <c r="F103" i="1"/>
  <c r="BD117" i="1"/>
  <c r="F151" i="1"/>
  <c r="AC126" i="1"/>
  <c r="CP119" i="1"/>
  <c r="O119" i="1" s="1"/>
  <c r="BD195" i="1"/>
  <c r="F226" i="1"/>
  <c r="BB117" i="1"/>
  <c r="F139" i="1"/>
  <c r="AO195" i="1"/>
  <c r="F205" i="1"/>
  <c r="CJ195" i="1"/>
  <c r="BA201" i="1"/>
  <c r="AF126" i="1"/>
  <c r="AT117" i="1"/>
  <c r="F144" i="1"/>
  <c r="AK158" i="1"/>
  <c r="T158" i="1"/>
  <c r="F184" i="1"/>
  <c r="F170" i="1"/>
  <c r="AX158" i="1"/>
  <c r="GM124" i="1"/>
  <c r="GP124" i="1"/>
  <c r="CH163" i="1"/>
  <c r="AC158" i="1"/>
  <c r="P163" i="1"/>
  <c r="CE163" i="1"/>
  <c r="CF163" i="1"/>
  <c r="AF195" i="1"/>
  <c r="S201" i="1"/>
  <c r="AD158" i="1"/>
  <c r="Q163" i="1"/>
  <c r="T195" i="1"/>
  <c r="F222" i="1"/>
  <c r="AD195" i="1"/>
  <c r="Q201" i="1"/>
  <c r="P201" i="1"/>
  <c r="CE201" i="1"/>
  <c r="AC195" i="1"/>
  <c r="CF201" i="1"/>
  <c r="CH201" i="1"/>
  <c r="GM36" i="1"/>
  <c r="GP36" i="1"/>
  <c r="W26" i="1"/>
  <c r="F65" i="1"/>
  <c r="S41" i="1"/>
  <c r="AF26" i="1"/>
  <c r="AH26" i="1"/>
  <c r="U41" i="1"/>
  <c r="CP75" i="1"/>
  <c r="O75" i="1" s="1"/>
  <c r="GP34" i="1"/>
  <c r="BA26" i="1"/>
  <c r="F61" i="1"/>
  <c r="GP79" i="1"/>
  <c r="BD73" i="1"/>
  <c r="F110" i="1"/>
  <c r="Q81" i="1"/>
  <c r="AD85" i="1" s="1"/>
  <c r="AX73" i="1"/>
  <c r="F92" i="1"/>
  <c r="AQ158" i="1"/>
  <c r="F173" i="1"/>
  <c r="P81" i="1"/>
  <c r="GP83" i="1"/>
  <c r="CG117" i="1"/>
  <c r="AX126" i="1"/>
  <c r="GP121" i="1"/>
  <c r="AF158" i="1"/>
  <c r="S163" i="1"/>
  <c r="AH158" i="1"/>
  <c r="U163" i="1"/>
  <c r="AG117" i="1"/>
  <c r="T126" i="1"/>
  <c r="F186" i="1"/>
  <c r="V158" i="1"/>
  <c r="AQ195" i="1"/>
  <c r="F211" i="1"/>
  <c r="AP195" i="1"/>
  <c r="F210" i="1"/>
  <c r="GP199" i="1"/>
  <c r="GM199" i="1"/>
  <c r="AK41" i="1"/>
  <c r="BC26" i="1"/>
  <c r="F57" i="1"/>
  <c r="BC231" i="1"/>
  <c r="GP30" i="1"/>
  <c r="GM39" i="1"/>
  <c r="GP39" i="1"/>
  <c r="BD26" i="1"/>
  <c r="F66" i="1"/>
  <c r="BD231" i="1"/>
  <c r="GK77" i="1"/>
  <c r="GM77" i="1" s="1"/>
  <c r="CP80" i="1"/>
  <c r="O80" i="1" s="1"/>
  <c r="CI73" i="1"/>
  <c r="AZ85" i="1"/>
  <c r="W81" i="1"/>
  <c r="AJ85" i="1" s="1"/>
  <c r="GP120" i="1"/>
  <c r="GM120" i="1"/>
  <c r="BB73" i="1"/>
  <c r="F98" i="1"/>
  <c r="AO117" i="1"/>
  <c r="F130" i="1"/>
  <c r="BD158" i="1"/>
  <c r="F188" i="1"/>
  <c r="U81" i="1"/>
  <c r="AH85" i="1" s="1"/>
  <c r="GP161" i="1"/>
  <c r="GM161" i="1"/>
  <c r="AT195" i="1"/>
  <c r="F219" i="1"/>
  <c r="AL158" i="1"/>
  <c r="CJ158" i="1"/>
  <c r="BA163" i="1"/>
  <c r="BC195" i="1"/>
  <c r="F217" i="1"/>
  <c r="AS158" i="1"/>
  <c r="F180" i="1"/>
  <c r="AI195" i="1"/>
  <c r="V201" i="1"/>
  <c r="AJ117" i="1"/>
  <c r="W126" i="1"/>
  <c r="AP117" i="1"/>
  <c r="F135" i="1"/>
  <c r="AS117" i="1"/>
  <c r="F143" i="1"/>
  <c r="CG195" i="1"/>
  <c r="AX201" i="1"/>
  <c r="AX231" i="1" s="1"/>
  <c r="U195" i="1"/>
  <c r="F223" i="1"/>
  <c r="W195" i="1"/>
  <c r="F225" i="1"/>
  <c r="CP28" i="1"/>
  <c r="O28" i="1" s="1"/>
  <c r="AD41" i="1"/>
  <c r="BB26" i="1"/>
  <c r="F54" i="1"/>
  <c r="BB231" i="1"/>
  <c r="AL41" i="1"/>
  <c r="AC26" i="1"/>
  <c r="P41" i="1"/>
  <c r="CE41" i="1"/>
  <c r="CH41" i="1"/>
  <c r="CF41" i="1"/>
  <c r="AT26" i="1"/>
  <c r="F59" i="1"/>
  <c r="AT231" i="1"/>
  <c r="AX26" i="1"/>
  <c r="F48" i="1"/>
  <c r="AO73" i="1"/>
  <c r="F89" i="1"/>
  <c r="AO231" i="1"/>
  <c r="AP73" i="1"/>
  <c r="F94" i="1"/>
  <c r="AP231" i="1"/>
  <c r="CZ82" i="1"/>
  <c r="Y82" i="1" s="1"/>
  <c r="T209" i="5" s="1"/>
  <c r="J216" i="5" s="1"/>
  <c r="CY82" i="1"/>
  <c r="X82" i="1" s="1"/>
  <c r="R209" i="5" s="1"/>
  <c r="J215" i="5" s="1"/>
  <c r="AF85" i="1"/>
  <c r="CZ81" i="1"/>
  <c r="Y81" i="1" s="1"/>
  <c r="CP82" i="1"/>
  <c r="O82" i="1" s="1"/>
  <c r="AQ117" i="1"/>
  <c r="F136" i="1"/>
  <c r="CY123" i="1"/>
  <c r="X123" i="1" s="1"/>
  <c r="CZ123" i="1"/>
  <c r="Y123" i="1" s="1"/>
  <c r="T254" i="5" s="1"/>
  <c r="T81" i="1"/>
  <c r="AG85" i="1" s="1"/>
  <c r="CI158" i="1"/>
  <c r="AZ163" i="1"/>
  <c r="AQ73" i="1"/>
  <c r="F95" i="1"/>
  <c r="Q126" i="1"/>
  <c r="CJ117" i="1"/>
  <c r="BA126" i="1"/>
  <c r="AB201" i="1"/>
  <c r="BB195" i="1"/>
  <c r="F214" i="1"/>
  <c r="AI117" i="1"/>
  <c r="V126" i="1"/>
  <c r="AJ158" i="1"/>
  <c r="W163" i="1"/>
  <c r="AB163" i="1"/>
  <c r="GP160" i="1"/>
  <c r="GM160" i="1"/>
  <c r="CA163" i="1" s="1"/>
  <c r="AH117" i="1"/>
  <c r="U126" i="1"/>
  <c r="F218" i="1"/>
  <c r="AS195" i="1"/>
  <c r="CI195" i="1"/>
  <c r="AZ201" i="1"/>
  <c r="E25" i="6" l="1"/>
  <c r="GM198" i="1"/>
  <c r="I189" i="5"/>
  <c r="AZ126" i="1"/>
  <c r="AZ117" i="1" s="1"/>
  <c r="CD163" i="1"/>
  <c r="I219" i="5"/>
  <c r="I126" i="5"/>
  <c r="AE163" i="1"/>
  <c r="AE158" i="1" s="1"/>
  <c r="GM79" i="1"/>
  <c r="K137" i="5"/>
  <c r="P137" i="5"/>
  <c r="AK85" i="1"/>
  <c r="AK73" i="1" s="1"/>
  <c r="R204" i="5"/>
  <c r="P219" i="5"/>
  <c r="K219" i="5"/>
  <c r="K160" i="5"/>
  <c r="P160" i="5"/>
  <c r="P72" i="5"/>
  <c r="K72" i="5"/>
  <c r="P170" i="5"/>
  <c r="K170" i="5"/>
  <c r="P126" i="5"/>
  <c r="K126" i="5"/>
  <c r="K52" i="5"/>
  <c r="P52" i="5"/>
  <c r="AK126" i="1"/>
  <c r="AK117" i="1" s="1"/>
  <c r="R254" i="5"/>
  <c r="AZ231" i="1"/>
  <c r="AZ22" i="1" s="1"/>
  <c r="GK38" i="1"/>
  <c r="J131" i="5"/>
  <c r="GK35" i="1"/>
  <c r="J108" i="5"/>
  <c r="P230" i="5"/>
  <c r="K230" i="5"/>
  <c r="GK75" i="1"/>
  <c r="J155" i="5"/>
  <c r="P62" i="5"/>
  <c r="K62" i="5"/>
  <c r="P284" i="5"/>
  <c r="I294" i="5" s="1"/>
  <c r="K284" i="5"/>
  <c r="R32" i="7"/>
  <c r="K82" i="5"/>
  <c r="P82" i="5"/>
  <c r="R163" i="1"/>
  <c r="AL85" i="1"/>
  <c r="AL73" i="1" s="1"/>
  <c r="T204" i="5"/>
  <c r="J206" i="5" s="1"/>
  <c r="J205" i="5"/>
  <c r="GM35" i="1"/>
  <c r="GP35" i="1"/>
  <c r="P253" i="5"/>
  <c r="K253" i="5"/>
  <c r="P189" i="5"/>
  <c r="K189" i="5"/>
  <c r="GK119" i="1"/>
  <c r="GP119" i="1" s="1"/>
  <c r="J238" i="5"/>
  <c r="AE126" i="1"/>
  <c r="O32" i="7"/>
  <c r="GK78" i="1"/>
  <c r="J183" i="5"/>
  <c r="P114" i="5"/>
  <c r="K114" i="5"/>
  <c r="GP77" i="1"/>
  <c r="AL126" i="1"/>
  <c r="AE85" i="1"/>
  <c r="AE73" i="1" s="1"/>
  <c r="GP198" i="1"/>
  <c r="J251" i="5"/>
  <c r="GK122" i="1"/>
  <c r="M32" i="7"/>
  <c r="F36" i="6" s="1"/>
  <c r="E38" i="6" s="1"/>
  <c r="GK76" i="1"/>
  <c r="GP76" i="1" s="1"/>
  <c r="J165" i="5"/>
  <c r="GK31" i="1"/>
  <c r="J67" i="5"/>
  <c r="AK201" i="1"/>
  <c r="P178" i="5"/>
  <c r="K178" i="5"/>
  <c r="GM76" i="1"/>
  <c r="K244" i="5"/>
  <c r="P244" i="5"/>
  <c r="P200" i="5"/>
  <c r="K200" i="5"/>
  <c r="GK29" i="1"/>
  <c r="J47" i="5"/>
  <c r="AE41" i="1"/>
  <c r="T280" i="5"/>
  <c r="AL201" i="1"/>
  <c r="J282" i="5"/>
  <c r="GK197" i="1"/>
  <c r="GM197" i="1" s="1"/>
  <c r="CA201" i="1" s="1"/>
  <c r="AE201" i="1"/>
  <c r="K240" i="5"/>
  <c r="P240" i="5"/>
  <c r="I263" i="5" s="1"/>
  <c r="AG73" i="1"/>
  <c r="T85" i="1"/>
  <c r="T231" i="1" s="1"/>
  <c r="X126" i="1"/>
  <c r="Y85" i="1"/>
  <c r="AB195" i="1"/>
  <c r="O201" i="1"/>
  <c r="F174" i="1"/>
  <c r="AZ158" i="1"/>
  <c r="AU163" i="1"/>
  <c r="CD158" i="1"/>
  <c r="AW41" i="1"/>
  <c r="CF26" i="1"/>
  <c r="AH73" i="1"/>
  <c r="U85" i="1"/>
  <c r="AB158" i="1"/>
  <c r="O163" i="1"/>
  <c r="BA117" i="1"/>
  <c r="F146" i="1"/>
  <c r="AF73" i="1"/>
  <c r="S85" i="1"/>
  <c r="AO22" i="1"/>
  <c r="F235" i="1"/>
  <c r="AO263" i="1"/>
  <c r="AT22" i="1"/>
  <c r="F249" i="1"/>
  <c r="AT263" i="1"/>
  <c r="CH26" i="1"/>
  <c r="AY41" i="1"/>
  <c r="AL26" i="1"/>
  <c r="Y41" i="1"/>
  <c r="AX195" i="1"/>
  <c r="F208" i="1"/>
  <c r="V195" i="1"/>
  <c r="F224" i="1"/>
  <c r="F190" i="1"/>
  <c r="Y158" i="1"/>
  <c r="BC22" i="1"/>
  <c r="BC263" i="1"/>
  <c r="F247" i="1"/>
  <c r="U158" i="1"/>
  <c r="F185" i="1"/>
  <c r="S158" i="1"/>
  <c r="F178" i="1"/>
  <c r="AX117" i="1"/>
  <c r="F133" i="1"/>
  <c r="CP81" i="1"/>
  <c r="O81" i="1" s="1"/>
  <c r="J204" i="5" s="1"/>
  <c r="BA231" i="1"/>
  <c r="X158" i="1"/>
  <c r="F189" i="1"/>
  <c r="AF117" i="1"/>
  <c r="S126" i="1"/>
  <c r="S231" i="1" s="1"/>
  <c r="AC117" i="1"/>
  <c r="CH126" i="1"/>
  <c r="P126" i="1"/>
  <c r="CE126" i="1"/>
  <c r="CF126" i="1"/>
  <c r="GM123" i="1"/>
  <c r="Q117" i="1"/>
  <c r="F138" i="1"/>
  <c r="P26" i="1"/>
  <c r="F44" i="1"/>
  <c r="GM28" i="1"/>
  <c r="GP28" i="1"/>
  <c r="AB41" i="1"/>
  <c r="AZ195" i="1"/>
  <c r="F212" i="1"/>
  <c r="V117" i="1"/>
  <c r="F149" i="1"/>
  <c r="GM82" i="1"/>
  <c r="GP82" i="1"/>
  <c r="AP22" i="1"/>
  <c r="F240" i="1"/>
  <c r="AP263" i="1"/>
  <c r="AX22" i="1"/>
  <c r="F238" i="1"/>
  <c r="AX263" i="1"/>
  <c r="CE26" i="1"/>
  <c r="AV41" i="1"/>
  <c r="BB22" i="1"/>
  <c r="F244" i="1"/>
  <c r="BB263" i="1"/>
  <c r="GP80" i="1"/>
  <c r="GM80" i="1"/>
  <c r="R85" i="1"/>
  <c r="AC85" i="1"/>
  <c r="CE195" i="1"/>
  <c r="AV201" i="1"/>
  <c r="S195" i="1"/>
  <c r="F216" i="1"/>
  <c r="CF158" i="1"/>
  <c r="AW163" i="1"/>
  <c r="AY163" i="1"/>
  <c r="CH158" i="1"/>
  <c r="BA195" i="1"/>
  <c r="F221" i="1"/>
  <c r="V26" i="1"/>
  <c r="F64" i="1"/>
  <c r="V231" i="1"/>
  <c r="T26" i="1"/>
  <c r="F62" i="1"/>
  <c r="GP123" i="1"/>
  <c r="U117" i="1"/>
  <c r="F148" i="1"/>
  <c r="AD26" i="1"/>
  <c r="Q41" i="1"/>
  <c r="W117" i="1"/>
  <c r="F150" i="1"/>
  <c r="F183" i="1"/>
  <c r="BA158" i="1"/>
  <c r="AL117" i="1"/>
  <c r="Y126" i="1"/>
  <c r="AJ73" i="1"/>
  <c r="W85" i="1"/>
  <c r="T117" i="1"/>
  <c r="F147" i="1"/>
  <c r="GP75" i="1"/>
  <c r="GM75" i="1"/>
  <c r="AB85" i="1"/>
  <c r="S26" i="1"/>
  <c r="F56" i="1"/>
  <c r="CH195" i="1"/>
  <c r="AY201" i="1"/>
  <c r="P195" i="1"/>
  <c r="F204" i="1"/>
  <c r="CE158" i="1"/>
  <c r="AV163" i="1"/>
  <c r="AS22" i="1"/>
  <c r="F248" i="1"/>
  <c r="AS263" i="1"/>
  <c r="V73" i="1"/>
  <c r="F108" i="1"/>
  <c r="BA73" i="1"/>
  <c r="F105" i="1"/>
  <c r="CA158" i="1"/>
  <c r="AR163" i="1"/>
  <c r="W158" i="1"/>
  <c r="F187" i="1"/>
  <c r="AZ73" i="1"/>
  <c r="F96" i="1"/>
  <c r="BD22" i="1"/>
  <c r="F256" i="1"/>
  <c r="BD263" i="1"/>
  <c r="AK26" i="1"/>
  <c r="X41" i="1"/>
  <c r="AD73" i="1"/>
  <c r="Q85" i="1"/>
  <c r="U26" i="1"/>
  <c r="F63" i="1"/>
  <c r="U231" i="1"/>
  <c r="CF195" i="1"/>
  <c r="AW201" i="1"/>
  <c r="Q195" i="1"/>
  <c r="F213" i="1"/>
  <c r="F175" i="1"/>
  <c r="Q158" i="1"/>
  <c r="F166" i="1"/>
  <c r="P158" i="1"/>
  <c r="GM119" i="1"/>
  <c r="AB126" i="1"/>
  <c r="AQ22" i="1"/>
  <c r="AQ263" i="1"/>
  <c r="F241" i="1"/>
  <c r="F137" i="1" l="1"/>
  <c r="F242" i="1"/>
  <c r="GP197" i="1"/>
  <c r="CD201" i="1" s="1"/>
  <c r="X85" i="1"/>
  <c r="X231" i="1" s="1"/>
  <c r="CA195" i="1"/>
  <c r="AR201" i="1"/>
  <c r="F229" i="1" s="1"/>
  <c r="E16" i="2"/>
  <c r="E18" i="2" s="1"/>
  <c r="I21" i="5"/>
  <c r="F16" i="2"/>
  <c r="F18" i="2" s="1"/>
  <c r="I22" i="5"/>
  <c r="AE195" i="1"/>
  <c r="R201" i="1"/>
  <c r="GM78" i="1"/>
  <c r="GP78" i="1"/>
  <c r="R126" i="1"/>
  <c r="AE117" i="1"/>
  <c r="R158" i="1"/>
  <c r="F177" i="1"/>
  <c r="G16" i="2"/>
  <c r="G18" i="2" s="1"/>
  <c r="I23" i="5"/>
  <c r="AZ263" i="1"/>
  <c r="AZ18" i="1" s="1"/>
  <c r="AL195" i="1"/>
  <c r="Y201" i="1"/>
  <c r="R41" i="1"/>
  <c r="AE26" i="1"/>
  <c r="GP29" i="1"/>
  <c r="GM29" i="1"/>
  <c r="X201" i="1"/>
  <c r="AK195" i="1"/>
  <c r="GM31" i="1"/>
  <c r="GP31" i="1"/>
  <c r="GP122" i="1"/>
  <c r="CD126" i="1" s="1"/>
  <c r="GM122" i="1"/>
  <c r="CA126" i="1" s="1"/>
  <c r="I208" i="5"/>
  <c r="GM38" i="1"/>
  <c r="GP38" i="1"/>
  <c r="I147" i="5"/>
  <c r="T22" i="1"/>
  <c r="T263" i="1"/>
  <c r="F252" i="1"/>
  <c r="AV26" i="1"/>
  <c r="F46" i="1"/>
  <c r="AB117" i="1"/>
  <c r="O126" i="1"/>
  <c r="Q73" i="1"/>
  <c r="F97" i="1"/>
  <c r="BD18" i="1"/>
  <c r="F288" i="1"/>
  <c r="AV158" i="1"/>
  <c r="F168" i="1"/>
  <c r="AY195" i="1"/>
  <c r="F209" i="1"/>
  <c r="Y117" i="1"/>
  <c r="F153" i="1"/>
  <c r="AY158" i="1"/>
  <c r="F171" i="1"/>
  <c r="R73" i="1"/>
  <c r="F99" i="1"/>
  <c r="BB18" i="1"/>
  <c r="F276" i="1"/>
  <c r="AP18" i="1"/>
  <c r="F272" i="1"/>
  <c r="AR195" i="1"/>
  <c r="CF117" i="1"/>
  <c r="AW126" i="1"/>
  <c r="BA22" i="1"/>
  <c r="F251" i="1"/>
  <c r="BA263" i="1"/>
  <c r="AU158" i="1"/>
  <c r="F182" i="1"/>
  <c r="Y73" i="1"/>
  <c r="F112" i="1"/>
  <c r="T73" i="1"/>
  <c r="F106" i="1"/>
  <c r="X26" i="1"/>
  <c r="F67" i="1"/>
  <c r="S22" i="1"/>
  <c r="F246" i="1"/>
  <c r="S263" i="1"/>
  <c r="W73" i="1"/>
  <c r="F109" i="1"/>
  <c r="W231" i="1"/>
  <c r="AW195" i="1"/>
  <c r="F207" i="1"/>
  <c r="U22" i="1"/>
  <c r="U263" i="1"/>
  <c r="F253" i="1"/>
  <c r="AS18" i="1"/>
  <c r="F280" i="1"/>
  <c r="AB73" i="1"/>
  <c r="O85" i="1"/>
  <c r="AW158" i="1"/>
  <c r="F169" i="1"/>
  <c r="AV195" i="1"/>
  <c r="F206" i="1"/>
  <c r="AX18" i="1"/>
  <c r="F270" i="1"/>
  <c r="AB26" i="1"/>
  <c r="O41" i="1"/>
  <c r="CE117" i="1"/>
  <c r="AV126" i="1"/>
  <c r="S117" i="1"/>
  <c r="F141" i="1"/>
  <c r="R231" i="1"/>
  <c r="GP81" i="1"/>
  <c r="GM81" i="1"/>
  <c r="CA85" i="1" s="1"/>
  <c r="AY26" i="1"/>
  <c r="F49" i="1"/>
  <c r="S73" i="1"/>
  <c r="F100" i="1"/>
  <c r="O158" i="1"/>
  <c r="F165" i="1"/>
  <c r="F274" i="1"/>
  <c r="Q26" i="1"/>
  <c r="F53" i="1"/>
  <c r="Q231" i="1"/>
  <c r="V22" i="1"/>
  <c r="F254" i="1"/>
  <c r="V263" i="1"/>
  <c r="P117" i="1"/>
  <c r="F129" i="1"/>
  <c r="AO18" i="1"/>
  <c r="F267" i="1"/>
  <c r="AW26" i="1"/>
  <c r="F47" i="1"/>
  <c r="X117" i="1"/>
  <c r="F152" i="1"/>
  <c r="X73" i="1"/>
  <c r="AQ18" i="1"/>
  <c r="F273" i="1"/>
  <c r="AR158" i="1"/>
  <c r="F191" i="1"/>
  <c r="AC73" i="1"/>
  <c r="CF85" i="1"/>
  <c r="CH85" i="1"/>
  <c r="P85" i="1"/>
  <c r="CE85" i="1"/>
  <c r="AY126" i="1"/>
  <c r="CH117" i="1"/>
  <c r="BC18" i="1"/>
  <c r="F279" i="1"/>
  <c r="Y26" i="1"/>
  <c r="F68" i="1"/>
  <c r="AT18" i="1"/>
  <c r="F281" i="1"/>
  <c r="U73" i="1"/>
  <c r="F107" i="1"/>
  <c r="O195" i="1"/>
  <c r="F203" i="1"/>
  <c r="CD41" i="1" l="1"/>
  <c r="CA41" i="1"/>
  <c r="AU201" i="1"/>
  <c r="CD195" i="1"/>
  <c r="F111" i="1"/>
  <c r="CA117" i="1"/>
  <c r="AR126" i="1"/>
  <c r="AR117" i="1" s="1"/>
  <c r="AU41" i="1"/>
  <c r="AU26" i="1" s="1"/>
  <c r="CD26" i="1"/>
  <c r="CA26" i="1"/>
  <c r="AR41" i="1"/>
  <c r="F69" i="1" s="1"/>
  <c r="Y195" i="1"/>
  <c r="F228" i="1"/>
  <c r="F215" i="1"/>
  <c r="R195" i="1"/>
  <c r="Y231" i="1"/>
  <c r="F258" i="1" s="1"/>
  <c r="CD85" i="1"/>
  <c r="AU85" i="1" s="1"/>
  <c r="P208" i="5"/>
  <c r="K208" i="5"/>
  <c r="F227" i="1"/>
  <c r="X195" i="1"/>
  <c r="R26" i="1"/>
  <c r="F55" i="1"/>
  <c r="F140" i="1"/>
  <c r="R117" i="1"/>
  <c r="CA73" i="1"/>
  <c r="AR85" i="1"/>
  <c r="CD73" i="1"/>
  <c r="CE73" i="1"/>
  <c r="AV85" i="1"/>
  <c r="F60" i="1"/>
  <c r="AY117" i="1"/>
  <c r="F134" i="1"/>
  <c r="P73" i="1"/>
  <c r="F88" i="1"/>
  <c r="P231" i="1"/>
  <c r="Q22" i="1"/>
  <c r="F243" i="1"/>
  <c r="Q263" i="1"/>
  <c r="CH73" i="1"/>
  <c r="AY85" i="1"/>
  <c r="V18" i="1"/>
  <c r="F286" i="1"/>
  <c r="F154" i="1"/>
  <c r="AV117" i="1"/>
  <c r="F131" i="1"/>
  <c r="O73" i="1"/>
  <c r="F87" i="1"/>
  <c r="X22" i="1"/>
  <c r="X263" i="1"/>
  <c r="F257" i="1"/>
  <c r="AW117" i="1"/>
  <c r="F132" i="1"/>
  <c r="T18" i="1"/>
  <c r="F284" i="1"/>
  <c r="AU126" i="1"/>
  <c r="CD117" i="1"/>
  <c r="AR26" i="1"/>
  <c r="Y22" i="1"/>
  <c r="CF73" i="1"/>
  <c r="AW85" i="1"/>
  <c r="R22" i="1"/>
  <c r="F245" i="1"/>
  <c r="J16" i="2" s="1"/>
  <c r="J18" i="2" s="1"/>
  <c r="R263" i="1"/>
  <c r="U18" i="1"/>
  <c r="F285" i="1"/>
  <c r="S18" i="1"/>
  <c r="F278" i="1"/>
  <c r="BA18" i="1"/>
  <c r="F283" i="1"/>
  <c r="O26" i="1"/>
  <c r="F43" i="1"/>
  <c r="O231" i="1"/>
  <c r="W22" i="1"/>
  <c r="F255" i="1"/>
  <c r="W263" i="1"/>
  <c r="O117" i="1"/>
  <c r="F128" i="1"/>
  <c r="F220" i="1" l="1"/>
  <c r="AU195" i="1"/>
  <c r="Y263" i="1"/>
  <c r="AU231" i="1"/>
  <c r="AU263" i="1" s="1"/>
  <c r="I232" i="5"/>
  <c r="I297" i="5"/>
  <c r="AR231" i="1"/>
  <c r="AR22" i="1" s="1"/>
  <c r="I25" i="5"/>
  <c r="F259" i="1"/>
  <c r="O22" i="1"/>
  <c r="F233" i="1"/>
  <c r="O263" i="1"/>
  <c r="AW73" i="1"/>
  <c r="F91" i="1"/>
  <c r="AW231" i="1"/>
  <c r="AU73" i="1"/>
  <c r="F104" i="1"/>
  <c r="X18" i="1"/>
  <c r="F289" i="1"/>
  <c r="Q18" i="1"/>
  <c r="F275" i="1"/>
  <c r="W18" i="1"/>
  <c r="F287" i="1"/>
  <c r="R18" i="1"/>
  <c r="F277" i="1"/>
  <c r="AU117" i="1"/>
  <c r="F145" i="1"/>
  <c r="AY73" i="1"/>
  <c r="F93" i="1"/>
  <c r="AY231" i="1"/>
  <c r="P22" i="1"/>
  <c r="F234" i="1"/>
  <c r="P263" i="1"/>
  <c r="AV73" i="1"/>
  <c r="F90" i="1"/>
  <c r="AV231" i="1"/>
  <c r="AR73" i="1"/>
  <c r="F113" i="1"/>
  <c r="Y18" i="1"/>
  <c r="F290" i="1"/>
  <c r="F250" i="1"/>
  <c r="AR263" i="1" l="1"/>
  <c r="AU22" i="1"/>
  <c r="H16" i="2"/>
  <c r="H18" i="2" s="1"/>
  <c r="I24" i="5"/>
  <c r="I20" i="5" s="1"/>
  <c r="O18" i="1"/>
  <c r="F265" i="1"/>
  <c r="AW22" i="1"/>
  <c r="F237" i="1"/>
  <c r="AW263" i="1"/>
  <c r="I16" i="2"/>
  <c r="I18" i="2" s="1"/>
  <c r="AY22" i="1"/>
  <c r="F239" i="1"/>
  <c r="AY263" i="1"/>
  <c r="AV22" i="1"/>
  <c r="F236" i="1"/>
  <c r="AV263" i="1"/>
  <c r="AU18" i="1"/>
  <c r="F282" i="1"/>
  <c r="P18" i="1"/>
  <c r="F266" i="1"/>
  <c r="F260" i="1"/>
  <c r="AR18" i="1"/>
  <c r="F291" i="1"/>
  <c r="F261" i="1" l="1"/>
  <c r="I300" i="5" s="1"/>
  <c r="I299" i="5"/>
  <c r="AY18" i="1"/>
  <c r="F271" i="1"/>
  <c r="AV18" i="1"/>
  <c r="F268" i="1"/>
  <c r="AW18" i="1"/>
  <c r="F269" i="1"/>
</calcChain>
</file>

<file path=xl/sharedStrings.xml><?xml version="1.0" encoding="utf-8"?>
<sst xmlns="http://schemas.openxmlformats.org/spreadsheetml/2006/main" count="4237" uniqueCount="442">
  <si>
    <t>Smeta.RU  (495) 974-1589</t>
  </si>
  <si>
    <t>_PS_</t>
  </si>
  <si>
    <t>Smeta.RU</t>
  </si>
  <si>
    <t/>
  </si>
  <si>
    <t>Новый объект</t>
  </si>
  <si>
    <t>по адресу г. Москва, Ул. Авиаторов, д.28.</t>
  </si>
  <si>
    <t>Сметные нормы списания</t>
  </si>
  <si>
    <t>Коды ОКП для СН-2012 - 2023 г.</t>
  </si>
  <si>
    <t>СН-2012 - 2023 г_глава_1-5</t>
  </si>
  <si>
    <t>Типовой расчет для СН-2012 - 2023 г</t>
  </si>
  <si>
    <t>СН-2012-2023 г. База данных "Сборник стоимостных нормативов"</t>
  </si>
  <si>
    <t>Поправки для СН-2012-2023 в ценах на 01.10.2022 г</t>
  </si>
  <si>
    <t>Новая локальная смета</t>
  </si>
  <si>
    <t>ГБОУ Школа №1542</t>
  </si>
  <si>
    <t>Новый раздел</t>
  </si>
  <si>
    <t>Ремонт дорожек и тротуаров</t>
  </si>
  <si>
    <t>1</t>
  </si>
  <si>
    <t>2.1-3104-2-1/1</t>
  </si>
  <si>
    <t>Срезка поверхностного слоя асфальтобетонных дорожных покрытий методом холодного фрезерования, при ширине барабана фрезы 1000 мм и толщине слоя 5 см</t>
  </si>
  <si>
    <t>м2</t>
  </si>
  <si>
    <t>СН-2012-2023.2. База. Сб.1-3104-2-1/1</t>
  </si>
  <si>
    <t>СН-2012</t>
  </si>
  <si>
    <t>Подрядные работы, гл. 1-5,7</t>
  </si>
  <si>
    <t>работа</t>
  </si>
  <si>
    <t>2</t>
  </si>
  <si>
    <t>2.1-3104-1-4/1</t>
  </si>
  <si>
    <t>Разборка покрытий и оснований асфальтобетонных</t>
  </si>
  <si>
    <t>100 м3</t>
  </si>
  <si>
    <t>СН-2012-2023.2. База. Сб.1-3104-1-4/1</t>
  </si>
  <si>
    <t>3</t>
  </si>
  <si>
    <t>2.1-3104-5-1/1</t>
  </si>
  <si>
    <t>Разборка асфальтобетона вдоль бортового камня при срезке методом холодного фрезерования</t>
  </si>
  <si>
    <t>100 м</t>
  </si>
  <si>
    <t>СН-2012-2023.2. База. Сб.1-3104-5-1/1</t>
  </si>
  <si>
    <t>4</t>
  </si>
  <si>
    <t>2.1-3104-1-5/1</t>
  </si>
  <si>
    <t>Разборка покрытий и оснований цементобетонных</t>
  </si>
  <si>
    <t>СН-2012-2023.2. База. Сб.1-3104-1-5/1</t>
  </si>
  <si>
    <t>5</t>
  </si>
  <si>
    <t>2.1-3202-1-1/1</t>
  </si>
  <si>
    <t>Замена бортового камня бетонного во дворовых территориях</t>
  </si>
  <si>
    <t>м</t>
  </si>
  <si>
    <t>СН-2012-2023.2. База. Сб.1-3202-1-1/1</t>
  </si>
  <si>
    <t>6</t>
  </si>
  <si>
    <t>2.1-3201-4-1/1</t>
  </si>
  <si>
    <t>Ремонт бортового камня бетонного без замены</t>
  </si>
  <si>
    <t>СН-2012-2023.2. База. Сб.1-3201-4-1/1</t>
  </si>
  <si>
    <t>7</t>
  </si>
  <si>
    <t>2.1-3303-1-1/1</t>
  </si>
  <si>
    <t>Устройство подстилающих и выравнивающих слоев оснований из песка</t>
  </si>
  <si>
    <t>СН-2012-2023.2. База. Сб.1-3303-1-1/1</t>
  </si>
  <si>
    <t>8</t>
  </si>
  <si>
    <t>2.1-3303-1-2/1</t>
  </si>
  <si>
    <t>Устройство подстилающих и выравнивающих слоев оснований из щебня</t>
  </si>
  <si>
    <t>СН-2012-2023.2. База. Сб.1-3303-1-2/1</t>
  </si>
  <si>
    <t>9</t>
  </si>
  <si>
    <t>2.1-3103-8-3/2</t>
  </si>
  <si>
    <t>Устройство однослойных покрытий из бетона марки М350 толщиной слоя 24 см (без стоимости арматуры) (в местах провала основания бетонной плитки)</t>
  </si>
  <si>
    <t>1000 м2</t>
  </si>
  <si>
    <t>СН-2012-2023.2. База. Сб.1-3103-8-3/2</t>
  </si>
  <si>
    <t>9,1</t>
  </si>
  <si>
    <t>21.3-4-68</t>
  </si>
  <si>
    <t>Каркасы и сетки арматурные плоские, собранные и сваренные (связанные) в арматурные изделия, класс ВР-I, диаметр 5 мм</t>
  </si>
  <si>
    <t>т</t>
  </si>
  <si>
    <t>СН-2012-2023.21. База. Р.3, о.4, поз.68</t>
  </si>
  <si>
    <t>10</t>
  </si>
  <si>
    <t>2.1-3103-18-1/1</t>
  </si>
  <si>
    <t>Устройство покрытий из асфальтобетонных смесей вручную, толщина 4 см</t>
  </si>
  <si>
    <t>100 м2</t>
  </si>
  <si>
    <t>СН-2012-2023.2. База. Сб.1-3103-18-1/1</t>
  </si>
  <si>
    <t>11</t>
  </si>
  <si>
    <t>2.1-3103-19-2/1</t>
  </si>
  <si>
    <t>Устройство асфальтобетонных покрытий дорожек и тротуаров однослойных из литой мелкозернистой асфальтобетонной смеси, добавлять или исключать на каждые 0,5 см изменения толщины слоя</t>
  </si>
  <si>
    <t>СН-2012-2023.2. База. Сб.1-3103-19-2/1</t>
  </si>
  <si>
    <t>)*2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</si>
  <si>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</si>
  <si>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</si>
  <si>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</si>
  <si>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</si>
  <si>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</si>
  <si>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</si>
  <si>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</si>
  <si>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</si>
  <si>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</si>
  <si>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</si>
  <si>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</si>
  <si>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</si>
  <si>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</si>
  <si>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</si>
  <si>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</si>
  <si>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</si>
  <si>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</si>
  <si>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</si>
  <si>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</si>
  <si>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</si>
  <si>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</si>
  <si>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</si>
  <si>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</si>
  <si>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</si>
  <si>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</si>
  <si>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</si>
  <si>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</si>
  <si>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</si>
  <si>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</si>
  <si>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</si>
  <si>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</si>
  <si>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</si>
  <si>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</si>
  <si>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</si>
  <si>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</si>
  <si>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</si>
  <si>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</si>
  <si>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</si>
  <si>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</si>
  <si>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</si>
  <si>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</si>
  <si>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</si>
  <si>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</si>
  <si>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</si>
  <si>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</si>
  <si>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</si>
  <si>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</si>
  <si>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</si>
  <si>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</si>
  <si>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</si>
  <si>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</si>
  <si>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</si>
  <si>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</si>
  <si>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</si>
  <si>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Ремонт отмостки</t>
  </si>
  <si>
    <t>12</t>
  </si>
  <si>
    <t>13</t>
  </si>
  <si>
    <t>2.49-3101-4-1/1</t>
  </si>
  <si>
    <t>Разработка грунта с погрузкой на автомобили-самосвалы экскаваторами с ковшом вместимостью 0,4 м3, группа грунтов 1-3</t>
  </si>
  <si>
    <t>СН-2012-2023.2. База. Сб.49-3101-4-1/1</t>
  </si>
  <si>
    <t>14</t>
  </si>
  <si>
    <t>2.1-3203-1-1/1</t>
  </si>
  <si>
    <t>Установка бортовых камней бетонных марки БР 100.30.15 при цементобетонных покрытиях</t>
  </si>
  <si>
    <t>СН-2012-2023.2. База. Сб.1-3203-1-1/1</t>
  </si>
  <si>
    <t>15</t>
  </si>
  <si>
    <t>16</t>
  </si>
  <si>
    <t>17</t>
  </si>
  <si>
    <t>2.1-3103-11-1/1</t>
  </si>
  <si>
    <t>Укладка металлической сетки в цементобетонное покрытие (без стоимости сетки)</t>
  </si>
  <si>
    <t>СН-2012-2023.2. База. Сб.1-3103-11-1/1</t>
  </si>
  <si>
    <t>17,1</t>
  </si>
  <si>
    <t>18</t>
  </si>
  <si>
    <t>1.2-3103-2-1/1</t>
  </si>
  <si>
    <t>Устройство бетонной подготовки (толщ. 11 см)</t>
  </si>
  <si>
    <t>СН-2012-2023.1. База. Сб.2-3103-2-1/1</t>
  </si>
  <si>
    <t>19</t>
  </si>
  <si>
    <t>Прочее</t>
  </si>
  <si>
    <t>20</t>
  </si>
  <si>
    <t>1.49-9101-7-1/1</t>
  </si>
  <si>
    <t>Механизированная погрузка строительного мусора в автомобили-самосвалы</t>
  </si>
  <si>
    <t>СН-2012-2023.1. База. Сб.49-9101-7-1/1</t>
  </si>
  <si>
    <t>21</t>
  </si>
  <si>
    <t>2.1-3105-1-1/1</t>
  </si>
  <si>
    <t>Перевозка отфрезерованного асфальтобетона автосамосвалами грузоподъемностью до 10 т на расстояние 1 км - при механизированной погрузке</t>
  </si>
  <si>
    <t>СН-2012-2023.2. База. Сб.1-3105-1-1/1</t>
  </si>
  <si>
    <t>Подрядные работы, гл. 1 перевозка мусора</t>
  </si>
  <si>
    <t>22</t>
  </si>
  <si>
    <t>2.1-3105-1-2/1</t>
  </si>
  <si>
    <t>Перевозка отфрезерованного асфальтобетона автосамосвалами грузоподъемностью до 10 т - добавляется на каждый последующий 1 км до 100 км</t>
  </si>
  <si>
    <t>СН-2012-2023.2. База. Сб.1-3105-1-2/1</t>
  </si>
  <si>
    <t>)*48</t>
  </si>
  <si>
    <t>23</t>
  </si>
  <si>
    <t>24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</si>
  <si>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</si>
  <si>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</si>
  <si>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СН-2012-2023.1. База. Сб.49-9201-1-2/1</t>
  </si>
  <si>
    <t>25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</si>
  <si>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</si>
  <si>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</si>
  <si>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СН-2012-2023.1. База. Сб.49-9201-1-3/1</t>
  </si>
  <si>
    <t>Вывоз грунта</t>
  </si>
  <si>
    <t>26</t>
  </si>
  <si>
    <t>2.49-3401-1-1/1</t>
  </si>
  <si>
    <t>Перевозка грунта автосамосвалами грузоподъемностью до 10 т на расстояние 1 км</t>
  </si>
  <si>
    <t>м3</t>
  </si>
  <si>
    <t>СН-2012-2023.2. База. Сб.49-3401-1-1/1</t>
  </si>
  <si>
    <t>27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</si>
  <si>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</si>
  <si>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</si>
  <si>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СН-2012-2023.2. База. Сб.49-3401-1-2/1</t>
  </si>
  <si>
    <t>Мусор</t>
  </si>
  <si>
    <t>28</t>
  </si>
  <si>
    <t>29</t>
  </si>
  <si>
    <t>30</t>
  </si>
  <si>
    <t>НДС 20%</t>
  </si>
  <si>
    <t>Итого с НДС</t>
  </si>
  <si>
    <t>Уровень цен на 01.10.2022 г</t>
  </si>
  <si>
    <t>_OBSM_</t>
  </si>
  <si>
    <t>9999990008</t>
  </si>
  <si>
    <t>Трудозатраты рабочих</t>
  </si>
  <si>
    <t>чел.-ч.</t>
  </si>
  <si>
    <t>22.1-5-17</t>
  </si>
  <si>
    <t>СН-2012-2023.22. База. п.1-5-17 (050901)</t>
  </si>
  <si>
    <t>Поливомоечные машины, емкость цистерны до 5000 л</t>
  </si>
  <si>
    <t>маш.-ч</t>
  </si>
  <si>
    <t>22.1-5-43</t>
  </si>
  <si>
    <t>СН-2012-2023.22. База. п.1-5-43 (054801)</t>
  </si>
  <si>
    <t>Установки фрезерования дорожного покрытия</t>
  </si>
  <si>
    <t>21.1-25-13</t>
  </si>
  <si>
    <t>СН-2012-2023.21. База. Р.1, о.25, поз.13</t>
  </si>
  <si>
    <t>Вода</t>
  </si>
  <si>
    <t>21.1-25-307</t>
  </si>
  <si>
    <t>СН-2012-2023.21. База. Р.1, о.25, поз.307</t>
  </si>
  <si>
    <t>Резцы, инструмент</t>
  </si>
  <si>
    <t>шт.</t>
  </si>
  <si>
    <t>22.1-10-5</t>
  </si>
  <si>
    <t>СН-2012-2023.22. База. п.1-10-5 (101002)</t>
  </si>
  <si>
    <t>Компрессоры с дизельным двигателем прицепные до 5 м3/мин</t>
  </si>
  <si>
    <t>22.1-30-54</t>
  </si>
  <si>
    <t>СН-2012-2023.22. База. п.1-30-54 (308901)</t>
  </si>
  <si>
    <t>Молотки отбойные</t>
  </si>
  <si>
    <t>22.1-5-48</t>
  </si>
  <si>
    <t>СН-2012-2023.22. База. п.1-5-48 (056003)</t>
  </si>
  <si>
    <t>Автогрейдеры, мощность 99-147 кВт (130-200 л.с.)</t>
  </si>
  <si>
    <t>22.1-10-2</t>
  </si>
  <si>
    <t>СН-2012-2023.22. База. п.1-10-2 (100102)</t>
  </si>
  <si>
    <t>Компрессоры автомобильные, производительность 5-10 м3/мин</t>
  </si>
  <si>
    <t>22.1-1-74</t>
  </si>
  <si>
    <t>СН-2012-2023.22. База. п.1-1-74 (010809)</t>
  </si>
  <si>
    <t>Экскаваторы-погрузчики на пневмоколесном ходу гидравлические (при проведении ремонтных работ), грузоподъемность до 1,5 т, объем ковша 0,8-1,2 м3</t>
  </si>
  <si>
    <t>22.1-1-43</t>
  </si>
  <si>
    <t>СН-2012-2023.22. База. п.1-1-43 (012102)</t>
  </si>
  <si>
    <t>Бульдозеры гусеничные, мощность до 59 кВт (80 л.с.)</t>
  </si>
  <si>
    <t>22.1-1-5</t>
  </si>
  <si>
    <t>СН-2012-2023.22. База. п.1-1-5 (010109)</t>
  </si>
  <si>
    <t>Экскаваторы на гусеничном ходу гидравлические, объем ковша до 0,65 м3</t>
  </si>
  <si>
    <t>22.1-10-4</t>
  </si>
  <si>
    <t>СН-2012-2023.22. База. п.1-10-4 (101001)</t>
  </si>
  <si>
    <t>Компрессоры с дизельным двигателем прицепные до 2,5 м3/мин</t>
  </si>
  <si>
    <t>22.1-18-27</t>
  </si>
  <si>
    <t>СН-2012-2023.22. База. п.1-18-27 (183301)</t>
  </si>
  <si>
    <t>Автомобили грузовые для аварийно-ремонтных работ, грузоподъемность до 7 т</t>
  </si>
  <si>
    <t>22.1-4-1</t>
  </si>
  <si>
    <t>СН-2012-2023.22. База. п.1-4-1 (040101)</t>
  </si>
  <si>
    <t>Погрузчики универсальные на пневмоколесном ходу, грузоподъемность до 1 т</t>
  </si>
  <si>
    <t>21.3-1-36</t>
  </si>
  <si>
    <t>СН-2012-2023.21. База. Р.3, о.1, поз.36</t>
  </si>
  <si>
    <t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</si>
  <si>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21.3-2-15</t>
  </si>
  <si>
    <t>СН-2012-2023.21. База. Р.3, о.2, поз.15</t>
  </si>
  <si>
    <t>Растворы цементные, марка 100</t>
  </si>
  <si>
    <t>21.5-3-13</t>
  </si>
  <si>
    <t>СН-2012-2023.21. База. Р.5, о.3, поз.13</t>
  </si>
  <si>
    <t>Камни бетонные бортовые, марка БР 100.30.15</t>
  </si>
  <si>
    <t>9999990001</t>
  </si>
  <si>
    <t>Масса мусора</t>
  </si>
  <si>
    <t>22.1-10-6</t>
  </si>
  <si>
    <t>СН-2012-2023.22. База. п.1-10-6 (101003)</t>
  </si>
  <si>
    <t>Компрессоры с дизельным двигателем прицепные до 6 м3/мин</t>
  </si>
  <si>
    <t>22.1-1-28</t>
  </si>
  <si>
    <t>СН-2012-2023.22. База. п.1-1-28 (010803)</t>
  </si>
  <si>
    <t>Экскаваторы-погрузчики на пневмоколесном ходу гидравлические, грузоподъемность до 0,5 т</t>
  </si>
  <si>
    <t>22.1-17-82</t>
  </si>
  <si>
    <t>СН-2012-2023.22. База. п.1-17-82 (177201)</t>
  </si>
  <si>
    <t>Виброплиты для уплотнения песка, гравия и бетона</t>
  </si>
  <si>
    <t>21.3-1-65</t>
  </si>
  <si>
    <t>СН-2012-2023.21. База. Р.3, о.1, поз.65</t>
  </si>
  <si>
    <t>Смеси бетонные, БСГ, тяжелого бетона на гранитном щебне, класс прочности: В10 (М150); П3, фракция 5-20</t>
  </si>
  <si>
    <t>22.1-2-1</t>
  </si>
  <si>
    <t>СН-2012-2023.22. База. п.1-2-1 (020101)</t>
  </si>
  <si>
    <t>Тракторы на гусеничном ходу, мощность до 60 (81) кВт (л.с.)</t>
  </si>
  <si>
    <t>22.1-5-15</t>
  </si>
  <si>
    <t>СН-2012-2023.22. База. п.1-5-15 (050703)</t>
  </si>
  <si>
    <t>Катки прицепные пневмоколесные, масса до 50 т</t>
  </si>
  <si>
    <t>22.1-5-18</t>
  </si>
  <si>
    <t>СН-2012-2023.22. База. п.1-5-18 (050902)</t>
  </si>
  <si>
    <t>Поливомоечные машины, емкость цистерны более 5000 л</t>
  </si>
  <si>
    <t>22.1-5-7</t>
  </si>
  <si>
    <t>СН-2012-2023.22. База. п.1-5-7 (050301)</t>
  </si>
  <si>
    <t>Катки дорожные самоходные на пневмоколесном ходу, масса до 16 т</t>
  </si>
  <si>
    <t>21.1-12-10</t>
  </si>
  <si>
    <t>СН-2012-2023.21. База. Р.1, о.12, поз.10</t>
  </si>
  <si>
    <t>Песок для дорожных работ, рядовой</t>
  </si>
  <si>
    <t>22.1-5-2</t>
  </si>
  <si>
    <t>СН-2012-2023.22. База. п.1-5-2 (050102)</t>
  </si>
  <si>
    <t>Катки самоходные вибрационные, масса до 8 т</t>
  </si>
  <si>
    <t>22.1-5-3</t>
  </si>
  <si>
    <t>СН-2012-2023.22. База. п.1-5-3 (050103)</t>
  </si>
  <si>
    <t>Катки самоходные вибрационные, масса более 8 т</t>
  </si>
  <si>
    <t>21.1-12-36</t>
  </si>
  <si>
    <t>СН-2012-2023.21. База. Р.1, о.12, поз.36</t>
  </si>
  <si>
    <t>Щебень из естественного камня для строительных работ, марка 1200-800, фракция 20-40 мм</t>
  </si>
  <si>
    <t>22.1-5-24</t>
  </si>
  <si>
    <t>СН-2012-2023.22. База. п.1-5-24 (051801)</t>
  </si>
  <si>
    <t>Финишеры трубчатые на пневмоколесном ходу</t>
  </si>
  <si>
    <t>22.1-5-27</t>
  </si>
  <si>
    <t>СН-2012-2023.22. База. п.1-5-27 (052101)</t>
  </si>
  <si>
    <t>Бетоноукладчики пневматические, емкость бункера до 3,3 м3</t>
  </si>
  <si>
    <t>22.1-5-32</t>
  </si>
  <si>
    <t>СН-2012-2023.22. База. п.1-5-32 (053201)</t>
  </si>
  <si>
    <t>Агрегаты для распределения пленкообразующих материалов по цементному покрытию</t>
  </si>
  <si>
    <t>21.1-6-209</t>
  </si>
  <si>
    <t>СН-2012-2023.21. База. Р.1, о.6, поз.209</t>
  </si>
  <si>
    <t>Материалы пленкообразующие для дорожных работ</t>
  </si>
  <si>
    <t>21.3-1-43</t>
  </si>
  <si>
    <t>СН-2012-2023.21. База. Р.3, о.1, поз.43</t>
  </si>
  <si>
    <t>Смеси бетонные, БСГ, тяжелого бетона на гранитном щебне фракция 5-20 для инженерных коммуникаций и дорог, класс прочности: В25 (М350); П3, F200, W8</t>
  </si>
  <si>
    <t>22.1-5-4</t>
  </si>
  <si>
    <t>СН-2012-2023.22. База. п.1-5-4 (050201)</t>
  </si>
  <si>
    <t>Катки дорожные самоходные статические, масса до 5 т</t>
  </si>
  <si>
    <t>22.1-5-5</t>
  </si>
  <si>
    <t>СН-2012-2023.22. База. п.1-5-5 (050202)</t>
  </si>
  <si>
    <t>Катки дорожные самоходные статические, масса до 10 т</t>
  </si>
  <si>
    <t>21.3-3-18</t>
  </si>
  <si>
    <t>СН-2012-2023.21. База. Р.3, о.3, поз.18</t>
  </si>
  <si>
    <t>Смеси асфальтобетонные дорожные горячие мелкозернистые, марка I, тип Б</t>
  </si>
  <si>
    <t>21.3-3-3</t>
  </si>
  <si>
    <t>СН-2012-2023.21. База. Р.3, о.3, поз.3</t>
  </si>
  <si>
    <t>Асфальт литой для покрытий, марка ЛIV</t>
  </si>
  <si>
    <t>22.1-1-3</t>
  </si>
  <si>
    <t>СН-2012-2023.22. База. п.1-1-3 (010103)</t>
  </si>
  <si>
    <t>Экскаваторы на гусеничном ходу гидравлические, объем ковша до 0,4 м3</t>
  </si>
  <si>
    <t>21.3-1-69</t>
  </si>
  <si>
    <t>СН-2012-2023.21. База. Р.3, о.1, поз.69</t>
  </si>
  <si>
    <t>Смеси бетонные, БСГ, тяжелого бетона на гранитном щебне, класс прочности: В15 (М200); П3, фракция 5-20, F50-100, W0-2</t>
  </si>
  <si>
    <t>22.1-6-51</t>
  </si>
  <si>
    <t>СН-2012-2023.22. База. п.1-6-51 (069401)</t>
  </si>
  <si>
    <t>Вибраторы поверхностные</t>
  </si>
  <si>
    <t>21.1-20-17</t>
  </si>
  <si>
    <t>СН-2012-2023.21. База. Р.1, о.20, поз.17</t>
  </si>
  <si>
    <t>Мешковина</t>
  </si>
  <si>
    <t>21.3-1-64</t>
  </si>
  <si>
    <t>СН-2012-2023.21. База. Р.3, о.1, поз.64</t>
  </si>
  <si>
    <t>Смеси бетонные, БСГ, тяжелого бетона на гранитном щебне, класс прочности: В7,5 (М100); П3, фракция 5-20</t>
  </si>
  <si>
    <t>22.1-18-13</t>
  </si>
  <si>
    <t>СН-2012-2023.22. База. п.1-18-13 (184002)</t>
  </si>
  <si>
    <t>Автомобили-самосвалы, грузоподъемность до 10 т</t>
  </si>
  <si>
    <t>22.1-18-12</t>
  </si>
  <si>
    <t>СН-2012-2023.22. База. п.1-18-12 (184001)</t>
  </si>
  <si>
    <t>Автомобили-самосвалы, грузоподъемность до 7 т</t>
  </si>
  <si>
    <t>СН-2012-2022.22. База. п.1-1-5 (010109)</t>
  </si>
  <si>
    <t>СН-2012-2022.22. База. п.1-18-13 (184002)</t>
  </si>
  <si>
    <t>0930114000</t>
  </si>
  <si>
    <t>Сталь арматурная класса А-1</t>
  </si>
  <si>
    <t>1213000000</t>
  </si>
  <si>
    <t>Сетка сварная из холоднотянутой проволоки 5 мм</t>
  </si>
  <si>
    <t>"СОГЛАСОВАНО"</t>
  </si>
  <si>
    <t>"УТВЕРЖДАЮ"</t>
  </si>
  <si>
    <t>Форма № 1а (глава 1-5)</t>
  </si>
  <si>
    <t>"_____"________________ 2022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</si>
  <si>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</si>
  <si>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</si>
  <si>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</si>
  <si>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</si>
  <si>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</si>
  <si>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</si>
  <si>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</si>
  <si>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</si>
  <si>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</si>
  <si>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</si>
  <si>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</si>
  <si>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</si>
  <si>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</si>
  <si>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</si>
  <si>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</si>
  <si>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</si>
  <si>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</si>
  <si>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</si>
  <si>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</si>
  <si>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</si>
  <si>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</si>
  <si>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</si>
  <si>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2022 года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</si>
  <si>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</si>
  <si>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</si>
  <si>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</si>
  <si>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</si>
  <si>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</si>
  <si>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</si>
  <si>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</si>
  <si>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</si>
  <si>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</si>
  <si>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</si>
  <si>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 xml:space="preserve">Составил   </t>
  </si>
  <si>
    <t>[должность,подпись(инициалы,фамилия)]</t>
  </si>
  <si>
    <t xml:space="preserve">Проверил   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</si>
  <si>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</si>
  <si>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</si>
  <si>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</si>
  <si>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</si>
  <si>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</si>
  <si>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</si>
  <si>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</si>
  <si>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</si>
  <si>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</si>
  <si>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</si>
  <si>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</si>
  <si>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</si>
  <si>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</si>
  <si>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</si>
  <si>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</si>
  <si>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</si>
  <si>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</si>
  <si>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</si>
  <si>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</si>
  <si>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</si>
  <si>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</si>
  <si>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</si>
  <si>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</si>
  <si>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</si>
  <si>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WBS</t>
  </si>
  <si>
    <t>CBSI</t>
  </si>
  <si>
    <t>CBSII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</si>
  <si>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</si>
  <si>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</si>
  <si>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</si>
  <si>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</si>
  <si>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</si>
  <si>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</si>
  <si>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</si>
  <si>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</si>
  <si>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</si>
  <si>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</si>
  <si>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</si>
  <si>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</si>
  <si>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ViewCodes</t>
  </si>
  <si>
    <t>UnionCodes</t>
  </si>
  <si>
    <t>Ресурсная ведомость на</t>
  </si>
  <si>
    <t>Объект: по адресу г. Москва, Ул. Авиаторов, д.28.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</si>
  <si>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</si>
  <si>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</si>
  <si>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</si>
  <si>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</si>
  <si>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</si>
  <si>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</si>
  <si>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Материальные ресурсы </t>
  </si>
  <si>
    <t xml:space="preserve">Итого материальные ресурсы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</si>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</sst>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0" fillId="0" borderId="0" xfId="0" applyNumberFormat="1"/>
    <xf numFmtId="0" fontId="17" fillId="0" borderId="0" xfId="0" applyFont="1" applyAlignment="1">
      <alignment horizontal="right"/>
    </xf>
    <xf numFmtId="0" fontId="0" fillId="0" borderId="6" xfId="0" applyBorder="1"/>
    <xf numFmtId="165" fontId="17" fillId="0" borderId="6" xfId="0" applyNumberFormat="1" applyFont="1" applyBorder="1" applyAlignment="1">
      <alignment horizontal="right"/>
    </xf>
    <xf numFmtId="0" fontId="8" fillId="0" borderId="0" xfId="0" applyFont="1" applyAlignment="1">
      <alignment vertical="top" wrapText="1"/>
    </xf>
    <xf numFmtId="0" fontId="10" fillId="0" borderId="0" xfId="0" quotePrefix="1" applyFont="1" applyAlignment="1">
      <alignment horizontal="right" wrapText="1"/>
    </xf>
    <xf numFmtId="0" fontId="17" fillId="0" borderId="0" xfId="0" applyFont="1"/>
    <xf numFmtId="0" fontId="10" fillId="0" borderId="1" xfId="0" applyFont="1" applyBorder="1"/>
    <xf numFmtId="0" fontId="11" fillId="0" borderId="3" xfId="0" quotePrefix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right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165" fontId="10" fillId="0" borderId="3" xfId="0" applyNumberFormat="1" applyFont="1" applyBorder="1" applyAlignment="1">
      <alignment horizontal="right" wrapText="1"/>
    </xf>
    <xf numFmtId="0" fontId="17" fillId="0" borderId="0" xfId="0" applyFont="1" applyBorder="1" applyAlignment="1">
      <alignment horizontal="right"/>
    </xf>
    <xf numFmtId="0" fontId="17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5" fontId="17" fillId="0" borderId="6" xfId="0" applyNumberFormat="1" applyFont="1" applyBorder="1" applyAlignment="1">
      <alignment horizontal="right"/>
    </xf>
    <xf numFmtId="0" fontId="11" fillId="0" borderId="0" xfId="0" applyFont="1" applyAlignment="1">
      <alignment horizontal="center" wrapText="1"/>
    </xf>
    <xf numFmtId="165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5" fontId="17" fillId="0" borderId="3" xfId="0" applyNumberFormat="1" applyFont="1" applyBorder="1" applyAlignment="1">
      <alignment horizontal="right"/>
    </xf>
    <xf numFmtId="0" fontId="11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abSelected="1" topLeftCell="A142" zoomScale="70" zoomScaleNormal="70" workbookViewId="0">
      <selection activeCell="I300" sqref="I300:J300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5" width="11.7109375" customWidth="1"/>
    <col min="6" max="6" width="14.140625" customWidth="1"/>
    <col min="7" max="7" width="12.7109375" customWidth="1"/>
    <col min="9" max="10" width="12.7109375" customWidth="1"/>
    <col min="11" max="11" width="14.5703125" customWidth="1"/>
    <col min="15" max="36" width="0" hidden="1" customWidth="1"/>
  </cols>
  <sheetData>
    <row r="1" spans="1:11" x14ac:dyDescent="0.2">
      <c r="A1" s="8" t="str">
        <f>CONCATENATE(Source!B1, "     СН-2012 (© ОАО МЦЦС 'Мосстройцены', ", "2022", ")")</f>
        <v>Smeta.RU  (495) 974-1589     СН-2012 (© ОАО МЦЦС 'Мосстройцены', 2022)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51" t="s">
        <v>343</v>
      </c>
      <c r="K2" s="51"/>
    </row>
    <row r="3" spans="1:11" ht="16.5" x14ac:dyDescent="0.25">
      <c r="A3" s="11"/>
      <c r="B3" s="57" t="s">
        <v>341</v>
      </c>
      <c r="C3" s="57"/>
      <c r="D3" s="57"/>
      <c r="E3" s="57"/>
      <c r="F3" s="10"/>
      <c r="G3" s="57" t="s">
        <v>342</v>
      </c>
      <c r="H3" s="57"/>
      <c r="I3" s="57"/>
      <c r="J3" s="57"/>
      <c r="K3" s="57"/>
    </row>
    <row r="4" spans="1:11" ht="14.25" x14ac:dyDescent="0.2">
      <c r="A4" s="10"/>
      <c r="B4" s="49"/>
      <c r="C4" s="49"/>
      <c r="D4" s="49"/>
      <c r="E4" s="49"/>
      <c r="F4" s="10"/>
      <c r="G4" s="49"/>
      <c r="H4" s="49"/>
      <c r="I4" s="49"/>
      <c r="J4" s="49"/>
      <c r="K4" s="49"/>
    </row>
    <row r="5" spans="1:11" ht="14.25" x14ac:dyDescent="0.2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11" ht="14.25" x14ac:dyDescent="0.2">
      <c r="A6" s="14"/>
      <c r="B6" s="49" t="str">
        <f>CONCATENATE("______________________ ", IF(Source!AL12&lt;&gt;"", Source!AL12, ""))</f>
        <v xml:space="preserve">______________________ </v>
      </c>
      <c r="C6" s="49"/>
      <c r="D6" s="49"/>
      <c r="E6" s="49"/>
      <c r="F6" s="10"/>
      <c r="G6" s="49" t="str">
        <f>CONCATENATE("______________________ ", IF(Source!AH12&lt;&gt;"", Source!AH12, ""))</f>
        <v xml:space="preserve">______________________ </v>
      </c>
      <c r="H6" s="49"/>
      <c r="I6" s="49"/>
      <c r="J6" s="49"/>
      <c r="K6" s="49"/>
    </row>
    <row r="7" spans="1:11" ht="14.25" x14ac:dyDescent="0.2">
      <c r="A7" s="15"/>
      <c r="B7" s="52" t="s">
        <v>344</v>
      </c>
      <c r="C7" s="52"/>
      <c r="D7" s="52"/>
      <c r="E7" s="52"/>
      <c r="F7" s="10"/>
      <c r="G7" s="52" t="s">
        <v>344</v>
      </c>
      <c r="H7" s="52"/>
      <c r="I7" s="52"/>
      <c r="J7" s="52"/>
      <c r="K7" s="52"/>
    </row>
    <row r="9" spans="1:1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x14ac:dyDescent="0.25">
      <c r="A10" s="53" t="str">
        <f>CONCATENATE( "ЛОКАЛЬНАЯ СМЕТА № ",IF(Source!F20&lt;&gt;"Новая локальная смета", Source!F20, ""))</f>
        <v xml:space="preserve">ЛОКАЛЬНАЯ СМЕТА № 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spans="1:11" x14ac:dyDescent="0.2">
      <c r="A11" s="55" t="s">
        <v>345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8" x14ac:dyDescent="0.25">
      <c r="A13" s="56" t="str">
        <f>IF(Source!G20&lt;&gt;"Новая локальная смета", Source!G20, "")</f>
        <v>ГБОУ Школа №1542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 spans="1:11" ht="14.2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8" x14ac:dyDescent="0.25">
      <c r="A15" s="58" t="str">
        <f>IF(Source!G12&lt;&gt;"Новый объект", Source!G12, "")</f>
        <v>по адресу г. Москва, Ул. Авиаторов, д.28.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2">
      <c r="A16" s="55" t="s">
        <v>346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60" t="str">
        <f>CONCATENATE( "Основание: чертежи № ", Source!J20)</f>
        <v xml:space="preserve">Основание: чертежи № 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49" t="s">
        <v>347</v>
      </c>
      <c r="G20" s="49"/>
      <c r="H20" s="49"/>
      <c r="I20" s="50">
        <f>I21+I22+I23+I24</f>
        <v>3980.96</v>
      </c>
      <c r="J20" s="51"/>
      <c r="K20" s="10" t="s">
        <v>348</v>
      </c>
    </row>
    <row r="21" spans="1:11" ht="14.25" hidden="1" x14ac:dyDescent="0.2">
      <c r="A21" s="10"/>
      <c r="B21" s="10"/>
      <c r="C21" s="10"/>
      <c r="D21" s="10"/>
      <c r="E21" s="10"/>
      <c r="F21" s="49" t="s">
        <v>349</v>
      </c>
      <c r="G21" s="49"/>
      <c r="H21" s="49"/>
      <c r="I21" s="50">
        <f>ROUND((Source!F248)/1000, 2)</f>
        <v>0</v>
      </c>
      <c r="J21" s="51"/>
      <c r="K21" s="10" t="s">
        <v>348</v>
      </c>
    </row>
    <row r="22" spans="1:11" ht="14.25" hidden="1" x14ac:dyDescent="0.2">
      <c r="A22" s="10"/>
      <c r="B22" s="10"/>
      <c r="C22" s="10"/>
      <c r="D22" s="10"/>
      <c r="E22" s="10"/>
      <c r="F22" s="49" t="s">
        <v>350</v>
      </c>
      <c r="G22" s="49"/>
      <c r="H22" s="49"/>
      <c r="I22" s="50">
        <f>ROUND((Source!F249)/1000, 2)</f>
        <v>0</v>
      </c>
      <c r="J22" s="51"/>
      <c r="K22" s="10" t="s">
        <v>348</v>
      </c>
    </row>
    <row r="23" spans="1:11" ht="14.25" hidden="1" x14ac:dyDescent="0.2">
      <c r="A23" s="10"/>
      <c r="B23" s="10"/>
      <c r="C23" s="10"/>
      <c r="D23" s="10"/>
      <c r="E23" s="10"/>
      <c r="F23" s="49" t="s">
        <v>351</v>
      </c>
      <c r="G23" s="49"/>
      <c r="H23" s="49"/>
      <c r="I23" s="50">
        <f>ROUND((Source!F240)/1000, 2)</f>
        <v>0</v>
      </c>
      <c r="J23" s="51"/>
      <c r="K23" s="10" t="s">
        <v>348</v>
      </c>
    </row>
    <row r="24" spans="1:11" ht="14.25" hidden="1" x14ac:dyDescent="0.2">
      <c r="A24" s="10"/>
      <c r="B24" s="10"/>
      <c r="C24" s="10"/>
      <c r="D24" s="10"/>
      <c r="E24" s="10"/>
      <c r="F24" s="49" t="s">
        <v>352</v>
      </c>
      <c r="G24" s="49"/>
      <c r="H24" s="49"/>
      <c r="I24" s="50">
        <f>ROUND((Source!F250+Source!F251)/1000, 2)</f>
        <v>3980.96</v>
      </c>
      <c r="J24" s="51"/>
      <c r="K24" s="10" t="s">
        <v>348</v>
      </c>
    </row>
    <row r="25" spans="1:11" ht="14.25" x14ac:dyDescent="0.2">
      <c r="A25" s="10"/>
      <c r="B25" s="10"/>
      <c r="C25" s="10"/>
      <c r="D25" s="10"/>
      <c r="E25" s="10"/>
      <c r="F25" s="49" t="s">
        <v>353</v>
      </c>
      <c r="G25" s="49"/>
      <c r="H25" s="49"/>
      <c r="I25" s="50">
        <f>(Source!F246+ Source!F245)/1000</f>
        <v>800.73203000000001</v>
      </c>
      <c r="J25" s="51"/>
      <c r="K25" s="10" t="s">
        <v>348</v>
      </c>
    </row>
    <row r="26" spans="1:11" ht="14.25" x14ac:dyDescent="0.2">
      <c r="A26" s="10" t="s">
        <v>367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25" x14ac:dyDescent="0.2">
      <c r="A27" s="61" t="s">
        <v>354</v>
      </c>
      <c r="B27" s="61" t="s">
        <v>355</v>
      </c>
      <c r="C27" s="61" t="s">
        <v>356</v>
      </c>
      <c r="D27" s="61" t="s">
        <v>357</v>
      </c>
      <c r="E27" s="61" t="s">
        <v>358</v>
      </c>
      <c r="F27" s="61" t="s">
        <v>359</v>
      </c>
      <c r="G27" s="61" t="s">
        <v>360</v>
      </c>
      <c r="H27" s="61" t="s">
        <v>361</v>
      </c>
      <c r="I27" s="61" t="s">
        <v>362</v>
      </c>
      <c r="J27" s="61" t="s">
        <v>363</v>
      </c>
      <c r="K27" s="18" t="s">
        <v>364</v>
      </c>
    </row>
    <row r="28" spans="1:11" ht="28.5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19" t="s">
        <v>365</v>
      </c>
    </row>
    <row r="29" spans="1:11" ht="28.5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19" t="s">
        <v>366</v>
      </c>
    </row>
    <row r="30" spans="1:11" ht="14.25" x14ac:dyDescent="0.2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5" x14ac:dyDescent="0.25">
      <c r="A32" s="64" t="str">
        <f>CONCATENATE("Раздел: ",IF(Source!G24&lt;&gt;"Новый раздел", Source!G24, ""))</f>
        <v>Раздел: Ремонт дорожек и тротуаров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</row>
    <row r="33" spans="1:22" ht="71.25" x14ac:dyDescent="0.2">
      <c r="A33" s="20">
        <v>1</v>
      </c>
      <c r="B33" s="20" t="str">
        <f>Source!F28</f>
        <v>2.1-3104-2-1/1</v>
      </c>
      <c r="C33" s="20" t="str">
        <f>Source!G28</f>
        <v>Срезка поверхностного слоя асфальтобетонных дорожных покрытий методом холодного фрезерования, при ширине барабана фрезы 1000 мм и толщине слоя 5 см</v>
      </c>
      <c r="D33" s="21" t="str">
        <f>Source!H28</f>
        <v>м2</v>
      </c>
      <c r="E33" s="9">
        <f>Source!I28</f>
        <v>819</v>
      </c>
      <c r="F33" s="23"/>
      <c r="G33" s="22"/>
      <c r="H33" s="9"/>
      <c r="I33" s="9"/>
      <c r="J33" s="23"/>
      <c r="K33" s="23"/>
      <c r="Q33">
        <f>ROUND((Source!BZ28/100)*ROUND((Source!AF28*Source!AV28)*Source!I28, 2), 2)</f>
        <v>4420.1400000000003</v>
      </c>
      <c r="R33">
        <f>Source!X28</f>
        <v>4420.1400000000003</v>
      </c>
      <c r="S33">
        <f>ROUND((Source!CA28/100)*ROUND((Source!AF28*Source!AV28)*Source!I28, 2), 2)</f>
        <v>631.45000000000005</v>
      </c>
      <c r="T33">
        <f>Source!Y28</f>
        <v>631.45000000000005</v>
      </c>
      <c r="U33">
        <f>ROUND((175/100)*ROUND((Source!AE28*Source!AV28)*Source!I28, 2), 2)</f>
        <v>58548.26</v>
      </c>
      <c r="V33">
        <f>ROUND((108/100)*ROUND(Source!CS28*Source!I28, 2), 2)</f>
        <v>36132.639999999999</v>
      </c>
    </row>
    <row r="34" spans="1:22" ht="14.25" x14ac:dyDescent="0.2">
      <c r="A34" s="20"/>
      <c r="B34" s="20"/>
      <c r="C34" s="20" t="s">
        <v>368</v>
      </c>
      <c r="D34" s="21"/>
      <c r="E34" s="9"/>
      <c r="F34" s="23">
        <f>Source!AO28</f>
        <v>7.71</v>
      </c>
      <c r="G34" s="22" t="str">
        <f>Source!DG28</f>
        <v/>
      </c>
      <c r="H34" s="9">
        <f>Source!AV28</f>
        <v>1</v>
      </c>
      <c r="I34" s="9">
        <f>IF(Source!BA28&lt;&gt; 0, Source!BA28, 1)</f>
        <v>1</v>
      </c>
      <c r="J34" s="23">
        <f>Source!S28</f>
        <v>6314.49</v>
      </c>
      <c r="K34" s="23"/>
    </row>
    <row r="35" spans="1:22" ht="14.25" x14ac:dyDescent="0.2">
      <c r="A35" s="20"/>
      <c r="B35" s="20"/>
      <c r="C35" s="20" t="s">
        <v>369</v>
      </c>
      <c r="D35" s="21"/>
      <c r="E35" s="9"/>
      <c r="F35" s="23">
        <f>Source!AM28</f>
        <v>79.47</v>
      </c>
      <c r="G35" s="22" t="str">
        <f>Source!DE28</f>
        <v/>
      </c>
      <c r="H35" s="9">
        <f>Source!AV28</f>
        <v>1</v>
      </c>
      <c r="I35" s="9">
        <f>IF(Source!BB28&lt;&gt; 0, Source!BB28, 1)</f>
        <v>1</v>
      </c>
      <c r="J35" s="23">
        <f>Source!Q28</f>
        <v>65085.93</v>
      </c>
      <c r="K35" s="23"/>
    </row>
    <row r="36" spans="1:22" ht="14.25" x14ac:dyDescent="0.2">
      <c r="A36" s="20"/>
      <c r="B36" s="20"/>
      <c r="C36" s="20" t="s">
        <v>370</v>
      </c>
      <c r="D36" s="21"/>
      <c r="E36" s="9"/>
      <c r="F36" s="23">
        <f>Source!AN28</f>
        <v>40.85</v>
      </c>
      <c r="G36" s="22" t="str">
        <f>Source!DF28</f>
        <v/>
      </c>
      <c r="H36" s="9">
        <f>Source!AV28</f>
        <v>1</v>
      </c>
      <c r="I36" s="9">
        <f>IF(Source!BS28&lt;&gt; 0, Source!BS28, 1)</f>
        <v>1</v>
      </c>
      <c r="J36" s="24">
        <f>Source!R28</f>
        <v>33456.15</v>
      </c>
      <c r="K36" s="23"/>
    </row>
    <row r="37" spans="1:22" ht="14.25" x14ac:dyDescent="0.2">
      <c r="A37" s="20"/>
      <c r="B37" s="20"/>
      <c r="C37" s="20" t="s">
        <v>371</v>
      </c>
      <c r="D37" s="21"/>
      <c r="E37" s="9"/>
      <c r="F37" s="23">
        <f>Source!AL28</f>
        <v>23.64</v>
      </c>
      <c r="G37" s="22" t="str">
        <f>Source!DD28</f>
        <v/>
      </c>
      <c r="H37" s="9">
        <f>Source!AW28</f>
        <v>1</v>
      </c>
      <c r="I37" s="9">
        <f>IF(Source!BC28&lt;&gt; 0, Source!BC28, 1)</f>
        <v>1</v>
      </c>
      <c r="J37" s="23">
        <f>Source!P28</f>
        <v>19361.16</v>
      </c>
      <c r="K37" s="23"/>
    </row>
    <row r="38" spans="1:22" ht="14.25" x14ac:dyDescent="0.2">
      <c r="A38" s="20"/>
      <c r="B38" s="20"/>
      <c r="C38" s="20" t="s">
        <v>372</v>
      </c>
      <c r="D38" s="21" t="s">
        <v>373</v>
      </c>
      <c r="E38" s="9">
        <f>Source!AT28</f>
        <v>70</v>
      </c>
      <c r="F38" s="23"/>
      <c r="G38" s="22"/>
      <c r="H38" s="9"/>
      <c r="I38" s="9"/>
      <c r="J38" s="23">
        <f>SUM(R33:R37)</f>
        <v>4420.1400000000003</v>
      </c>
      <c r="K38" s="23"/>
    </row>
    <row r="39" spans="1:22" ht="14.25" x14ac:dyDescent="0.2">
      <c r="A39" s="20"/>
      <c r="B39" s="20"/>
      <c r="C39" s="20" t="s">
        <v>374</v>
      </c>
      <c r="D39" s="21" t="s">
        <v>373</v>
      </c>
      <c r="E39" s="9">
        <f>Source!AU28</f>
        <v>10</v>
      </c>
      <c r="F39" s="23"/>
      <c r="G39" s="22"/>
      <c r="H39" s="9"/>
      <c r="I39" s="9"/>
      <c r="J39" s="23">
        <f>SUM(T33:T38)</f>
        <v>631.45000000000005</v>
      </c>
      <c r="K39" s="23"/>
    </row>
    <row r="40" spans="1:22" ht="14.25" x14ac:dyDescent="0.2">
      <c r="A40" s="20"/>
      <c r="B40" s="20"/>
      <c r="C40" s="20" t="s">
        <v>375</v>
      </c>
      <c r="D40" s="21" t="s">
        <v>373</v>
      </c>
      <c r="E40" s="9">
        <f>108</f>
        <v>108</v>
      </c>
      <c r="F40" s="23"/>
      <c r="G40" s="22"/>
      <c r="H40" s="9"/>
      <c r="I40" s="9"/>
      <c r="J40" s="23">
        <f>SUM(V33:V39)</f>
        <v>36132.639999999999</v>
      </c>
      <c r="K40" s="23"/>
    </row>
    <row r="41" spans="1:22" ht="14.25" x14ac:dyDescent="0.2">
      <c r="A41" s="20"/>
      <c r="B41" s="20"/>
      <c r="C41" s="20" t="s">
        <v>376</v>
      </c>
      <c r="D41" s="21" t="s">
        <v>377</v>
      </c>
      <c r="E41" s="9">
        <f>Source!AQ28</f>
        <v>0.03</v>
      </c>
      <c r="F41" s="23"/>
      <c r="G41" s="22" t="str">
        <f>Source!DI28</f>
        <v/>
      </c>
      <c r="H41" s="9">
        <f>Source!AV28</f>
        <v>1</v>
      </c>
      <c r="I41" s="9"/>
      <c r="J41" s="23"/>
      <c r="K41" s="23">
        <f>Source!U28</f>
        <v>24.57</v>
      </c>
    </row>
    <row r="42" spans="1:22" ht="15" x14ac:dyDescent="0.25">
      <c r="A42" s="27"/>
      <c r="B42" s="27"/>
      <c r="C42" s="27"/>
      <c r="D42" s="27"/>
      <c r="E42" s="27"/>
      <c r="F42" s="27"/>
      <c r="G42" s="27"/>
      <c r="H42" s="27"/>
      <c r="I42" s="63">
        <f>J34+J35+J37+J38+J39+J40</f>
        <v>131945.81</v>
      </c>
      <c r="J42" s="63"/>
      <c r="K42" s="28">
        <f>IF(Source!I28&lt;&gt;0, ROUND(I42/Source!I28, 2), 0)</f>
        <v>161.11000000000001</v>
      </c>
      <c r="P42" s="25">
        <f>I42</f>
        <v>131945.81</v>
      </c>
    </row>
    <row r="43" spans="1:22" ht="28.5" x14ac:dyDescent="0.2">
      <c r="A43" s="20">
        <v>2</v>
      </c>
      <c r="B43" s="20" t="str">
        <f>Source!F29</f>
        <v>2.1-3104-1-4/1</v>
      </c>
      <c r="C43" s="20" t="str">
        <f>Source!G29</f>
        <v>Разборка покрытий и оснований асфальтобетонных</v>
      </c>
      <c r="D43" s="21" t="str">
        <f>Source!H29</f>
        <v>100 м3</v>
      </c>
      <c r="E43" s="9">
        <f>Source!I29</f>
        <v>0.11</v>
      </c>
      <c r="F43" s="23"/>
      <c r="G43" s="22"/>
      <c r="H43" s="9"/>
      <c r="I43" s="9"/>
      <c r="J43" s="23"/>
      <c r="K43" s="23"/>
      <c r="Q43">
        <f>ROUND((Source!BZ29/100)*ROUND((Source!AF29*Source!AV29)*Source!I29, 2), 2)</f>
        <v>2575.5700000000002</v>
      </c>
      <c r="R43">
        <f>Source!X29</f>
        <v>2575.5700000000002</v>
      </c>
      <c r="S43">
        <f>ROUND((Source!CA29/100)*ROUND((Source!AF29*Source!AV29)*Source!I29, 2), 2)</f>
        <v>367.94</v>
      </c>
      <c r="T43">
        <f>Source!Y29</f>
        <v>367.94</v>
      </c>
      <c r="U43">
        <f>ROUND((175/100)*ROUND((Source!AE29*Source!AV29)*Source!I29, 2), 2)</f>
        <v>3579.17</v>
      </c>
      <c r="V43">
        <f>ROUND((108/100)*ROUND(Source!CS29*Source!I29, 2), 2)</f>
        <v>2208.86</v>
      </c>
    </row>
    <row r="44" spans="1:22" x14ac:dyDescent="0.2">
      <c r="C44" s="29" t="str">
        <f>"Объем: "&amp;Source!I29&amp;"=11/"&amp;"100"</f>
        <v>Объем: 0,11=11/100</v>
      </c>
    </row>
    <row r="45" spans="1:22" ht="14.25" x14ac:dyDescent="0.2">
      <c r="A45" s="20"/>
      <c r="B45" s="20"/>
      <c r="C45" s="20" t="s">
        <v>368</v>
      </c>
      <c r="D45" s="21"/>
      <c r="E45" s="9"/>
      <c r="F45" s="23">
        <f>Source!AO29</f>
        <v>33449</v>
      </c>
      <c r="G45" s="22" t="str">
        <f>Source!DG29</f>
        <v/>
      </c>
      <c r="H45" s="9">
        <f>Source!AV29</f>
        <v>1</v>
      </c>
      <c r="I45" s="9">
        <f>IF(Source!BA29&lt;&gt; 0, Source!BA29, 1)</f>
        <v>1</v>
      </c>
      <c r="J45" s="23">
        <f>Source!S29</f>
        <v>3679.39</v>
      </c>
      <c r="K45" s="23"/>
    </row>
    <row r="46" spans="1:22" ht="14.25" x14ac:dyDescent="0.2">
      <c r="A46" s="20"/>
      <c r="B46" s="20"/>
      <c r="C46" s="20" t="s">
        <v>369</v>
      </c>
      <c r="D46" s="21"/>
      <c r="E46" s="9"/>
      <c r="F46" s="23">
        <f>Source!AM29</f>
        <v>34100.07</v>
      </c>
      <c r="G46" s="22" t="str">
        <f>Source!DE29</f>
        <v/>
      </c>
      <c r="H46" s="9">
        <f>Source!AV29</f>
        <v>1</v>
      </c>
      <c r="I46" s="9">
        <f>IF(Source!BB29&lt;&gt; 0, Source!BB29, 1)</f>
        <v>1</v>
      </c>
      <c r="J46" s="23">
        <f>Source!Q29</f>
        <v>3751.01</v>
      </c>
      <c r="K46" s="23"/>
    </row>
    <row r="47" spans="1:22" ht="14.25" x14ac:dyDescent="0.2">
      <c r="A47" s="20"/>
      <c r="B47" s="20"/>
      <c r="C47" s="20" t="s">
        <v>370</v>
      </c>
      <c r="D47" s="21"/>
      <c r="E47" s="9"/>
      <c r="F47" s="23">
        <f>Source!AN29</f>
        <v>18593.07</v>
      </c>
      <c r="G47" s="22" t="str">
        <f>Source!DF29</f>
        <v/>
      </c>
      <c r="H47" s="9">
        <f>Source!AV29</f>
        <v>1</v>
      </c>
      <c r="I47" s="9">
        <f>IF(Source!BS29&lt;&gt; 0, Source!BS29, 1)</f>
        <v>1</v>
      </c>
      <c r="J47" s="24">
        <f>Source!R29</f>
        <v>2045.24</v>
      </c>
      <c r="K47" s="23"/>
    </row>
    <row r="48" spans="1:22" ht="14.25" x14ac:dyDescent="0.2">
      <c r="A48" s="20"/>
      <c r="B48" s="20"/>
      <c r="C48" s="20" t="s">
        <v>372</v>
      </c>
      <c r="D48" s="21" t="s">
        <v>373</v>
      </c>
      <c r="E48" s="9">
        <f>Source!AT29</f>
        <v>70</v>
      </c>
      <c r="F48" s="23"/>
      <c r="G48" s="22"/>
      <c r="H48" s="9"/>
      <c r="I48" s="9"/>
      <c r="J48" s="23">
        <f>SUM(R43:R47)</f>
        <v>2575.5700000000002</v>
      </c>
      <c r="K48" s="23"/>
    </row>
    <row r="49" spans="1:22" ht="14.25" x14ac:dyDescent="0.2">
      <c r="A49" s="20"/>
      <c r="B49" s="20"/>
      <c r="C49" s="20" t="s">
        <v>374</v>
      </c>
      <c r="D49" s="21" t="s">
        <v>373</v>
      </c>
      <c r="E49" s="9">
        <f>Source!AU29</f>
        <v>10</v>
      </c>
      <c r="F49" s="23"/>
      <c r="G49" s="22"/>
      <c r="H49" s="9"/>
      <c r="I49" s="9"/>
      <c r="J49" s="23">
        <f>SUM(T43:T48)</f>
        <v>367.94</v>
      </c>
      <c r="K49" s="23"/>
    </row>
    <row r="50" spans="1:22" ht="14.25" x14ac:dyDescent="0.2">
      <c r="A50" s="20"/>
      <c r="B50" s="20"/>
      <c r="C50" s="20" t="s">
        <v>375</v>
      </c>
      <c r="D50" s="21" t="s">
        <v>373</v>
      </c>
      <c r="E50" s="9">
        <f>108</f>
        <v>108</v>
      </c>
      <c r="F50" s="23"/>
      <c r="G50" s="22"/>
      <c r="H50" s="9"/>
      <c r="I50" s="9"/>
      <c r="J50" s="23">
        <f>SUM(V43:V49)</f>
        <v>2208.86</v>
      </c>
      <c r="K50" s="23"/>
    </row>
    <row r="51" spans="1:22" ht="14.25" x14ac:dyDescent="0.2">
      <c r="A51" s="20"/>
      <c r="B51" s="20"/>
      <c r="C51" s="20" t="s">
        <v>376</v>
      </c>
      <c r="D51" s="21" t="s">
        <v>377</v>
      </c>
      <c r="E51" s="9">
        <f>Source!AQ29</f>
        <v>155</v>
      </c>
      <c r="F51" s="23"/>
      <c r="G51" s="22" t="str">
        <f>Source!DI29</f>
        <v/>
      </c>
      <c r="H51" s="9">
        <f>Source!AV29</f>
        <v>1</v>
      </c>
      <c r="I51" s="9"/>
      <c r="J51" s="23"/>
      <c r="K51" s="23">
        <f>Source!U29</f>
        <v>17.05</v>
      </c>
    </row>
    <row r="52" spans="1:22" ht="15" x14ac:dyDescent="0.25">
      <c r="A52" s="27"/>
      <c r="B52" s="27"/>
      <c r="C52" s="27"/>
      <c r="D52" s="27"/>
      <c r="E52" s="27"/>
      <c r="F52" s="27"/>
      <c r="G52" s="27"/>
      <c r="H52" s="27"/>
      <c r="I52" s="63">
        <f>J45+J46+J48+J49+J50</f>
        <v>12582.77</v>
      </c>
      <c r="J52" s="63"/>
      <c r="K52" s="28">
        <f>IF(Source!I29&lt;&gt;0, ROUND(I52/Source!I29, 2), 0)</f>
        <v>114388.82</v>
      </c>
      <c r="P52" s="25">
        <f>I52</f>
        <v>12582.77</v>
      </c>
    </row>
    <row r="53" spans="1:22" ht="42.75" x14ac:dyDescent="0.2">
      <c r="A53" s="20">
        <v>3</v>
      </c>
      <c r="B53" s="20" t="str">
        <f>Source!F30</f>
        <v>2.1-3104-5-1/1</v>
      </c>
      <c r="C53" s="20" t="str">
        <f>Source!G30</f>
        <v>Разборка асфальтобетона вдоль бортового камня при срезке методом холодного фрезерования</v>
      </c>
      <c r="D53" s="21" t="str">
        <f>Source!H30</f>
        <v>100 м</v>
      </c>
      <c r="E53" s="9">
        <f>Source!I30</f>
        <v>2.8</v>
      </c>
      <c r="F53" s="23"/>
      <c r="G53" s="22"/>
      <c r="H53" s="9"/>
      <c r="I53" s="9"/>
      <c r="J53" s="23"/>
      <c r="K53" s="23"/>
      <c r="Q53">
        <f>ROUND((Source!BZ30/100)*ROUND((Source!AF30*Source!AV30)*Source!I30, 2), 2)</f>
        <v>4715.9799999999996</v>
      </c>
      <c r="R53">
        <f>Source!X30</f>
        <v>4715.9799999999996</v>
      </c>
      <c r="S53">
        <f>ROUND((Source!CA30/100)*ROUND((Source!AF30*Source!AV30)*Source!I30, 2), 2)</f>
        <v>673.71</v>
      </c>
      <c r="T53">
        <f>Source!Y30</f>
        <v>673.71</v>
      </c>
      <c r="U53">
        <f>ROUND((175/100)*ROUND((Source!AE30*Source!AV30)*Source!I30, 2), 2)</f>
        <v>12335.89</v>
      </c>
      <c r="V53">
        <f>ROUND((108/100)*ROUND(Source!CS30*Source!I30, 2), 2)</f>
        <v>7613.01</v>
      </c>
    </row>
    <row r="54" spans="1:22" x14ac:dyDescent="0.2">
      <c r="C54" s="29" t="str">
        <f>"Объем: "&amp;Source!I30&amp;"=280/"&amp;"100"</f>
        <v>Объем: 2,8=280/100</v>
      </c>
    </row>
    <row r="55" spans="1:22" ht="14.25" x14ac:dyDescent="0.2">
      <c r="A55" s="20"/>
      <c r="B55" s="20"/>
      <c r="C55" s="20" t="s">
        <v>368</v>
      </c>
      <c r="D55" s="21"/>
      <c r="E55" s="9"/>
      <c r="F55" s="23">
        <f>Source!AO30</f>
        <v>2406.11</v>
      </c>
      <c r="G55" s="22" t="str">
        <f>Source!DG30</f>
        <v/>
      </c>
      <c r="H55" s="9">
        <f>Source!AV30</f>
        <v>1</v>
      </c>
      <c r="I55" s="9">
        <f>IF(Source!BA30&lt;&gt; 0, Source!BA30, 1)</f>
        <v>1</v>
      </c>
      <c r="J55" s="23">
        <f>Source!S30</f>
        <v>6737.11</v>
      </c>
      <c r="K55" s="23"/>
    </row>
    <row r="56" spans="1:22" ht="14.25" x14ac:dyDescent="0.2">
      <c r="A56" s="20"/>
      <c r="B56" s="20"/>
      <c r="C56" s="20" t="s">
        <v>369</v>
      </c>
      <c r="D56" s="21"/>
      <c r="E56" s="9"/>
      <c r="F56" s="23">
        <f>Source!AM30</f>
        <v>6078.88</v>
      </c>
      <c r="G56" s="22" t="str">
        <f>Source!DE30</f>
        <v/>
      </c>
      <c r="H56" s="9">
        <f>Source!AV30</f>
        <v>1</v>
      </c>
      <c r="I56" s="9">
        <f>IF(Source!BB30&lt;&gt; 0, Source!BB30, 1)</f>
        <v>1</v>
      </c>
      <c r="J56" s="23">
        <f>Source!Q30</f>
        <v>17020.86</v>
      </c>
      <c r="K56" s="23"/>
    </row>
    <row r="57" spans="1:22" ht="14.25" x14ac:dyDescent="0.2">
      <c r="A57" s="20"/>
      <c r="B57" s="20"/>
      <c r="C57" s="20" t="s">
        <v>370</v>
      </c>
      <c r="D57" s="21"/>
      <c r="E57" s="9"/>
      <c r="F57" s="23">
        <f>Source!AN30</f>
        <v>2517.5300000000002</v>
      </c>
      <c r="G57" s="22" t="str">
        <f>Source!DF30</f>
        <v/>
      </c>
      <c r="H57" s="9">
        <f>Source!AV30</f>
        <v>1</v>
      </c>
      <c r="I57" s="9">
        <f>IF(Source!BS30&lt;&gt; 0, Source!BS30, 1)</f>
        <v>1</v>
      </c>
      <c r="J57" s="24">
        <f>Source!R30</f>
        <v>7049.08</v>
      </c>
      <c r="K57" s="23"/>
    </row>
    <row r="58" spans="1:22" ht="14.25" x14ac:dyDescent="0.2">
      <c r="A58" s="20"/>
      <c r="B58" s="20"/>
      <c r="C58" s="20" t="s">
        <v>372</v>
      </c>
      <c r="D58" s="21" t="s">
        <v>373</v>
      </c>
      <c r="E58" s="9">
        <f>Source!AT30</f>
        <v>70</v>
      </c>
      <c r="F58" s="23"/>
      <c r="G58" s="22"/>
      <c r="H58" s="9"/>
      <c r="I58" s="9"/>
      <c r="J58" s="23">
        <f>SUM(R53:R57)</f>
        <v>4715.9799999999996</v>
      </c>
      <c r="K58" s="23"/>
    </row>
    <row r="59" spans="1:22" ht="14.25" x14ac:dyDescent="0.2">
      <c r="A59" s="20"/>
      <c r="B59" s="20"/>
      <c r="C59" s="20" t="s">
        <v>374</v>
      </c>
      <c r="D59" s="21" t="s">
        <v>373</v>
      </c>
      <c r="E59" s="9">
        <f>Source!AU30</f>
        <v>10</v>
      </c>
      <c r="F59" s="23"/>
      <c r="G59" s="22"/>
      <c r="H59" s="9"/>
      <c r="I59" s="9"/>
      <c r="J59" s="23">
        <f>SUM(T53:T58)</f>
        <v>673.71</v>
      </c>
      <c r="K59" s="23"/>
    </row>
    <row r="60" spans="1:22" ht="14.25" x14ac:dyDescent="0.2">
      <c r="A60" s="20"/>
      <c r="B60" s="20"/>
      <c r="C60" s="20" t="s">
        <v>375</v>
      </c>
      <c r="D60" s="21" t="s">
        <v>373</v>
      </c>
      <c r="E60" s="9">
        <f>108</f>
        <v>108</v>
      </c>
      <c r="F60" s="23"/>
      <c r="G60" s="22"/>
      <c r="H60" s="9"/>
      <c r="I60" s="9"/>
      <c r="J60" s="23">
        <f>SUM(V53:V59)</f>
        <v>7613.01</v>
      </c>
      <c r="K60" s="23"/>
    </row>
    <row r="61" spans="1:22" ht="14.25" x14ac:dyDescent="0.2">
      <c r="A61" s="20"/>
      <c r="B61" s="20"/>
      <c r="C61" s="20" t="s">
        <v>376</v>
      </c>
      <c r="D61" s="21" t="s">
        <v>377</v>
      </c>
      <c r="E61" s="9">
        <f>Source!AQ30</f>
        <v>10.72</v>
      </c>
      <c r="F61" s="23"/>
      <c r="G61" s="22" t="str">
        <f>Source!DI30</f>
        <v/>
      </c>
      <c r="H61" s="9">
        <f>Source!AV30</f>
        <v>1</v>
      </c>
      <c r="I61" s="9"/>
      <c r="J61" s="23"/>
      <c r="K61" s="23">
        <f>Source!U30</f>
        <v>30.015999999999998</v>
      </c>
    </row>
    <row r="62" spans="1:22" ht="15" x14ac:dyDescent="0.25">
      <c r="A62" s="27"/>
      <c r="B62" s="27"/>
      <c r="C62" s="27"/>
      <c r="D62" s="27"/>
      <c r="E62" s="27"/>
      <c r="F62" s="27"/>
      <c r="G62" s="27"/>
      <c r="H62" s="27"/>
      <c r="I62" s="63">
        <f>J55+J56+J58+J59+J60</f>
        <v>36760.67</v>
      </c>
      <c r="J62" s="63"/>
      <c r="K62" s="28">
        <f>IF(Source!I30&lt;&gt;0, ROUND(I62/Source!I30, 2), 0)</f>
        <v>13128.81</v>
      </c>
      <c r="P62" s="25">
        <f>I62</f>
        <v>36760.67</v>
      </c>
    </row>
    <row r="63" spans="1:22" ht="28.5" x14ac:dyDescent="0.2">
      <c r="A63" s="20">
        <v>4</v>
      </c>
      <c r="B63" s="20" t="str">
        <f>Source!F31</f>
        <v>2.1-3104-1-5/1</v>
      </c>
      <c r="C63" s="20" t="str">
        <f>Source!G31</f>
        <v>Разборка покрытий и оснований цементобетонных</v>
      </c>
      <c r="D63" s="21" t="str">
        <f>Source!H31</f>
        <v>100 м3</v>
      </c>
      <c r="E63" s="9">
        <f>Source!I31</f>
        <v>0.97099999999999997</v>
      </c>
      <c r="F63" s="23"/>
      <c r="G63" s="22"/>
      <c r="H63" s="9"/>
      <c r="I63" s="9"/>
      <c r="J63" s="23"/>
      <c r="K63" s="23"/>
      <c r="Q63">
        <f>ROUND((Source!BZ31/100)*ROUND((Source!AF31*Source!AV31)*Source!I31, 2), 2)</f>
        <v>9136</v>
      </c>
      <c r="R63">
        <f>Source!X31</f>
        <v>9136</v>
      </c>
      <c r="S63">
        <f>ROUND((Source!CA31/100)*ROUND((Source!AF31*Source!AV31)*Source!I31, 2), 2)</f>
        <v>1305.1400000000001</v>
      </c>
      <c r="T63">
        <f>Source!Y31</f>
        <v>1305.1400000000001</v>
      </c>
      <c r="U63">
        <f>ROUND((175/100)*ROUND((Source!AE31*Source!AV31)*Source!I31, 2), 2)</f>
        <v>9018.42</v>
      </c>
      <c r="V63">
        <f>ROUND((108/100)*ROUND(Source!CS31*Source!I31, 2), 2)</f>
        <v>5565.65</v>
      </c>
    </row>
    <row r="64" spans="1:22" x14ac:dyDescent="0.2">
      <c r="C64" s="29" t="str">
        <f>"Объем: "&amp;Source!I31&amp;"=97,1/"&amp;"100"</f>
        <v>Объем: 0,971=97,1/100</v>
      </c>
    </row>
    <row r="65" spans="1:22" ht="14.25" x14ac:dyDescent="0.2">
      <c r="A65" s="20"/>
      <c r="B65" s="20"/>
      <c r="C65" s="20" t="s">
        <v>368</v>
      </c>
      <c r="D65" s="21"/>
      <c r="E65" s="9"/>
      <c r="F65" s="23">
        <f>Source!AO31</f>
        <v>13441.23</v>
      </c>
      <c r="G65" s="22" t="str">
        <f>Source!DG31</f>
        <v/>
      </c>
      <c r="H65" s="9">
        <f>Source!AV31</f>
        <v>1</v>
      </c>
      <c r="I65" s="9">
        <f>IF(Source!BA31&lt;&gt; 0, Source!BA31, 1)</f>
        <v>1</v>
      </c>
      <c r="J65" s="23">
        <f>Source!S31</f>
        <v>13051.43</v>
      </c>
      <c r="K65" s="23"/>
    </row>
    <row r="66" spans="1:22" ht="14.25" x14ac:dyDescent="0.2">
      <c r="A66" s="20"/>
      <c r="B66" s="20"/>
      <c r="C66" s="20" t="s">
        <v>369</v>
      </c>
      <c r="D66" s="21"/>
      <c r="E66" s="9"/>
      <c r="F66" s="23">
        <f>Source!AM31</f>
        <v>16089.03</v>
      </c>
      <c r="G66" s="22" t="str">
        <f>Source!DE31</f>
        <v/>
      </c>
      <c r="H66" s="9">
        <f>Source!AV31</f>
        <v>1</v>
      </c>
      <c r="I66" s="9">
        <f>IF(Source!BB31&lt;&gt; 0, Source!BB31, 1)</f>
        <v>1</v>
      </c>
      <c r="J66" s="23">
        <f>Source!Q31</f>
        <v>15622.45</v>
      </c>
      <c r="K66" s="23"/>
    </row>
    <row r="67" spans="1:22" ht="14.25" x14ac:dyDescent="0.2">
      <c r="A67" s="20"/>
      <c r="B67" s="20"/>
      <c r="C67" s="20" t="s">
        <v>370</v>
      </c>
      <c r="D67" s="21"/>
      <c r="E67" s="9"/>
      <c r="F67" s="23">
        <f>Source!AN31</f>
        <v>5307.29</v>
      </c>
      <c r="G67" s="22" t="str">
        <f>Source!DF31</f>
        <v/>
      </c>
      <c r="H67" s="9">
        <f>Source!AV31</f>
        <v>1</v>
      </c>
      <c r="I67" s="9">
        <f>IF(Source!BS31&lt;&gt; 0, Source!BS31, 1)</f>
        <v>1</v>
      </c>
      <c r="J67" s="24">
        <f>Source!R31</f>
        <v>5153.38</v>
      </c>
      <c r="K67" s="23"/>
    </row>
    <row r="68" spans="1:22" ht="14.25" x14ac:dyDescent="0.2">
      <c r="A68" s="20"/>
      <c r="B68" s="20"/>
      <c r="C68" s="20" t="s">
        <v>372</v>
      </c>
      <c r="D68" s="21" t="s">
        <v>373</v>
      </c>
      <c r="E68" s="9">
        <f>Source!AT31</f>
        <v>70</v>
      </c>
      <c r="F68" s="23"/>
      <c r="G68" s="22"/>
      <c r="H68" s="9"/>
      <c r="I68" s="9"/>
      <c r="J68" s="23">
        <f>SUM(R63:R67)</f>
        <v>9136</v>
      </c>
      <c r="K68" s="23"/>
    </row>
    <row r="69" spans="1:22" ht="14.25" x14ac:dyDescent="0.2">
      <c r="A69" s="20"/>
      <c r="B69" s="20"/>
      <c r="C69" s="20" t="s">
        <v>374</v>
      </c>
      <c r="D69" s="21" t="s">
        <v>373</v>
      </c>
      <c r="E69" s="9">
        <f>Source!AU31</f>
        <v>10</v>
      </c>
      <c r="F69" s="23"/>
      <c r="G69" s="22"/>
      <c r="H69" s="9"/>
      <c r="I69" s="9"/>
      <c r="J69" s="23">
        <f>SUM(T63:T68)</f>
        <v>1305.1400000000001</v>
      </c>
      <c r="K69" s="23"/>
    </row>
    <row r="70" spans="1:22" ht="14.25" x14ac:dyDescent="0.2">
      <c r="A70" s="20"/>
      <c r="B70" s="20"/>
      <c r="C70" s="20" t="s">
        <v>375</v>
      </c>
      <c r="D70" s="21" t="s">
        <v>373</v>
      </c>
      <c r="E70" s="9">
        <f>108</f>
        <v>108</v>
      </c>
      <c r="F70" s="23"/>
      <c r="G70" s="22"/>
      <c r="H70" s="9"/>
      <c r="I70" s="9"/>
      <c r="J70" s="23">
        <f>SUM(V63:V69)</f>
        <v>5565.65</v>
      </c>
      <c r="K70" s="23"/>
    </row>
    <row r="71" spans="1:22" ht="14.25" x14ac:dyDescent="0.2">
      <c r="A71" s="20"/>
      <c r="B71" s="20"/>
      <c r="C71" s="20" t="s">
        <v>376</v>
      </c>
      <c r="D71" s="21" t="s">
        <v>377</v>
      </c>
      <c r="E71" s="9">
        <f>Source!AQ31</f>
        <v>49.5</v>
      </c>
      <c r="F71" s="23"/>
      <c r="G71" s="22" t="str">
        <f>Source!DI31</f>
        <v/>
      </c>
      <c r="H71" s="9">
        <f>Source!AV31</f>
        <v>1</v>
      </c>
      <c r="I71" s="9"/>
      <c r="J71" s="23"/>
      <c r="K71" s="23">
        <f>Source!U31</f>
        <v>48.064499999999995</v>
      </c>
    </row>
    <row r="72" spans="1:22" ht="15" x14ac:dyDescent="0.25">
      <c r="A72" s="27"/>
      <c r="B72" s="27"/>
      <c r="C72" s="27"/>
      <c r="D72" s="27"/>
      <c r="E72" s="27"/>
      <c r="F72" s="27"/>
      <c r="G72" s="27"/>
      <c r="H72" s="27"/>
      <c r="I72" s="63">
        <f>J65+J66+J68+J69+J70</f>
        <v>44680.670000000006</v>
      </c>
      <c r="J72" s="63"/>
      <c r="K72" s="28">
        <f>IF(Source!I31&lt;&gt;0, ROUND(I72/Source!I31, 2), 0)</f>
        <v>46015.11</v>
      </c>
      <c r="P72" s="25">
        <f>I72</f>
        <v>44680.670000000006</v>
      </c>
    </row>
    <row r="73" spans="1:22" ht="28.5" x14ac:dyDescent="0.2">
      <c r="A73" s="20">
        <v>5</v>
      </c>
      <c r="B73" s="20" t="str">
        <f>Source!F32</f>
        <v>2.1-3202-1-1/1</v>
      </c>
      <c r="C73" s="20" t="str">
        <f>Source!G32</f>
        <v>Замена бортового камня бетонного во дворовых территориях</v>
      </c>
      <c r="D73" s="21" t="str">
        <f>Source!H32</f>
        <v>м</v>
      </c>
      <c r="E73" s="9">
        <f>Source!I32</f>
        <v>280</v>
      </c>
      <c r="F73" s="23"/>
      <c r="G73" s="22"/>
      <c r="H73" s="9"/>
      <c r="I73" s="9"/>
      <c r="J73" s="23"/>
      <c r="K73" s="23"/>
      <c r="Q73">
        <f>ROUND((Source!BZ32/100)*ROUND((Source!AF32*Source!AV32)*Source!I32, 2), 2)</f>
        <v>30487.8</v>
      </c>
      <c r="R73">
        <f>Source!X32</f>
        <v>30487.8</v>
      </c>
      <c r="S73">
        <f>ROUND((Source!CA32/100)*ROUND((Source!AF32*Source!AV32)*Source!I32, 2), 2)</f>
        <v>4355.3999999999996</v>
      </c>
      <c r="T73">
        <f>Source!Y32</f>
        <v>4355.3999999999996</v>
      </c>
      <c r="U73">
        <f>ROUND((175/100)*ROUND((Source!AE32*Source!AV32)*Source!I32, 2), 2)</f>
        <v>58148.3</v>
      </c>
      <c r="V73">
        <f>ROUND((108/100)*ROUND(Source!CS32*Source!I32, 2), 2)</f>
        <v>35885.81</v>
      </c>
    </row>
    <row r="74" spans="1:22" ht="14.25" x14ac:dyDescent="0.2">
      <c r="A74" s="20"/>
      <c r="B74" s="20"/>
      <c r="C74" s="20" t="s">
        <v>368</v>
      </c>
      <c r="D74" s="21"/>
      <c r="E74" s="9"/>
      <c r="F74" s="23">
        <f>Source!AO32</f>
        <v>155.55000000000001</v>
      </c>
      <c r="G74" s="22" t="str">
        <f>Source!DG32</f>
        <v/>
      </c>
      <c r="H74" s="9">
        <f>Source!AV32</f>
        <v>1</v>
      </c>
      <c r="I74" s="9">
        <f>IF(Source!BA32&lt;&gt; 0, Source!BA32, 1)</f>
        <v>1</v>
      </c>
      <c r="J74" s="23">
        <f>Source!S32</f>
        <v>43554</v>
      </c>
      <c r="K74" s="23"/>
    </row>
    <row r="75" spans="1:22" ht="14.25" x14ac:dyDescent="0.2">
      <c r="A75" s="20"/>
      <c r="B75" s="20"/>
      <c r="C75" s="20" t="s">
        <v>369</v>
      </c>
      <c r="D75" s="21"/>
      <c r="E75" s="9"/>
      <c r="F75" s="23">
        <f>Source!AM32</f>
        <v>214.01</v>
      </c>
      <c r="G75" s="22" t="str">
        <f>Source!DE32</f>
        <v/>
      </c>
      <c r="H75" s="9">
        <f>Source!AV32</f>
        <v>1</v>
      </c>
      <c r="I75" s="9">
        <f>IF(Source!BB32&lt;&gt; 0, Source!BB32, 1)</f>
        <v>1</v>
      </c>
      <c r="J75" s="23">
        <f>Source!Q32</f>
        <v>59922.8</v>
      </c>
      <c r="K75" s="23"/>
    </row>
    <row r="76" spans="1:22" ht="14.25" x14ac:dyDescent="0.2">
      <c r="A76" s="20"/>
      <c r="B76" s="20"/>
      <c r="C76" s="20" t="s">
        <v>370</v>
      </c>
      <c r="D76" s="21"/>
      <c r="E76" s="9"/>
      <c r="F76" s="23">
        <f>Source!AN32</f>
        <v>118.67</v>
      </c>
      <c r="G76" s="22" t="str">
        <f>Source!DF32</f>
        <v/>
      </c>
      <c r="H76" s="9">
        <f>Source!AV32</f>
        <v>1</v>
      </c>
      <c r="I76" s="9">
        <f>IF(Source!BS32&lt;&gt; 0, Source!BS32, 1)</f>
        <v>1</v>
      </c>
      <c r="J76" s="24">
        <f>Source!R32</f>
        <v>33227.599999999999</v>
      </c>
      <c r="K76" s="23"/>
    </row>
    <row r="77" spans="1:22" ht="14.25" x14ac:dyDescent="0.2">
      <c r="A77" s="20"/>
      <c r="B77" s="20"/>
      <c r="C77" s="20" t="s">
        <v>371</v>
      </c>
      <c r="D77" s="21"/>
      <c r="E77" s="9"/>
      <c r="F77" s="23">
        <f>Source!AL32</f>
        <v>788.52</v>
      </c>
      <c r="G77" s="22" t="str">
        <f>Source!DD32</f>
        <v/>
      </c>
      <c r="H77" s="9">
        <f>Source!AW32</f>
        <v>1</v>
      </c>
      <c r="I77" s="9">
        <f>IF(Source!BC32&lt;&gt; 0, Source!BC32, 1)</f>
        <v>1</v>
      </c>
      <c r="J77" s="23">
        <f>Source!P32</f>
        <v>220785.6</v>
      </c>
      <c r="K77" s="23"/>
    </row>
    <row r="78" spans="1:22" ht="14.25" x14ac:dyDescent="0.2">
      <c r="A78" s="20"/>
      <c r="B78" s="20"/>
      <c r="C78" s="20" t="s">
        <v>372</v>
      </c>
      <c r="D78" s="21" t="s">
        <v>373</v>
      </c>
      <c r="E78" s="9">
        <f>Source!AT32</f>
        <v>70</v>
      </c>
      <c r="F78" s="23"/>
      <c r="G78" s="22"/>
      <c r="H78" s="9"/>
      <c r="I78" s="9"/>
      <c r="J78" s="23">
        <f>SUM(R73:R77)</f>
        <v>30487.8</v>
      </c>
      <c r="K78" s="23"/>
    </row>
    <row r="79" spans="1:22" ht="14.25" x14ac:dyDescent="0.2">
      <c r="A79" s="20"/>
      <c r="B79" s="20"/>
      <c r="C79" s="20" t="s">
        <v>374</v>
      </c>
      <c r="D79" s="21" t="s">
        <v>373</v>
      </c>
      <c r="E79" s="9">
        <f>Source!AU32</f>
        <v>10</v>
      </c>
      <c r="F79" s="23"/>
      <c r="G79" s="22"/>
      <c r="H79" s="9"/>
      <c r="I79" s="9"/>
      <c r="J79" s="23">
        <f>SUM(T73:T78)</f>
        <v>4355.3999999999996</v>
      </c>
      <c r="K79" s="23"/>
    </row>
    <row r="80" spans="1:22" ht="14.25" x14ac:dyDescent="0.2">
      <c r="A80" s="20"/>
      <c r="B80" s="20"/>
      <c r="C80" s="20" t="s">
        <v>375</v>
      </c>
      <c r="D80" s="21" t="s">
        <v>373</v>
      </c>
      <c r="E80" s="9">
        <f>108</f>
        <v>108</v>
      </c>
      <c r="F80" s="23"/>
      <c r="G80" s="22"/>
      <c r="H80" s="9"/>
      <c r="I80" s="9"/>
      <c r="J80" s="23">
        <f>SUM(V73:V79)</f>
        <v>35885.81</v>
      </c>
      <c r="K80" s="23"/>
    </row>
    <row r="81" spans="1:22" ht="14.25" x14ac:dyDescent="0.2">
      <c r="A81" s="20"/>
      <c r="B81" s="20"/>
      <c r="C81" s="20" t="s">
        <v>376</v>
      </c>
      <c r="D81" s="21" t="s">
        <v>377</v>
      </c>
      <c r="E81" s="9">
        <f>Source!AQ32</f>
        <v>0.66</v>
      </c>
      <c r="F81" s="23"/>
      <c r="G81" s="22" t="str">
        <f>Source!DI32</f>
        <v/>
      </c>
      <c r="H81" s="9">
        <f>Source!AV32</f>
        <v>1</v>
      </c>
      <c r="I81" s="9"/>
      <c r="J81" s="23"/>
      <c r="K81" s="23">
        <f>Source!U32</f>
        <v>184.8</v>
      </c>
    </row>
    <row r="82" spans="1:22" ht="15" x14ac:dyDescent="0.25">
      <c r="A82" s="27"/>
      <c r="B82" s="27"/>
      <c r="C82" s="27"/>
      <c r="D82" s="27"/>
      <c r="E82" s="27"/>
      <c r="F82" s="27"/>
      <c r="G82" s="27"/>
      <c r="H82" s="27"/>
      <c r="I82" s="63">
        <f>J74+J75+J77+J78+J79+J80</f>
        <v>394991.41000000003</v>
      </c>
      <c r="J82" s="63"/>
      <c r="K82" s="28">
        <f>IF(Source!I32&lt;&gt;0, ROUND(I82/Source!I32, 2), 0)</f>
        <v>1410.68</v>
      </c>
      <c r="P82" s="25">
        <f>I82</f>
        <v>394991.41000000003</v>
      </c>
    </row>
    <row r="83" spans="1:22" ht="28.5" x14ac:dyDescent="0.2">
      <c r="A83" s="20">
        <v>6</v>
      </c>
      <c r="B83" s="20" t="str">
        <f>Source!F33</f>
        <v>2.1-3201-4-1/1</v>
      </c>
      <c r="C83" s="20" t="str">
        <f>Source!G33</f>
        <v>Ремонт бортового камня бетонного без замены</v>
      </c>
      <c r="D83" s="21" t="str">
        <f>Source!H33</f>
        <v>м</v>
      </c>
      <c r="E83" s="9">
        <f>Source!I33</f>
        <v>186</v>
      </c>
      <c r="F83" s="23"/>
      <c r="G83" s="22"/>
      <c r="H83" s="9"/>
      <c r="I83" s="9"/>
      <c r="J83" s="23"/>
      <c r="K83" s="23"/>
      <c r="Q83">
        <f>ROUND((Source!BZ33/100)*ROUND((Source!AF33*Source!AV33)*Source!I33, 2), 2)</f>
        <v>49552.82</v>
      </c>
      <c r="R83">
        <f>Source!X33</f>
        <v>49552.82</v>
      </c>
      <c r="S83">
        <f>ROUND((Source!CA33/100)*ROUND((Source!AF33*Source!AV33)*Source!I33, 2), 2)</f>
        <v>7078.97</v>
      </c>
      <c r="T83">
        <f>Source!Y33</f>
        <v>7078.97</v>
      </c>
      <c r="U83">
        <f>ROUND((175/100)*ROUND((Source!AE33*Source!AV33)*Source!I33, 2), 2)</f>
        <v>62850.8</v>
      </c>
      <c r="V83">
        <f>ROUND((108/100)*ROUND(Source!CS33*Source!I33, 2), 2)</f>
        <v>38787.919999999998</v>
      </c>
    </row>
    <row r="84" spans="1:22" ht="14.25" x14ac:dyDescent="0.2">
      <c r="A84" s="20"/>
      <c r="B84" s="20"/>
      <c r="C84" s="20" t="s">
        <v>368</v>
      </c>
      <c r="D84" s="21"/>
      <c r="E84" s="9"/>
      <c r="F84" s="23">
        <f>Source!AO33</f>
        <v>380.59</v>
      </c>
      <c r="G84" s="22" t="str">
        <f>Source!DG33</f>
        <v/>
      </c>
      <c r="H84" s="9">
        <f>Source!AV33</f>
        <v>1</v>
      </c>
      <c r="I84" s="9">
        <f>IF(Source!BA33&lt;&gt; 0, Source!BA33, 1)</f>
        <v>1</v>
      </c>
      <c r="J84" s="23">
        <f>Source!S33</f>
        <v>70789.740000000005</v>
      </c>
      <c r="K84" s="23"/>
    </row>
    <row r="85" spans="1:22" ht="14.25" x14ac:dyDescent="0.2">
      <c r="A85" s="20"/>
      <c r="B85" s="20"/>
      <c r="C85" s="20" t="s">
        <v>369</v>
      </c>
      <c r="D85" s="21"/>
      <c r="E85" s="9"/>
      <c r="F85" s="23">
        <f>Source!AM33</f>
        <v>438.74</v>
      </c>
      <c r="G85" s="22" t="str">
        <f>Source!DE33</f>
        <v/>
      </c>
      <c r="H85" s="9">
        <f>Source!AV33</f>
        <v>1</v>
      </c>
      <c r="I85" s="9">
        <f>IF(Source!BB33&lt;&gt; 0, Source!BB33, 1)</f>
        <v>1</v>
      </c>
      <c r="J85" s="23">
        <f>Source!Q33</f>
        <v>81605.64</v>
      </c>
      <c r="K85" s="23"/>
    </row>
    <row r="86" spans="1:22" ht="14.25" x14ac:dyDescent="0.2">
      <c r="A86" s="20"/>
      <c r="B86" s="20"/>
      <c r="C86" s="20" t="s">
        <v>370</v>
      </c>
      <c r="D86" s="21"/>
      <c r="E86" s="9"/>
      <c r="F86" s="23">
        <f>Source!AN33</f>
        <v>193.09</v>
      </c>
      <c r="G86" s="22" t="str">
        <f>Source!DF33</f>
        <v/>
      </c>
      <c r="H86" s="9">
        <f>Source!AV33</f>
        <v>1</v>
      </c>
      <c r="I86" s="9">
        <f>IF(Source!BS33&lt;&gt; 0, Source!BS33, 1)</f>
        <v>1</v>
      </c>
      <c r="J86" s="24">
        <f>Source!R33</f>
        <v>35914.74</v>
      </c>
      <c r="K86" s="23"/>
    </row>
    <row r="87" spans="1:22" ht="14.25" x14ac:dyDescent="0.2">
      <c r="A87" s="20"/>
      <c r="B87" s="20"/>
      <c r="C87" s="20" t="s">
        <v>371</v>
      </c>
      <c r="D87" s="21"/>
      <c r="E87" s="9"/>
      <c r="F87" s="23">
        <f>Source!AL33</f>
        <v>574.99</v>
      </c>
      <c r="G87" s="22" t="str">
        <f>Source!DD33</f>
        <v/>
      </c>
      <c r="H87" s="9">
        <f>Source!AW33</f>
        <v>1</v>
      </c>
      <c r="I87" s="9">
        <f>IF(Source!BC33&lt;&gt; 0, Source!BC33, 1)</f>
        <v>1</v>
      </c>
      <c r="J87" s="23">
        <f>Source!P33</f>
        <v>106948.14</v>
      </c>
      <c r="K87" s="23"/>
    </row>
    <row r="88" spans="1:22" ht="14.25" x14ac:dyDescent="0.2">
      <c r="A88" s="20"/>
      <c r="B88" s="20"/>
      <c r="C88" s="20" t="s">
        <v>372</v>
      </c>
      <c r="D88" s="21" t="s">
        <v>373</v>
      </c>
      <c r="E88" s="9">
        <f>Source!AT33</f>
        <v>70</v>
      </c>
      <c r="F88" s="23"/>
      <c r="G88" s="22"/>
      <c r="H88" s="9"/>
      <c r="I88" s="9"/>
      <c r="J88" s="23">
        <f>SUM(R83:R87)</f>
        <v>49552.82</v>
      </c>
      <c r="K88" s="23"/>
    </row>
    <row r="89" spans="1:22" ht="14.25" x14ac:dyDescent="0.2">
      <c r="A89" s="20"/>
      <c r="B89" s="20"/>
      <c r="C89" s="20" t="s">
        <v>374</v>
      </c>
      <c r="D89" s="21" t="s">
        <v>373</v>
      </c>
      <c r="E89" s="9">
        <f>Source!AU33</f>
        <v>10</v>
      </c>
      <c r="F89" s="23"/>
      <c r="G89" s="22"/>
      <c r="H89" s="9"/>
      <c r="I89" s="9"/>
      <c r="J89" s="23">
        <f>SUM(T83:T88)</f>
        <v>7078.97</v>
      </c>
      <c r="K89" s="23"/>
    </row>
    <row r="90" spans="1:22" ht="14.25" x14ac:dyDescent="0.2">
      <c r="A90" s="20"/>
      <c r="B90" s="20"/>
      <c r="C90" s="20" t="s">
        <v>375</v>
      </c>
      <c r="D90" s="21" t="s">
        <v>373</v>
      </c>
      <c r="E90" s="9">
        <f>108</f>
        <v>108</v>
      </c>
      <c r="F90" s="23"/>
      <c r="G90" s="22"/>
      <c r="H90" s="9"/>
      <c r="I90" s="9"/>
      <c r="J90" s="23">
        <f>SUM(V83:V89)</f>
        <v>38787.919999999998</v>
      </c>
      <c r="K90" s="23"/>
    </row>
    <row r="91" spans="1:22" ht="14.25" x14ac:dyDescent="0.2">
      <c r="A91" s="20"/>
      <c r="B91" s="20"/>
      <c r="C91" s="20" t="s">
        <v>376</v>
      </c>
      <c r="D91" s="21" t="s">
        <v>377</v>
      </c>
      <c r="E91" s="9">
        <f>Source!AQ33</f>
        <v>1.81</v>
      </c>
      <c r="F91" s="23"/>
      <c r="G91" s="22" t="str">
        <f>Source!DI33</f>
        <v/>
      </c>
      <c r="H91" s="9">
        <f>Source!AV33</f>
        <v>1</v>
      </c>
      <c r="I91" s="9"/>
      <c r="J91" s="23"/>
      <c r="K91" s="23">
        <f>Source!U33</f>
        <v>336.66</v>
      </c>
    </row>
    <row r="92" spans="1:22" ht="15" x14ac:dyDescent="0.25">
      <c r="A92" s="27"/>
      <c r="B92" s="27"/>
      <c r="C92" s="27"/>
      <c r="D92" s="27"/>
      <c r="E92" s="27"/>
      <c r="F92" s="27"/>
      <c r="G92" s="27"/>
      <c r="H92" s="27"/>
      <c r="I92" s="63">
        <f>J84+J85+J87+J88+J89+J90</f>
        <v>354763.23</v>
      </c>
      <c r="J92" s="63"/>
      <c r="K92" s="28">
        <f>IF(Source!I33&lt;&gt;0, ROUND(I92/Source!I33, 2), 0)</f>
        <v>1907.33</v>
      </c>
      <c r="P92" s="25">
        <f>I92</f>
        <v>354763.23</v>
      </c>
    </row>
    <row r="93" spans="1:22" ht="42.75" x14ac:dyDescent="0.2">
      <c r="A93" s="20">
        <v>7</v>
      </c>
      <c r="B93" s="20" t="str">
        <f>Source!F34</f>
        <v>2.1-3303-1-1/1</v>
      </c>
      <c r="C93" s="20" t="str">
        <f>Source!G34</f>
        <v>Устройство подстилающих и выравнивающих слоев оснований из песка</v>
      </c>
      <c r="D93" s="21" t="str">
        <f>Source!H34</f>
        <v>100 м3</v>
      </c>
      <c r="E93" s="9">
        <f>Source!I34</f>
        <v>0.15</v>
      </c>
      <c r="F93" s="23"/>
      <c r="G93" s="22"/>
      <c r="H93" s="9"/>
      <c r="I93" s="9"/>
      <c r="J93" s="23"/>
      <c r="K93" s="23"/>
      <c r="Q93">
        <f>ROUND((Source!BZ34/100)*ROUND((Source!AF34*Source!AV34)*Source!I34, 2), 2)</f>
        <v>358.8</v>
      </c>
      <c r="R93">
        <f>Source!X34</f>
        <v>358.8</v>
      </c>
      <c r="S93">
        <f>ROUND((Source!CA34/100)*ROUND((Source!AF34*Source!AV34)*Source!I34, 2), 2)</f>
        <v>51.26</v>
      </c>
      <c r="T93">
        <f>Source!Y34</f>
        <v>51.26</v>
      </c>
      <c r="U93">
        <f>ROUND((175/100)*ROUND((Source!AE34*Source!AV34)*Source!I34, 2), 2)</f>
        <v>932.75</v>
      </c>
      <c r="V93">
        <f>ROUND((108/100)*ROUND(Source!CS34*Source!I34, 2), 2)</f>
        <v>575.64</v>
      </c>
    </row>
    <row r="94" spans="1:22" x14ac:dyDescent="0.2">
      <c r="C94" s="29" t="str">
        <f>"Объем: "&amp;Source!I34&amp;"=15/"&amp;"100"</f>
        <v>Объем: 0,15=15/100</v>
      </c>
    </row>
    <row r="95" spans="1:22" ht="14.25" x14ac:dyDescent="0.2">
      <c r="A95" s="20"/>
      <c r="B95" s="20"/>
      <c r="C95" s="20" t="s">
        <v>368</v>
      </c>
      <c r="D95" s="21"/>
      <c r="E95" s="9"/>
      <c r="F95" s="23">
        <f>Source!AO34</f>
        <v>3417.16</v>
      </c>
      <c r="G95" s="22" t="str">
        <f>Source!DG34</f>
        <v/>
      </c>
      <c r="H95" s="9">
        <f>Source!AV34</f>
        <v>1</v>
      </c>
      <c r="I95" s="9">
        <f>IF(Source!BA34&lt;&gt; 0, Source!BA34, 1)</f>
        <v>1</v>
      </c>
      <c r="J95" s="23">
        <f>Source!S34</f>
        <v>512.57000000000005</v>
      </c>
      <c r="K95" s="23"/>
    </row>
    <row r="96" spans="1:22" ht="14.25" x14ac:dyDescent="0.2">
      <c r="A96" s="20"/>
      <c r="B96" s="20"/>
      <c r="C96" s="20" t="s">
        <v>369</v>
      </c>
      <c r="D96" s="21"/>
      <c r="E96" s="9"/>
      <c r="F96" s="23">
        <f>Source!AM34</f>
        <v>8258.92</v>
      </c>
      <c r="G96" s="22" t="str">
        <f>Source!DE34</f>
        <v/>
      </c>
      <c r="H96" s="9">
        <f>Source!AV34</f>
        <v>1</v>
      </c>
      <c r="I96" s="9">
        <f>IF(Source!BB34&lt;&gt; 0, Source!BB34, 1)</f>
        <v>1</v>
      </c>
      <c r="J96" s="23">
        <f>Source!Q34</f>
        <v>1238.8399999999999</v>
      </c>
      <c r="K96" s="23"/>
    </row>
    <row r="97" spans="1:22" ht="14.25" x14ac:dyDescent="0.2">
      <c r="A97" s="20"/>
      <c r="B97" s="20"/>
      <c r="C97" s="20" t="s">
        <v>370</v>
      </c>
      <c r="D97" s="21"/>
      <c r="E97" s="9"/>
      <c r="F97" s="23">
        <f>Source!AN34</f>
        <v>3553.33</v>
      </c>
      <c r="G97" s="22" t="str">
        <f>Source!DF34</f>
        <v/>
      </c>
      <c r="H97" s="9">
        <f>Source!AV34</f>
        <v>1</v>
      </c>
      <c r="I97" s="9">
        <f>IF(Source!BS34&lt;&gt; 0, Source!BS34, 1)</f>
        <v>1</v>
      </c>
      <c r="J97" s="24">
        <f>Source!R34</f>
        <v>533</v>
      </c>
      <c r="K97" s="23"/>
    </row>
    <row r="98" spans="1:22" ht="14.25" x14ac:dyDescent="0.2">
      <c r="A98" s="20"/>
      <c r="B98" s="20"/>
      <c r="C98" s="20" t="s">
        <v>371</v>
      </c>
      <c r="D98" s="21"/>
      <c r="E98" s="9"/>
      <c r="F98" s="23">
        <f>Source!AL34</f>
        <v>63305.85</v>
      </c>
      <c r="G98" s="22" t="str">
        <f>Source!DD34</f>
        <v/>
      </c>
      <c r="H98" s="9">
        <f>Source!AW34</f>
        <v>1</v>
      </c>
      <c r="I98" s="9">
        <f>IF(Source!BC34&lt;&gt; 0, Source!BC34, 1)</f>
        <v>1</v>
      </c>
      <c r="J98" s="23">
        <f>Source!P34</f>
        <v>9495.8799999999992</v>
      </c>
      <c r="K98" s="23"/>
    </row>
    <row r="99" spans="1:22" ht="14.25" x14ac:dyDescent="0.2">
      <c r="A99" s="20"/>
      <c r="B99" s="20"/>
      <c r="C99" s="20" t="s">
        <v>372</v>
      </c>
      <c r="D99" s="21" t="s">
        <v>373</v>
      </c>
      <c r="E99" s="9">
        <f>Source!AT34</f>
        <v>70</v>
      </c>
      <c r="F99" s="23"/>
      <c r="G99" s="22"/>
      <c r="H99" s="9"/>
      <c r="I99" s="9"/>
      <c r="J99" s="23">
        <f>SUM(R93:R98)</f>
        <v>358.8</v>
      </c>
      <c r="K99" s="23"/>
    </row>
    <row r="100" spans="1:22" ht="14.25" x14ac:dyDescent="0.2">
      <c r="A100" s="20"/>
      <c r="B100" s="20"/>
      <c r="C100" s="20" t="s">
        <v>374</v>
      </c>
      <c r="D100" s="21" t="s">
        <v>373</v>
      </c>
      <c r="E100" s="9">
        <f>Source!AU34</f>
        <v>10</v>
      </c>
      <c r="F100" s="23"/>
      <c r="G100" s="22"/>
      <c r="H100" s="9"/>
      <c r="I100" s="9"/>
      <c r="J100" s="23">
        <f>SUM(T93:T99)</f>
        <v>51.26</v>
      </c>
      <c r="K100" s="23"/>
    </row>
    <row r="101" spans="1:22" ht="14.25" x14ac:dyDescent="0.2">
      <c r="A101" s="20"/>
      <c r="B101" s="20"/>
      <c r="C101" s="20" t="s">
        <v>375</v>
      </c>
      <c r="D101" s="21" t="s">
        <v>373</v>
      </c>
      <c r="E101" s="9">
        <f>108</f>
        <v>108</v>
      </c>
      <c r="F101" s="23"/>
      <c r="G101" s="22"/>
      <c r="H101" s="9"/>
      <c r="I101" s="9"/>
      <c r="J101" s="23">
        <f>SUM(V93:V100)</f>
        <v>575.64</v>
      </c>
      <c r="K101" s="23"/>
    </row>
    <row r="102" spans="1:22" ht="14.25" x14ac:dyDescent="0.2">
      <c r="A102" s="20"/>
      <c r="B102" s="20"/>
      <c r="C102" s="20" t="s">
        <v>376</v>
      </c>
      <c r="D102" s="21" t="s">
        <v>377</v>
      </c>
      <c r="E102" s="9">
        <f>Source!AQ34</f>
        <v>16.559999999999999</v>
      </c>
      <c r="F102" s="23"/>
      <c r="G102" s="22" t="str">
        <f>Source!DI34</f>
        <v/>
      </c>
      <c r="H102" s="9">
        <f>Source!AV34</f>
        <v>1</v>
      </c>
      <c r="I102" s="9"/>
      <c r="J102" s="23"/>
      <c r="K102" s="23">
        <f>Source!U34</f>
        <v>2.4839999999999995</v>
      </c>
    </row>
    <row r="103" spans="1:22" ht="15" x14ac:dyDescent="0.25">
      <c r="A103" s="27"/>
      <c r="B103" s="27"/>
      <c r="C103" s="27"/>
      <c r="D103" s="27"/>
      <c r="E103" s="27"/>
      <c r="F103" s="27"/>
      <c r="G103" s="27"/>
      <c r="H103" s="27"/>
      <c r="I103" s="63">
        <f>J95+J96+J98+J99+J100+J101</f>
        <v>12232.989999999998</v>
      </c>
      <c r="J103" s="63"/>
      <c r="K103" s="28">
        <f>IF(Source!I34&lt;&gt;0, ROUND(I103/Source!I34, 2), 0)</f>
        <v>81553.27</v>
      </c>
      <c r="P103" s="25">
        <f>I103</f>
        <v>12232.989999999998</v>
      </c>
    </row>
    <row r="104" spans="1:22" ht="42.75" x14ac:dyDescent="0.2">
      <c r="A104" s="20">
        <v>8</v>
      </c>
      <c r="B104" s="20" t="str">
        <f>Source!F35</f>
        <v>2.1-3303-1-2/1</v>
      </c>
      <c r="C104" s="20" t="str">
        <f>Source!G35</f>
        <v>Устройство подстилающих и выравнивающих слоев оснований из щебня</v>
      </c>
      <c r="D104" s="21" t="str">
        <f>Source!H35</f>
        <v>100 м3</v>
      </c>
      <c r="E104" s="9">
        <f>Source!I35</f>
        <v>1.94</v>
      </c>
      <c r="F104" s="23"/>
      <c r="G104" s="22"/>
      <c r="H104" s="9"/>
      <c r="I104" s="9"/>
      <c r="J104" s="23"/>
      <c r="K104" s="23"/>
      <c r="Q104">
        <f>ROUND((Source!BZ35/100)*ROUND((Source!AF35*Source!AV35)*Source!I35, 2), 2)</f>
        <v>6960.74</v>
      </c>
      <c r="R104">
        <f>Source!X35</f>
        <v>6960.74</v>
      </c>
      <c r="S104">
        <f>ROUND((Source!CA35/100)*ROUND((Source!AF35*Source!AV35)*Source!I35, 2), 2)</f>
        <v>994.39</v>
      </c>
      <c r="T104">
        <f>Source!Y35</f>
        <v>994.39</v>
      </c>
      <c r="U104">
        <f>ROUND((175/100)*ROUND((Source!AE35*Source!AV35)*Source!I35, 2), 2)</f>
        <v>79408.259999999995</v>
      </c>
      <c r="V104">
        <f>ROUND((108/100)*ROUND(Source!CS35*Source!I35, 2), 2)</f>
        <v>49006.239999999998</v>
      </c>
    </row>
    <row r="105" spans="1:22" x14ac:dyDescent="0.2">
      <c r="C105" s="29" t="str">
        <f>"Объем: "&amp;Source!I35&amp;"=194/"&amp;"100"</f>
        <v>Объем: 1,94=194/100</v>
      </c>
    </row>
    <row r="106" spans="1:22" ht="14.25" x14ac:dyDescent="0.2">
      <c r="A106" s="20"/>
      <c r="B106" s="20"/>
      <c r="C106" s="20" t="s">
        <v>368</v>
      </c>
      <c r="D106" s="21"/>
      <c r="E106" s="9"/>
      <c r="F106" s="23">
        <f>Source!AO35</f>
        <v>5125.7299999999996</v>
      </c>
      <c r="G106" s="22" t="str">
        <f>Source!DG35</f>
        <v/>
      </c>
      <c r="H106" s="9">
        <f>Source!AV35</f>
        <v>1</v>
      </c>
      <c r="I106" s="9">
        <f>IF(Source!BA35&lt;&gt; 0, Source!BA35, 1)</f>
        <v>1</v>
      </c>
      <c r="J106" s="23">
        <f>Source!S35</f>
        <v>9943.92</v>
      </c>
      <c r="K106" s="23"/>
    </row>
    <row r="107" spans="1:22" ht="14.25" x14ac:dyDescent="0.2">
      <c r="A107" s="20"/>
      <c r="B107" s="20"/>
      <c r="C107" s="20" t="s">
        <v>369</v>
      </c>
      <c r="D107" s="21"/>
      <c r="E107" s="9"/>
      <c r="F107" s="23">
        <f>Source!AM35</f>
        <v>62266.22</v>
      </c>
      <c r="G107" s="22" t="str">
        <f>Source!DE35</f>
        <v/>
      </c>
      <c r="H107" s="9">
        <f>Source!AV35</f>
        <v>1</v>
      </c>
      <c r="I107" s="9">
        <f>IF(Source!BB35&lt;&gt; 0, Source!BB35, 1)</f>
        <v>1</v>
      </c>
      <c r="J107" s="23">
        <f>Source!Q35</f>
        <v>120796.47</v>
      </c>
      <c r="K107" s="23"/>
    </row>
    <row r="108" spans="1:22" ht="14.25" x14ac:dyDescent="0.2">
      <c r="A108" s="20"/>
      <c r="B108" s="20"/>
      <c r="C108" s="20" t="s">
        <v>370</v>
      </c>
      <c r="D108" s="21"/>
      <c r="E108" s="9"/>
      <c r="F108" s="23">
        <f>Source!AN35</f>
        <v>23389.77</v>
      </c>
      <c r="G108" s="22" t="str">
        <f>Source!DF35</f>
        <v/>
      </c>
      <c r="H108" s="9">
        <f>Source!AV35</f>
        <v>1</v>
      </c>
      <c r="I108" s="9">
        <f>IF(Source!BS35&lt;&gt; 0, Source!BS35, 1)</f>
        <v>1</v>
      </c>
      <c r="J108" s="24">
        <f>Source!R35</f>
        <v>45376.15</v>
      </c>
      <c r="K108" s="23"/>
    </row>
    <row r="109" spans="1:22" ht="14.25" x14ac:dyDescent="0.2">
      <c r="A109" s="20"/>
      <c r="B109" s="20"/>
      <c r="C109" s="20" t="s">
        <v>371</v>
      </c>
      <c r="D109" s="21"/>
      <c r="E109" s="9"/>
      <c r="F109" s="23">
        <f>Source!AL35</f>
        <v>300147.61</v>
      </c>
      <c r="G109" s="22" t="str">
        <f>Source!DD35</f>
        <v/>
      </c>
      <c r="H109" s="9">
        <f>Source!AW35</f>
        <v>1</v>
      </c>
      <c r="I109" s="9">
        <f>IF(Source!BC35&lt;&gt; 0, Source!BC35, 1)</f>
        <v>1</v>
      </c>
      <c r="J109" s="23">
        <f>Source!P35</f>
        <v>582286.36</v>
      </c>
      <c r="K109" s="23"/>
    </row>
    <row r="110" spans="1:22" ht="14.25" x14ac:dyDescent="0.2">
      <c r="A110" s="20"/>
      <c r="B110" s="20"/>
      <c r="C110" s="20" t="s">
        <v>372</v>
      </c>
      <c r="D110" s="21" t="s">
        <v>373</v>
      </c>
      <c r="E110" s="9">
        <f>Source!AT35</f>
        <v>70</v>
      </c>
      <c r="F110" s="23"/>
      <c r="G110" s="22"/>
      <c r="H110" s="9"/>
      <c r="I110" s="9"/>
      <c r="J110" s="23">
        <f>SUM(R104:R109)</f>
        <v>6960.74</v>
      </c>
      <c r="K110" s="23"/>
    </row>
    <row r="111" spans="1:22" ht="14.25" x14ac:dyDescent="0.2">
      <c r="A111" s="20"/>
      <c r="B111" s="20"/>
      <c r="C111" s="20" t="s">
        <v>374</v>
      </c>
      <c r="D111" s="21" t="s">
        <v>373</v>
      </c>
      <c r="E111" s="9">
        <f>Source!AU35</f>
        <v>10</v>
      </c>
      <c r="F111" s="23"/>
      <c r="G111" s="22"/>
      <c r="H111" s="9"/>
      <c r="I111" s="9"/>
      <c r="J111" s="23">
        <f>SUM(T104:T110)</f>
        <v>994.39</v>
      </c>
      <c r="K111" s="23"/>
    </row>
    <row r="112" spans="1:22" ht="14.25" x14ac:dyDescent="0.2">
      <c r="A112" s="20"/>
      <c r="B112" s="20"/>
      <c r="C112" s="20" t="s">
        <v>375</v>
      </c>
      <c r="D112" s="21" t="s">
        <v>373</v>
      </c>
      <c r="E112" s="9">
        <f>108</f>
        <v>108</v>
      </c>
      <c r="F112" s="23"/>
      <c r="G112" s="22"/>
      <c r="H112" s="9"/>
      <c r="I112" s="9"/>
      <c r="J112" s="23">
        <f>SUM(V104:V111)</f>
        <v>49006.239999999998</v>
      </c>
      <c r="K112" s="23"/>
    </row>
    <row r="113" spans="1:22" ht="14.25" x14ac:dyDescent="0.2">
      <c r="A113" s="20"/>
      <c r="B113" s="20"/>
      <c r="C113" s="20" t="s">
        <v>376</v>
      </c>
      <c r="D113" s="21" t="s">
        <v>377</v>
      </c>
      <c r="E113" s="9">
        <f>Source!AQ35</f>
        <v>24.84</v>
      </c>
      <c r="F113" s="23"/>
      <c r="G113" s="22" t="str">
        <f>Source!DI35</f>
        <v/>
      </c>
      <c r="H113" s="9">
        <f>Source!AV35</f>
        <v>1</v>
      </c>
      <c r="I113" s="9"/>
      <c r="J113" s="23"/>
      <c r="K113" s="23">
        <f>Source!U35</f>
        <v>48.189599999999999</v>
      </c>
    </row>
    <row r="114" spans="1:22" ht="15" x14ac:dyDescent="0.25">
      <c r="A114" s="27"/>
      <c r="B114" s="27"/>
      <c r="C114" s="27"/>
      <c r="D114" s="27"/>
      <c r="E114" s="27"/>
      <c r="F114" s="27"/>
      <c r="G114" s="27"/>
      <c r="H114" s="27"/>
      <c r="I114" s="63">
        <f>J106+J107+J109+J110+J111+J112</f>
        <v>769988.12</v>
      </c>
      <c r="J114" s="63"/>
      <c r="K114" s="28">
        <f>IF(Source!I35&lt;&gt;0, ROUND(I114/Source!I35, 2), 0)</f>
        <v>396901.09</v>
      </c>
      <c r="P114" s="25">
        <f>I114</f>
        <v>769988.12</v>
      </c>
    </row>
    <row r="115" spans="1:22" ht="71.25" x14ac:dyDescent="0.2">
      <c r="A115" s="20">
        <v>9</v>
      </c>
      <c r="B115" s="20" t="str">
        <f>Source!F36</f>
        <v>2.1-3103-8-3/2</v>
      </c>
      <c r="C115" s="20" t="str">
        <f>Source!G36</f>
        <v>Устройство однослойных покрытий из бетона марки М350 толщиной слоя 24 см (без стоимости арматуры) (в местах провала основания бетонной плитки)</v>
      </c>
      <c r="D115" s="21" t="str">
        <f>Source!H36</f>
        <v>1000 м2</v>
      </c>
      <c r="E115" s="9">
        <f>Source!I36</f>
        <v>2.1999999999999999E-2</v>
      </c>
      <c r="F115" s="23"/>
      <c r="G115" s="22"/>
      <c r="H115" s="9"/>
      <c r="I115" s="9"/>
      <c r="J115" s="23"/>
      <c r="K115" s="23"/>
      <c r="Q115">
        <f>ROUND((Source!BZ36/100)*ROUND((Source!AF36*Source!AV36)*Source!I36, 2), 2)</f>
        <v>98.13</v>
      </c>
      <c r="R115">
        <f>Source!X36</f>
        <v>98.13</v>
      </c>
      <c r="S115">
        <f>ROUND((Source!CA36/100)*ROUND((Source!AF36*Source!AV36)*Source!I36, 2), 2)</f>
        <v>14.02</v>
      </c>
      <c r="T115">
        <f>Source!Y36</f>
        <v>14.02</v>
      </c>
      <c r="U115">
        <f>ROUND((175/100)*ROUND((Source!AE36*Source!AV36)*Source!I36, 2), 2)</f>
        <v>169.28</v>
      </c>
      <c r="V115">
        <f>ROUND((108/100)*ROUND(Source!CS36*Source!I36, 2), 2)</f>
        <v>104.47</v>
      </c>
    </row>
    <row r="116" spans="1:22" x14ac:dyDescent="0.2">
      <c r="C116" s="29" t="str">
        <f>"Объем: "&amp;Source!I36&amp;"=22/"&amp;"1000"</f>
        <v>Объем: 0,022=22/1000</v>
      </c>
    </row>
    <row r="117" spans="1:22" ht="14.25" x14ac:dyDescent="0.2">
      <c r="A117" s="20"/>
      <c r="B117" s="20"/>
      <c r="C117" s="20" t="s">
        <v>368</v>
      </c>
      <c r="D117" s="21"/>
      <c r="E117" s="9"/>
      <c r="F117" s="23">
        <f>Source!AO36</f>
        <v>6372.45</v>
      </c>
      <c r="G117" s="22" t="str">
        <f>Source!DG36</f>
        <v/>
      </c>
      <c r="H117" s="9">
        <f>Source!AV36</f>
        <v>1</v>
      </c>
      <c r="I117" s="9">
        <f>IF(Source!BA36&lt;&gt; 0, Source!BA36, 1)</f>
        <v>1</v>
      </c>
      <c r="J117" s="23">
        <f>Source!S36</f>
        <v>140.19</v>
      </c>
      <c r="K117" s="23"/>
    </row>
    <row r="118" spans="1:22" ht="14.25" x14ac:dyDescent="0.2">
      <c r="A118" s="20"/>
      <c r="B118" s="20"/>
      <c r="C118" s="20" t="s">
        <v>369</v>
      </c>
      <c r="D118" s="21"/>
      <c r="E118" s="9"/>
      <c r="F118" s="23">
        <f>Source!AM36</f>
        <v>6442.38</v>
      </c>
      <c r="G118" s="22" t="str">
        <f>Source!DE36</f>
        <v/>
      </c>
      <c r="H118" s="9">
        <f>Source!AV36</f>
        <v>1</v>
      </c>
      <c r="I118" s="9">
        <f>IF(Source!BB36&lt;&gt; 0, Source!BB36, 1)</f>
        <v>1</v>
      </c>
      <c r="J118" s="23">
        <f>Source!Q36</f>
        <v>141.72999999999999</v>
      </c>
      <c r="K118" s="23"/>
    </row>
    <row r="119" spans="1:22" ht="14.25" x14ac:dyDescent="0.2">
      <c r="A119" s="20"/>
      <c r="B119" s="20"/>
      <c r="C119" s="20" t="s">
        <v>370</v>
      </c>
      <c r="D119" s="21"/>
      <c r="E119" s="9"/>
      <c r="F119" s="23">
        <f>Source!AN36</f>
        <v>4397</v>
      </c>
      <c r="G119" s="22" t="str">
        <f>Source!DF36</f>
        <v/>
      </c>
      <c r="H119" s="9">
        <f>Source!AV36</f>
        <v>1</v>
      </c>
      <c r="I119" s="9">
        <f>IF(Source!BS36&lt;&gt; 0, Source!BS36, 1)</f>
        <v>1</v>
      </c>
      <c r="J119" s="24">
        <f>Source!R36</f>
        <v>96.73</v>
      </c>
      <c r="K119" s="23"/>
    </row>
    <row r="120" spans="1:22" ht="14.25" x14ac:dyDescent="0.2">
      <c r="A120" s="20"/>
      <c r="B120" s="20"/>
      <c r="C120" s="20" t="s">
        <v>371</v>
      </c>
      <c r="D120" s="21"/>
      <c r="E120" s="9"/>
      <c r="F120" s="23">
        <f>Source!AL36</f>
        <v>1558504.24</v>
      </c>
      <c r="G120" s="22" t="str">
        <f>Source!DD36</f>
        <v/>
      </c>
      <c r="H120" s="9">
        <f>Source!AW36</f>
        <v>1</v>
      </c>
      <c r="I120" s="9">
        <f>IF(Source!BC36&lt;&gt; 0, Source!BC36, 1)</f>
        <v>1</v>
      </c>
      <c r="J120" s="23">
        <f>Source!P36</f>
        <v>34287.089999999997</v>
      </c>
      <c r="K120" s="23"/>
    </row>
    <row r="121" spans="1:22" ht="57" x14ac:dyDescent="0.2">
      <c r="A121" s="20" t="s">
        <v>60</v>
      </c>
      <c r="B121" s="20" t="str">
        <f>Source!F37</f>
        <v>21.3-4-68</v>
      </c>
      <c r="C121" s="20" t="str">
        <f>Source!G37</f>
        <v>Каркасы и сетки арматурные плоские, собранные и сваренные (связанные) в арматурные изделия, класс ВР-I, диаметр 5 мм</v>
      </c>
      <c r="D121" s="21" t="str">
        <f>Source!H37</f>
        <v>т</v>
      </c>
      <c r="E121" s="9">
        <f>Source!I37</f>
        <v>0.10999999999999999</v>
      </c>
      <c r="F121" s="23">
        <f>Source!AK37</f>
        <v>45378.52</v>
      </c>
      <c r="G121" s="30" t="s">
        <v>3</v>
      </c>
      <c r="H121" s="9">
        <f>Source!AW37</f>
        <v>1</v>
      </c>
      <c r="I121" s="9">
        <f>IF(Source!BC37&lt;&gt; 0, Source!BC37, 1)</f>
        <v>1</v>
      </c>
      <c r="J121" s="23">
        <f>Source!O37</f>
        <v>4991.6400000000003</v>
      </c>
      <c r="K121" s="23"/>
      <c r="Q121">
        <f>ROUND((Source!BZ37/100)*ROUND((Source!AF37*Source!AV37)*Source!I37, 2), 2)</f>
        <v>0</v>
      </c>
      <c r="R121">
        <f>Source!X37</f>
        <v>0</v>
      </c>
      <c r="S121">
        <f>ROUND((Source!CA37/100)*ROUND((Source!AF37*Source!AV37)*Source!I37, 2), 2)</f>
        <v>0</v>
      </c>
      <c r="T121">
        <f>Source!Y37</f>
        <v>0</v>
      </c>
      <c r="U121">
        <f>ROUND((175/100)*ROUND((Source!AE37*Source!AV37)*Source!I37, 2), 2)</f>
        <v>0</v>
      </c>
      <c r="V121">
        <f>ROUND((108/100)*ROUND(Source!CS37*Source!I37, 2), 2)</f>
        <v>0</v>
      </c>
    </row>
    <row r="122" spans="1:22" ht="14.25" x14ac:dyDescent="0.2">
      <c r="A122" s="20"/>
      <c r="B122" s="20"/>
      <c r="C122" s="20" t="s">
        <v>372</v>
      </c>
      <c r="D122" s="21" t="s">
        <v>373</v>
      </c>
      <c r="E122" s="9">
        <f>Source!AT36</f>
        <v>70</v>
      </c>
      <c r="F122" s="23"/>
      <c r="G122" s="22"/>
      <c r="H122" s="9"/>
      <c r="I122" s="9"/>
      <c r="J122" s="23">
        <f>SUM(R115:R121)</f>
        <v>98.13</v>
      </c>
      <c r="K122" s="23"/>
    </row>
    <row r="123" spans="1:22" ht="14.25" x14ac:dyDescent="0.2">
      <c r="A123" s="20"/>
      <c r="B123" s="20"/>
      <c r="C123" s="20" t="s">
        <v>374</v>
      </c>
      <c r="D123" s="21" t="s">
        <v>373</v>
      </c>
      <c r="E123" s="9">
        <f>Source!AU36</f>
        <v>10</v>
      </c>
      <c r="F123" s="23"/>
      <c r="G123" s="22"/>
      <c r="H123" s="9"/>
      <c r="I123" s="9"/>
      <c r="J123" s="23">
        <f>SUM(T115:T122)</f>
        <v>14.02</v>
      </c>
      <c r="K123" s="23"/>
    </row>
    <row r="124" spans="1:22" ht="14.25" x14ac:dyDescent="0.2">
      <c r="A124" s="20"/>
      <c r="B124" s="20"/>
      <c r="C124" s="20" t="s">
        <v>375</v>
      </c>
      <c r="D124" s="21" t="s">
        <v>373</v>
      </c>
      <c r="E124" s="9">
        <f>108</f>
        <v>108</v>
      </c>
      <c r="F124" s="23"/>
      <c r="G124" s="22"/>
      <c r="H124" s="9"/>
      <c r="I124" s="9"/>
      <c r="J124" s="23">
        <f>SUM(V115:V123)</f>
        <v>104.47</v>
      </c>
      <c r="K124" s="23"/>
    </row>
    <row r="125" spans="1:22" ht="14.25" x14ac:dyDescent="0.2">
      <c r="A125" s="20"/>
      <c r="B125" s="20"/>
      <c r="C125" s="20" t="s">
        <v>376</v>
      </c>
      <c r="D125" s="21" t="s">
        <v>377</v>
      </c>
      <c r="E125" s="9">
        <f>Source!AQ36</f>
        <v>29.21</v>
      </c>
      <c r="F125" s="23"/>
      <c r="G125" s="22" t="str">
        <f>Source!DI36</f>
        <v/>
      </c>
      <c r="H125" s="9">
        <f>Source!AV36</f>
        <v>1</v>
      </c>
      <c r="I125" s="9"/>
      <c r="J125" s="23"/>
      <c r="K125" s="23">
        <f>Source!U36</f>
        <v>0.64261999999999997</v>
      </c>
    </row>
    <row r="126" spans="1:22" ht="15" x14ac:dyDescent="0.25">
      <c r="A126" s="27"/>
      <c r="B126" s="27"/>
      <c r="C126" s="27"/>
      <c r="D126" s="27"/>
      <c r="E126" s="27"/>
      <c r="F126" s="27"/>
      <c r="G126" s="27"/>
      <c r="H126" s="27"/>
      <c r="I126" s="63">
        <f>J117+J118+J120+J122+J123+J124+SUM(J121:J121)</f>
        <v>39777.26999999999</v>
      </c>
      <c r="J126" s="63"/>
      <c r="K126" s="28">
        <f>IF(Source!I36&lt;&gt;0, ROUND(I126/Source!I36, 2), 0)</f>
        <v>1808057.73</v>
      </c>
      <c r="P126" s="25">
        <f>I126</f>
        <v>39777.26999999999</v>
      </c>
    </row>
    <row r="127" spans="1:22" ht="42.75" x14ac:dyDescent="0.2">
      <c r="A127" s="20">
        <v>10</v>
      </c>
      <c r="B127" s="20" t="str">
        <f>Source!F38</f>
        <v>2.1-3103-18-1/1</v>
      </c>
      <c r="C127" s="20" t="str">
        <f>Source!G38</f>
        <v>Устройство покрытий из асфальтобетонных смесей вручную, толщина 4 см</v>
      </c>
      <c r="D127" s="21" t="str">
        <f>Source!H38</f>
        <v>100 м2</v>
      </c>
      <c r="E127" s="9">
        <f>Source!I38</f>
        <v>19.84</v>
      </c>
      <c r="F127" s="23"/>
      <c r="G127" s="22"/>
      <c r="H127" s="9"/>
      <c r="I127" s="9"/>
      <c r="J127" s="23"/>
      <c r="K127" s="23"/>
      <c r="Q127">
        <f>ROUND((Source!BZ38/100)*ROUND((Source!AF38*Source!AV38)*Source!I38, 2), 2)</f>
        <v>47507.1</v>
      </c>
      <c r="R127">
        <f>Source!X38</f>
        <v>47507.1</v>
      </c>
      <c r="S127">
        <f>ROUND((Source!CA38/100)*ROUND((Source!AF38*Source!AV38)*Source!I38, 2), 2)</f>
        <v>6786.73</v>
      </c>
      <c r="T127">
        <f>Source!Y38</f>
        <v>6786.73</v>
      </c>
      <c r="U127">
        <f>ROUND((175/100)*ROUND((Source!AE38*Source!AV38)*Source!I38, 2), 2)</f>
        <v>35399.82</v>
      </c>
      <c r="V127">
        <f>ROUND((108/100)*ROUND(Source!CS38*Source!I38, 2), 2)</f>
        <v>21846.75</v>
      </c>
    </row>
    <row r="128" spans="1:22" x14ac:dyDescent="0.2">
      <c r="C128" s="29" t="str">
        <f>"Объем: "&amp;Source!I38&amp;"=1984/"&amp;"100"</f>
        <v>Объем: 19,84=1984/100</v>
      </c>
    </row>
    <row r="129" spans="1:22" ht="14.25" x14ac:dyDescent="0.2">
      <c r="A129" s="20"/>
      <c r="B129" s="20"/>
      <c r="C129" s="20" t="s">
        <v>368</v>
      </c>
      <c r="D129" s="21"/>
      <c r="E129" s="9"/>
      <c r="F129" s="23">
        <f>Source!AO38</f>
        <v>3420.73</v>
      </c>
      <c r="G129" s="22" t="str">
        <f>Source!DG38</f>
        <v/>
      </c>
      <c r="H129" s="9">
        <f>Source!AV38</f>
        <v>1</v>
      </c>
      <c r="I129" s="9">
        <f>IF(Source!BA38&lt;&gt; 0, Source!BA38, 1)</f>
        <v>1</v>
      </c>
      <c r="J129" s="23">
        <f>Source!S38</f>
        <v>67867.28</v>
      </c>
      <c r="K129" s="23"/>
    </row>
    <row r="130" spans="1:22" ht="14.25" x14ac:dyDescent="0.2">
      <c r="A130" s="20"/>
      <c r="B130" s="20"/>
      <c r="C130" s="20" t="s">
        <v>369</v>
      </c>
      <c r="D130" s="21"/>
      <c r="E130" s="9"/>
      <c r="F130" s="23">
        <f>Source!AM38</f>
        <v>1802.73</v>
      </c>
      <c r="G130" s="22" t="str">
        <f>Source!DE38</f>
        <v/>
      </c>
      <c r="H130" s="9">
        <f>Source!AV38</f>
        <v>1</v>
      </c>
      <c r="I130" s="9">
        <f>IF(Source!BB38&lt;&gt; 0, Source!BB38, 1)</f>
        <v>1</v>
      </c>
      <c r="J130" s="23">
        <f>Source!Q38</f>
        <v>35766.160000000003</v>
      </c>
      <c r="K130" s="23"/>
    </row>
    <row r="131" spans="1:22" ht="14.25" x14ac:dyDescent="0.2">
      <c r="A131" s="20"/>
      <c r="B131" s="20"/>
      <c r="C131" s="20" t="s">
        <v>370</v>
      </c>
      <c r="D131" s="21"/>
      <c r="E131" s="9"/>
      <c r="F131" s="23">
        <f>Source!AN38</f>
        <v>1019.58</v>
      </c>
      <c r="G131" s="22" t="str">
        <f>Source!DF38</f>
        <v/>
      </c>
      <c r="H131" s="9">
        <f>Source!AV38</f>
        <v>1</v>
      </c>
      <c r="I131" s="9">
        <f>IF(Source!BS38&lt;&gt; 0, Source!BS38, 1)</f>
        <v>1</v>
      </c>
      <c r="J131" s="24">
        <f>Source!R38</f>
        <v>20228.47</v>
      </c>
      <c r="K131" s="23"/>
    </row>
    <row r="132" spans="1:22" ht="14.25" x14ac:dyDescent="0.2">
      <c r="A132" s="20"/>
      <c r="B132" s="20"/>
      <c r="C132" s="20" t="s">
        <v>371</v>
      </c>
      <c r="D132" s="21"/>
      <c r="E132" s="9"/>
      <c r="F132" s="23">
        <f>Source!AL38</f>
        <v>39159.019999999997</v>
      </c>
      <c r="G132" s="22" t="str">
        <f>Source!DD38</f>
        <v/>
      </c>
      <c r="H132" s="9">
        <f>Source!AW38</f>
        <v>1</v>
      </c>
      <c r="I132" s="9">
        <f>IF(Source!BC38&lt;&gt; 0, Source!BC38, 1)</f>
        <v>1</v>
      </c>
      <c r="J132" s="23">
        <f>Source!P38</f>
        <v>776914.96</v>
      </c>
      <c r="K132" s="23"/>
    </row>
    <row r="133" spans="1:22" ht="14.25" x14ac:dyDescent="0.2">
      <c r="A133" s="20"/>
      <c r="B133" s="20"/>
      <c r="C133" s="20" t="s">
        <v>372</v>
      </c>
      <c r="D133" s="21" t="s">
        <v>373</v>
      </c>
      <c r="E133" s="9">
        <f>Source!AT38</f>
        <v>70</v>
      </c>
      <c r="F133" s="23"/>
      <c r="G133" s="22"/>
      <c r="H133" s="9"/>
      <c r="I133" s="9"/>
      <c r="J133" s="23">
        <f>SUM(R127:R132)</f>
        <v>47507.1</v>
      </c>
      <c r="K133" s="23"/>
    </row>
    <row r="134" spans="1:22" ht="14.25" x14ac:dyDescent="0.2">
      <c r="A134" s="20"/>
      <c r="B134" s="20"/>
      <c r="C134" s="20" t="s">
        <v>374</v>
      </c>
      <c r="D134" s="21" t="s">
        <v>373</v>
      </c>
      <c r="E134" s="9">
        <f>Source!AU38</f>
        <v>10</v>
      </c>
      <c r="F134" s="23"/>
      <c r="G134" s="22"/>
      <c r="H134" s="9"/>
      <c r="I134" s="9"/>
      <c r="J134" s="23">
        <f>SUM(T127:T133)</f>
        <v>6786.73</v>
      </c>
      <c r="K134" s="23"/>
    </row>
    <row r="135" spans="1:22" ht="14.25" x14ac:dyDescent="0.2">
      <c r="A135" s="20"/>
      <c r="B135" s="20"/>
      <c r="C135" s="20" t="s">
        <v>375</v>
      </c>
      <c r="D135" s="21" t="s">
        <v>373</v>
      </c>
      <c r="E135" s="9">
        <f>108</f>
        <v>108</v>
      </c>
      <c r="F135" s="23"/>
      <c r="G135" s="22"/>
      <c r="H135" s="9"/>
      <c r="I135" s="9"/>
      <c r="J135" s="23">
        <f>SUM(V127:V134)</f>
        <v>21846.75</v>
      </c>
      <c r="K135" s="23"/>
    </row>
    <row r="136" spans="1:22" ht="14.25" x14ac:dyDescent="0.2">
      <c r="A136" s="20"/>
      <c r="B136" s="20"/>
      <c r="C136" s="20" t="s">
        <v>376</v>
      </c>
      <c r="D136" s="21" t="s">
        <v>377</v>
      </c>
      <c r="E136" s="9">
        <f>Source!AQ38</f>
        <v>13.57</v>
      </c>
      <c r="F136" s="23"/>
      <c r="G136" s="22" t="str">
        <f>Source!DI38</f>
        <v/>
      </c>
      <c r="H136" s="9">
        <f>Source!AV38</f>
        <v>1</v>
      </c>
      <c r="I136" s="9"/>
      <c r="J136" s="23"/>
      <c r="K136" s="23">
        <f>Source!U38</f>
        <v>269.22879999999998</v>
      </c>
    </row>
    <row r="137" spans="1:22" ht="15" x14ac:dyDescent="0.25">
      <c r="A137" s="27"/>
      <c r="B137" s="27"/>
      <c r="C137" s="27"/>
      <c r="D137" s="27"/>
      <c r="E137" s="27"/>
      <c r="F137" s="27"/>
      <c r="G137" s="27"/>
      <c r="H137" s="27"/>
      <c r="I137" s="63">
        <f>J129+J130+J132+J133+J134+J135</f>
        <v>956688.97999999986</v>
      </c>
      <c r="J137" s="63"/>
      <c r="K137" s="28">
        <f>IF(Source!I38&lt;&gt;0, ROUND(I137/Source!I38, 2), 0)</f>
        <v>48220.21</v>
      </c>
      <c r="P137" s="25">
        <f>I137</f>
        <v>956688.97999999986</v>
      </c>
    </row>
    <row r="138" spans="1:22" ht="99.75" x14ac:dyDescent="0.2">
      <c r="A138" s="20">
        <v>11</v>
      </c>
      <c r="B138" s="20" t="str">
        <f>Source!F39</f>
        <v>2.1-3103-19-2/1</v>
      </c>
      <c r="C138" s="20" t="str">
        <f>Source!G39</f>
        <v>Устройство асфальтобетонных покрытий дорожек и тротуаров однослойных из литой мелкозернистой асфальтобетонной смеси, добавлять или исключать на каждые 0,5 см изменения толщины слоя</v>
      </c>
      <c r="D138" s="21" t="str">
        <f>Source!H39</f>
        <v>100 м2</v>
      </c>
      <c r="E138" s="9">
        <f>Source!I39</f>
        <v>19.84</v>
      </c>
      <c r="F138" s="23"/>
      <c r="G138" s="22"/>
      <c r="H138" s="9"/>
      <c r="I138" s="9"/>
      <c r="J138" s="23"/>
      <c r="K138" s="23"/>
      <c r="Q138">
        <f>ROUND((Source!BZ39/100)*ROUND((Source!AF39*Source!AV39)*Source!I39, 2), 2)</f>
        <v>18694.63</v>
      </c>
      <c r="R138">
        <f>Source!X39</f>
        <v>18694.63</v>
      </c>
      <c r="S138">
        <f>ROUND((Source!CA39/100)*ROUND((Source!AF39*Source!AV39)*Source!I39, 2), 2)</f>
        <v>2670.66</v>
      </c>
      <c r="T138">
        <f>Source!Y39</f>
        <v>2670.66</v>
      </c>
      <c r="U138">
        <f>ROUND((175/100)*ROUND((Source!AE39*Source!AV39)*Source!I39, 2), 2)</f>
        <v>0</v>
      </c>
      <c r="V138">
        <f>ROUND((108/100)*ROUND(Source!CS39*Source!I39, 2), 2)</f>
        <v>0</v>
      </c>
    </row>
    <row r="139" spans="1:22" x14ac:dyDescent="0.2">
      <c r="C139" s="29" t="str">
        <f>"Объем: "&amp;Source!I39&amp;"=1984/"&amp;"100"</f>
        <v>Объем: 19,84=1984/100</v>
      </c>
    </row>
    <row r="140" spans="1:22" ht="14.25" x14ac:dyDescent="0.2">
      <c r="A140" s="20"/>
      <c r="B140" s="20"/>
      <c r="C140" s="20" t="s">
        <v>368</v>
      </c>
      <c r="D140" s="21"/>
      <c r="E140" s="9"/>
      <c r="F140" s="23">
        <f>Source!AO39</f>
        <v>673.05</v>
      </c>
      <c r="G140" s="22" t="str">
        <f>Source!DG39</f>
        <v>)*2</v>
      </c>
      <c r="H140" s="9">
        <f>Source!AV39</f>
        <v>1</v>
      </c>
      <c r="I140" s="9">
        <f>IF(Source!BA39&lt;&gt; 0, Source!BA39, 1)</f>
        <v>1</v>
      </c>
      <c r="J140" s="23">
        <f>Source!S39</f>
        <v>26706.62</v>
      </c>
      <c r="K140" s="23"/>
    </row>
    <row r="141" spans="1:22" ht="14.25" x14ac:dyDescent="0.2">
      <c r="A141" s="20"/>
      <c r="B141" s="20"/>
      <c r="C141" s="20" t="s">
        <v>371</v>
      </c>
      <c r="D141" s="21"/>
      <c r="E141" s="9"/>
      <c r="F141" s="23">
        <f>Source!AL39</f>
        <v>4612.74</v>
      </c>
      <c r="G141" s="22" t="str">
        <f>Source!DD39</f>
        <v>)*2</v>
      </c>
      <c r="H141" s="9">
        <f>Source!AW39</f>
        <v>1</v>
      </c>
      <c r="I141" s="9">
        <f>IF(Source!BC39&lt;&gt; 0, Source!BC39, 1)</f>
        <v>1</v>
      </c>
      <c r="J141" s="23">
        <f>Source!P39</f>
        <v>183033.52</v>
      </c>
      <c r="K141" s="23"/>
    </row>
    <row r="142" spans="1:22" ht="14.25" x14ac:dyDescent="0.2">
      <c r="A142" s="20"/>
      <c r="B142" s="20"/>
      <c r="C142" s="20" t="s">
        <v>372</v>
      </c>
      <c r="D142" s="21" t="s">
        <v>373</v>
      </c>
      <c r="E142" s="9">
        <f>Source!AT39</f>
        <v>70</v>
      </c>
      <c r="F142" s="23"/>
      <c r="G142" s="22"/>
      <c r="H142" s="9"/>
      <c r="I142" s="9"/>
      <c r="J142" s="23">
        <f>SUM(R138:R141)</f>
        <v>18694.63</v>
      </c>
      <c r="K142" s="23"/>
    </row>
    <row r="143" spans="1:22" ht="14.25" x14ac:dyDescent="0.2">
      <c r="A143" s="20"/>
      <c r="B143" s="20"/>
      <c r="C143" s="20" t="s">
        <v>374</v>
      </c>
      <c r="D143" s="21" t="s">
        <v>373</v>
      </c>
      <c r="E143" s="9">
        <f>Source!AU39</f>
        <v>10</v>
      </c>
      <c r="F143" s="23"/>
      <c r="G143" s="22"/>
      <c r="H143" s="9"/>
      <c r="I143" s="9"/>
      <c r="J143" s="23">
        <f>SUM(T138:T142)</f>
        <v>2670.66</v>
      </c>
      <c r="K143" s="23"/>
    </row>
    <row r="144" spans="1:22" ht="14.25" x14ac:dyDescent="0.2">
      <c r="A144" s="20"/>
      <c r="B144" s="20"/>
      <c r="C144" s="20" t="s">
        <v>376</v>
      </c>
      <c r="D144" s="21" t="s">
        <v>377</v>
      </c>
      <c r="E144" s="9">
        <f>Source!AQ39</f>
        <v>2.67</v>
      </c>
      <c r="F144" s="23"/>
      <c r="G144" s="22" t="str">
        <f>Source!DI39</f>
        <v>)*2</v>
      </c>
      <c r="H144" s="9">
        <f>Source!AV39</f>
        <v>1</v>
      </c>
      <c r="I144" s="9"/>
      <c r="J144" s="23"/>
      <c r="K144" s="23">
        <f>Source!U39</f>
        <v>105.9456</v>
      </c>
    </row>
    <row r="145" spans="1:22" ht="15" x14ac:dyDescent="0.25">
      <c r="A145" s="27"/>
      <c r="B145" s="27"/>
      <c r="C145" s="27"/>
      <c r="D145" s="27"/>
      <c r="E145" s="27"/>
      <c r="F145" s="27"/>
      <c r="G145" s="27"/>
      <c r="H145" s="27"/>
      <c r="I145" s="63">
        <f>J140+J141+J142+J143</f>
        <v>231105.43</v>
      </c>
      <c r="J145" s="63"/>
      <c r="K145" s="28">
        <f>IF(Source!I39&lt;&gt;0, ROUND(I145/Source!I39, 2), 0)</f>
        <v>11648.46</v>
      </c>
      <c r="P145" s="25">
        <f>I145</f>
        <v>231105.43</v>
      </c>
    </row>
    <row r="147" spans="1:22" ht="15" x14ac:dyDescent="0.25">
      <c r="A147" s="67" t="str">
        <f>CONCATENATE("Итого по разделу: ",IF(Source!G41&lt;&gt;"Новый раздел", Source!G41, ""))</f>
        <v>Итого по разделу: Ремонт дорожек и тротуаров</v>
      </c>
      <c r="B147" s="67"/>
      <c r="C147" s="67"/>
      <c r="D147" s="67"/>
      <c r="E147" s="67"/>
      <c r="F147" s="67"/>
      <c r="G147" s="67"/>
      <c r="H147" s="67"/>
      <c r="I147" s="65">
        <f>SUM(P32:P146)</f>
        <v>2985517.35</v>
      </c>
      <c r="J147" s="66"/>
      <c r="K147" s="31"/>
    </row>
    <row r="150" spans="1:22" ht="16.5" x14ac:dyDescent="0.25">
      <c r="A150" s="64" t="str">
        <f>CONCATENATE("Раздел: ",IF(Source!G71&lt;&gt;"Новый раздел", Source!G71, ""))</f>
        <v>Раздел: Ремонт отмостки</v>
      </c>
      <c r="B150" s="64"/>
      <c r="C150" s="64"/>
      <c r="D150" s="64"/>
      <c r="E150" s="64"/>
      <c r="F150" s="64"/>
      <c r="G150" s="64"/>
      <c r="H150" s="64"/>
      <c r="I150" s="64"/>
      <c r="J150" s="64"/>
      <c r="K150" s="64"/>
    </row>
    <row r="151" spans="1:22" ht="28.5" x14ac:dyDescent="0.2">
      <c r="A151" s="20">
        <v>12</v>
      </c>
      <c r="B151" s="20" t="str">
        <f>Source!F75</f>
        <v>2.1-3104-1-5/1</v>
      </c>
      <c r="C151" s="20" t="str">
        <f>Source!G75</f>
        <v>Разборка покрытий и оснований цементобетонных</v>
      </c>
      <c r="D151" s="21" t="str">
        <f>Source!H75</f>
        <v>100 м3</v>
      </c>
      <c r="E151" s="9">
        <f>Source!I75</f>
        <v>0.14399999999999999</v>
      </c>
      <c r="F151" s="23"/>
      <c r="G151" s="22"/>
      <c r="H151" s="9"/>
      <c r="I151" s="9"/>
      <c r="J151" s="23"/>
      <c r="K151" s="23"/>
      <c r="Q151">
        <f>ROUND((Source!BZ75/100)*ROUND((Source!AF75*Source!AV75)*Source!I75, 2), 2)</f>
        <v>1354.88</v>
      </c>
      <c r="R151">
        <f>Source!X75</f>
        <v>1354.88</v>
      </c>
      <c r="S151">
        <f>ROUND((Source!CA75/100)*ROUND((Source!AF75*Source!AV75)*Source!I75, 2), 2)</f>
        <v>193.55</v>
      </c>
      <c r="T151">
        <f>Source!Y75</f>
        <v>193.55</v>
      </c>
      <c r="U151">
        <f>ROUND((175/100)*ROUND((Source!AE75*Source!AV75)*Source!I75, 2), 2)</f>
        <v>1337.44</v>
      </c>
      <c r="V151">
        <f>ROUND((108/100)*ROUND(Source!CS75*Source!I75, 2), 2)</f>
        <v>825.39</v>
      </c>
    </row>
    <row r="152" spans="1:22" x14ac:dyDescent="0.2">
      <c r="C152" s="29" t="str">
        <f>"Объем: "&amp;Source!I75&amp;"=14,4/"&amp;"100"</f>
        <v>Объем: 0,144=14,4/100</v>
      </c>
    </row>
    <row r="153" spans="1:22" ht="14.25" x14ac:dyDescent="0.2">
      <c r="A153" s="20"/>
      <c r="B153" s="20"/>
      <c r="C153" s="20" t="s">
        <v>368</v>
      </c>
      <c r="D153" s="21"/>
      <c r="E153" s="9"/>
      <c r="F153" s="23">
        <f>Source!AO75</f>
        <v>13441.23</v>
      </c>
      <c r="G153" s="22" t="str">
        <f>Source!DG75</f>
        <v/>
      </c>
      <c r="H153" s="9">
        <f>Source!AV75</f>
        <v>1</v>
      </c>
      <c r="I153" s="9">
        <f>IF(Source!BA75&lt;&gt; 0, Source!BA75, 1)</f>
        <v>1</v>
      </c>
      <c r="J153" s="23">
        <f>Source!S75</f>
        <v>1935.54</v>
      </c>
      <c r="K153" s="23"/>
    </row>
    <row r="154" spans="1:22" ht="14.25" x14ac:dyDescent="0.2">
      <c r="A154" s="20"/>
      <c r="B154" s="20"/>
      <c r="C154" s="20" t="s">
        <v>369</v>
      </c>
      <c r="D154" s="21"/>
      <c r="E154" s="9"/>
      <c r="F154" s="23">
        <f>Source!AM75</f>
        <v>16089.03</v>
      </c>
      <c r="G154" s="22" t="str">
        <f>Source!DE75</f>
        <v/>
      </c>
      <c r="H154" s="9">
        <f>Source!AV75</f>
        <v>1</v>
      </c>
      <c r="I154" s="9">
        <f>IF(Source!BB75&lt;&gt; 0, Source!BB75, 1)</f>
        <v>1</v>
      </c>
      <c r="J154" s="23">
        <f>Source!Q75</f>
        <v>2316.8200000000002</v>
      </c>
      <c r="K154" s="23"/>
    </row>
    <row r="155" spans="1:22" ht="14.25" x14ac:dyDescent="0.2">
      <c r="A155" s="20"/>
      <c r="B155" s="20"/>
      <c r="C155" s="20" t="s">
        <v>370</v>
      </c>
      <c r="D155" s="21"/>
      <c r="E155" s="9"/>
      <c r="F155" s="23">
        <f>Source!AN75</f>
        <v>5307.29</v>
      </c>
      <c r="G155" s="22" t="str">
        <f>Source!DF75</f>
        <v/>
      </c>
      <c r="H155" s="9">
        <f>Source!AV75</f>
        <v>1</v>
      </c>
      <c r="I155" s="9">
        <f>IF(Source!BS75&lt;&gt; 0, Source!BS75, 1)</f>
        <v>1</v>
      </c>
      <c r="J155" s="24">
        <f>Source!R75</f>
        <v>764.25</v>
      </c>
      <c r="K155" s="23"/>
    </row>
    <row r="156" spans="1:22" ht="14.25" x14ac:dyDescent="0.2">
      <c r="A156" s="20"/>
      <c r="B156" s="20"/>
      <c r="C156" s="20" t="s">
        <v>372</v>
      </c>
      <c r="D156" s="21" t="s">
        <v>373</v>
      </c>
      <c r="E156" s="9">
        <f>Source!AT75</f>
        <v>70</v>
      </c>
      <c r="F156" s="23"/>
      <c r="G156" s="22"/>
      <c r="H156" s="9"/>
      <c r="I156" s="9"/>
      <c r="J156" s="23">
        <f>SUM(R151:R155)</f>
        <v>1354.88</v>
      </c>
      <c r="K156" s="23"/>
    </row>
    <row r="157" spans="1:22" ht="14.25" x14ac:dyDescent="0.2">
      <c r="A157" s="20"/>
      <c r="B157" s="20"/>
      <c r="C157" s="20" t="s">
        <v>374</v>
      </c>
      <c r="D157" s="21" t="s">
        <v>373</v>
      </c>
      <c r="E157" s="9">
        <f>Source!AU75</f>
        <v>10</v>
      </c>
      <c r="F157" s="23"/>
      <c r="G157" s="22"/>
      <c r="H157" s="9"/>
      <c r="I157" s="9"/>
      <c r="J157" s="23">
        <f>SUM(T151:T156)</f>
        <v>193.55</v>
      </c>
      <c r="K157" s="23"/>
    </row>
    <row r="158" spans="1:22" ht="14.25" x14ac:dyDescent="0.2">
      <c r="A158" s="20"/>
      <c r="B158" s="20"/>
      <c r="C158" s="20" t="s">
        <v>375</v>
      </c>
      <c r="D158" s="21" t="s">
        <v>373</v>
      </c>
      <c r="E158" s="9">
        <f>108</f>
        <v>108</v>
      </c>
      <c r="F158" s="23"/>
      <c r="G158" s="22"/>
      <c r="H158" s="9"/>
      <c r="I158" s="9"/>
      <c r="J158" s="23">
        <f>SUM(V151:V157)</f>
        <v>825.39</v>
      </c>
      <c r="K158" s="23"/>
    </row>
    <row r="159" spans="1:22" ht="14.25" x14ac:dyDescent="0.2">
      <c r="A159" s="20"/>
      <c r="B159" s="20"/>
      <c r="C159" s="20" t="s">
        <v>376</v>
      </c>
      <c r="D159" s="21" t="s">
        <v>377</v>
      </c>
      <c r="E159" s="9">
        <f>Source!AQ75</f>
        <v>49.5</v>
      </c>
      <c r="F159" s="23"/>
      <c r="G159" s="22" t="str">
        <f>Source!DI75</f>
        <v/>
      </c>
      <c r="H159" s="9">
        <f>Source!AV75</f>
        <v>1</v>
      </c>
      <c r="I159" s="9"/>
      <c r="J159" s="23"/>
      <c r="K159" s="23">
        <f>Source!U75</f>
        <v>7.1279999999999992</v>
      </c>
    </row>
    <row r="160" spans="1:22" ht="15" x14ac:dyDescent="0.25">
      <c r="A160" s="27"/>
      <c r="B160" s="27"/>
      <c r="C160" s="27"/>
      <c r="D160" s="27"/>
      <c r="E160" s="27"/>
      <c r="F160" s="27"/>
      <c r="G160" s="27"/>
      <c r="H160" s="27"/>
      <c r="I160" s="63">
        <f>J153+J154+J156+J157+J158</f>
        <v>6626.1800000000012</v>
      </c>
      <c r="J160" s="63"/>
      <c r="K160" s="28">
        <f>IF(Source!I75&lt;&gt;0, ROUND(I160/Source!I75, 2), 0)</f>
        <v>46015.14</v>
      </c>
      <c r="P160" s="25">
        <f>I160</f>
        <v>6626.1800000000012</v>
      </c>
    </row>
    <row r="161" spans="1:22" ht="71.25" x14ac:dyDescent="0.2">
      <c r="A161" s="20">
        <v>13</v>
      </c>
      <c r="B161" s="20" t="str">
        <f>Source!F76</f>
        <v>2.49-3101-4-1/1</v>
      </c>
      <c r="C161" s="20" t="str">
        <f>Source!G76</f>
        <v>Разработка грунта с погрузкой на автомобили-самосвалы экскаваторами с ковшом вместимостью 0,4 м3, группа грунтов 1-3</v>
      </c>
      <c r="D161" s="21" t="str">
        <f>Source!H76</f>
        <v>100 м3</v>
      </c>
      <c r="E161" s="9">
        <f>Source!I76</f>
        <v>0.14399999999999999</v>
      </c>
      <c r="F161" s="23"/>
      <c r="G161" s="22"/>
      <c r="H161" s="9"/>
      <c r="I161" s="9"/>
      <c r="J161" s="23"/>
      <c r="K161" s="23"/>
      <c r="Q161">
        <f>ROUND((Source!BZ76/100)*ROUND((Source!AF76*Source!AV76)*Source!I76, 2), 2)</f>
        <v>44.59</v>
      </c>
      <c r="R161">
        <f>Source!X76</f>
        <v>44.59</v>
      </c>
      <c r="S161">
        <f>ROUND((Source!CA76/100)*ROUND((Source!AF76*Source!AV76)*Source!I76, 2), 2)</f>
        <v>6.37</v>
      </c>
      <c r="T161">
        <f>Source!Y76</f>
        <v>6.37</v>
      </c>
      <c r="U161">
        <f>ROUND((175/100)*ROUND((Source!AE76*Source!AV76)*Source!I76, 2), 2)</f>
        <v>1120.23</v>
      </c>
      <c r="V161">
        <f>ROUND((108/100)*ROUND(Source!CS76*Source!I76, 2), 2)</f>
        <v>691.34</v>
      </c>
    </row>
    <row r="162" spans="1:22" x14ac:dyDescent="0.2">
      <c r="C162" s="29" t="str">
        <f>"Объем: "&amp;Source!I76&amp;"=14,4/"&amp;"100"</f>
        <v>Объем: 0,144=14,4/100</v>
      </c>
    </row>
    <row r="163" spans="1:22" ht="14.25" x14ac:dyDescent="0.2">
      <c r="A163" s="20"/>
      <c r="B163" s="20"/>
      <c r="C163" s="20" t="s">
        <v>368</v>
      </c>
      <c r="D163" s="21"/>
      <c r="E163" s="9"/>
      <c r="F163" s="23">
        <f>Source!AO76</f>
        <v>442.38</v>
      </c>
      <c r="G163" s="22" t="str">
        <f>Source!DG76</f>
        <v/>
      </c>
      <c r="H163" s="9">
        <f>Source!AV76</f>
        <v>1</v>
      </c>
      <c r="I163" s="9">
        <f>IF(Source!BA76&lt;&gt; 0, Source!BA76, 1)</f>
        <v>1</v>
      </c>
      <c r="J163" s="23">
        <f>Source!S76</f>
        <v>63.7</v>
      </c>
      <c r="K163" s="23"/>
    </row>
    <row r="164" spans="1:22" ht="14.25" x14ac:dyDescent="0.2">
      <c r="A164" s="20"/>
      <c r="B164" s="20"/>
      <c r="C164" s="20" t="s">
        <v>369</v>
      </c>
      <c r="D164" s="21"/>
      <c r="E164" s="9"/>
      <c r="F164" s="23">
        <f>Source!AM76</f>
        <v>9977.4500000000007</v>
      </c>
      <c r="G164" s="22" t="str">
        <f>Source!DE76</f>
        <v/>
      </c>
      <c r="H164" s="9">
        <f>Source!AV76</f>
        <v>1</v>
      </c>
      <c r="I164" s="9">
        <f>IF(Source!BB76&lt;&gt; 0, Source!BB76, 1)</f>
        <v>1</v>
      </c>
      <c r="J164" s="23">
        <f>Source!Q76</f>
        <v>1436.75</v>
      </c>
      <c r="K164" s="23"/>
    </row>
    <row r="165" spans="1:22" ht="14.25" x14ac:dyDescent="0.2">
      <c r="A165" s="20"/>
      <c r="B165" s="20"/>
      <c r="C165" s="20" t="s">
        <v>370</v>
      </c>
      <c r="D165" s="21"/>
      <c r="E165" s="9"/>
      <c r="F165" s="23">
        <f>Source!AN76</f>
        <v>4445.33</v>
      </c>
      <c r="G165" s="22" t="str">
        <f>Source!DF76</f>
        <v/>
      </c>
      <c r="H165" s="9">
        <f>Source!AV76</f>
        <v>1</v>
      </c>
      <c r="I165" s="9">
        <f>IF(Source!BS76&lt;&gt; 0, Source!BS76, 1)</f>
        <v>1</v>
      </c>
      <c r="J165" s="24">
        <f>Source!R76</f>
        <v>640.13</v>
      </c>
      <c r="K165" s="23"/>
    </row>
    <row r="166" spans="1:22" ht="14.25" x14ac:dyDescent="0.2">
      <c r="A166" s="20"/>
      <c r="B166" s="20"/>
      <c r="C166" s="20" t="s">
        <v>372</v>
      </c>
      <c r="D166" s="21" t="s">
        <v>373</v>
      </c>
      <c r="E166" s="9">
        <f>Source!AT76</f>
        <v>70</v>
      </c>
      <c r="F166" s="23"/>
      <c r="G166" s="22"/>
      <c r="H166" s="9"/>
      <c r="I166" s="9"/>
      <c r="J166" s="23">
        <f>SUM(R161:R165)</f>
        <v>44.59</v>
      </c>
      <c r="K166" s="23"/>
    </row>
    <row r="167" spans="1:22" ht="14.25" x14ac:dyDescent="0.2">
      <c r="A167" s="20"/>
      <c r="B167" s="20"/>
      <c r="C167" s="20" t="s">
        <v>374</v>
      </c>
      <c r="D167" s="21" t="s">
        <v>373</v>
      </c>
      <c r="E167" s="9">
        <f>Source!AU76</f>
        <v>10</v>
      </c>
      <c r="F167" s="23"/>
      <c r="G167" s="22"/>
      <c r="H167" s="9"/>
      <c r="I167" s="9"/>
      <c r="J167" s="23">
        <f>SUM(T161:T166)</f>
        <v>6.37</v>
      </c>
      <c r="K167" s="23"/>
    </row>
    <row r="168" spans="1:22" ht="14.25" x14ac:dyDescent="0.2">
      <c r="A168" s="20"/>
      <c r="B168" s="20"/>
      <c r="C168" s="20" t="s">
        <v>375</v>
      </c>
      <c r="D168" s="21" t="s">
        <v>373</v>
      </c>
      <c r="E168" s="9">
        <f>108</f>
        <v>108</v>
      </c>
      <c r="F168" s="23"/>
      <c r="G168" s="22"/>
      <c r="H168" s="9"/>
      <c r="I168" s="9"/>
      <c r="J168" s="23">
        <f>SUM(V161:V167)</f>
        <v>691.34</v>
      </c>
      <c r="K168" s="23"/>
    </row>
    <row r="169" spans="1:22" ht="14.25" x14ac:dyDescent="0.2">
      <c r="A169" s="20"/>
      <c r="B169" s="20"/>
      <c r="C169" s="20" t="s">
        <v>376</v>
      </c>
      <c r="D169" s="21" t="s">
        <v>377</v>
      </c>
      <c r="E169" s="9">
        <f>Source!AQ76</f>
        <v>2.2200000000000002</v>
      </c>
      <c r="F169" s="23"/>
      <c r="G169" s="22" t="str">
        <f>Source!DI76</f>
        <v/>
      </c>
      <c r="H169" s="9">
        <f>Source!AV76</f>
        <v>1</v>
      </c>
      <c r="I169" s="9"/>
      <c r="J169" s="23"/>
      <c r="K169" s="23">
        <f>Source!U76</f>
        <v>0.31968000000000002</v>
      </c>
    </row>
    <row r="170" spans="1:22" ht="15" x14ac:dyDescent="0.25">
      <c r="A170" s="27"/>
      <c r="B170" s="27"/>
      <c r="C170" s="27"/>
      <c r="D170" s="27"/>
      <c r="E170" s="27"/>
      <c r="F170" s="27"/>
      <c r="G170" s="27"/>
      <c r="H170" s="27"/>
      <c r="I170" s="63">
        <f>J163+J164+J166+J167+J168</f>
        <v>2242.75</v>
      </c>
      <c r="J170" s="63"/>
      <c r="K170" s="28">
        <f>IF(Source!I76&lt;&gt;0, ROUND(I170/Source!I76, 2), 0)</f>
        <v>15574.65</v>
      </c>
      <c r="P170" s="25">
        <f>I170</f>
        <v>2242.75</v>
      </c>
    </row>
    <row r="171" spans="1:22" ht="42.75" x14ac:dyDescent="0.2">
      <c r="A171" s="20">
        <v>14</v>
      </c>
      <c r="B171" s="20" t="str">
        <f>Source!F77</f>
        <v>2.1-3203-1-1/1</v>
      </c>
      <c r="C171" s="20" t="str">
        <f>Source!G77</f>
        <v>Установка бортовых камней бетонных марки БР 100.30.15 при цементобетонных покрытиях</v>
      </c>
      <c r="D171" s="21" t="str">
        <f>Source!H77</f>
        <v>100 м</v>
      </c>
      <c r="E171" s="9">
        <f>Source!I77</f>
        <v>1.44</v>
      </c>
      <c r="F171" s="23"/>
      <c r="G171" s="22"/>
      <c r="H171" s="9"/>
      <c r="I171" s="9"/>
      <c r="J171" s="23"/>
      <c r="K171" s="23"/>
      <c r="Q171">
        <f>ROUND((Source!BZ77/100)*ROUND((Source!AF77*Source!AV77)*Source!I77, 2), 2)</f>
        <v>17651.8</v>
      </c>
      <c r="R171">
        <f>Source!X77</f>
        <v>17651.8</v>
      </c>
      <c r="S171">
        <f>ROUND((Source!CA77/100)*ROUND((Source!AF77*Source!AV77)*Source!I77, 2), 2)</f>
        <v>2521.69</v>
      </c>
      <c r="T171">
        <f>Source!Y77</f>
        <v>2521.69</v>
      </c>
      <c r="U171">
        <f>ROUND((175/100)*ROUND((Source!AE77*Source!AV77)*Source!I77, 2), 2)</f>
        <v>0</v>
      </c>
      <c r="V171">
        <f>ROUND((108/100)*ROUND(Source!CS77*Source!I77, 2), 2)</f>
        <v>0</v>
      </c>
    </row>
    <row r="172" spans="1:22" x14ac:dyDescent="0.2">
      <c r="C172" s="29" t="str">
        <f>"Объем: "&amp;Source!I77&amp;"=144/"&amp;"100"</f>
        <v>Объем: 1,44=144/100</v>
      </c>
    </row>
    <row r="173" spans="1:22" ht="14.25" x14ac:dyDescent="0.2">
      <c r="A173" s="20"/>
      <c r="B173" s="20"/>
      <c r="C173" s="20" t="s">
        <v>368</v>
      </c>
      <c r="D173" s="21"/>
      <c r="E173" s="9"/>
      <c r="F173" s="23">
        <f>Source!AO77</f>
        <v>17511.7</v>
      </c>
      <c r="G173" s="22" t="str">
        <f>Source!DG77</f>
        <v/>
      </c>
      <c r="H173" s="9">
        <f>Source!AV77</f>
        <v>1</v>
      </c>
      <c r="I173" s="9">
        <f>IF(Source!BA77&lt;&gt; 0, Source!BA77, 1)</f>
        <v>1</v>
      </c>
      <c r="J173" s="23">
        <f>Source!S77</f>
        <v>25216.85</v>
      </c>
      <c r="K173" s="23"/>
    </row>
    <row r="174" spans="1:22" ht="14.25" x14ac:dyDescent="0.2">
      <c r="A174" s="20"/>
      <c r="B174" s="20"/>
      <c r="C174" s="20" t="s">
        <v>371</v>
      </c>
      <c r="D174" s="21"/>
      <c r="E174" s="9"/>
      <c r="F174" s="23">
        <f>Source!AL77</f>
        <v>67604.539999999994</v>
      </c>
      <c r="G174" s="22" t="str">
        <f>Source!DD77</f>
        <v/>
      </c>
      <c r="H174" s="9">
        <f>Source!AW77</f>
        <v>1</v>
      </c>
      <c r="I174" s="9">
        <f>IF(Source!BC77&lt;&gt; 0, Source!BC77, 1)</f>
        <v>1</v>
      </c>
      <c r="J174" s="23">
        <f>Source!P77</f>
        <v>97350.54</v>
      </c>
      <c r="K174" s="23"/>
    </row>
    <row r="175" spans="1:22" ht="14.25" x14ac:dyDescent="0.2">
      <c r="A175" s="20"/>
      <c r="B175" s="20"/>
      <c r="C175" s="20" t="s">
        <v>372</v>
      </c>
      <c r="D175" s="21" t="s">
        <v>373</v>
      </c>
      <c r="E175" s="9">
        <f>Source!AT77</f>
        <v>70</v>
      </c>
      <c r="F175" s="23"/>
      <c r="G175" s="22"/>
      <c r="H175" s="9"/>
      <c r="I175" s="9"/>
      <c r="J175" s="23">
        <f>SUM(R171:R174)</f>
        <v>17651.8</v>
      </c>
      <c r="K175" s="23"/>
    </row>
    <row r="176" spans="1:22" ht="14.25" x14ac:dyDescent="0.2">
      <c r="A176" s="20"/>
      <c r="B176" s="20"/>
      <c r="C176" s="20" t="s">
        <v>374</v>
      </c>
      <c r="D176" s="21" t="s">
        <v>373</v>
      </c>
      <c r="E176" s="9">
        <f>Source!AU77</f>
        <v>10</v>
      </c>
      <c r="F176" s="23"/>
      <c r="G176" s="22"/>
      <c r="H176" s="9"/>
      <c r="I176" s="9"/>
      <c r="J176" s="23">
        <f>SUM(T171:T175)</f>
        <v>2521.69</v>
      </c>
      <c r="K176" s="23"/>
    </row>
    <row r="177" spans="1:22" ht="14.25" x14ac:dyDescent="0.2">
      <c r="A177" s="20"/>
      <c r="B177" s="20"/>
      <c r="C177" s="20" t="s">
        <v>376</v>
      </c>
      <c r="D177" s="21" t="s">
        <v>377</v>
      </c>
      <c r="E177" s="9">
        <f>Source!AQ77</f>
        <v>80.27</v>
      </c>
      <c r="F177" s="23"/>
      <c r="G177" s="22" t="str">
        <f>Source!DI77</f>
        <v/>
      </c>
      <c r="H177" s="9">
        <f>Source!AV77</f>
        <v>1</v>
      </c>
      <c r="I177" s="9"/>
      <c r="J177" s="23"/>
      <c r="K177" s="23">
        <f>Source!U77</f>
        <v>115.58879999999999</v>
      </c>
    </row>
    <row r="178" spans="1:22" ht="15" x14ac:dyDescent="0.25">
      <c r="A178" s="27"/>
      <c r="B178" s="27"/>
      <c r="C178" s="27"/>
      <c r="D178" s="27"/>
      <c r="E178" s="27"/>
      <c r="F178" s="27"/>
      <c r="G178" s="27"/>
      <c r="H178" s="27"/>
      <c r="I178" s="63">
        <f>J173+J174+J175+J176</f>
        <v>142740.87999999998</v>
      </c>
      <c r="J178" s="63"/>
      <c r="K178" s="28">
        <f>IF(Source!I77&lt;&gt;0, ROUND(I178/Source!I77, 2), 0)</f>
        <v>99125.61</v>
      </c>
      <c r="P178" s="25">
        <f>I178</f>
        <v>142740.87999999998</v>
      </c>
    </row>
    <row r="179" spans="1:22" ht="42.75" x14ac:dyDescent="0.2">
      <c r="A179" s="20">
        <v>15</v>
      </c>
      <c r="B179" s="20" t="str">
        <f>Source!F78</f>
        <v>2.1-3303-1-1/1</v>
      </c>
      <c r="C179" s="20" t="str">
        <f>Source!G78</f>
        <v>Устройство подстилающих и выравнивающих слоев оснований из песка</v>
      </c>
      <c r="D179" s="21" t="str">
        <f>Source!H78</f>
        <v>100 м3</v>
      </c>
      <c r="E179" s="9">
        <f>Source!I78</f>
        <v>7.1999999999999995E-2</v>
      </c>
      <c r="F179" s="23"/>
      <c r="G179" s="22"/>
      <c r="H179" s="9"/>
      <c r="I179" s="9"/>
      <c r="J179" s="23"/>
      <c r="K179" s="23"/>
      <c r="Q179">
        <f>ROUND((Source!BZ78/100)*ROUND((Source!AF78*Source!AV78)*Source!I78, 2), 2)</f>
        <v>172.23</v>
      </c>
      <c r="R179">
        <f>Source!X78</f>
        <v>172.23</v>
      </c>
      <c r="S179">
        <f>ROUND((Source!CA78/100)*ROUND((Source!AF78*Source!AV78)*Source!I78, 2), 2)</f>
        <v>24.6</v>
      </c>
      <c r="T179">
        <f>Source!Y78</f>
        <v>24.6</v>
      </c>
      <c r="U179">
        <f>ROUND((175/100)*ROUND((Source!AE78*Source!AV78)*Source!I78, 2), 2)</f>
        <v>447.72</v>
      </c>
      <c r="V179">
        <f>ROUND((108/100)*ROUND(Source!CS78*Source!I78, 2), 2)</f>
        <v>276.31</v>
      </c>
    </row>
    <row r="180" spans="1:22" x14ac:dyDescent="0.2">
      <c r="C180" s="29" t="str">
        <f>"Объем: "&amp;Source!I78&amp;"=7,2/"&amp;"100"</f>
        <v>Объем: 0,072=7,2/100</v>
      </c>
    </row>
    <row r="181" spans="1:22" ht="14.25" x14ac:dyDescent="0.2">
      <c r="A181" s="20"/>
      <c r="B181" s="20"/>
      <c r="C181" s="20" t="s">
        <v>368</v>
      </c>
      <c r="D181" s="21"/>
      <c r="E181" s="9"/>
      <c r="F181" s="23">
        <f>Source!AO78</f>
        <v>3417.16</v>
      </c>
      <c r="G181" s="22" t="str">
        <f>Source!DG78</f>
        <v/>
      </c>
      <c r="H181" s="9">
        <f>Source!AV78</f>
        <v>1</v>
      </c>
      <c r="I181" s="9">
        <f>IF(Source!BA78&lt;&gt; 0, Source!BA78, 1)</f>
        <v>1</v>
      </c>
      <c r="J181" s="23">
        <f>Source!S78</f>
        <v>246.04</v>
      </c>
      <c r="K181" s="23"/>
    </row>
    <row r="182" spans="1:22" ht="14.25" x14ac:dyDescent="0.2">
      <c r="A182" s="20"/>
      <c r="B182" s="20"/>
      <c r="C182" s="20" t="s">
        <v>369</v>
      </c>
      <c r="D182" s="21"/>
      <c r="E182" s="9"/>
      <c r="F182" s="23">
        <f>Source!AM78</f>
        <v>8258.92</v>
      </c>
      <c r="G182" s="22" t="str">
        <f>Source!DE78</f>
        <v/>
      </c>
      <c r="H182" s="9">
        <f>Source!AV78</f>
        <v>1</v>
      </c>
      <c r="I182" s="9">
        <f>IF(Source!BB78&lt;&gt; 0, Source!BB78, 1)</f>
        <v>1</v>
      </c>
      <c r="J182" s="23">
        <f>Source!Q78</f>
        <v>594.64</v>
      </c>
      <c r="K182" s="23"/>
    </row>
    <row r="183" spans="1:22" ht="14.25" x14ac:dyDescent="0.2">
      <c r="A183" s="20"/>
      <c r="B183" s="20"/>
      <c r="C183" s="20" t="s">
        <v>370</v>
      </c>
      <c r="D183" s="21"/>
      <c r="E183" s="9"/>
      <c r="F183" s="23">
        <f>Source!AN78</f>
        <v>3553.33</v>
      </c>
      <c r="G183" s="22" t="str">
        <f>Source!DF78</f>
        <v/>
      </c>
      <c r="H183" s="9">
        <f>Source!AV78</f>
        <v>1</v>
      </c>
      <c r="I183" s="9">
        <f>IF(Source!BS78&lt;&gt; 0, Source!BS78, 1)</f>
        <v>1</v>
      </c>
      <c r="J183" s="24">
        <f>Source!R78</f>
        <v>255.84</v>
      </c>
      <c r="K183" s="23"/>
    </row>
    <row r="184" spans="1:22" ht="14.25" x14ac:dyDescent="0.2">
      <c r="A184" s="20"/>
      <c r="B184" s="20"/>
      <c r="C184" s="20" t="s">
        <v>371</v>
      </c>
      <c r="D184" s="21"/>
      <c r="E184" s="9"/>
      <c r="F184" s="23">
        <f>Source!AL78</f>
        <v>63305.85</v>
      </c>
      <c r="G184" s="22" t="str">
        <f>Source!DD78</f>
        <v/>
      </c>
      <c r="H184" s="9">
        <f>Source!AW78</f>
        <v>1</v>
      </c>
      <c r="I184" s="9">
        <f>IF(Source!BC78&lt;&gt; 0, Source!BC78, 1)</f>
        <v>1</v>
      </c>
      <c r="J184" s="23">
        <f>Source!P78</f>
        <v>4558.0200000000004</v>
      </c>
      <c r="K184" s="23"/>
    </row>
    <row r="185" spans="1:22" ht="14.25" x14ac:dyDescent="0.2">
      <c r="A185" s="20"/>
      <c r="B185" s="20"/>
      <c r="C185" s="20" t="s">
        <v>372</v>
      </c>
      <c r="D185" s="21" t="s">
        <v>373</v>
      </c>
      <c r="E185" s="9">
        <f>Source!AT78</f>
        <v>70</v>
      </c>
      <c r="F185" s="23"/>
      <c r="G185" s="22"/>
      <c r="H185" s="9"/>
      <c r="I185" s="9"/>
      <c r="J185" s="23">
        <f>SUM(R179:R184)</f>
        <v>172.23</v>
      </c>
      <c r="K185" s="23"/>
    </row>
    <row r="186" spans="1:22" ht="14.25" x14ac:dyDescent="0.2">
      <c r="A186" s="20"/>
      <c r="B186" s="20"/>
      <c r="C186" s="20" t="s">
        <v>374</v>
      </c>
      <c r="D186" s="21" t="s">
        <v>373</v>
      </c>
      <c r="E186" s="9">
        <f>Source!AU78</f>
        <v>10</v>
      </c>
      <c r="F186" s="23"/>
      <c r="G186" s="22"/>
      <c r="H186" s="9"/>
      <c r="I186" s="9"/>
      <c r="J186" s="23">
        <f>SUM(T179:T185)</f>
        <v>24.6</v>
      </c>
      <c r="K186" s="23"/>
    </row>
    <row r="187" spans="1:22" ht="14.25" x14ac:dyDescent="0.2">
      <c r="A187" s="20"/>
      <c r="B187" s="20"/>
      <c r="C187" s="20" t="s">
        <v>375</v>
      </c>
      <c r="D187" s="21" t="s">
        <v>373</v>
      </c>
      <c r="E187" s="9">
        <f>108</f>
        <v>108</v>
      </c>
      <c r="F187" s="23"/>
      <c r="G187" s="22"/>
      <c r="H187" s="9"/>
      <c r="I187" s="9"/>
      <c r="J187" s="23">
        <f>SUM(V179:V186)</f>
        <v>276.31</v>
      </c>
      <c r="K187" s="23"/>
    </row>
    <row r="188" spans="1:22" ht="14.25" x14ac:dyDescent="0.2">
      <c r="A188" s="20"/>
      <c r="B188" s="20"/>
      <c r="C188" s="20" t="s">
        <v>376</v>
      </c>
      <c r="D188" s="21" t="s">
        <v>377</v>
      </c>
      <c r="E188" s="9">
        <f>Source!AQ78</f>
        <v>16.559999999999999</v>
      </c>
      <c r="F188" s="23"/>
      <c r="G188" s="22" t="str">
        <f>Source!DI78</f>
        <v/>
      </c>
      <c r="H188" s="9">
        <f>Source!AV78</f>
        <v>1</v>
      </c>
      <c r="I188" s="9"/>
      <c r="J188" s="23"/>
      <c r="K188" s="23">
        <f>Source!U78</f>
        <v>1.1923199999999998</v>
      </c>
    </row>
    <row r="189" spans="1:22" ht="15" x14ac:dyDescent="0.25">
      <c r="A189" s="27"/>
      <c r="B189" s="27"/>
      <c r="C189" s="27"/>
      <c r="D189" s="27"/>
      <c r="E189" s="27"/>
      <c r="F189" s="27"/>
      <c r="G189" s="27"/>
      <c r="H189" s="27"/>
      <c r="I189" s="63">
        <f>J181+J182+J184+J185+J186+J187</f>
        <v>5871.8400000000011</v>
      </c>
      <c r="J189" s="63"/>
      <c r="K189" s="28">
        <f>IF(Source!I78&lt;&gt;0, ROUND(I189/Source!I78, 2), 0)</f>
        <v>81553.33</v>
      </c>
      <c r="P189" s="25">
        <f>I189</f>
        <v>5871.8400000000011</v>
      </c>
    </row>
    <row r="190" spans="1:22" ht="42.75" x14ac:dyDescent="0.2">
      <c r="A190" s="20">
        <v>16</v>
      </c>
      <c r="B190" s="20" t="str">
        <f>Source!F79</f>
        <v>2.1-3303-1-2/1</v>
      </c>
      <c r="C190" s="20" t="str">
        <f>Source!G79</f>
        <v>Устройство подстилающих и выравнивающих слоев оснований из щебня</v>
      </c>
      <c r="D190" s="21" t="str">
        <f>Source!H79</f>
        <v>100 м3</v>
      </c>
      <c r="E190" s="9">
        <f>Source!I79</f>
        <v>0.14399999999999999</v>
      </c>
      <c r="F190" s="23"/>
      <c r="G190" s="22"/>
      <c r="H190" s="9"/>
      <c r="I190" s="9"/>
      <c r="J190" s="23"/>
      <c r="K190" s="23"/>
      <c r="Q190">
        <f>ROUND((Source!BZ79/100)*ROUND((Source!AF79*Source!AV79)*Source!I79, 2), 2)</f>
        <v>516.67999999999995</v>
      </c>
      <c r="R190">
        <f>Source!X79</f>
        <v>516.67999999999995</v>
      </c>
      <c r="S190">
        <f>ROUND((Source!CA79/100)*ROUND((Source!AF79*Source!AV79)*Source!I79, 2), 2)</f>
        <v>73.81</v>
      </c>
      <c r="T190">
        <f>Source!Y79</f>
        <v>73.81</v>
      </c>
      <c r="U190">
        <f>ROUND((175/100)*ROUND((Source!AE79*Source!AV79)*Source!I79, 2), 2)</f>
        <v>5894.23</v>
      </c>
      <c r="V190">
        <f>ROUND((108/100)*ROUND(Source!CS79*Source!I79, 2), 2)</f>
        <v>3637.58</v>
      </c>
    </row>
    <row r="191" spans="1:22" x14ac:dyDescent="0.2">
      <c r="C191" s="29" t="str">
        <f>"Объем: "&amp;Source!I79&amp;"=14,4/"&amp;"100"</f>
        <v>Объем: 0,144=14,4/100</v>
      </c>
    </row>
    <row r="192" spans="1:22" ht="14.25" x14ac:dyDescent="0.2">
      <c r="A192" s="20"/>
      <c r="B192" s="20"/>
      <c r="C192" s="20" t="s">
        <v>368</v>
      </c>
      <c r="D192" s="21"/>
      <c r="E192" s="9"/>
      <c r="F192" s="23">
        <f>Source!AO79</f>
        <v>5125.7299999999996</v>
      </c>
      <c r="G192" s="22" t="str">
        <f>Source!DG79</f>
        <v/>
      </c>
      <c r="H192" s="9">
        <f>Source!AV79</f>
        <v>1</v>
      </c>
      <c r="I192" s="9">
        <f>IF(Source!BA79&lt;&gt; 0, Source!BA79, 1)</f>
        <v>1</v>
      </c>
      <c r="J192" s="23">
        <f>Source!S79</f>
        <v>738.11</v>
      </c>
      <c r="K192" s="23"/>
    </row>
    <row r="193" spans="1:22" ht="14.25" x14ac:dyDescent="0.2">
      <c r="A193" s="20"/>
      <c r="B193" s="20"/>
      <c r="C193" s="20" t="s">
        <v>369</v>
      </c>
      <c r="D193" s="21"/>
      <c r="E193" s="9"/>
      <c r="F193" s="23">
        <f>Source!AM79</f>
        <v>62266.22</v>
      </c>
      <c r="G193" s="22" t="str">
        <f>Source!DE79</f>
        <v/>
      </c>
      <c r="H193" s="9">
        <f>Source!AV79</f>
        <v>1</v>
      </c>
      <c r="I193" s="9">
        <f>IF(Source!BB79&lt;&gt; 0, Source!BB79, 1)</f>
        <v>1</v>
      </c>
      <c r="J193" s="23">
        <f>Source!Q79</f>
        <v>8966.34</v>
      </c>
      <c r="K193" s="23"/>
    </row>
    <row r="194" spans="1:22" ht="14.25" x14ac:dyDescent="0.2">
      <c r="A194" s="20"/>
      <c r="B194" s="20"/>
      <c r="C194" s="20" t="s">
        <v>370</v>
      </c>
      <c r="D194" s="21"/>
      <c r="E194" s="9"/>
      <c r="F194" s="23">
        <f>Source!AN79</f>
        <v>23389.77</v>
      </c>
      <c r="G194" s="22" t="str">
        <f>Source!DF79</f>
        <v/>
      </c>
      <c r="H194" s="9">
        <f>Source!AV79</f>
        <v>1</v>
      </c>
      <c r="I194" s="9">
        <f>IF(Source!BS79&lt;&gt; 0, Source!BS79, 1)</f>
        <v>1</v>
      </c>
      <c r="J194" s="24">
        <f>Source!R79</f>
        <v>3368.13</v>
      </c>
      <c r="K194" s="23"/>
    </row>
    <row r="195" spans="1:22" ht="14.25" x14ac:dyDescent="0.2">
      <c r="A195" s="20"/>
      <c r="B195" s="20"/>
      <c r="C195" s="20" t="s">
        <v>371</v>
      </c>
      <c r="D195" s="21"/>
      <c r="E195" s="9"/>
      <c r="F195" s="23">
        <f>Source!AL79</f>
        <v>300147.61</v>
      </c>
      <c r="G195" s="22" t="str">
        <f>Source!DD79</f>
        <v/>
      </c>
      <c r="H195" s="9">
        <f>Source!AW79</f>
        <v>1</v>
      </c>
      <c r="I195" s="9">
        <f>IF(Source!BC79&lt;&gt; 0, Source!BC79, 1)</f>
        <v>1</v>
      </c>
      <c r="J195" s="23">
        <f>Source!P79</f>
        <v>43221.26</v>
      </c>
      <c r="K195" s="23"/>
    </row>
    <row r="196" spans="1:22" ht="14.25" x14ac:dyDescent="0.2">
      <c r="A196" s="20"/>
      <c r="B196" s="20"/>
      <c r="C196" s="20" t="s">
        <v>372</v>
      </c>
      <c r="D196" s="21" t="s">
        <v>373</v>
      </c>
      <c r="E196" s="9">
        <f>Source!AT79</f>
        <v>70</v>
      </c>
      <c r="F196" s="23"/>
      <c r="G196" s="22"/>
      <c r="H196" s="9"/>
      <c r="I196" s="9"/>
      <c r="J196" s="23">
        <f>SUM(R190:R195)</f>
        <v>516.67999999999995</v>
      </c>
      <c r="K196" s="23"/>
    </row>
    <row r="197" spans="1:22" ht="14.25" x14ac:dyDescent="0.2">
      <c r="A197" s="20"/>
      <c r="B197" s="20"/>
      <c r="C197" s="20" t="s">
        <v>374</v>
      </c>
      <c r="D197" s="21" t="s">
        <v>373</v>
      </c>
      <c r="E197" s="9">
        <f>Source!AU79</f>
        <v>10</v>
      </c>
      <c r="F197" s="23"/>
      <c r="G197" s="22"/>
      <c r="H197" s="9"/>
      <c r="I197" s="9"/>
      <c r="J197" s="23">
        <f>SUM(T190:T196)</f>
        <v>73.81</v>
      </c>
      <c r="K197" s="23"/>
    </row>
    <row r="198" spans="1:22" ht="14.25" x14ac:dyDescent="0.2">
      <c r="A198" s="20"/>
      <c r="B198" s="20"/>
      <c r="C198" s="20" t="s">
        <v>375</v>
      </c>
      <c r="D198" s="21" t="s">
        <v>373</v>
      </c>
      <c r="E198" s="9">
        <f>108</f>
        <v>108</v>
      </c>
      <c r="F198" s="23"/>
      <c r="G198" s="22"/>
      <c r="H198" s="9"/>
      <c r="I198" s="9"/>
      <c r="J198" s="23">
        <f>SUM(V190:V197)</f>
        <v>3637.58</v>
      </c>
      <c r="K198" s="23"/>
    </row>
    <row r="199" spans="1:22" ht="14.25" x14ac:dyDescent="0.2">
      <c r="A199" s="20"/>
      <c r="B199" s="20"/>
      <c r="C199" s="20" t="s">
        <v>376</v>
      </c>
      <c r="D199" s="21" t="s">
        <v>377</v>
      </c>
      <c r="E199" s="9">
        <f>Source!AQ79</f>
        <v>24.84</v>
      </c>
      <c r="F199" s="23"/>
      <c r="G199" s="22" t="str">
        <f>Source!DI79</f>
        <v/>
      </c>
      <c r="H199" s="9">
        <f>Source!AV79</f>
        <v>1</v>
      </c>
      <c r="I199" s="9"/>
      <c r="J199" s="23"/>
      <c r="K199" s="23">
        <f>Source!U79</f>
        <v>3.5769599999999997</v>
      </c>
    </row>
    <row r="200" spans="1:22" ht="15" x14ac:dyDescent="0.25">
      <c r="A200" s="27"/>
      <c r="B200" s="27"/>
      <c r="C200" s="27"/>
      <c r="D200" s="27"/>
      <c r="E200" s="27"/>
      <c r="F200" s="27"/>
      <c r="G200" s="27"/>
      <c r="H200" s="27"/>
      <c r="I200" s="63">
        <f>J192+J193+J195+J196+J197+J198</f>
        <v>57153.780000000006</v>
      </c>
      <c r="J200" s="63"/>
      <c r="K200" s="28">
        <f>IF(Source!I79&lt;&gt;0, ROUND(I200/Source!I79, 2), 0)</f>
        <v>396901.25</v>
      </c>
      <c r="P200" s="25">
        <f>I200</f>
        <v>57153.780000000006</v>
      </c>
    </row>
    <row r="201" spans="1:22" ht="42.75" x14ac:dyDescent="0.2">
      <c r="A201" s="20">
        <v>17</v>
      </c>
      <c r="B201" s="20" t="str">
        <f>Source!F80</f>
        <v>2.1-3103-11-1/1</v>
      </c>
      <c r="C201" s="20" t="str">
        <f>Source!G80</f>
        <v>Укладка металлической сетки в цементобетонное покрытие (без стоимости сетки)</v>
      </c>
      <c r="D201" s="21" t="str">
        <f>Source!H80</f>
        <v>1000 м2</v>
      </c>
      <c r="E201" s="9">
        <f>Source!I80</f>
        <v>1.44E-2</v>
      </c>
      <c r="F201" s="23"/>
      <c r="G201" s="22"/>
      <c r="H201" s="9"/>
      <c r="I201" s="9"/>
      <c r="J201" s="23"/>
      <c r="K201" s="23"/>
      <c r="Q201">
        <f>ROUND((Source!BZ80/100)*ROUND((Source!AF80*Source!AV80)*Source!I80, 2), 2)</f>
        <v>32.03</v>
      </c>
      <c r="R201">
        <f>Source!X80</f>
        <v>32.03</v>
      </c>
      <c r="S201">
        <f>ROUND((Source!CA80/100)*ROUND((Source!AF80*Source!AV80)*Source!I80, 2), 2)</f>
        <v>4.58</v>
      </c>
      <c r="T201">
        <f>Source!Y80</f>
        <v>4.58</v>
      </c>
      <c r="U201">
        <f>ROUND((175/100)*ROUND((Source!AE80*Source!AV80)*Source!I80, 2), 2)</f>
        <v>0</v>
      </c>
      <c r="V201">
        <f>ROUND((108/100)*ROUND(Source!CS80*Source!I80, 2), 2)</f>
        <v>0</v>
      </c>
    </row>
    <row r="202" spans="1:22" x14ac:dyDescent="0.2">
      <c r="C202" s="29" t="str">
        <f>"Объем: "&amp;Source!I80&amp;"=14,4/"&amp;"1000"</f>
        <v>Объем: 0,0144=14,4/1000</v>
      </c>
    </row>
    <row r="203" spans="1:22" ht="14.25" x14ac:dyDescent="0.2">
      <c r="A203" s="20"/>
      <c r="B203" s="20"/>
      <c r="C203" s="20" t="s">
        <v>368</v>
      </c>
      <c r="D203" s="21"/>
      <c r="E203" s="9"/>
      <c r="F203" s="23">
        <f>Source!AO80</f>
        <v>3177.08</v>
      </c>
      <c r="G203" s="22" t="str">
        <f>Source!DG80</f>
        <v/>
      </c>
      <c r="H203" s="9">
        <f>Source!AV80</f>
        <v>1</v>
      </c>
      <c r="I203" s="9">
        <f>IF(Source!BA80&lt;&gt; 0, Source!BA80, 1)</f>
        <v>1</v>
      </c>
      <c r="J203" s="23">
        <f>Source!S80</f>
        <v>45.75</v>
      </c>
      <c r="K203" s="23"/>
    </row>
    <row r="204" spans="1:22" ht="57" x14ac:dyDescent="0.2">
      <c r="A204" s="20" t="s">
        <v>145</v>
      </c>
      <c r="B204" s="20" t="str">
        <f>Source!F81</f>
        <v>21.3-4-68</v>
      </c>
      <c r="C204" s="20" t="str">
        <f>Source!G81</f>
        <v>Каркасы и сетки арматурные плоские, собранные и сваренные (связанные) в арматурные изделия, класс ВР-I, диаметр 5 мм</v>
      </c>
      <c r="D204" s="21" t="str">
        <f>Source!H81</f>
        <v>т</v>
      </c>
      <c r="E204" s="9">
        <f>Source!I81</f>
        <v>7.1999999999999995E-2</v>
      </c>
      <c r="F204" s="23">
        <f>Source!AK81</f>
        <v>45378.52</v>
      </c>
      <c r="G204" s="30" t="s">
        <v>3</v>
      </c>
      <c r="H204" s="9">
        <f>Source!AW81</f>
        <v>1</v>
      </c>
      <c r="I204" s="9">
        <f>IF(Source!BC81&lt;&gt; 0, Source!BC81, 1)</f>
        <v>1</v>
      </c>
      <c r="J204" s="23">
        <f>Source!O81</f>
        <v>3267.25</v>
      </c>
      <c r="K204" s="23"/>
      <c r="Q204">
        <f>ROUND((Source!BZ81/100)*ROUND((Source!AF81*Source!AV81)*Source!I81, 2), 2)</f>
        <v>0</v>
      </c>
      <c r="R204">
        <f>Source!X81</f>
        <v>0</v>
      </c>
      <c r="S204">
        <f>ROUND((Source!CA81/100)*ROUND((Source!AF81*Source!AV81)*Source!I81, 2), 2)</f>
        <v>0</v>
      </c>
      <c r="T204">
        <f>Source!Y81</f>
        <v>0</v>
      </c>
      <c r="U204">
        <f>ROUND((175/100)*ROUND((Source!AE81*Source!AV81)*Source!I81, 2), 2)</f>
        <v>0</v>
      </c>
      <c r="V204">
        <f>ROUND((108/100)*ROUND(Source!CS81*Source!I81, 2), 2)</f>
        <v>0</v>
      </c>
    </row>
    <row r="205" spans="1:22" ht="14.25" x14ac:dyDescent="0.2">
      <c r="A205" s="20"/>
      <c r="B205" s="20"/>
      <c r="C205" s="20" t="s">
        <v>372</v>
      </c>
      <c r="D205" s="21" t="s">
        <v>373</v>
      </c>
      <c r="E205" s="9">
        <f>Source!AT80</f>
        <v>70</v>
      </c>
      <c r="F205" s="23"/>
      <c r="G205" s="22"/>
      <c r="H205" s="9"/>
      <c r="I205" s="9"/>
      <c r="J205" s="23">
        <f>SUM(R201:R204)</f>
        <v>32.03</v>
      </c>
      <c r="K205" s="23"/>
    </row>
    <row r="206" spans="1:22" ht="14.25" x14ac:dyDescent="0.2">
      <c r="A206" s="20"/>
      <c r="B206" s="20"/>
      <c r="C206" s="20" t="s">
        <v>374</v>
      </c>
      <c r="D206" s="21" t="s">
        <v>373</v>
      </c>
      <c r="E206" s="9">
        <f>Source!AU80</f>
        <v>10</v>
      </c>
      <c r="F206" s="23"/>
      <c r="G206" s="22"/>
      <c r="H206" s="9"/>
      <c r="I206" s="9"/>
      <c r="J206" s="23">
        <f>SUM(T201:T205)</f>
        <v>4.58</v>
      </c>
      <c r="K206" s="23"/>
    </row>
    <row r="207" spans="1:22" ht="14.25" x14ac:dyDescent="0.2">
      <c r="A207" s="20"/>
      <c r="B207" s="20"/>
      <c r="C207" s="20" t="s">
        <v>376</v>
      </c>
      <c r="D207" s="21" t="s">
        <v>377</v>
      </c>
      <c r="E207" s="9">
        <f>Source!AQ80</f>
        <v>13.11</v>
      </c>
      <c r="F207" s="23"/>
      <c r="G207" s="22" t="str">
        <f>Source!DI80</f>
        <v/>
      </c>
      <c r="H207" s="9">
        <f>Source!AV80</f>
        <v>1</v>
      </c>
      <c r="I207" s="9"/>
      <c r="J207" s="23"/>
      <c r="K207" s="23">
        <f>Source!U80</f>
        <v>0.18878399999999998</v>
      </c>
    </row>
    <row r="208" spans="1:22" ht="15" x14ac:dyDescent="0.25">
      <c r="A208" s="27"/>
      <c r="B208" s="27"/>
      <c r="C208" s="27"/>
      <c r="D208" s="27"/>
      <c r="E208" s="27"/>
      <c r="F208" s="27"/>
      <c r="G208" s="27"/>
      <c r="H208" s="27"/>
      <c r="I208" s="63">
        <f>J203+J205+J206+SUM(J204:J204)</f>
        <v>3349.61</v>
      </c>
      <c r="J208" s="63"/>
      <c r="K208" s="28">
        <f>IF(Source!I80&lt;&gt;0, ROUND(I208/Source!I80, 2), 0)</f>
        <v>232611.81</v>
      </c>
      <c r="P208" s="25">
        <f>I208</f>
        <v>3349.61</v>
      </c>
    </row>
    <row r="209" spans="1:22" ht="28.5" x14ac:dyDescent="0.2">
      <c r="A209" s="20">
        <v>18</v>
      </c>
      <c r="B209" s="20" t="str">
        <f>Source!F82</f>
        <v>1.2-3103-2-1/1</v>
      </c>
      <c r="C209" s="20" t="str">
        <f>Source!G82</f>
        <v>Устройство бетонной подготовки (толщ. 11 см)</v>
      </c>
      <c r="D209" s="21" t="str">
        <f>Source!H82</f>
        <v>100 м3</v>
      </c>
      <c r="E209" s="9">
        <f>Source!I82</f>
        <v>0.15840000000000001</v>
      </c>
      <c r="F209" s="23"/>
      <c r="G209" s="22"/>
      <c r="H209" s="9"/>
      <c r="I209" s="9"/>
      <c r="J209" s="23"/>
      <c r="K209" s="23"/>
      <c r="Q209">
        <f>ROUND((Source!BZ82/100)*ROUND((Source!AF82*Source!AV82)*Source!I82, 2), 2)</f>
        <v>3430.26</v>
      </c>
      <c r="R209">
        <f>Source!X82</f>
        <v>3430.26</v>
      </c>
      <c r="S209">
        <f>ROUND((Source!CA82/100)*ROUND((Source!AF82*Source!AV82)*Source!I82, 2), 2)</f>
        <v>490.04</v>
      </c>
      <c r="T209">
        <f>Source!Y82</f>
        <v>490.04</v>
      </c>
      <c r="U209">
        <f>ROUND((175/100)*ROUND((Source!AE82*Source!AV82)*Source!I82, 2), 2)</f>
        <v>0.02</v>
      </c>
      <c r="V209">
        <f>ROUND((108/100)*ROUND(Source!CS82*Source!I82, 2), 2)</f>
        <v>0.01</v>
      </c>
    </row>
    <row r="210" spans="1:22" x14ac:dyDescent="0.2">
      <c r="C210" s="29" t="str">
        <f>"Объем: "&amp;Source!I82&amp;"=15,84/"&amp;"100"</f>
        <v>Объем: 0,1584=15,84/100</v>
      </c>
    </row>
    <row r="211" spans="1:22" ht="14.25" x14ac:dyDescent="0.2">
      <c r="A211" s="20"/>
      <c r="B211" s="20"/>
      <c r="C211" s="20" t="s">
        <v>368</v>
      </c>
      <c r="D211" s="21"/>
      <c r="E211" s="9"/>
      <c r="F211" s="23">
        <f>Source!AO82</f>
        <v>30936.67</v>
      </c>
      <c r="G211" s="22" t="str">
        <f>Source!DG82</f>
        <v/>
      </c>
      <c r="H211" s="9">
        <f>Source!AV82</f>
        <v>1</v>
      </c>
      <c r="I211" s="9">
        <f>IF(Source!BA82&lt;&gt; 0, Source!BA82, 1)</f>
        <v>1</v>
      </c>
      <c r="J211" s="23">
        <f>Source!S82</f>
        <v>4900.37</v>
      </c>
      <c r="K211" s="23"/>
    </row>
    <row r="212" spans="1:22" ht="14.25" x14ac:dyDescent="0.2">
      <c r="A212" s="20"/>
      <c r="B212" s="20"/>
      <c r="C212" s="20" t="s">
        <v>369</v>
      </c>
      <c r="D212" s="21"/>
      <c r="E212" s="9"/>
      <c r="F212" s="23">
        <f>Source!AM82</f>
        <v>28.6</v>
      </c>
      <c r="G212" s="22" t="str">
        <f>Source!DE82</f>
        <v/>
      </c>
      <c r="H212" s="9">
        <f>Source!AV82</f>
        <v>1</v>
      </c>
      <c r="I212" s="9">
        <f>IF(Source!BB82&lt;&gt; 0, Source!BB82, 1)</f>
        <v>1</v>
      </c>
      <c r="J212" s="23">
        <f>Source!Q82</f>
        <v>4.53</v>
      </c>
      <c r="K212" s="23"/>
    </row>
    <row r="213" spans="1:22" ht="14.25" x14ac:dyDescent="0.2">
      <c r="A213" s="20"/>
      <c r="B213" s="20"/>
      <c r="C213" s="20" t="s">
        <v>370</v>
      </c>
      <c r="D213" s="21"/>
      <c r="E213" s="9"/>
      <c r="F213" s="23">
        <f>Source!AN82</f>
        <v>7.0000000000000007E-2</v>
      </c>
      <c r="G213" s="22" t="str">
        <f>Source!DF82</f>
        <v/>
      </c>
      <c r="H213" s="9">
        <f>Source!AV82</f>
        <v>1</v>
      </c>
      <c r="I213" s="9">
        <f>IF(Source!BS82&lt;&gt; 0, Source!BS82, 1)</f>
        <v>1</v>
      </c>
      <c r="J213" s="24">
        <f>Source!R82</f>
        <v>0.01</v>
      </c>
      <c r="K213" s="23"/>
    </row>
    <row r="214" spans="1:22" ht="14.25" x14ac:dyDescent="0.2">
      <c r="A214" s="20"/>
      <c r="B214" s="20"/>
      <c r="C214" s="20" t="s">
        <v>371</v>
      </c>
      <c r="D214" s="21"/>
      <c r="E214" s="9"/>
      <c r="F214" s="23">
        <f>Source!AL82</f>
        <v>369332.84</v>
      </c>
      <c r="G214" s="22" t="str">
        <f>Source!DD82</f>
        <v/>
      </c>
      <c r="H214" s="9">
        <f>Source!AW82</f>
        <v>1</v>
      </c>
      <c r="I214" s="9">
        <f>IF(Source!BC82&lt;&gt; 0, Source!BC82, 1)</f>
        <v>1</v>
      </c>
      <c r="J214" s="23">
        <f>Source!P82</f>
        <v>58502.32</v>
      </c>
      <c r="K214" s="23"/>
    </row>
    <row r="215" spans="1:22" ht="14.25" x14ac:dyDescent="0.2">
      <c r="A215" s="20"/>
      <c r="B215" s="20"/>
      <c r="C215" s="20" t="s">
        <v>372</v>
      </c>
      <c r="D215" s="21" t="s">
        <v>373</v>
      </c>
      <c r="E215" s="9">
        <f>Source!AT82</f>
        <v>70</v>
      </c>
      <c r="F215" s="23"/>
      <c r="G215" s="22"/>
      <c r="H215" s="9"/>
      <c r="I215" s="9"/>
      <c r="J215" s="23">
        <f>SUM(R209:R214)</f>
        <v>3430.26</v>
      </c>
      <c r="K215" s="23"/>
    </row>
    <row r="216" spans="1:22" ht="14.25" x14ac:dyDescent="0.2">
      <c r="A216" s="20"/>
      <c r="B216" s="20"/>
      <c r="C216" s="20" t="s">
        <v>374</v>
      </c>
      <c r="D216" s="21" t="s">
        <v>373</v>
      </c>
      <c r="E216" s="9">
        <f>Source!AU82</f>
        <v>10</v>
      </c>
      <c r="F216" s="23"/>
      <c r="G216" s="22"/>
      <c r="H216" s="9"/>
      <c r="I216" s="9"/>
      <c r="J216" s="23">
        <f>SUM(T209:T215)</f>
        <v>490.04</v>
      </c>
      <c r="K216" s="23"/>
    </row>
    <row r="217" spans="1:22" ht="14.25" x14ac:dyDescent="0.2">
      <c r="A217" s="20"/>
      <c r="B217" s="20"/>
      <c r="C217" s="20" t="s">
        <v>375</v>
      </c>
      <c r="D217" s="21" t="s">
        <v>373</v>
      </c>
      <c r="E217" s="9">
        <f>108</f>
        <v>108</v>
      </c>
      <c r="F217" s="23"/>
      <c r="G217" s="22"/>
      <c r="H217" s="9"/>
      <c r="I217" s="9"/>
      <c r="J217" s="23">
        <f>SUM(V209:V216)</f>
        <v>0.01</v>
      </c>
      <c r="K217" s="23"/>
    </row>
    <row r="218" spans="1:22" ht="14.25" x14ac:dyDescent="0.2">
      <c r="A218" s="20"/>
      <c r="B218" s="20"/>
      <c r="C218" s="20" t="s">
        <v>376</v>
      </c>
      <c r="D218" s="21" t="s">
        <v>377</v>
      </c>
      <c r="E218" s="9">
        <f>Source!AQ82</f>
        <v>155.25</v>
      </c>
      <c r="F218" s="23"/>
      <c r="G218" s="22" t="str">
        <f>Source!DI82</f>
        <v/>
      </c>
      <c r="H218" s="9">
        <f>Source!AV82</f>
        <v>1</v>
      </c>
      <c r="I218" s="9"/>
      <c r="J218" s="23"/>
      <c r="K218" s="23">
        <f>Source!U82</f>
        <v>24.591600000000003</v>
      </c>
    </row>
    <row r="219" spans="1:22" ht="15" x14ac:dyDescent="0.25">
      <c r="A219" s="27"/>
      <c r="B219" s="27"/>
      <c r="C219" s="27"/>
      <c r="D219" s="27"/>
      <c r="E219" s="27"/>
      <c r="F219" s="27"/>
      <c r="G219" s="27"/>
      <c r="H219" s="27"/>
      <c r="I219" s="63">
        <f>J211+J212+J214+J215+J216+J217</f>
        <v>67327.529999999984</v>
      </c>
      <c r="J219" s="63"/>
      <c r="K219" s="28">
        <f>IF(Source!I82&lt;&gt;0, ROUND(I219/Source!I82, 2), 0)</f>
        <v>425047.54</v>
      </c>
      <c r="P219" s="25">
        <f>I219</f>
        <v>67327.529999999984</v>
      </c>
    </row>
    <row r="220" spans="1:22" ht="42.75" x14ac:dyDescent="0.2">
      <c r="A220" s="20">
        <v>19</v>
      </c>
      <c r="B220" s="20" t="str">
        <f>Source!F83</f>
        <v>2.1-3103-18-1/1</v>
      </c>
      <c r="C220" s="20" t="str">
        <f>Source!G83</f>
        <v>Устройство покрытий из асфальтобетонных смесей вручную, толщина 4 см</v>
      </c>
      <c r="D220" s="21" t="str">
        <f>Source!H83</f>
        <v>100 м2</v>
      </c>
      <c r="E220" s="9">
        <f>Source!I83</f>
        <v>1.44</v>
      </c>
      <c r="F220" s="23"/>
      <c r="G220" s="22"/>
      <c r="H220" s="9"/>
      <c r="I220" s="9"/>
      <c r="J220" s="23"/>
      <c r="K220" s="23"/>
      <c r="Q220">
        <f>ROUND((Source!BZ83/100)*ROUND((Source!AF83*Source!AV83)*Source!I83, 2), 2)</f>
        <v>3448.1</v>
      </c>
      <c r="R220">
        <f>Source!X83</f>
        <v>3448.1</v>
      </c>
      <c r="S220">
        <f>ROUND((Source!CA83/100)*ROUND((Source!AF83*Source!AV83)*Source!I83, 2), 2)</f>
        <v>492.59</v>
      </c>
      <c r="T220">
        <f>Source!Y83</f>
        <v>492.59</v>
      </c>
      <c r="U220">
        <f>ROUND((175/100)*ROUND((Source!AE83*Source!AV83)*Source!I83, 2), 2)</f>
        <v>2569.35</v>
      </c>
      <c r="V220">
        <f>ROUND((108/100)*ROUND(Source!CS83*Source!I83, 2), 2)</f>
        <v>1585.66</v>
      </c>
    </row>
    <row r="221" spans="1:22" x14ac:dyDescent="0.2">
      <c r="C221" s="29" t="str">
        <f>"Объем: "&amp;Source!I83&amp;"=144/"&amp;"100"</f>
        <v>Объем: 1,44=144/100</v>
      </c>
    </row>
    <row r="222" spans="1:22" ht="14.25" x14ac:dyDescent="0.2">
      <c r="A222" s="20"/>
      <c r="B222" s="20"/>
      <c r="C222" s="20" t="s">
        <v>368</v>
      </c>
      <c r="D222" s="21"/>
      <c r="E222" s="9"/>
      <c r="F222" s="23">
        <f>Source!AO83</f>
        <v>3420.73</v>
      </c>
      <c r="G222" s="22" t="str">
        <f>Source!DG83</f>
        <v/>
      </c>
      <c r="H222" s="9">
        <f>Source!AV83</f>
        <v>1</v>
      </c>
      <c r="I222" s="9">
        <f>IF(Source!BA83&lt;&gt; 0, Source!BA83, 1)</f>
        <v>1</v>
      </c>
      <c r="J222" s="23">
        <f>Source!S83</f>
        <v>4925.8500000000004</v>
      </c>
      <c r="K222" s="23"/>
    </row>
    <row r="223" spans="1:22" ht="14.25" x14ac:dyDescent="0.2">
      <c r="A223" s="20"/>
      <c r="B223" s="20"/>
      <c r="C223" s="20" t="s">
        <v>369</v>
      </c>
      <c r="D223" s="21"/>
      <c r="E223" s="9"/>
      <c r="F223" s="23">
        <f>Source!AM83</f>
        <v>1802.73</v>
      </c>
      <c r="G223" s="22" t="str">
        <f>Source!DE83</f>
        <v/>
      </c>
      <c r="H223" s="9">
        <f>Source!AV83</f>
        <v>1</v>
      </c>
      <c r="I223" s="9">
        <f>IF(Source!BB83&lt;&gt; 0, Source!BB83, 1)</f>
        <v>1</v>
      </c>
      <c r="J223" s="23">
        <f>Source!Q83</f>
        <v>2595.9299999999998</v>
      </c>
      <c r="K223" s="23"/>
    </row>
    <row r="224" spans="1:22" ht="14.25" x14ac:dyDescent="0.2">
      <c r="A224" s="20"/>
      <c r="B224" s="20"/>
      <c r="C224" s="20" t="s">
        <v>370</v>
      </c>
      <c r="D224" s="21"/>
      <c r="E224" s="9"/>
      <c r="F224" s="23">
        <f>Source!AN83</f>
        <v>1019.58</v>
      </c>
      <c r="G224" s="22" t="str">
        <f>Source!DF83</f>
        <v/>
      </c>
      <c r="H224" s="9">
        <f>Source!AV83</f>
        <v>1</v>
      </c>
      <c r="I224" s="9">
        <f>IF(Source!BS83&lt;&gt; 0, Source!BS83, 1)</f>
        <v>1</v>
      </c>
      <c r="J224" s="24">
        <f>Source!R83</f>
        <v>1468.2</v>
      </c>
      <c r="K224" s="23"/>
    </row>
    <row r="225" spans="1:22" ht="14.25" x14ac:dyDescent="0.2">
      <c r="A225" s="20"/>
      <c r="B225" s="20"/>
      <c r="C225" s="20" t="s">
        <v>371</v>
      </c>
      <c r="D225" s="21"/>
      <c r="E225" s="9"/>
      <c r="F225" s="23">
        <f>Source!AL83</f>
        <v>39159.019999999997</v>
      </c>
      <c r="G225" s="22" t="str">
        <f>Source!DD83</f>
        <v/>
      </c>
      <c r="H225" s="9">
        <f>Source!AW83</f>
        <v>1</v>
      </c>
      <c r="I225" s="9">
        <f>IF(Source!BC83&lt;&gt; 0, Source!BC83, 1)</f>
        <v>1</v>
      </c>
      <c r="J225" s="23">
        <f>Source!P83</f>
        <v>56388.99</v>
      </c>
      <c r="K225" s="23"/>
    </row>
    <row r="226" spans="1:22" ht="14.25" x14ac:dyDescent="0.2">
      <c r="A226" s="20"/>
      <c r="B226" s="20"/>
      <c r="C226" s="20" t="s">
        <v>372</v>
      </c>
      <c r="D226" s="21" t="s">
        <v>373</v>
      </c>
      <c r="E226" s="9">
        <f>Source!AT83</f>
        <v>70</v>
      </c>
      <c r="F226" s="23"/>
      <c r="G226" s="22"/>
      <c r="H226" s="9"/>
      <c r="I226" s="9"/>
      <c r="J226" s="23">
        <f>SUM(R220:R225)</f>
        <v>3448.1</v>
      </c>
      <c r="K226" s="23"/>
    </row>
    <row r="227" spans="1:22" ht="14.25" x14ac:dyDescent="0.2">
      <c r="A227" s="20"/>
      <c r="B227" s="20"/>
      <c r="C227" s="20" t="s">
        <v>374</v>
      </c>
      <c r="D227" s="21" t="s">
        <v>373</v>
      </c>
      <c r="E227" s="9">
        <f>Source!AU83</f>
        <v>10</v>
      </c>
      <c r="F227" s="23"/>
      <c r="G227" s="22"/>
      <c r="H227" s="9"/>
      <c r="I227" s="9"/>
      <c r="J227" s="23">
        <f>SUM(T220:T226)</f>
        <v>492.59</v>
      </c>
      <c r="K227" s="23"/>
    </row>
    <row r="228" spans="1:22" ht="14.25" x14ac:dyDescent="0.2">
      <c r="A228" s="20"/>
      <c r="B228" s="20"/>
      <c r="C228" s="20" t="s">
        <v>375</v>
      </c>
      <c r="D228" s="21" t="s">
        <v>373</v>
      </c>
      <c r="E228" s="9">
        <f>108</f>
        <v>108</v>
      </c>
      <c r="F228" s="23"/>
      <c r="G228" s="22"/>
      <c r="H228" s="9"/>
      <c r="I228" s="9"/>
      <c r="J228" s="23">
        <f>SUM(V220:V227)</f>
        <v>1585.66</v>
      </c>
      <c r="K228" s="23"/>
    </row>
    <row r="229" spans="1:22" ht="14.25" x14ac:dyDescent="0.2">
      <c r="A229" s="20"/>
      <c r="B229" s="20"/>
      <c r="C229" s="20" t="s">
        <v>376</v>
      </c>
      <c r="D229" s="21" t="s">
        <v>377</v>
      </c>
      <c r="E229" s="9">
        <f>Source!AQ83</f>
        <v>13.57</v>
      </c>
      <c r="F229" s="23"/>
      <c r="G229" s="22" t="str">
        <f>Source!DI83</f>
        <v/>
      </c>
      <c r="H229" s="9">
        <f>Source!AV83</f>
        <v>1</v>
      </c>
      <c r="I229" s="9"/>
      <c r="J229" s="23"/>
      <c r="K229" s="23">
        <f>Source!U83</f>
        <v>19.540800000000001</v>
      </c>
    </row>
    <row r="230" spans="1:22" ht="15" x14ac:dyDescent="0.25">
      <c r="A230" s="27"/>
      <c r="B230" s="27"/>
      <c r="C230" s="27"/>
      <c r="D230" s="27"/>
      <c r="E230" s="27"/>
      <c r="F230" s="27"/>
      <c r="G230" s="27"/>
      <c r="H230" s="27"/>
      <c r="I230" s="63">
        <f>J222+J223+J225+J226+J227+J228</f>
        <v>69437.119999999995</v>
      </c>
      <c r="J230" s="63"/>
      <c r="K230" s="28">
        <f>IF(Source!I83&lt;&gt;0, ROUND(I230/Source!I83, 2), 0)</f>
        <v>48220.22</v>
      </c>
      <c r="P230" s="25">
        <f>I230</f>
        <v>69437.119999999995</v>
      </c>
    </row>
    <row r="232" spans="1:22" ht="15" x14ac:dyDescent="0.25">
      <c r="A232" s="67" t="str">
        <f>CONCATENATE("Итого по разделу: ",IF(Source!G85&lt;&gt;"Новый раздел", Source!G85, ""))</f>
        <v>Итого по разделу: Ремонт отмостки</v>
      </c>
      <c r="B232" s="67"/>
      <c r="C232" s="67"/>
      <c r="D232" s="67"/>
      <c r="E232" s="67"/>
      <c r="F232" s="67"/>
      <c r="G232" s="67"/>
      <c r="H232" s="67"/>
      <c r="I232" s="65">
        <f>SUM(P150:P231)</f>
        <v>354749.68999999994</v>
      </c>
      <c r="J232" s="66"/>
      <c r="K232" s="31"/>
    </row>
    <row r="235" spans="1:22" ht="16.5" x14ac:dyDescent="0.25">
      <c r="A235" s="64" t="str">
        <f>CONCATENATE("Раздел: ",IF(Source!G115&lt;&gt;"Новый раздел", Source!G115, ""))</f>
        <v>Раздел: Прочее</v>
      </c>
      <c r="B235" s="64"/>
      <c r="C235" s="64"/>
      <c r="D235" s="64"/>
      <c r="E235" s="64"/>
      <c r="F235" s="64"/>
      <c r="G235" s="64"/>
      <c r="H235" s="64"/>
      <c r="I235" s="64"/>
      <c r="J235" s="64"/>
      <c r="K235" s="64"/>
    </row>
    <row r="236" spans="1:22" ht="42.75" x14ac:dyDescent="0.2">
      <c r="A236" s="20">
        <v>20</v>
      </c>
      <c r="B236" s="20" t="str">
        <f>Source!F119</f>
        <v>1.49-9101-7-1/1</v>
      </c>
      <c r="C236" s="20" t="str">
        <f>Source!G119</f>
        <v>Механизированная погрузка строительного мусора в автомобили-самосвалы</v>
      </c>
      <c r="D236" s="21" t="str">
        <f>Source!H119</f>
        <v>т</v>
      </c>
      <c r="E236" s="9">
        <f>Source!I119</f>
        <v>109.6</v>
      </c>
      <c r="F236" s="23"/>
      <c r="G236" s="22"/>
      <c r="H236" s="9"/>
      <c r="I236" s="9"/>
      <c r="J236" s="23"/>
      <c r="K236" s="23"/>
      <c r="Q236">
        <f>ROUND((Source!BZ119/100)*ROUND((Source!AF119*Source!AV119)*Source!I119, 2), 2)</f>
        <v>0</v>
      </c>
      <c r="R236">
        <f>Source!X119</f>
        <v>0</v>
      </c>
      <c r="S236">
        <f>ROUND((Source!CA119/100)*ROUND((Source!AF119*Source!AV119)*Source!I119, 2), 2)</f>
        <v>0</v>
      </c>
      <c r="T236">
        <f>Source!Y119</f>
        <v>0</v>
      </c>
      <c r="U236">
        <f>ROUND((175/100)*ROUND((Source!AE119*Source!AV119)*Source!I119, 2), 2)</f>
        <v>5464.38</v>
      </c>
      <c r="V236">
        <f>ROUND((108/100)*ROUND(Source!CS119*Source!I119, 2), 2)</f>
        <v>3372.3</v>
      </c>
    </row>
    <row r="237" spans="1:22" ht="14.25" x14ac:dyDescent="0.2">
      <c r="A237" s="20"/>
      <c r="B237" s="20"/>
      <c r="C237" s="20" t="s">
        <v>369</v>
      </c>
      <c r="D237" s="21"/>
      <c r="E237" s="9"/>
      <c r="F237" s="23">
        <f>Source!AM119</f>
        <v>88.77</v>
      </c>
      <c r="G237" s="22" t="str">
        <f>Source!DE119</f>
        <v/>
      </c>
      <c r="H237" s="9">
        <f>Source!AV119</f>
        <v>1</v>
      </c>
      <c r="I237" s="9">
        <f>IF(Source!BB119&lt;&gt; 0, Source!BB119, 1)</f>
        <v>1</v>
      </c>
      <c r="J237" s="23">
        <f>Source!Q119</f>
        <v>9729.19</v>
      </c>
      <c r="K237" s="23"/>
    </row>
    <row r="238" spans="1:22" ht="14.25" x14ac:dyDescent="0.2">
      <c r="A238" s="20"/>
      <c r="B238" s="20"/>
      <c r="C238" s="20" t="s">
        <v>370</v>
      </c>
      <c r="D238" s="21"/>
      <c r="E238" s="9"/>
      <c r="F238" s="23">
        <f>Source!AN119</f>
        <v>28.49</v>
      </c>
      <c r="G238" s="22" t="str">
        <f>Source!DF119</f>
        <v/>
      </c>
      <c r="H238" s="9">
        <f>Source!AV119</f>
        <v>1</v>
      </c>
      <c r="I238" s="9">
        <f>IF(Source!BS119&lt;&gt; 0, Source!BS119, 1)</f>
        <v>1</v>
      </c>
      <c r="J238" s="24">
        <f>Source!R119</f>
        <v>3122.5</v>
      </c>
      <c r="K238" s="23"/>
    </row>
    <row r="239" spans="1:22" ht="14.25" x14ac:dyDescent="0.2">
      <c r="A239" s="20"/>
      <c r="B239" s="20"/>
      <c r="C239" s="20" t="s">
        <v>375</v>
      </c>
      <c r="D239" s="21" t="s">
        <v>373</v>
      </c>
      <c r="E239" s="9">
        <f>108</f>
        <v>108</v>
      </c>
      <c r="F239" s="23"/>
      <c r="G239" s="22"/>
      <c r="H239" s="9"/>
      <c r="I239" s="9"/>
      <c r="J239" s="23">
        <f>SUM(V236:V238)</f>
        <v>3372.3</v>
      </c>
      <c r="K239" s="23"/>
    </row>
    <row r="240" spans="1:22" ht="15" x14ac:dyDescent="0.25">
      <c r="A240" s="27"/>
      <c r="B240" s="27"/>
      <c r="C240" s="27"/>
      <c r="D240" s="27"/>
      <c r="E240" s="27"/>
      <c r="F240" s="27"/>
      <c r="G240" s="27"/>
      <c r="H240" s="27"/>
      <c r="I240" s="63">
        <f>J237+J239</f>
        <v>13101.490000000002</v>
      </c>
      <c r="J240" s="63"/>
      <c r="K240" s="28">
        <f>IF(Source!I119&lt;&gt;0, ROUND(I240/Source!I119, 2), 0)</f>
        <v>119.54</v>
      </c>
      <c r="P240" s="25">
        <f>I240</f>
        <v>13101.490000000002</v>
      </c>
    </row>
    <row r="241" spans="1:22" ht="71.25" x14ac:dyDescent="0.2">
      <c r="A241" s="20">
        <v>21</v>
      </c>
      <c r="B241" s="20" t="str">
        <f>Source!F120</f>
        <v>2.1-3105-1-1/1</v>
      </c>
      <c r="C241" s="20" t="str">
        <f>Source!G120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D241" s="21" t="str">
        <f>Source!H120</f>
        <v>т</v>
      </c>
      <c r="E241" s="9">
        <f>Source!I120</f>
        <v>109.6</v>
      </c>
      <c r="F241" s="23"/>
      <c r="G241" s="22"/>
      <c r="H241" s="9"/>
      <c r="I241" s="9"/>
      <c r="J241" s="23"/>
      <c r="K241" s="23"/>
      <c r="Q241">
        <f>ROUND((Source!BZ120/100)*ROUND((Source!AF120*Source!AV120)*Source!I120, 2), 2)</f>
        <v>0</v>
      </c>
      <c r="R241">
        <f>Source!X120</f>
        <v>0</v>
      </c>
      <c r="S241">
        <f>ROUND((Source!CA120/100)*ROUND((Source!AF120*Source!AV120)*Source!I120, 2), 2)</f>
        <v>0</v>
      </c>
      <c r="T241">
        <f>Source!Y120</f>
        <v>0</v>
      </c>
      <c r="U241">
        <f>ROUND((175/100)*ROUND((Source!AE120*Source!AV120)*Source!I120, 2), 2)</f>
        <v>6475.18</v>
      </c>
      <c r="V241">
        <f>ROUND((108/100)*ROUND(Source!CS120*Source!I120, 2), 2)</f>
        <v>3996.11</v>
      </c>
    </row>
    <row r="242" spans="1:22" ht="14.25" x14ac:dyDescent="0.2">
      <c r="A242" s="20"/>
      <c r="B242" s="20"/>
      <c r="C242" s="20" t="s">
        <v>369</v>
      </c>
      <c r="D242" s="21"/>
      <c r="E242" s="9"/>
      <c r="F242" s="23">
        <f>Source!AM120</f>
        <v>64.06</v>
      </c>
      <c r="G242" s="22" t="str">
        <f>Source!DE120</f>
        <v/>
      </c>
      <c r="H242" s="9">
        <f>Source!AV120</f>
        <v>1</v>
      </c>
      <c r="I242" s="9">
        <f>IF(Source!BB120&lt;&gt; 0, Source!BB120, 1)</f>
        <v>1</v>
      </c>
      <c r="J242" s="23">
        <f>Source!Q120</f>
        <v>7020.98</v>
      </c>
      <c r="K242" s="23"/>
    </row>
    <row r="243" spans="1:22" ht="14.25" x14ac:dyDescent="0.2">
      <c r="A243" s="20"/>
      <c r="B243" s="20"/>
      <c r="C243" s="20" t="s">
        <v>370</v>
      </c>
      <c r="D243" s="21"/>
      <c r="E243" s="9"/>
      <c r="F243" s="23">
        <f>Source!AN120</f>
        <v>33.76</v>
      </c>
      <c r="G243" s="22" t="str">
        <f>Source!DF120</f>
        <v/>
      </c>
      <c r="H243" s="9">
        <f>Source!AV120</f>
        <v>1</v>
      </c>
      <c r="I243" s="9">
        <f>IF(Source!BS120&lt;&gt; 0, Source!BS120, 1)</f>
        <v>1</v>
      </c>
      <c r="J243" s="24">
        <f>Source!R120</f>
        <v>3700.1</v>
      </c>
      <c r="K243" s="23"/>
    </row>
    <row r="244" spans="1:22" ht="15" x14ac:dyDescent="0.25">
      <c r="A244" s="27"/>
      <c r="B244" s="27"/>
      <c r="C244" s="27"/>
      <c r="D244" s="27"/>
      <c r="E244" s="27"/>
      <c r="F244" s="27"/>
      <c r="G244" s="27"/>
      <c r="H244" s="27"/>
      <c r="I244" s="63">
        <f>J242</f>
        <v>7020.98</v>
      </c>
      <c r="J244" s="63"/>
      <c r="K244" s="28">
        <f>IF(Source!I120&lt;&gt;0, ROUND(I244/Source!I120, 2), 0)</f>
        <v>64.06</v>
      </c>
      <c r="P244" s="25">
        <f>I244</f>
        <v>7020.98</v>
      </c>
    </row>
    <row r="245" spans="1:22" ht="71.25" x14ac:dyDescent="0.2">
      <c r="A245" s="20">
        <v>22</v>
      </c>
      <c r="B245" s="20" t="str">
        <f>Source!F121</f>
        <v>2.1-3105-1-2/1</v>
      </c>
      <c r="C245" s="20" t="str">
        <f>Source!G121</f>
        <v>Перевозка отфрезерованного асфальтобетона автосамосвалами грузоподъемностью до 10 т - добавляется на каждый последующий 1 км до 100 км</v>
      </c>
      <c r="D245" s="21" t="str">
        <f>Source!H121</f>
        <v>т</v>
      </c>
      <c r="E245" s="9">
        <f>Source!I121</f>
        <v>109.6</v>
      </c>
      <c r="F245" s="23"/>
      <c r="G245" s="22"/>
      <c r="H245" s="9"/>
      <c r="I245" s="9"/>
      <c r="J245" s="23"/>
      <c r="K245" s="23"/>
      <c r="Q245">
        <f>ROUND((Source!BZ121/100)*ROUND((Source!AF121*Source!AV121)*Source!I121, 2), 2)</f>
        <v>0</v>
      </c>
      <c r="R245">
        <f>Source!X121</f>
        <v>0</v>
      </c>
      <c r="S245">
        <f>ROUND((Source!CA121/100)*ROUND((Source!AF121*Source!AV121)*Source!I121, 2), 2)</f>
        <v>0</v>
      </c>
      <c r="T245">
        <f>Source!Y121</f>
        <v>0</v>
      </c>
      <c r="U245">
        <f>ROUND((175/100)*ROUND((Source!AE121*Source!AV121)*Source!I121, 2), 2)</f>
        <v>84054.43</v>
      </c>
      <c r="V245">
        <f>ROUND((108/100)*ROUND(Source!CS121*Source!I121, 2), 2)</f>
        <v>51873.59</v>
      </c>
    </row>
    <row r="246" spans="1:22" ht="14.25" x14ac:dyDescent="0.2">
      <c r="A246" s="20"/>
      <c r="B246" s="20"/>
      <c r="C246" s="20" t="s">
        <v>369</v>
      </c>
      <c r="D246" s="21"/>
      <c r="E246" s="9"/>
      <c r="F246" s="23">
        <f>Source!AM121</f>
        <v>17.309999999999999</v>
      </c>
      <c r="G246" s="22" t="str">
        <f>Source!DE121</f>
        <v>)*48</v>
      </c>
      <c r="H246" s="9">
        <f>Source!AV121</f>
        <v>1</v>
      </c>
      <c r="I246" s="9">
        <f>IF(Source!BB121&lt;&gt; 0, Source!BB121, 1)</f>
        <v>1</v>
      </c>
      <c r="J246" s="23">
        <f>Source!Q121</f>
        <v>91064.45</v>
      </c>
      <c r="K246" s="23"/>
    </row>
    <row r="247" spans="1:22" ht="14.25" x14ac:dyDescent="0.2">
      <c r="A247" s="20"/>
      <c r="B247" s="20"/>
      <c r="C247" s="20" t="s">
        <v>370</v>
      </c>
      <c r="D247" s="21"/>
      <c r="E247" s="9"/>
      <c r="F247" s="23">
        <f>Source!AN121</f>
        <v>9.1300000000000008</v>
      </c>
      <c r="G247" s="22" t="str">
        <f>Source!DF121</f>
        <v>)*48</v>
      </c>
      <c r="H247" s="9">
        <f>Source!AV121</f>
        <v>1</v>
      </c>
      <c r="I247" s="9">
        <f>IF(Source!BS121&lt;&gt; 0, Source!BS121, 1)</f>
        <v>1</v>
      </c>
      <c r="J247" s="24">
        <f>Source!R121</f>
        <v>48031.1</v>
      </c>
      <c r="K247" s="23"/>
    </row>
    <row r="248" spans="1:22" ht="15" x14ac:dyDescent="0.25">
      <c r="A248" s="27"/>
      <c r="B248" s="27"/>
      <c r="C248" s="27"/>
      <c r="D248" s="27"/>
      <c r="E248" s="27"/>
      <c r="F248" s="27"/>
      <c r="G248" s="27"/>
      <c r="H248" s="27"/>
      <c r="I248" s="63">
        <f>J246</f>
        <v>91064.45</v>
      </c>
      <c r="J248" s="63"/>
      <c r="K248" s="28">
        <f>IF(Source!I121&lt;&gt;0, ROUND(I248/Source!I121, 2), 0)</f>
        <v>830.88</v>
      </c>
      <c r="P248" s="25">
        <f>I248</f>
        <v>91064.45</v>
      </c>
    </row>
    <row r="249" spans="1:22" ht="42.75" x14ac:dyDescent="0.2">
      <c r="A249" s="20">
        <v>23</v>
      </c>
      <c r="B249" s="20" t="str">
        <f>Source!F122</f>
        <v>1.49-9101-7-1/1</v>
      </c>
      <c r="C249" s="20" t="str">
        <f>Source!G122</f>
        <v>Механизированная погрузка строительного мусора в автомобили-самосвалы</v>
      </c>
      <c r="D249" s="21" t="str">
        <f>Source!H122</f>
        <v>т</v>
      </c>
      <c r="E249" s="9">
        <f>Source!I122</f>
        <v>267.60000000000002</v>
      </c>
      <c r="F249" s="23"/>
      <c r="G249" s="22"/>
      <c r="H249" s="9"/>
      <c r="I249" s="9"/>
      <c r="J249" s="23"/>
      <c r="K249" s="23"/>
      <c r="Q249">
        <f>ROUND((Source!BZ122/100)*ROUND((Source!AF122*Source!AV122)*Source!I122, 2), 2)</f>
        <v>0</v>
      </c>
      <c r="R249">
        <f>Source!X122</f>
        <v>0</v>
      </c>
      <c r="S249">
        <f>ROUND((Source!CA122/100)*ROUND((Source!AF122*Source!AV122)*Source!I122, 2), 2)</f>
        <v>0</v>
      </c>
      <c r="T249">
        <f>Source!Y122</f>
        <v>0</v>
      </c>
      <c r="U249">
        <f>ROUND((175/100)*ROUND((Source!AE122*Source!AV122)*Source!I122, 2), 2)</f>
        <v>13341.86</v>
      </c>
      <c r="V249">
        <f>ROUND((108/100)*ROUND(Source!CS122*Source!I122, 2), 2)</f>
        <v>8233.83</v>
      </c>
    </row>
    <row r="250" spans="1:22" ht="14.25" x14ac:dyDescent="0.2">
      <c r="A250" s="20"/>
      <c r="B250" s="20"/>
      <c r="C250" s="20" t="s">
        <v>369</v>
      </c>
      <c r="D250" s="21"/>
      <c r="E250" s="9"/>
      <c r="F250" s="23">
        <f>Source!AM122</f>
        <v>88.77</v>
      </c>
      <c r="G250" s="22" t="str">
        <f>Source!DE122</f>
        <v/>
      </c>
      <c r="H250" s="9">
        <f>Source!AV122</f>
        <v>1</v>
      </c>
      <c r="I250" s="9">
        <f>IF(Source!BB122&lt;&gt; 0, Source!BB122, 1)</f>
        <v>1</v>
      </c>
      <c r="J250" s="23">
        <f>Source!Q122</f>
        <v>23754.85</v>
      </c>
      <c r="K250" s="23"/>
    </row>
    <row r="251" spans="1:22" ht="14.25" x14ac:dyDescent="0.2">
      <c r="A251" s="20"/>
      <c r="B251" s="20"/>
      <c r="C251" s="20" t="s">
        <v>370</v>
      </c>
      <c r="D251" s="21"/>
      <c r="E251" s="9"/>
      <c r="F251" s="23">
        <f>Source!AN122</f>
        <v>28.49</v>
      </c>
      <c r="G251" s="22" t="str">
        <f>Source!DF122</f>
        <v/>
      </c>
      <c r="H251" s="9">
        <f>Source!AV122</f>
        <v>1</v>
      </c>
      <c r="I251" s="9">
        <f>IF(Source!BS122&lt;&gt; 0, Source!BS122, 1)</f>
        <v>1</v>
      </c>
      <c r="J251" s="24">
        <f>Source!R122</f>
        <v>7623.92</v>
      </c>
      <c r="K251" s="23"/>
    </row>
    <row r="252" spans="1:22" ht="14.25" x14ac:dyDescent="0.2">
      <c r="A252" s="20"/>
      <c r="B252" s="20"/>
      <c r="C252" s="20" t="s">
        <v>375</v>
      </c>
      <c r="D252" s="21" t="s">
        <v>373</v>
      </c>
      <c r="E252" s="9">
        <f>108</f>
        <v>108</v>
      </c>
      <c r="F252" s="23"/>
      <c r="G252" s="22"/>
      <c r="H252" s="9"/>
      <c r="I252" s="9"/>
      <c r="J252" s="23">
        <f>SUM(V249:V251)</f>
        <v>8233.83</v>
      </c>
      <c r="K252" s="23"/>
    </row>
    <row r="253" spans="1:22" ht="15" x14ac:dyDescent="0.25">
      <c r="A253" s="27"/>
      <c r="B253" s="27"/>
      <c r="C253" s="27"/>
      <c r="D253" s="27"/>
      <c r="E253" s="27"/>
      <c r="F253" s="27"/>
      <c r="G253" s="27"/>
      <c r="H253" s="27"/>
      <c r="I253" s="63">
        <f>J250+J252</f>
        <v>31988.68</v>
      </c>
      <c r="J253" s="63"/>
      <c r="K253" s="28">
        <f>IF(Source!I122&lt;&gt;0, ROUND(I253/Source!I122, 2), 0)</f>
        <v>119.54</v>
      </c>
      <c r="P253" s="25">
        <f>I253</f>
        <v>31988.68</v>
      </c>
    </row>
    <row r="254" spans="1:22" ht="57" x14ac:dyDescent="0.2">
      <c r="A254" s="20">
        <v>24</v>
      </c>
      <c r="B254" s="20" t="str">
        <f>Source!F123</f>
        <v>1.49-9201-1-2/1</v>
      </c>
      <c r="C254" s="20" t="str">
        <f>Source!G123</f>
        <v>Перевозка строительного мусора автосамосвалами грузоподъемностью до 10 т на расстояние 1 км - при механизированной погрузке</v>
      </c>
      <c r="D254" s="21" t="str">
        <f>Source!H123</f>
        <v>т</v>
      </c>
      <c r="E254" s="9">
        <f>Source!I123</f>
        <v>267.60000000000002</v>
      </c>
      <c r="F254" s="23"/>
      <c r="G254" s="22"/>
      <c r="H254" s="9"/>
      <c r="I254" s="9"/>
      <c r="J254" s="23"/>
      <c r="K254" s="23"/>
      <c r="Q254">
        <f>ROUND((Source!BZ123/100)*ROUND((Source!AF123*Source!AV123)*Source!I123, 2), 2)</f>
        <v>0</v>
      </c>
      <c r="R254">
        <f>Source!X123</f>
        <v>0</v>
      </c>
      <c r="S254">
        <f>ROUND((Source!CA123/100)*ROUND((Source!AF123*Source!AV123)*Source!I123, 2), 2)</f>
        <v>0</v>
      </c>
      <c r="T254">
        <f>Source!Y123</f>
        <v>0</v>
      </c>
      <c r="U254">
        <f>ROUND((175/100)*ROUND((Source!AE123*Source!AV123)*Source!I123, 2), 2)</f>
        <v>16231.29</v>
      </c>
      <c r="V254">
        <f>ROUND((108/100)*ROUND(Source!CS123*Source!I123, 2), 2)</f>
        <v>10017.02</v>
      </c>
    </row>
    <row r="255" spans="1:22" ht="14.25" x14ac:dyDescent="0.2">
      <c r="A255" s="20"/>
      <c r="B255" s="20"/>
      <c r="C255" s="20" t="s">
        <v>369</v>
      </c>
      <c r="D255" s="21"/>
      <c r="E255" s="9"/>
      <c r="F255" s="23">
        <f>Source!AM123</f>
        <v>65.37</v>
      </c>
      <c r="G255" s="22" t="str">
        <f>Source!DE123</f>
        <v/>
      </c>
      <c r="H255" s="9">
        <f>Source!AV123</f>
        <v>1</v>
      </c>
      <c r="I255" s="9">
        <f>IF(Source!BB123&lt;&gt; 0, Source!BB123, 1)</f>
        <v>1</v>
      </c>
      <c r="J255" s="23">
        <f>Source!Q123</f>
        <v>17493.009999999998</v>
      </c>
      <c r="K255" s="23"/>
    </row>
    <row r="256" spans="1:22" ht="14.25" x14ac:dyDescent="0.2">
      <c r="A256" s="20"/>
      <c r="B256" s="20"/>
      <c r="C256" s="20" t="s">
        <v>370</v>
      </c>
      <c r="D256" s="21"/>
      <c r="E256" s="9"/>
      <c r="F256" s="23">
        <f>Source!AN123</f>
        <v>34.659999999999997</v>
      </c>
      <c r="G256" s="22" t="str">
        <f>Source!DF123</f>
        <v/>
      </c>
      <c r="H256" s="9">
        <f>Source!AV123</f>
        <v>1</v>
      </c>
      <c r="I256" s="9">
        <f>IF(Source!BS123&lt;&gt; 0, Source!BS123, 1)</f>
        <v>1</v>
      </c>
      <c r="J256" s="24">
        <f>Source!R123</f>
        <v>9275.02</v>
      </c>
      <c r="K256" s="23"/>
    </row>
    <row r="257" spans="1:22" ht="15" x14ac:dyDescent="0.25">
      <c r="A257" s="27"/>
      <c r="B257" s="27"/>
      <c r="C257" s="27"/>
      <c r="D257" s="27"/>
      <c r="E257" s="27"/>
      <c r="F257" s="27"/>
      <c r="G257" s="27"/>
      <c r="H257" s="27"/>
      <c r="I257" s="63">
        <f>J255</f>
        <v>17493.009999999998</v>
      </c>
      <c r="J257" s="63"/>
      <c r="K257" s="28">
        <f>IF(Source!I123&lt;&gt;0, ROUND(I257/Source!I123, 2), 0)</f>
        <v>65.37</v>
      </c>
      <c r="P257" s="25">
        <f>I257</f>
        <v>17493.009999999998</v>
      </c>
    </row>
    <row r="258" spans="1:22" ht="57" x14ac:dyDescent="0.2">
      <c r="A258" s="20">
        <v>25</v>
      </c>
      <c r="B258" s="20" t="str">
        <f>Source!F124</f>
        <v>1.49-9201-1-3/1</v>
      </c>
      <c r="C258" s="20" t="str">
        <f>Source!G124</f>
        <v>Перевозка строительного мусора автосамосвалами грузоподъемностью до 10 т - добавляется на каждый последующий 1 км до 100 км</v>
      </c>
      <c r="D258" s="21" t="str">
        <f>Source!H124</f>
        <v>т</v>
      </c>
      <c r="E258" s="9">
        <f>Source!I124</f>
        <v>267.60000000000002</v>
      </c>
      <c r="F258" s="23"/>
      <c r="G258" s="22"/>
      <c r="H258" s="9"/>
      <c r="I258" s="9"/>
      <c r="J258" s="23"/>
      <c r="K258" s="23"/>
      <c r="Q258">
        <f>ROUND((Source!BZ124/100)*ROUND((Source!AF124*Source!AV124)*Source!I124, 2), 2)</f>
        <v>0</v>
      </c>
      <c r="R258">
        <f>Source!X124</f>
        <v>0</v>
      </c>
      <c r="S258">
        <f>ROUND((Source!CA124/100)*ROUND((Source!AF124*Source!AV124)*Source!I124, 2), 2)</f>
        <v>0</v>
      </c>
      <c r="T258">
        <f>Source!Y124</f>
        <v>0</v>
      </c>
      <c r="U258">
        <f>ROUND((175/100)*ROUND((Source!AE124*Source!AV124)*Source!I124, 2), 2)</f>
        <v>369095.34</v>
      </c>
      <c r="V258">
        <f>ROUND((108/100)*ROUND(Source!CS124*Source!I124, 2), 2)</f>
        <v>227784.55</v>
      </c>
    </row>
    <row r="259" spans="1:22" ht="14.25" x14ac:dyDescent="0.2">
      <c r="A259" s="20"/>
      <c r="B259" s="20"/>
      <c r="C259" s="20" t="s">
        <v>369</v>
      </c>
      <c r="D259" s="21"/>
      <c r="E259" s="9"/>
      <c r="F259" s="23">
        <f>Source!AM124</f>
        <v>30.95</v>
      </c>
      <c r="G259" s="22" t="str">
        <f>Source!DE124</f>
        <v>)*48</v>
      </c>
      <c r="H259" s="9">
        <f>Source!AV124</f>
        <v>1</v>
      </c>
      <c r="I259" s="9">
        <f>IF(Source!BB124&lt;&gt; 0, Source!BB124, 1)</f>
        <v>1</v>
      </c>
      <c r="J259" s="23">
        <f>Source!Q124</f>
        <v>397546.56</v>
      </c>
      <c r="K259" s="23"/>
    </row>
    <row r="260" spans="1:22" ht="14.25" x14ac:dyDescent="0.2">
      <c r="A260" s="20"/>
      <c r="B260" s="20"/>
      <c r="C260" s="20" t="s">
        <v>370</v>
      </c>
      <c r="D260" s="21"/>
      <c r="E260" s="9"/>
      <c r="F260" s="23">
        <f>Source!AN124</f>
        <v>16.420000000000002</v>
      </c>
      <c r="G260" s="22" t="str">
        <f>Source!DF124</f>
        <v>)*48</v>
      </c>
      <c r="H260" s="9">
        <f>Source!AV124</f>
        <v>1</v>
      </c>
      <c r="I260" s="9">
        <f>IF(Source!BS124&lt;&gt; 0, Source!BS124, 1)</f>
        <v>1</v>
      </c>
      <c r="J260" s="24">
        <f>Source!R124</f>
        <v>210911.62</v>
      </c>
      <c r="K260" s="23"/>
    </row>
    <row r="261" spans="1:22" ht="15" x14ac:dyDescent="0.25">
      <c r="A261" s="27"/>
      <c r="B261" s="27"/>
      <c r="C261" s="27"/>
      <c r="D261" s="27"/>
      <c r="E261" s="27"/>
      <c r="F261" s="27"/>
      <c r="G261" s="27"/>
      <c r="H261" s="27"/>
      <c r="I261" s="63">
        <f>J259</f>
        <v>397546.56</v>
      </c>
      <c r="J261" s="63"/>
      <c r="K261" s="28">
        <f>IF(Source!I124&lt;&gt;0, ROUND(I261/Source!I124, 2), 0)</f>
        <v>1485.6</v>
      </c>
      <c r="P261" s="25">
        <f>I261</f>
        <v>397546.56</v>
      </c>
    </row>
    <row r="263" spans="1:22" ht="15" x14ac:dyDescent="0.25">
      <c r="A263" s="67" t="str">
        <f>CONCATENATE("Итого по разделу: ",IF(Source!G126&lt;&gt;"Новый раздел", Source!G126, ""))</f>
        <v>Итого по разделу: Прочее</v>
      </c>
      <c r="B263" s="67"/>
      <c r="C263" s="67"/>
      <c r="D263" s="67"/>
      <c r="E263" s="67"/>
      <c r="F263" s="67"/>
      <c r="G263" s="67"/>
      <c r="H263" s="67"/>
      <c r="I263" s="65">
        <f>SUM(P235:P262)</f>
        <v>558215.17000000004</v>
      </c>
      <c r="J263" s="66"/>
      <c r="K263" s="31"/>
    </row>
    <row r="266" spans="1:22" ht="16.5" x14ac:dyDescent="0.25">
      <c r="A266" s="64" t="str">
        <f>CONCATENATE("Раздел: ",IF(Source!G156&lt;&gt;"Новый раздел", Source!G156, ""))</f>
        <v>Раздел: Вывоз грунта</v>
      </c>
      <c r="B266" s="64"/>
      <c r="C266" s="64"/>
      <c r="D266" s="64"/>
      <c r="E266" s="64"/>
      <c r="F266" s="64"/>
      <c r="G266" s="64"/>
      <c r="H266" s="64"/>
      <c r="I266" s="64"/>
      <c r="J266" s="64"/>
      <c r="K266" s="64"/>
    </row>
    <row r="267" spans="1:22" ht="42.75" x14ac:dyDescent="0.2">
      <c r="A267" s="20">
        <v>26</v>
      </c>
      <c r="B267" s="20" t="str">
        <f>Source!F160</f>
        <v>2.49-3401-1-1/1</v>
      </c>
      <c r="C267" s="20" t="str">
        <f>Source!G160</f>
        <v>Перевозка грунта автосамосвалами грузоподъемностью до 10 т на расстояние 1 км</v>
      </c>
      <c r="D267" s="21" t="str">
        <f>Source!H160</f>
        <v>м3</v>
      </c>
      <c r="E267" s="9">
        <f>Source!I160</f>
        <v>14.4</v>
      </c>
      <c r="F267" s="23"/>
      <c r="G267" s="22"/>
      <c r="H267" s="9"/>
      <c r="I267" s="9"/>
      <c r="J267" s="23"/>
      <c r="K267" s="23"/>
      <c r="Q267">
        <f>ROUND((Source!BZ160/100)*ROUND((Source!AF160*Source!AV160)*Source!I160, 2), 2)</f>
        <v>0</v>
      </c>
      <c r="R267">
        <f>Source!X160</f>
        <v>0</v>
      </c>
      <c r="S267">
        <f>ROUND((Source!CA160/100)*ROUND((Source!AF160*Source!AV160)*Source!I160, 2), 2)</f>
        <v>0</v>
      </c>
      <c r="T267">
        <f>Source!Y160</f>
        <v>0</v>
      </c>
      <c r="U267">
        <f>ROUND((175/100)*ROUND((Source!AE160*Source!AV160)*Source!I160, 2), 2)</f>
        <v>712.92</v>
      </c>
      <c r="V267">
        <f>ROUND((108/100)*ROUND(Source!CS160*Source!I160, 2), 2)</f>
        <v>439.97</v>
      </c>
    </row>
    <row r="268" spans="1:22" ht="14.25" x14ac:dyDescent="0.2">
      <c r="A268" s="20"/>
      <c r="B268" s="20"/>
      <c r="C268" s="20" t="s">
        <v>369</v>
      </c>
      <c r="D268" s="21"/>
      <c r="E268" s="9"/>
      <c r="F268" s="23">
        <f>Source!AM160</f>
        <v>53.67</v>
      </c>
      <c r="G268" s="22" t="str">
        <f>Source!DE160</f>
        <v/>
      </c>
      <c r="H268" s="9">
        <f>Source!AV160</f>
        <v>1</v>
      </c>
      <c r="I268" s="9">
        <f>IF(Source!BB160&lt;&gt; 0, Source!BB160, 1)</f>
        <v>1</v>
      </c>
      <c r="J268" s="23">
        <f>Source!Q160</f>
        <v>772.85</v>
      </c>
      <c r="K268" s="23"/>
    </row>
    <row r="269" spans="1:22" ht="14.25" x14ac:dyDescent="0.2">
      <c r="A269" s="20"/>
      <c r="B269" s="20"/>
      <c r="C269" s="20" t="s">
        <v>370</v>
      </c>
      <c r="D269" s="21"/>
      <c r="E269" s="9"/>
      <c r="F269" s="23">
        <f>Source!AN160</f>
        <v>28.29</v>
      </c>
      <c r="G269" s="22" t="str">
        <f>Source!DF160</f>
        <v/>
      </c>
      <c r="H269" s="9">
        <f>Source!AV160</f>
        <v>1</v>
      </c>
      <c r="I269" s="9">
        <f>IF(Source!BS160&lt;&gt; 0, Source!BS160, 1)</f>
        <v>1</v>
      </c>
      <c r="J269" s="24">
        <f>Source!R160</f>
        <v>407.38</v>
      </c>
      <c r="K269" s="23"/>
    </row>
    <row r="270" spans="1:22" ht="15" x14ac:dyDescent="0.25">
      <c r="A270" s="27"/>
      <c r="B270" s="27"/>
      <c r="C270" s="27"/>
      <c r="D270" s="27"/>
      <c r="E270" s="27"/>
      <c r="F270" s="27"/>
      <c r="G270" s="27"/>
      <c r="H270" s="27"/>
      <c r="I270" s="63">
        <f>J268</f>
        <v>772.85</v>
      </c>
      <c r="J270" s="63"/>
      <c r="K270" s="28">
        <f>IF(Source!I160&lt;&gt;0, ROUND(I270/Source!I160, 2), 0)</f>
        <v>53.67</v>
      </c>
      <c r="P270" s="25">
        <f>I270</f>
        <v>772.85</v>
      </c>
    </row>
    <row r="271" spans="1:22" ht="57" x14ac:dyDescent="0.2">
      <c r="A271" s="20">
        <v>27</v>
      </c>
      <c r="B271" s="20" t="str">
        <f>Source!F161</f>
        <v>2.49-3401-1-2/1</v>
      </c>
      <c r="C271" s="20" t="str">
        <f>Source!G161</f>
        <v>Перевозка грунта автосамосвалами грузоподъемностью до 10 т - добавляется на каждый последующий 1 км до 100 км (к поз. 49-3401-1-1)</v>
      </c>
      <c r="D271" s="21" t="str">
        <f>Source!H161</f>
        <v>м3</v>
      </c>
      <c r="E271" s="9">
        <f>Source!I161</f>
        <v>14.4</v>
      </c>
      <c r="F271" s="23"/>
      <c r="G271" s="22"/>
      <c r="H271" s="9"/>
      <c r="I271" s="9"/>
      <c r="J271" s="23"/>
      <c r="K271" s="23"/>
      <c r="Q271">
        <f>ROUND((Source!BZ161/100)*ROUND((Source!AF161*Source!AV161)*Source!I161, 2), 2)</f>
        <v>0</v>
      </c>
      <c r="R271">
        <f>Source!X161</f>
        <v>0</v>
      </c>
      <c r="S271">
        <f>ROUND((Source!CA161/100)*ROUND((Source!AF161*Source!AV161)*Source!I161, 2), 2)</f>
        <v>0</v>
      </c>
      <c r="T271">
        <f>Source!Y161</f>
        <v>0</v>
      </c>
      <c r="U271">
        <f>ROUND((175/100)*ROUND((Source!AE161*Source!AV161)*Source!I161, 2), 2)</f>
        <v>11043.66</v>
      </c>
      <c r="V271">
        <f>ROUND((108/100)*ROUND(Source!CS161*Source!I161, 2), 2)</f>
        <v>6815.51</v>
      </c>
    </row>
    <row r="272" spans="1:22" ht="14.25" x14ac:dyDescent="0.2">
      <c r="A272" s="20"/>
      <c r="B272" s="20"/>
      <c r="C272" s="20" t="s">
        <v>369</v>
      </c>
      <c r="D272" s="21"/>
      <c r="E272" s="9"/>
      <c r="F272" s="23">
        <f>Source!AM161</f>
        <v>17.309999999999999</v>
      </c>
      <c r="G272" s="22" t="str">
        <f>Source!DE161</f>
        <v>)*48</v>
      </c>
      <c r="H272" s="9">
        <f>Source!AV161</f>
        <v>1</v>
      </c>
      <c r="I272" s="9">
        <f>IF(Source!BB161&lt;&gt; 0, Source!BB161, 1)</f>
        <v>1</v>
      </c>
      <c r="J272" s="23">
        <f>Source!Q161</f>
        <v>11964.67</v>
      </c>
      <c r="K272" s="23"/>
    </row>
    <row r="273" spans="1:22" ht="14.25" x14ac:dyDescent="0.2">
      <c r="A273" s="20"/>
      <c r="B273" s="20"/>
      <c r="C273" s="20" t="s">
        <v>370</v>
      </c>
      <c r="D273" s="21"/>
      <c r="E273" s="9"/>
      <c r="F273" s="23">
        <f>Source!AN161</f>
        <v>9.1300000000000008</v>
      </c>
      <c r="G273" s="22" t="str">
        <f>Source!DF161</f>
        <v>)*48</v>
      </c>
      <c r="H273" s="9">
        <f>Source!AV161</f>
        <v>1</v>
      </c>
      <c r="I273" s="9">
        <f>IF(Source!BS161&lt;&gt; 0, Source!BS161, 1)</f>
        <v>1</v>
      </c>
      <c r="J273" s="24">
        <f>Source!R161</f>
        <v>6310.66</v>
      </c>
      <c r="K273" s="23"/>
    </row>
    <row r="274" spans="1:22" ht="15" x14ac:dyDescent="0.25">
      <c r="A274" s="27"/>
      <c r="B274" s="27"/>
      <c r="C274" s="27"/>
      <c r="D274" s="27"/>
      <c r="E274" s="27"/>
      <c r="F274" s="27"/>
      <c r="G274" s="27"/>
      <c r="H274" s="27"/>
      <c r="I274" s="63">
        <f>J272</f>
        <v>11964.67</v>
      </c>
      <c r="J274" s="63"/>
      <c r="K274" s="28">
        <f>IF(Source!I161&lt;&gt;0, ROUND(I274/Source!I161, 2), 0)</f>
        <v>830.88</v>
      </c>
      <c r="P274" s="25">
        <f>I274</f>
        <v>11964.67</v>
      </c>
    </row>
    <row r="276" spans="1:22" ht="15" x14ac:dyDescent="0.25">
      <c r="A276" s="67" t="str">
        <f>CONCATENATE("Итого по разделу: ",IF(Source!G163&lt;&gt;"Новый раздел", Source!G163, ""))</f>
        <v>Итого по разделу: Вывоз грунта</v>
      </c>
      <c r="B276" s="67"/>
      <c r="C276" s="67"/>
      <c r="D276" s="67"/>
      <c r="E276" s="67"/>
      <c r="F276" s="67"/>
      <c r="G276" s="67"/>
      <c r="H276" s="67"/>
      <c r="I276" s="65">
        <f>SUM(P266:P275)</f>
        <v>12737.52</v>
      </c>
      <c r="J276" s="66"/>
      <c r="K276" s="31"/>
    </row>
    <row r="279" spans="1:22" ht="16.5" x14ac:dyDescent="0.25">
      <c r="A279" s="64" t="str">
        <f>CONCATENATE("Раздел: ",IF(Source!G193&lt;&gt;"Новый раздел", Source!G193, ""))</f>
        <v>Раздел: Мусор</v>
      </c>
      <c r="B279" s="64"/>
      <c r="C279" s="64"/>
      <c r="D279" s="64"/>
      <c r="E279" s="64"/>
      <c r="F279" s="64"/>
      <c r="G279" s="64"/>
      <c r="H279" s="64"/>
      <c r="I279" s="64"/>
      <c r="J279" s="64"/>
      <c r="K279" s="64"/>
    </row>
    <row r="280" spans="1:22" ht="42.75" x14ac:dyDescent="0.2">
      <c r="A280" s="20">
        <v>28</v>
      </c>
      <c r="B280" s="20" t="str">
        <f>Source!F197</f>
        <v>1.49-9101-7-1/1</v>
      </c>
      <c r="C280" s="20" t="str">
        <f>Source!G197</f>
        <v>Механизированная погрузка строительного мусора в автомобили-самосвалы</v>
      </c>
      <c r="D280" s="21" t="str">
        <f>Source!H197</f>
        <v>т</v>
      </c>
      <c r="E280" s="9">
        <f>Source!I197</f>
        <v>68.739999999999995</v>
      </c>
      <c r="F280" s="23"/>
      <c r="G280" s="22"/>
      <c r="H280" s="9"/>
      <c r="I280" s="9"/>
      <c r="J280" s="23"/>
      <c r="K280" s="23"/>
      <c r="Q280">
        <f>ROUND((Source!BZ197/100)*ROUND((Source!AF197*Source!AV197)*Source!I197, 2), 2)</f>
        <v>0</v>
      </c>
      <c r="R280">
        <f>Source!X197</f>
        <v>0</v>
      </c>
      <c r="S280">
        <f>ROUND((Source!CA197/100)*ROUND((Source!AF197*Source!AV197)*Source!I197, 2), 2)</f>
        <v>0</v>
      </c>
      <c r="T280">
        <f>Source!Y197</f>
        <v>0</v>
      </c>
      <c r="U280">
        <f>ROUND((175/100)*ROUND((Source!AE197*Source!AV197)*Source!I197, 2), 2)</f>
        <v>3427.2</v>
      </c>
      <c r="V280">
        <f>ROUND((108/100)*ROUND(Source!CS197*Source!I197, 2), 2)</f>
        <v>2115.0700000000002</v>
      </c>
    </row>
    <row r="281" spans="1:22" ht="14.25" x14ac:dyDescent="0.2">
      <c r="A281" s="20"/>
      <c r="B281" s="20"/>
      <c r="C281" s="20" t="s">
        <v>369</v>
      </c>
      <c r="D281" s="21"/>
      <c r="E281" s="9"/>
      <c r="F281" s="23">
        <f>Source!AM197</f>
        <v>88.77</v>
      </c>
      <c r="G281" s="22" t="str">
        <f>Source!DE197</f>
        <v/>
      </c>
      <c r="H281" s="9">
        <f>Source!AV197</f>
        <v>1</v>
      </c>
      <c r="I281" s="9">
        <f>IF(Source!BB197&lt;&gt; 0, Source!BB197, 1)</f>
        <v>1</v>
      </c>
      <c r="J281" s="23">
        <f>Source!Q197</f>
        <v>6102.05</v>
      </c>
      <c r="K281" s="23"/>
    </row>
    <row r="282" spans="1:22" ht="14.25" x14ac:dyDescent="0.2">
      <c r="A282" s="20"/>
      <c r="B282" s="20"/>
      <c r="C282" s="20" t="s">
        <v>370</v>
      </c>
      <c r="D282" s="21"/>
      <c r="E282" s="9"/>
      <c r="F282" s="23">
        <f>Source!AN197</f>
        <v>28.49</v>
      </c>
      <c r="G282" s="22" t="str">
        <f>Source!DF197</f>
        <v/>
      </c>
      <c r="H282" s="9">
        <f>Source!AV197</f>
        <v>1</v>
      </c>
      <c r="I282" s="9">
        <f>IF(Source!BS197&lt;&gt; 0, Source!BS197, 1)</f>
        <v>1</v>
      </c>
      <c r="J282" s="24">
        <f>Source!R197</f>
        <v>1958.4</v>
      </c>
      <c r="K282" s="23"/>
    </row>
    <row r="283" spans="1:22" ht="14.25" x14ac:dyDescent="0.2">
      <c r="A283" s="20"/>
      <c r="B283" s="20"/>
      <c r="C283" s="20" t="s">
        <v>375</v>
      </c>
      <c r="D283" s="21" t="s">
        <v>373</v>
      </c>
      <c r="E283" s="9">
        <f>108</f>
        <v>108</v>
      </c>
      <c r="F283" s="23"/>
      <c r="G283" s="22"/>
      <c r="H283" s="9"/>
      <c r="I283" s="9"/>
      <c r="J283" s="23">
        <f>SUM(V280:V282)</f>
        <v>2115.0700000000002</v>
      </c>
      <c r="K283" s="23"/>
    </row>
    <row r="284" spans="1:22" ht="15" x14ac:dyDescent="0.25">
      <c r="A284" s="27"/>
      <c r="B284" s="27"/>
      <c r="C284" s="27"/>
      <c r="D284" s="27"/>
      <c r="E284" s="27"/>
      <c r="F284" s="27"/>
      <c r="G284" s="27"/>
      <c r="H284" s="27"/>
      <c r="I284" s="63">
        <f>J281+J283</f>
        <v>8217.1200000000008</v>
      </c>
      <c r="J284" s="63"/>
      <c r="K284" s="28">
        <f>IF(Source!I197&lt;&gt;0, ROUND(I284/Source!I197, 2), 0)</f>
        <v>119.54</v>
      </c>
      <c r="P284" s="25">
        <f>I284</f>
        <v>8217.1200000000008</v>
      </c>
    </row>
    <row r="285" spans="1:22" ht="71.25" x14ac:dyDescent="0.2">
      <c r="A285" s="20">
        <v>29</v>
      </c>
      <c r="B285" s="20" t="str">
        <f>Source!F198</f>
        <v>2.1-3105-1-1/1</v>
      </c>
      <c r="C285" s="20" t="str">
        <f>Source!G198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D285" s="21" t="str">
        <f>Source!H198</f>
        <v>т</v>
      </c>
      <c r="E285" s="9">
        <f>Source!I198</f>
        <v>68.739999999999995</v>
      </c>
      <c r="F285" s="23"/>
      <c r="G285" s="22"/>
      <c r="H285" s="9"/>
      <c r="I285" s="9"/>
      <c r="J285" s="23"/>
      <c r="K285" s="23"/>
      <c r="Q285">
        <f>ROUND((Source!BZ198/100)*ROUND((Source!AF198*Source!AV198)*Source!I198, 2), 2)</f>
        <v>0</v>
      </c>
      <c r="R285">
        <f>Source!X198</f>
        <v>0</v>
      </c>
      <c r="S285">
        <f>ROUND((Source!CA198/100)*ROUND((Source!AF198*Source!AV198)*Source!I198, 2), 2)</f>
        <v>0</v>
      </c>
      <c r="T285">
        <f>Source!Y198</f>
        <v>0</v>
      </c>
      <c r="U285">
        <f>ROUND((175/100)*ROUND((Source!AE198*Source!AV198)*Source!I198, 2), 2)</f>
        <v>4061.16</v>
      </c>
      <c r="V285">
        <f>ROUND((108/100)*ROUND(Source!CS198*Source!I198, 2), 2)</f>
        <v>2506.31</v>
      </c>
    </row>
    <row r="286" spans="1:22" ht="14.25" x14ac:dyDescent="0.2">
      <c r="A286" s="20"/>
      <c r="B286" s="20"/>
      <c r="C286" s="20" t="s">
        <v>369</v>
      </c>
      <c r="D286" s="21"/>
      <c r="E286" s="9"/>
      <c r="F286" s="23">
        <f>Source!AM198</f>
        <v>64.06</v>
      </c>
      <c r="G286" s="22" t="str">
        <f>Source!DE198</f>
        <v/>
      </c>
      <c r="H286" s="9">
        <f>Source!AV198</f>
        <v>1</v>
      </c>
      <c r="I286" s="9">
        <f>IF(Source!BB198&lt;&gt; 0, Source!BB198, 1)</f>
        <v>1</v>
      </c>
      <c r="J286" s="23">
        <f>Source!Q198</f>
        <v>4403.4799999999996</v>
      </c>
      <c r="K286" s="23"/>
    </row>
    <row r="287" spans="1:22" ht="14.25" x14ac:dyDescent="0.2">
      <c r="A287" s="20"/>
      <c r="B287" s="20"/>
      <c r="C287" s="20" t="s">
        <v>370</v>
      </c>
      <c r="D287" s="21"/>
      <c r="E287" s="9"/>
      <c r="F287" s="23">
        <f>Source!AN198</f>
        <v>33.76</v>
      </c>
      <c r="G287" s="22" t="str">
        <f>Source!DF198</f>
        <v/>
      </c>
      <c r="H287" s="9">
        <f>Source!AV198</f>
        <v>1</v>
      </c>
      <c r="I287" s="9">
        <f>IF(Source!BS198&lt;&gt; 0, Source!BS198, 1)</f>
        <v>1</v>
      </c>
      <c r="J287" s="24">
        <f>Source!R198</f>
        <v>2320.66</v>
      </c>
      <c r="K287" s="23"/>
    </row>
    <row r="288" spans="1:22" ht="15" x14ac:dyDescent="0.25">
      <c r="A288" s="27"/>
      <c r="B288" s="27"/>
      <c r="C288" s="27"/>
      <c r="D288" s="27"/>
      <c r="E288" s="27"/>
      <c r="F288" s="27"/>
      <c r="G288" s="27"/>
      <c r="H288" s="27"/>
      <c r="I288" s="63">
        <f>J286</f>
        <v>4403.4799999999996</v>
      </c>
      <c r="J288" s="63"/>
      <c r="K288" s="28">
        <f>IF(Source!I198&lt;&gt;0, ROUND(I288/Source!I198, 2), 0)</f>
        <v>64.06</v>
      </c>
      <c r="P288" s="25">
        <f>I288</f>
        <v>4403.4799999999996</v>
      </c>
    </row>
    <row r="289" spans="1:22" ht="71.25" x14ac:dyDescent="0.2">
      <c r="A289" s="20">
        <v>30</v>
      </c>
      <c r="B289" s="20" t="str">
        <f>Source!F199</f>
        <v>2.1-3105-1-2/1</v>
      </c>
      <c r="C289" s="20" t="str">
        <f>Source!G199</f>
        <v>Перевозка отфрезерованного асфальтобетона автосамосвалами грузоподъемностью до 10 т - добавляется на каждый последующий 1 км до 100 км</v>
      </c>
      <c r="D289" s="21" t="str">
        <f>Source!H199</f>
        <v>т</v>
      </c>
      <c r="E289" s="9">
        <f>Source!I199</f>
        <v>68.739999999999995</v>
      </c>
      <c r="F289" s="23"/>
      <c r="G289" s="22"/>
      <c r="H289" s="9"/>
      <c r="I289" s="9"/>
      <c r="J289" s="23"/>
      <c r="K289" s="23"/>
      <c r="Q289">
        <f>ROUND((Source!BZ199/100)*ROUND((Source!AF199*Source!AV199)*Source!I199, 2), 2)</f>
        <v>0</v>
      </c>
      <c r="R289">
        <f>Source!X199</f>
        <v>0</v>
      </c>
      <c r="S289">
        <f>ROUND((Source!CA199/100)*ROUND((Source!AF199*Source!AV199)*Source!I199, 2), 2)</f>
        <v>0</v>
      </c>
      <c r="T289">
        <f>Source!Y199</f>
        <v>0</v>
      </c>
      <c r="U289">
        <f>ROUND((175/100)*ROUND((Source!AE199*Source!AV199)*Source!I199, 2), 2)</f>
        <v>52718.09</v>
      </c>
      <c r="V289">
        <f>ROUND((108/100)*ROUND(Source!CS199*Source!I199, 2), 2)</f>
        <v>32534.59</v>
      </c>
    </row>
    <row r="290" spans="1:22" ht="14.25" x14ac:dyDescent="0.2">
      <c r="A290" s="20"/>
      <c r="B290" s="20"/>
      <c r="C290" s="20" t="s">
        <v>369</v>
      </c>
      <c r="D290" s="21"/>
      <c r="E290" s="9"/>
      <c r="F290" s="23">
        <f>Source!AM199</f>
        <v>17.309999999999999</v>
      </c>
      <c r="G290" s="22" t="str">
        <f>Source!DE199</f>
        <v>)*48</v>
      </c>
      <c r="H290" s="9">
        <f>Source!AV199</f>
        <v>1</v>
      </c>
      <c r="I290" s="9">
        <f>IF(Source!BB199&lt;&gt; 0, Source!BB199, 1)</f>
        <v>1</v>
      </c>
      <c r="J290" s="23">
        <f>Source!Q199</f>
        <v>57114.69</v>
      </c>
      <c r="K290" s="23"/>
    </row>
    <row r="291" spans="1:22" ht="14.25" x14ac:dyDescent="0.2">
      <c r="A291" s="20"/>
      <c r="B291" s="20"/>
      <c r="C291" s="20" t="s">
        <v>370</v>
      </c>
      <c r="D291" s="21"/>
      <c r="E291" s="9"/>
      <c r="F291" s="23">
        <f>Source!AN199</f>
        <v>9.1300000000000008</v>
      </c>
      <c r="G291" s="22" t="str">
        <f>Source!DF199</f>
        <v>)*48</v>
      </c>
      <c r="H291" s="9">
        <f>Source!AV199</f>
        <v>1</v>
      </c>
      <c r="I291" s="9">
        <f>IF(Source!BS199&lt;&gt; 0, Source!BS199, 1)</f>
        <v>1</v>
      </c>
      <c r="J291" s="24">
        <f>Source!R199</f>
        <v>30124.62</v>
      </c>
      <c r="K291" s="23"/>
    </row>
    <row r="292" spans="1:22" ht="15" x14ac:dyDescent="0.25">
      <c r="A292" s="27"/>
      <c r="B292" s="27"/>
      <c r="C292" s="27"/>
      <c r="D292" s="27"/>
      <c r="E292" s="27"/>
      <c r="F292" s="27"/>
      <c r="G292" s="27"/>
      <c r="H292" s="27"/>
      <c r="I292" s="63">
        <f>J290</f>
        <v>57114.69</v>
      </c>
      <c r="J292" s="63"/>
      <c r="K292" s="28">
        <f>IF(Source!I199&lt;&gt;0, ROUND(I292/Source!I199, 2), 0)</f>
        <v>830.88</v>
      </c>
      <c r="P292" s="25">
        <f>I292</f>
        <v>57114.69</v>
      </c>
    </row>
    <row r="294" spans="1:22" ht="15" x14ac:dyDescent="0.25">
      <c r="A294" s="67" t="str">
        <f>CONCATENATE("Итого по разделу: ",IF(Source!G201&lt;&gt;"Новый раздел", Source!G201, ""))</f>
        <v>Итого по разделу: Мусор</v>
      </c>
      <c r="B294" s="67"/>
      <c r="C294" s="67"/>
      <c r="D294" s="67"/>
      <c r="E294" s="67"/>
      <c r="F294" s="67"/>
      <c r="G294" s="67"/>
      <c r="H294" s="67"/>
      <c r="I294" s="65">
        <f>SUM(P279:P293)</f>
        <v>69735.290000000008</v>
      </c>
      <c r="J294" s="66"/>
      <c r="K294" s="31"/>
    </row>
    <row r="297" spans="1:22" ht="15" x14ac:dyDescent="0.25">
      <c r="A297" s="67" t="str">
        <f>CONCATENATE("Итого по локальной смете: ",IF(Source!G231&lt;&gt;"Новая локальная смета", Source!G231, ""))</f>
        <v>Итого по локальной смете: ГБОУ Школа №1542</v>
      </c>
      <c r="B297" s="67"/>
      <c r="C297" s="67"/>
      <c r="D297" s="67"/>
      <c r="E297" s="67"/>
      <c r="F297" s="67"/>
      <c r="G297" s="67"/>
      <c r="H297" s="67"/>
      <c r="I297" s="65">
        <f>SUM(P31:P296)</f>
        <v>3980955.02</v>
      </c>
      <c r="J297" s="66"/>
      <c r="K297" s="31"/>
    </row>
    <row r="299" spans="1:22" ht="14.25" x14ac:dyDescent="0.2">
      <c r="C299" s="60" t="str">
        <f>Source!H260</f>
        <v>НДС 20%</v>
      </c>
      <c r="D299" s="60"/>
      <c r="E299" s="60"/>
      <c r="F299" s="60"/>
      <c r="G299" s="60"/>
      <c r="H299" s="60"/>
      <c r="I299" s="50">
        <f>IF(Source!F260=0, "", Source!F260)</f>
        <v>796191</v>
      </c>
      <c r="J299" s="50"/>
    </row>
    <row r="300" spans="1:22" ht="14.25" x14ac:dyDescent="0.2">
      <c r="C300" s="60" t="str">
        <f>Source!H261</f>
        <v>Итого с НДС</v>
      </c>
      <c r="D300" s="60"/>
      <c r="E300" s="60"/>
      <c r="F300" s="60"/>
      <c r="G300" s="60"/>
      <c r="H300" s="60"/>
      <c r="I300" s="50">
        <f>IF(Source!F261=0, "", Source!F261)</f>
        <v>4777146.0199999996</v>
      </c>
      <c r="J300" s="50"/>
    </row>
    <row r="303" spans="1:22" ht="14.25" x14ac:dyDescent="0.2">
      <c r="A303" s="68" t="s">
        <v>378</v>
      </c>
      <c r="B303" s="68"/>
      <c r="C303" s="32" t="str">
        <f>IF(Source!AC12&lt;&gt;"", Source!AC12," ")</f>
        <v xml:space="preserve"> </v>
      </c>
      <c r="D303" s="32"/>
      <c r="E303" s="32"/>
      <c r="F303" s="32"/>
      <c r="G303" s="32"/>
      <c r="H303" s="10" t="str">
        <f>IF(Source!AB12&lt;&gt;"", Source!AB12," ")</f>
        <v xml:space="preserve"> </v>
      </c>
      <c r="I303" s="10"/>
      <c r="J303" s="10"/>
      <c r="K303" s="10"/>
    </row>
    <row r="304" spans="1:22" ht="14.25" x14ac:dyDescent="0.2">
      <c r="A304" s="10"/>
      <c r="B304" s="10"/>
      <c r="C304" s="69" t="s">
        <v>379</v>
      </c>
      <c r="D304" s="69"/>
      <c r="E304" s="69"/>
      <c r="F304" s="69"/>
      <c r="G304" s="69"/>
      <c r="H304" s="10"/>
      <c r="I304" s="10"/>
      <c r="J304" s="10"/>
      <c r="K304" s="10"/>
    </row>
    <row r="305" spans="1:11" ht="14.2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4.25" x14ac:dyDescent="0.2">
      <c r="A306" s="68" t="s">
        <v>380</v>
      </c>
      <c r="B306" s="68"/>
      <c r="C306" s="32" t="str">
        <f>IF(Source!AE12&lt;&gt;"", Source!AE12," ")</f>
        <v xml:space="preserve"> </v>
      </c>
      <c r="D306" s="32"/>
      <c r="E306" s="32"/>
      <c r="F306" s="32"/>
      <c r="G306" s="32"/>
      <c r="H306" s="10" t="str">
        <f>IF(Source!AD12&lt;&gt;"", Source!AD12," ")</f>
        <v xml:space="preserve"> </v>
      </c>
      <c r="I306" s="10"/>
      <c r="J306" s="10"/>
      <c r="K306" s="10"/>
    </row>
    <row r="307" spans="1:11" ht="14.25" x14ac:dyDescent="0.2">
      <c r="A307" s="10"/>
      <c r="B307" s="10"/>
      <c r="C307" s="69" t="s">
        <v>379</v>
      </c>
      <c r="D307" s="69"/>
      <c r="E307" s="69"/>
      <c r="F307" s="69"/>
      <c r="G307" s="69"/>
      <c r="H307" s="10"/>
      <c r="I307" s="10"/>
      <c r="J307" s="10"/>
      <c r="K307" s="10"/>
    </row>
  </sheetData>
  <mergeCells count="92">
    <mergeCell ref="A306:B306"/>
    <mergeCell ref="C307:G307"/>
    <mergeCell ref="C299:H299"/>
    <mergeCell ref="I299:J299"/>
    <mergeCell ref="C300:H300"/>
    <mergeCell ref="I300:J300"/>
    <mergeCell ref="A303:B303"/>
    <mergeCell ref="C304:G304"/>
    <mergeCell ref="I297:J297"/>
    <mergeCell ref="A297:H297"/>
    <mergeCell ref="A266:K266"/>
    <mergeCell ref="I270:J270"/>
    <mergeCell ref="I274:J274"/>
    <mergeCell ref="I276:J276"/>
    <mergeCell ref="A276:H276"/>
    <mergeCell ref="A279:K279"/>
    <mergeCell ref="I284:J284"/>
    <mergeCell ref="I288:J288"/>
    <mergeCell ref="I292:J292"/>
    <mergeCell ref="I294:J294"/>
    <mergeCell ref="A294:H294"/>
    <mergeCell ref="A263:H263"/>
    <mergeCell ref="I230:J230"/>
    <mergeCell ref="I232:J232"/>
    <mergeCell ref="A232:H232"/>
    <mergeCell ref="A235:K235"/>
    <mergeCell ref="I240:J240"/>
    <mergeCell ref="I244:J244"/>
    <mergeCell ref="I248:J248"/>
    <mergeCell ref="I253:J253"/>
    <mergeCell ref="I257:J257"/>
    <mergeCell ref="I261:J261"/>
    <mergeCell ref="I263:J263"/>
    <mergeCell ref="I219:J219"/>
    <mergeCell ref="I137:J137"/>
    <mergeCell ref="I145:J145"/>
    <mergeCell ref="I147:J147"/>
    <mergeCell ref="A147:H147"/>
    <mergeCell ref="A150:K150"/>
    <mergeCell ref="I160:J160"/>
    <mergeCell ref="I170:J170"/>
    <mergeCell ref="I178:J178"/>
    <mergeCell ref="I189:J189"/>
    <mergeCell ref="I200:J200"/>
    <mergeCell ref="I208:J208"/>
    <mergeCell ref="F27:F29"/>
    <mergeCell ref="G27:G29"/>
    <mergeCell ref="H27:H29"/>
    <mergeCell ref="I126:J126"/>
    <mergeCell ref="I27:I29"/>
    <mergeCell ref="J27:J29"/>
    <mergeCell ref="A32:K32"/>
    <mergeCell ref="I42:J42"/>
    <mergeCell ref="I52:J52"/>
    <mergeCell ref="I62:J62"/>
    <mergeCell ref="I72:J72"/>
    <mergeCell ref="I82:J82"/>
    <mergeCell ref="I92:J92"/>
    <mergeCell ref="I103:J103"/>
    <mergeCell ref="I114:J114"/>
    <mergeCell ref="A27:A29"/>
    <mergeCell ref="B27:B29"/>
    <mergeCell ref="C27:C29"/>
    <mergeCell ref="D27:D29"/>
    <mergeCell ref="E27:E29"/>
    <mergeCell ref="F23:H23"/>
    <mergeCell ref="I23:J23"/>
    <mergeCell ref="F24:H24"/>
    <mergeCell ref="I24:J24"/>
    <mergeCell ref="F25:H25"/>
    <mergeCell ref="I25:J25"/>
    <mergeCell ref="A18:K18"/>
    <mergeCell ref="F20:H20"/>
    <mergeCell ref="I20:J20"/>
    <mergeCell ref="F22:H22"/>
    <mergeCell ref="I22:J22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  <mergeCell ref="A15:K15"/>
    <mergeCell ref="A16:K1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/>
  </sheetViews>
  <sheetFormatPr defaultRowHeight="12.75" x14ac:dyDescent="0.2"/>
  <sheetData>
    <row r="1" spans="1:27" x14ac:dyDescent="0.2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</row>
    <row r="2" spans="1:27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36602762</v>
      </c>
      <c r="M2">
        <v>0</v>
      </c>
      <c r="N2">
        <v>0</v>
      </c>
    </row>
    <row r="4" spans="1:27" x14ac:dyDescent="0.2">
      <c r="A4" t="s">
        <v>381</v>
      </c>
      <c r="B4" t="s">
        <v>382</v>
      </c>
      <c r="C4" t="s">
        <v>383</v>
      </c>
      <c r="D4" t="s">
        <v>384</v>
      </c>
      <c r="E4" t="s">
        <v>385</v>
      </c>
      <c r="F4" t="s">
        <v>386</v>
      </c>
      <c r="G4" t="s">
        <v>387</v>
      </c>
      <c r="H4" t="s">
        <v>388</v>
      </c>
      <c r="I4" t="s">
        <v>389</v>
      </c>
      <c r="J4" t="s">
        <v>390</v>
      </c>
      <c r="K4" t="s">
        <v>391</v>
      </c>
      <c r="L4" t="s">
        <v>392</v>
      </c>
      <c r="M4" t="s">
        <v>393</v>
      </c>
      <c r="N4" t="s">
        <v>394</v>
      </c>
      <c r="O4" t="s">
        <v>395</v>
      </c>
      <c r="P4" t="s">
        <v>396</v>
      </c>
      <c r="Q4" t="s">
        <v>397</v>
      </c>
      <c r="R4" t="s">
        <v>398</v>
      </c>
      <c r="S4" t="s">
        <v>399</v>
      </c>
      <c r="T4" t="s">
        <v>400</v>
      </c>
      <c r="U4" t="s">
        <v>404</v>
      </c>
      <c r="V4" t="s">
        <v>405</v>
      </c>
      <c r="W4" t="s">
        <v>406</v>
      </c>
      <c r="X4" t="s">
        <v>407</v>
      </c>
      <c r="Y4" t="s">
        <v>401</v>
      </c>
      <c r="Z4" t="s">
        <v>402</v>
      </c>
      <c r="AA4" t="s">
        <v>403</v>
      </c>
    </row>
    <row r="6" spans="1:27" x14ac:dyDescent="0.2">
      <c r="A6">
        <f>Source!A20</f>
        <v>3</v>
      </c>
      <c r="B6">
        <v>20</v>
      </c>
      <c r="G6" t="str">
        <f>Source!G20</f>
        <v>ГБОУ Школа №1542</v>
      </c>
    </row>
    <row r="7" spans="1:27" x14ac:dyDescent="0.2">
      <c r="A7">
        <f>Source!A24</f>
        <v>4</v>
      </c>
      <c r="B7">
        <v>24</v>
      </c>
      <c r="G7" t="str">
        <f>Source!G24</f>
        <v>Ремонт дорожек и тротуаров</v>
      </c>
    </row>
    <row r="8" spans="1:27" x14ac:dyDescent="0.2">
      <c r="A8">
        <v>20</v>
      </c>
      <c r="B8">
        <v>5</v>
      </c>
      <c r="C8">
        <v>3</v>
      </c>
      <c r="D8">
        <v>0</v>
      </c>
      <c r="E8">
        <f>SmtRes!AV5</f>
        <v>0</v>
      </c>
      <c r="F8" t="str">
        <f>SmtRes!I5</f>
        <v>21.1-25-307</v>
      </c>
      <c r="G8" t="str">
        <f>SmtRes!K5</f>
        <v>Резцы, инструмент</v>
      </c>
      <c r="H8" t="str">
        <f>SmtRes!O5</f>
        <v>шт.</v>
      </c>
      <c r="I8">
        <f>SmtRes!Y5*Source!I28</f>
        <v>57.330000000000005</v>
      </c>
      <c r="J8">
        <f>SmtRes!AO5</f>
        <v>1</v>
      </c>
      <c r="K8">
        <f>SmtRes!AE5</f>
        <v>335.91</v>
      </c>
      <c r="L8">
        <f>SmtRes!DB5</f>
        <v>23.51</v>
      </c>
      <c r="M8">
        <f>ROUND(ROUND(L8*Source!I28, 6)*1, 2)</f>
        <v>19254.689999999999</v>
      </c>
      <c r="N8">
        <f>SmtRes!AA5</f>
        <v>335.91</v>
      </c>
      <c r="O8">
        <f>ROUND(ROUND(L8*Source!I28, 6)*SmtRes!DA5, 2)</f>
        <v>19254.689999999999</v>
      </c>
      <c r="P8">
        <f>SmtRes!AG5</f>
        <v>0</v>
      </c>
      <c r="Q8">
        <f>SmtRes!DC5</f>
        <v>0</v>
      </c>
      <c r="R8">
        <f>ROUND(ROUND(Q8*Source!I28, 6)*1, 2)</f>
        <v>0</v>
      </c>
      <c r="S8">
        <f>SmtRes!AC5</f>
        <v>0</v>
      </c>
      <c r="T8">
        <f>ROUND(ROUND(Q8*Source!I28, 6)*SmtRes!AK5, 2)</f>
        <v>0</v>
      </c>
      <c r="U8">
        <v>3</v>
      </c>
      <c r="Y8">
        <f>SmtRes!X5</f>
        <v>-272318523</v>
      </c>
      <c r="Z8">
        <v>-11446357</v>
      </c>
      <c r="AA8">
        <v>-11446357</v>
      </c>
    </row>
    <row r="9" spans="1:27" x14ac:dyDescent="0.2">
      <c r="A9">
        <v>20</v>
      </c>
      <c r="B9">
        <v>4</v>
      </c>
      <c r="C9">
        <v>3</v>
      </c>
      <c r="D9">
        <v>0</v>
      </c>
      <c r="E9">
        <f>SmtRes!AV4</f>
        <v>0</v>
      </c>
      <c r="F9" t="str">
        <f>SmtRes!I4</f>
        <v>21.1-25-13</v>
      </c>
      <c r="G9" t="str">
        <f>SmtRes!K4</f>
        <v>Вода</v>
      </c>
      <c r="H9" t="str">
        <f>SmtRes!O4</f>
        <v>м3</v>
      </c>
      <c r="I9">
        <f>SmtRes!Y4*Source!I28</f>
        <v>2.6208</v>
      </c>
      <c r="J9">
        <f>SmtRes!AO4</f>
        <v>1</v>
      </c>
      <c r="K9">
        <f>SmtRes!AE4</f>
        <v>38.229999999999997</v>
      </c>
      <c r="L9">
        <f>SmtRes!DB4</f>
        <v>0.12</v>
      </c>
      <c r="M9">
        <f>ROUND(ROUND(L9*Source!I28, 6)*1, 2)</f>
        <v>98.28</v>
      </c>
      <c r="N9">
        <f>SmtRes!AA4</f>
        <v>38.229999999999997</v>
      </c>
      <c r="O9">
        <f>ROUND(ROUND(L9*Source!I28, 6)*SmtRes!DA4, 2)</f>
        <v>98.28</v>
      </c>
      <c r="P9">
        <f>SmtRes!AG4</f>
        <v>0</v>
      </c>
      <c r="Q9">
        <f>SmtRes!DC4</f>
        <v>0</v>
      </c>
      <c r="R9">
        <f>ROUND(ROUND(Q9*Source!I28, 6)*1, 2)</f>
        <v>0</v>
      </c>
      <c r="S9">
        <f>SmtRes!AC4</f>
        <v>0</v>
      </c>
      <c r="T9">
        <f>ROUND(ROUND(Q9*Source!I28, 6)*SmtRes!AK4, 2)</f>
        <v>0</v>
      </c>
      <c r="U9">
        <v>3</v>
      </c>
      <c r="Y9">
        <f>SmtRes!X4</f>
        <v>-504744613</v>
      </c>
      <c r="Z9">
        <v>-1084018561</v>
      </c>
      <c r="AA9">
        <v>-1084018561</v>
      </c>
    </row>
    <row r="10" spans="1:27" x14ac:dyDescent="0.2">
      <c r="A10">
        <v>20</v>
      </c>
      <c r="B10">
        <v>24</v>
      </c>
      <c r="C10">
        <v>3</v>
      </c>
      <c r="D10">
        <v>0</v>
      </c>
      <c r="E10">
        <f>SmtRes!AV24</f>
        <v>0</v>
      </c>
      <c r="F10" t="str">
        <f>SmtRes!I24</f>
        <v>21.5-3-13</v>
      </c>
      <c r="G10" t="str">
        <f>SmtRes!K24</f>
        <v>Камни бетонные бортовые, марка БР 100.30.15</v>
      </c>
      <c r="H10" t="str">
        <f>SmtRes!O24</f>
        <v>м3</v>
      </c>
      <c r="I10">
        <f>SmtRes!Y24*Source!I32</f>
        <v>12.208</v>
      </c>
      <c r="J10">
        <f>SmtRes!AO24</f>
        <v>1</v>
      </c>
      <c r="K10">
        <f>SmtRes!AE24</f>
        <v>10729.4</v>
      </c>
      <c r="L10">
        <f>SmtRes!DB24</f>
        <v>467.8</v>
      </c>
      <c r="M10">
        <f>ROUND(ROUND(L10*Source!I32, 6)*1, 2)</f>
        <v>130984</v>
      </c>
      <c r="N10">
        <f>SmtRes!AA24</f>
        <v>10729.4</v>
      </c>
      <c r="O10">
        <f>ROUND(ROUND(L10*Source!I32, 6)*SmtRes!DA24, 2)</f>
        <v>130984</v>
      </c>
      <c r="P10">
        <f>SmtRes!AG24</f>
        <v>0</v>
      </c>
      <c r="Q10">
        <f>SmtRes!DC24</f>
        <v>0</v>
      </c>
      <c r="R10">
        <f>ROUND(ROUND(Q10*Source!I32, 6)*1, 2)</f>
        <v>0</v>
      </c>
      <c r="S10">
        <f>SmtRes!AC24</f>
        <v>0</v>
      </c>
      <c r="T10">
        <f>ROUND(ROUND(Q10*Source!I32, 6)*SmtRes!AK24, 2)</f>
        <v>0</v>
      </c>
      <c r="U10">
        <v>3</v>
      </c>
      <c r="Y10">
        <f>SmtRes!X24</f>
        <v>1584935712</v>
      </c>
      <c r="Z10">
        <v>1125708068</v>
      </c>
      <c r="AA10">
        <v>1125708068</v>
      </c>
    </row>
    <row r="11" spans="1:27" x14ac:dyDescent="0.2">
      <c r="A11">
        <v>20</v>
      </c>
      <c r="B11">
        <v>23</v>
      </c>
      <c r="C11">
        <v>3</v>
      </c>
      <c r="D11">
        <v>0</v>
      </c>
      <c r="E11">
        <f>SmtRes!AV23</f>
        <v>0</v>
      </c>
      <c r="F11" t="str">
        <f>SmtRes!I23</f>
        <v>21.3-2-15</v>
      </c>
      <c r="G11" t="str">
        <f>SmtRes!K23</f>
        <v>Растворы цементные, марка 100</v>
      </c>
      <c r="H11" t="str">
        <f>SmtRes!O23</f>
        <v>м3</v>
      </c>
      <c r="I11">
        <f>SmtRes!Y23*Source!I32</f>
        <v>0.16799999999999998</v>
      </c>
      <c r="J11">
        <f>SmtRes!AO23</f>
        <v>1</v>
      </c>
      <c r="K11">
        <f>SmtRes!AE23</f>
        <v>3977.01</v>
      </c>
      <c r="L11">
        <f>SmtRes!DB23</f>
        <v>2.39</v>
      </c>
      <c r="M11">
        <f>ROUND(ROUND(L11*Source!I32, 6)*1, 2)</f>
        <v>669.2</v>
      </c>
      <c r="N11">
        <f>SmtRes!AA23</f>
        <v>3977.01</v>
      </c>
      <c r="O11">
        <f>ROUND(ROUND(L11*Source!I32, 6)*SmtRes!DA23, 2)</f>
        <v>669.2</v>
      </c>
      <c r="P11">
        <f>SmtRes!AG23</f>
        <v>0</v>
      </c>
      <c r="Q11">
        <f>SmtRes!DC23</f>
        <v>0</v>
      </c>
      <c r="R11">
        <f>ROUND(ROUND(Q11*Source!I32, 6)*1, 2)</f>
        <v>0</v>
      </c>
      <c r="S11">
        <f>SmtRes!AC23</f>
        <v>0</v>
      </c>
      <c r="T11">
        <f>ROUND(ROUND(Q11*Source!I32, 6)*SmtRes!AK23, 2)</f>
        <v>0</v>
      </c>
      <c r="U11">
        <v>3</v>
      </c>
      <c r="Y11">
        <f>SmtRes!X23</f>
        <v>-656046760</v>
      </c>
      <c r="Z11">
        <v>873168382</v>
      </c>
      <c r="AA11">
        <v>873168382</v>
      </c>
    </row>
    <row r="12" spans="1:27" x14ac:dyDescent="0.2">
      <c r="A12">
        <v>20</v>
      </c>
      <c r="B12">
        <v>22</v>
      </c>
      <c r="C12">
        <v>3</v>
      </c>
      <c r="D12">
        <v>0</v>
      </c>
      <c r="E12">
        <f>SmtRes!AV22</f>
        <v>0</v>
      </c>
      <c r="F12" t="str">
        <f>SmtRes!I22</f>
        <v>21.3-1-36</v>
      </c>
      <c r="G12" t="str">
        <f>SmtRes!K22</f>
        <v>Смеси бетонные, БСГ, тяжелого бетона на гранитном щебне фракция 20-40 для инженерных коммуникаций и дорог, класс прочности: В15 (М200); П1, F100, W2</v>
      </c>
      <c r="H12" t="str">
        <f>SmtRes!O22</f>
        <v>м3</v>
      </c>
      <c r="I12">
        <f>SmtRes!Y22*Source!I32</f>
        <v>16.52</v>
      </c>
      <c r="J12">
        <f>SmtRes!AO22</f>
        <v>1</v>
      </c>
      <c r="K12">
        <f>SmtRes!AE22</f>
        <v>5395.46</v>
      </c>
      <c r="L12">
        <f>SmtRes!DB22</f>
        <v>318.33</v>
      </c>
      <c r="M12">
        <f>ROUND(ROUND(L12*Source!I32, 6)*1, 2)</f>
        <v>89132.4</v>
      </c>
      <c r="N12">
        <f>SmtRes!AA22</f>
        <v>5395.46</v>
      </c>
      <c r="O12">
        <f>ROUND(ROUND(L12*Source!I32, 6)*SmtRes!DA22, 2)</f>
        <v>89132.4</v>
      </c>
      <c r="P12">
        <f>SmtRes!AG22</f>
        <v>0</v>
      </c>
      <c r="Q12">
        <f>SmtRes!DC22</f>
        <v>0</v>
      </c>
      <c r="R12">
        <f>ROUND(ROUND(Q12*Source!I32, 6)*1, 2)</f>
        <v>0</v>
      </c>
      <c r="S12">
        <f>SmtRes!AC22</f>
        <v>0</v>
      </c>
      <c r="T12">
        <f>ROUND(ROUND(Q12*Source!I32, 6)*SmtRes!AK22, 2)</f>
        <v>0</v>
      </c>
      <c r="U12">
        <v>3</v>
      </c>
      <c r="Y12">
        <f>SmtRes!X22</f>
        <v>-1883732354</v>
      </c>
      <c r="Z12">
        <v>1236093705</v>
      </c>
      <c r="AA12">
        <v>1236093705</v>
      </c>
    </row>
    <row r="13" spans="1:27" x14ac:dyDescent="0.2">
      <c r="A13">
        <v>20</v>
      </c>
      <c r="B13">
        <v>32</v>
      </c>
      <c r="C13">
        <v>3</v>
      </c>
      <c r="D13">
        <v>0</v>
      </c>
      <c r="E13">
        <f>SmtRes!AV32</f>
        <v>0</v>
      </c>
      <c r="F13" t="str">
        <f>SmtRes!I32</f>
        <v>21.3-2-15</v>
      </c>
      <c r="G13" t="str">
        <f>SmtRes!K32</f>
        <v>Растворы цементные, марка 100</v>
      </c>
      <c r="H13" t="str">
        <f>SmtRes!O32</f>
        <v>м3</v>
      </c>
      <c r="I13">
        <f>SmtRes!Y32*Source!I33</f>
        <v>0.11159999999999999</v>
      </c>
      <c r="J13">
        <f>SmtRes!AO32</f>
        <v>1</v>
      </c>
      <c r="K13">
        <f>SmtRes!AE32</f>
        <v>3977.01</v>
      </c>
      <c r="L13">
        <f>SmtRes!DB32</f>
        <v>2.39</v>
      </c>
      <c r="M13">
        <f>ROUND(ROUND(L13*Source!I33, 6)*1, 2)</f>
        <v>444.54</v>
      </c>
      <c r="N13">
        <f>SmtRes!AA32</f>
        <v>3977.01</v>
      </c>
      <c r="O13">
        <f>ROUND(ROUND(L13*Source!I33, 6)*SmtRes!DA32, 2)</f>
        <v>444.54</v>
      </c>
      <c r="P13">
        <f>SmtRes!AG32</f>
        <v>0</v>
      </c>
      <c r="Q13">
        <f>SmtRes!DC32</f>
        <v>0</v>
      </c>
      <c r="R13">
        <f>ROUND(ROUND(Q13*Source!I33, 6)*1, 2)</f>
        <v>0</v>
      </c>
      <c r="S13">
        <f>SmtRes!AC32</f>
        <v>0</v>
      </c>
      <c r="T13">
        <f>ROUND(ROUND(Q13*Source!I33, 6)*SmtRes!AK32, 2)</f>
        <v>0</v>
      </c>
      <c r="U13">
        <v>3</v>
      </c>
      <c r="Y13">
        <f>SmtRes!X32</f>
        <v>-656046760</v>
      </c>
      <c r="Z13">
        <v>873168382</v>
      </c>
      <c r="AA13">
        <v>873168382</v>
      </c>
    </row>
    <row r="14" spans="1:27" x14ac:dyDescent="0.2">
      <c r="A14">
        <v>20</v>
      </c>
      <c r="B14">
        <v>31</v>
      </c>
      <c r="C14">
        <v>3</v>
      </c>
      <c r="D14">
        <v>0</v>
      </c>
      <c r="E14">
        <f>SmtRes!AV31</f>
        <v>0</v>
      </c>
      <c r="F14" t="str">
        <f>SmtRes!I31</f>
        <v>21.3-1-65</v>
      </c>
      <c r="G14" t="str">
        <f>SmtRes!K31</f>
        <v>Смеси бетонные, БСГ, тяжелого бетона на гранитном щебне, класс прочности: В10 (М150); П3, фракция 5-20</v>
      </c>
      <c r="H14" t="str">
        <f>SmtRes!O31</f>
        <v>м3</v>
      </c>
      <c r="I14">
        <f>SmtRes!Y31*Source!I33</f>
        <v>21.39</v>
      </c>
      <c r="J14">
        <f>SmtRes!AO31</f>
        <v>1</v>
      </c>
      <c r="K14">
        <f>SmtRes!AE31</f>
        <v>4979.1400000000003</v>
      </c>
      <c r="L14">
        <f>SmtRes!DB31</f>
        <v>572.6</v>
      </c>
      <c r="M14">
        <f>ROUND(ROUND(L14*Source!I33, 6)*1, 2)</f>
        <v>106503.6</v>
      </c>
      <c r="N14">
        <f>SmtRes!AA31</f>
        <v>4979.1400000000003</v>
      </c>
      <c r="O14">
        <f>ROUND(ROUND(L14*Source!I33, 6)*SmtRes!DA31, 2)</f>
        <v>106503.6</v>
      </c>
      <c r="P14">
        <f>SmtRes!AG31</f>
        <v>0</v>
      </c>
      <c r="Q14">
        <f>SmtRes!DC31</f>
        <v>0</v>
      </c>
      <c r="R14">
        <f>ROUND(ROUND(Q14*Source!I33, 6)*1, 2)</f>
        <v>0</v>
      </c>
      <c r="S14">
        <f>SmtRes!AC31</f>
        <v>0</v>
      </c>
      <c r="T14">
        <f>ROUND(ROUND(Q14*Source!I33, 6)*SmtRes!AK31, 2)</f>
        <v>0</v>
      </c>
      <c r="U14">
        <v>3</v>
      </c>
      <c r="Y14">
        <f>SmtRes!X31</f>
        <v>-1781925086</v>
      </c>
      <c r="Z14">
        <v>2062470438</v>
      </c>
      <c r="AA14">
        <v>2062470438</v>
      </c>
    </row>
    <row r="15" spans="1:27" x14ac:dyDescent="0.2">
      <c r="A15">
        <v>20</v>
      </c>
      <c r="B15">
        <v>40</v>
      </c>
      <c r="C15">
        <v>3</v>
      </c>
      <c r="D15">
        <v>0</v>
      </c>
      <c r="E15">
        <f>SmtRes!AV40</f>
        <v>0</v>
      </c>
      <c r="F15" t="str">
        <f>SmtRes!I40</f>
        <v>21.1-25-13</v>
      </c>
      <c r="G15" t="str">
        <f>SmtRes!K40</f>
        <v>Вода</v>
      </c>
      <c r="H15" t="str">
        <f>SmtRes!O40</f>
        <v>м3</v>
      </c>
      <c r="I15">
        <f>SmtRes!Y40*Source!I34</f>
        <v>0.75</v>
      </c>
      <c r="J15">
        <f>SmtRes!AO40</f>
        <v>1</v>
      </c>
      <c r="K15">
        <f>SmtRes!AE40</f>
        <v>38.229999999999997</v>
      </c>
      <c r="L15">
        <f>SmtRes!DB40</f>
        <v>191.15</v>
      </c>
      <c r="M15">
        <f>ROUND(ROUND(L15*Source!I34, 6)*1, 2)</f>
        <v>28.67</v>
      </c>
      <c r="N15">
        <f>SmtRes!AA40</f>
        <v>38.229999999999997</v>
      </c>
      <c r="O15">
        <f>ROUND(ROUND(L15*Source!I34, 6)*SmtRes!DA40, 2)</f>
        <v>28.67</v>
      </c>
      <c r="P15">
        <f>SmtRes!AG40</f>
        <v>0</v>
      </c>
      <c r="Q15">
        <f>SmtRes!DC40</f>
        <v>0</v>
      </c>
      <c r="R15">
        <f>ROUND(ROUND(Q15*Source!I34, 6)*1, 2)</f>
        <v>0</v>
      </c>
      <c r="S15">
        <f>SmtRes!AC40</f>
        <v>0</v>
      </c>
      <c r="T15">
        <f>ROUND(ROUND(Q15*Source!I34, 6)*SmtRes!AK40, 2)</f>
        <v>0</v>
      </c>
      <c r="U15">
        <v>3</v>
      </c>
      <c r="Y15">
        <f>SmtRes!X40</f>
        <v>-504744613</v>
      </c>
      <c r="Z15">
        <v>-1084018561</v>
      </c>
      <c r="AA15">
        <v>-1084018561</v>
      </c>
    </row>
    <row r="16" spans="1:27" x14ac:dyDescent="0.2">
      <c r="A16">
        <v>20</v>
      </c>
      <c r="B16">
        <v>39</v>
      </c>
      <c r="C16">
        <v>3</v>
      </c>
      <c r="D16">
        <v>0</v>
      </c>
      <c r="E16">
        <f>SmtRes!AV39</f>
        <v>0</v>
      </c>
      <c r="F16" t="str">
        <f>SmtRes!I39</f>
        <v>21.1-12-10</v>
      </c>
      <c r="G16" t="str">
        <f>SmtRes!K39</f>
        <v>Песок для дорожных работ, рядовой</v>
      </c>
      <c r="H16" t="str">
        <f>SmtRes!O39</f>
        <v>м3</v>
      </c>
      <c r="I16">
        <f>SmtRes!Y39*Source!I34</f>
        <v>16.5</v>
      </c>
      <c r="J16">
        <f>SmtRes!AO39</f>
        <v>1</v>
      </c>
      <c r="K16">
        <f>SmtRes!AE39</f>
        <v>573.77</v>
      </c>
      <c r="L16">
        <f>SmtRes!DB39</f>
        <v>63114.7</v>
      </c>
      <c r="M16">
        <f>ROUND(ROUND(L16*Source!I34, 6)*1, 2)</f>
        <v>9467.2099999999991</v>
      </c>
      <c r="N16">
        <f>SmtRes!AA39</f>
        <v>573.77</v>
      </c>
      <c r="O16">
        <f>ROUND(ROUND(L16*Source!I34, 6)*SmtRes!DA39, 2)</f>
        <v>9467.2099999999991</v>
      </c>
      <c r="P16">
        <f>SmtRes!AG39</f>
        <v>0</v>
      </c>
      <c r="Q16">
        <f>SmtRes!DC39</f>
        <v>0</v>
      </c>
      <c r="R16">
        <f>ROUND(ROUND(Q16*Source!I34, 6)*1, 2)</f>
        <v>0</v>
      </c>
      <c r="S16">
        <f>SmtRes!AC39</f>
        <v>0</v>
      </c>
      <c r="T16">
        <f>ROUND(ROUND(Q16*Source!I34, 6)*SmtRes!AK39, 2)</f>
        <v>0</v>
      </c>
      <c r="U16">
        <v>3</v>
      </c>
      <c r="Y16">
        <f>SmtRes!X39</f>
        <v>-921262155</v>
      </c>
      <c r="Z16">
        <v>-1683128744</v>
      </c>
      <c r="AA16">
        <v>-1683128744</v>
      </c>
    </row>
    <row r="17" spans="1:27" x14ac:dyDescent="0.2">
      <c r="A17">
        <v>20</v>
      </c>
      <c r="B17">
        <v>49</v>
      </c>
      <c r="C17">
        <v>3</v>
      </c>
      <c r="D17">
        <v>0</v>
      </c>
      <c r="E17">
        <f>SmtRes!AV49</f>
        <v>0</v>
      </c>
      <c r="F17" t="str">
        <f>SmtRes!I49</f>
        <v>21.1-25-13</v>
      </c>
      <c r="G17" t="str">
        <f>SmtRes!K49</f>
        <v>Вода</v>
      </c>
      <c r="H17" t="str">
        <f>SmtRes!O49</f>
        <v>м3</v>
      </c>
      <c r="I17">
        <f>SmtRes!Y49*Source!I35</f>
        <v>13.58</v>
      </c>
      <c r="J17">
        <f>SmtRes!AO49</f>
        <v>1</v>
      </c>
      <c r="K17">
        <f>SmtRes!AE49</f>
        <v>38.229999999999997</v>
      </c>
      <c r="L17">
        <f>SmtRes!DB49</f>
        <v>267.61</v>
      </c>
      <c r="M17">
        <f>ROUND(ROUND(L17*Source!I35, 6)*1, 2)</f>
        <v>519.16</v>
      </c>
      <c r="N17">
        <f>SmtRes!AA49</f>
        <v>38.229999999999997</v>
      </c>
      <c r="O17">
        <f>ROUND(ROUND(L17*Source!I35, 6)*SmtRes!DA49, 2)</f>
        <v>519.16</v>
      </c>
      <c r="P17">
        <f>SmtRes!AG49</f>
        <v>0</v>
      </c>
      <c r="Q17">
        <f>SmtRes!DC49</f>
        <v>0</v>
      </c>
      <c r="R17">
        <f>ROUND(ROUND(Q17*Source!I35, 6)*1, 2)</f>
        <v>0</v>
      </c>
      <c r="S17">
        <f>SmtRes!AC49</f>
        <v>0</v>
      </c>
      <c r="T17">
        <f>ROUND(ROUND(Q17*Source!I35, 6)*SmtRes!AK49, 2)</f>
        <v>0</v>
      </c>
      <c r="U17">
        <v>3</v>
      </c>
      <c r="Y17">
        <f>SmtRes!X49</f>
        <v>-504744613</v>
      </c>
      <c r="Z17">
        <v>-1084018561</v>
      </c>
      <c r="AA17">
        <v>-1084018561</v>
      </c>
    </row>
    <row r="18" spans="1:27" x14ac:dyDescent="0.2">
      <c r="A18">
        <v>20</v>
      </c>
      <c r="B18">
        <v>48</v>
      </c>
      <c r="C18">
        <v>3</v>
      </c>
      <c r="D18">
        <v>0</v>
      </c>
      <c r="E18">
        <f>SmtRes!AV48</f>
        <v>0</v>
      </c>
      <c r="F18" t="str">
        <f>SmtRes!I48</f>
        <v>21.1-12-36</v>
      </c>
      <c r="G18" t="str">
        <f>SmtRes!K48</f>
        <v>Щебень из естественного камня для строительных работ, марка 1200-800, фракция 20-40 мм</v>
      </c>
      <c r="H18" t="str">
        <f>SmtRes!O48</f>
        <v>м3</v>
      </c>
      <c r="I18">
        <f>SmtRes!Y48*Source!I35</f>
        <v>244.44</v>
      </c>
      <c r="J18">
        <f>SmtRes!AO48</f>
        <v>1</v>
      </c>
      <c r="K18">
        <f>SmtRes!AE48</f>
        <v>2380</v>
      </c>
      <c r="L18">
        <f>SmtRes!DB48</f>
        <v>299880</v>
      </c>
      <c r="M18">
        <f>ROUND(ROUND(L18*Source!I35, 6)*1, 2)</f>
        <v>581767.19999999995</v>
      </c>
      <c r="N18">
        <f>SmtRes!AA48</f>
        <v>2380</v>
      </c>
      <c r="O18">
        <f>ROUND(ROUND(L18*Source!I35, 6)*SmtRes!DA48, 2)</f>
        <v>581767.19999999995</v>
      </c>
      <c r="P18">
        <f>SmtRes!AG48</f>
        <v>0</v>
      </c>
      <c r="Q18">
        <f>SmtRes!DC48</f>
        <v>0</v>
      </c>
      <c r="R18">
        <f>ROUND(ROUND(Q18*Source!I35, 6)*1, 2)</f>
        <v>0</v>
      </c>
      <c r="S18">
        <f>SmtRes!AC48</f>
        <v>0</v>
      </c>
      <c r="T18">
        <f>ROUND(ROUND(Q18*Source!I35, 6)*SmtRes!AK48, 2)</f>
        <v>0</v>
      </c>
      <c r="U18">
        <v>3</v>
      </c>
      <c r="Y18">
        <f>SmtRes!X48</f>
        <v>287222880</v>
      </c>
      <c r="Z18">
        <v>-1071813226</v>
      </c>
      <c r="AA18">
        <v>-1071813226</v>
      </c>
    </row>
    <row r="19" spans="1:27" x14ac:dyDescent="0.2">
      <c r="A19">
        <v>20</v>
      </c>
      <c r="B19">
        <v>55</v>
      </c>
      <c r="C19">
        <v>3</v>
      </c>
      <c r="D19">
        <v>0</v>
      </c>
      <c r="E19">
        <f>SmtRes!AV55</f>
        <v>0</v>
      </c>
      <c r="F19" t="str">
        <f>SmtRes!I55</f>
        <v>21.3-1-43</v>
      </c>
      <c r="G19" t="str">
        <f>SmtRes!K55</f>
        <v>Смеси бетонные, БСГ, тяжелого бетона на гранитном щебне фракция 5-20 для инженерных коммуникаций и дорог, класс прочности: В25 (М350); П3, F200, W8</v>
      </c>
      <c r="H19" t="str">
        <f>SmtRes!O55</f>
        <v>м3</v>
      </c>
      <c r="I19">
        <f>SmtRes!Y55*Source!I36</f>
        <v>5.39</v>
      </c>
      <c r="J19">
        <f>SmtRes!AO55</f>
        <v>1</v>
      </c>
      <c r="K19">
        <f>SmtRes!AE55</f>
        <v>5834.62</v>
      </c>
      <c r="L19">
        <f>SmtRes!DB55</f>
        <v>1429481.9</v>
      </c>
      <c r="M19">
        <f>ROUND(ROUND(L19*Source!I36, 6)*1, 2)</f>
        <v>31448.6</v>
      </c>
      <c r="N19">
        <f>SmtRes!AA55</f>
        <v>5834.62</v>
      </c>
      <c r="O19">
        <f>ROUND(ROUND(L19*Source!I36, 6)*SmtRes!DA55, 2)</f>
        <v>31448.6</v>
      </c>
      <c r="P19">
        <f>SmtRes!AG55</f>
        <v>0</v>
      </c>
      <c r="Q19">
        <f>SmtRes!DC55</f>
        <v>0</v>
      </c>
      <c r="R19">
        <f>ROUND(ROUND(Q19*Source!I36, 6)*1, 2)</f>
        <v>0</v>
      </c>
      <c r="S19">
        <f>SmtRes!AC55</f>
        <v>0</v>
      </c>
      <c r="T19">
        <f>ROUND(ROUND(Q19*Source!I36, 6)*SmtRes!AK55, 2)</f>
        <v>0</v>
      </c>
      <c r="U19">
        <v>3</v>
      </c>
      <c r="Y19">
        <f>SmtRes!X55</f>
        <v>696594300</v>
      </c>
      <c r="Z19">
        <v>234318750</v>
      </c>
      <c r="AA19">
        <v>234318750</v>
      </c>
    </row>
    <row r="20" spans="1:27" x14ac:dyDescent="0.2">
      <c r="A20">
        <v>20</v>
      </c>
      <c r="B20">
        <v>54</v>
      </c>
      <c r="C20">
        <v>3</v>
      </c>
      <c r="D20">
        <v>0</v>
      </c>
      <c r="E20">
        <f>SmtRes!AV54</f>
        <v>0</v>
      </c>
      <c r="F20" t="str">
        <f>SmtRes!I54</f>
        <v>21.1-6-209</v>
      </c>
      <c r="G20" t="str">
        <f>SmtRes!K54</f>
        <v>Материалы пленкообразующие для дорожных работ</v>
      </c>
      <c r="H20" t="str">
        <f>SmtRes!O54</f>
        <v>т</v>
      </c>
      <c r="I20">
        <f>SmtRes!Y54*Source!I36</f>
        <v>1.0999999999999999E-2</v>
      </c>
      <c r="J20">
        <f>SmtRes!AO54</f>
        <v>1</v>
      </c>
      <c r="K20">
        <f>SmtRes!AE54</f>
        <v>258044.69</v>
      </c>
      <c r="L20">
        <f>SmtRes!DB54</f>
        <v>129022.35</v>
      </c>
      <c r="M20">
        <f>ROUND(ROUND(L20*Source!I36, 6)*1, 2)</f>
        <v>2838.49</v>
      </c>
      <c r="N20">
        <f>SmtRes!AA54</f>
        <v>258044.69</v>
      </c>
      <c r="O20">
        <f>ROUND(ROUND(L20*Source!I36, 6)*SmtRes!DA54, 2)</f>
        <v>2838.49</v>
      </c>
      <c r="P20">
        <f>SmtRes!AG54</f>
        <v>0</v>
      </c>
      <c r="Q20">
        <f>SmtRes!DC54</f>
        <v>0</v>
      </c>
      <c r="R20">
        <f>ROUND(ROUND(Q20*Source!I36, 6)*1, 2)</f>
        <v>0</v>
      </c>
      <c r="S20">
        <f>SmtRes!AC54</f>
        <v>0</v>
      </c>
      <c r="T20">
        <f>ROUND(ROUND(Q20*Source!I36, 6)*SmtRes!AK54, 2)</f>
        <v>0</v>
      </c>
      <c r="U20">
        <v>3</v>
      </c>
      <c r="Y20">
        <f>SmtRes!X54</f>
        <v>76193607</v>
      </c>
      <c r="Z20">
        <v>-556657899</v>
      </c>
      <c r="AA20">
        <v>-556657899</v>
      </c>
    </row>
    <row r="21" spans="1:27" x14ac:dyDescent="0.2">
      <c r="A21">
        <f>Source!A37</f>
        <v>18</v>
      </c>
      <c r="B21">
        <v>37</v>
      </c>
      <c r="C21">
        <v>3</v>
      </c>
      <c r="D21">
        <f>Source!BI37</f>
        <v>4</v>
      </c>
      <c r="E21">
        <f>Source!FS37</f>
        <v>0</v>
      </c>
      <c r="F21" t="str">
        <f>Source!F37</f>
        <v>21.3-4-68</v>
      </c>
      <c r="G21" t="str">
        <f>Source!G37</f>
        <v>Каркасы и сетки арматурные плоские, собранные и сваренные (связанные) в арматурные изделия, класс ВР-I, диаметр 5 мм</v>
      </c>
      <c r="H21" t="str">
        <f>Source!H37</f>
        <v>т</v>
      </c>
      <c r="I21">
        <f>Source!I37</f>
        <v>0.10999999999999999</v>
      </c>
      <c r="J21">
        <v>1</v>
      </c>
      <c r="K21">
        <f>Source!AC37</f>
        <v>45378.52</v>
      </c>
      <c r="M21">
        <f>ROUND(K21*I21, 2)</f>
        <v>4991.6400000000003</v>
      </c>
      <c r="N21">
        <f>Source!AC37*IF(Source!BC37&lt;&gt; 0, Source!BC37, 1)</f>
        <v>45378.52</v>
      </c>
      <c r="O21">
        <f>ROUND(N21*I21, 2)</f>
        <v>4991.6400000000003</v>
      </c>
      <c r="P21">
        <f>Source!AE37</f>
        <v>0</v>
      </c>
      <c r="R21">
        <f>ROUND(P21*I21, 2)</f>
        <v>0</v>
      </c>
      <c r="S21">
        <f>Source!AE37*IF(Source!BS37&lt;&gt; 0, Source!BS37, 1)</f>
        <v>0</v>
      </c>
      <c r="T21">
        <f>ROUND(S21*I21, 2)</f>
        <v>0</v>
      </c>
      <c r="U21">
        <v>3</v>
      </c>
      <c r="Y21">
        <f>Source!GF37</f>
        <v>28246506</v>
      </c>
      <c r="Z21">
        <v>548520579</v>
      </c>
      <c r="AA21">
        <v>548520579</v>
      </c>
    </row>
    <row r="22" spans="1:27" x14ac:dyDescent="0.2">
      <c r="A22">
        <v>20</v>
      </c>
      <c r="B22">
        <v>60</v>
      </c>
      <c r="C22">
        <v>3</v>
      </c>
      <c r="D22">
        <v>0</v>
      </c>
      <c r="E22">
        <f>SmtRes!AV60</f>
        <v>0</v>
      </c>
      <c r="F22" t="str">
        <f>SmtRes!I60</f>
        <v>21.3-3-18</v>
      </c>
      <c r="G22" t="str">
        <f>SmtRes!K60</f>
        <v>Смеси асфальтобетонные дорожные горячие мелкозернистые, марка I, тип Б</v>
      </c>
      <c r="H22" t="str">
        <f>SmtRes!O60</f>
        <v>т</v>
      </c>
      <c r="I22">
        <f>SmtRes!Y60*Source!I38</f>
        <v>190.06720000000001</v>
      </c>
      <c r="J22">
        <f>SmtRes!AO60</f>
        <v>1</v>
      </c>
      <c r="K22">
        <f>SmtRes!AE60</f>
        <v>4087.58</v>
      </c>
      <c r="L22">
        <f>SmtRes!DB60</f>
        <v>39159.019999999997</v>
      </c>
      <c r="M22">
        <f>ROUND(ROUND(L22*Source!I38, 6)*1, 2)</f>
        <v>776914.96</v>
      </c>
      <c r="N22">
        <f>SmtRes!AA60</f>
        <v>4087.58</v>
      </c>
      <c r="O22">
        <f>ROUND(ROUND(L22*Source!I38, 6)*SmtRes!DA60, 2)</f>
        <v>776914.96</v>
      </c>
      <c r="P22">
        <f>SmtRes!AG60</f>
        <v>0</v>
      </c>
      <c r="Q22">
        <f>SmtRes!DC60</f>
        <v>0</v>
      </c>
      <c r="R22">
        <f>ROUND(ROUND(Q22*Source!I38, 6)*1, 2)</f>
        <v>0</v>
      </c>
      <c r="S22">
        <f>SmtRes!AC60</f>
        <v>0</v>
      </c>
      <c r="T22">
        <f>ROUND(ROUND(Q22*Source!I38, 6)*SmtRes!AK60, 2)</f>
        <v>0</v>
      </c>
      <c r="U22">
        <v>3</v>
      </c>
      <c r="Y22">
        <f>SmtRes!X60</f>
        <v>-63334633</v>
      </c>
      <c r="Z22">
        <v>-800513818</v>
      </c>
      <c r="AA22">
        <v>-800513818</v>
      </c>
    </row>
    <row r="23" spans="1:27" x14ac:dyDescent="0.2">
      <c r="A23">
        <v>20</v>
      </c>
      <c r="B23">
        <v>62</v>
      </c>
      <c r="C23">
        <v>3</v>
      </c>
      <c r="D23">
        <v>0</v>
      </c>
      <c r="E23">
        <f>SmtRes!AV62</f>
        <v>0</v>
      </c>
      <c r="F23" t="str">
        <f>SmtRes!I62</f>
        <v>21.3-3-3</v>
      </c>
      <c r="G23" t="str">
        <f>SmtRes!K62</f>
        <v>Асфальт литой для покрытий, марка ЛIV</v>
      </c>
      <c r="H23" t="str">
        <f>SmtRes!O62</f>
        <v>т</v>
      </c>
      <c r="I23">
        <f>SmtRes!Y62*Source!I39</f>
        <v>48.012799999999999</v>
      </c>
      <c r="J23">
        <f>SmtRes!AO62</f>
        <v>1</v>
      </c>
      <c r="K23">
        <f>SmtRes!AE62</f>
        <v>3812.18</v>
      </c>
      <c r="L23">
        <f>SmtRes!DB62</f>
        <v>9225.48</v>
      </c>
      <c r="M23">
        <f>ROUND(ROUND(L23*Source!I39, 6)*1, 2)</f>
        <v>183033.52</v>
      </c>
      <c r="N23">
        <f>SmtRes!AA62</f>
        <v>3812.18</v>
      </c>
      <c r="O23">
        <f>ROUND(ROUND(L23*Source!I39, 6)*SmtRes!DA62, 2)</f>
        <v>183033.52</v>
      </c>
      <c r="P23">
        <f>SmtRes!AG62</f>
        <v>0</v>
      </c>
      <c r="Q23">
        <f>SmtRes!DC62</f>
        <v>0</v>
      </c>
      <c r="R23">
        <f>ROUND(ROUND(Q23*Source!I39, 6)*1, 2)</f>
        <v>0</v>
      </c>
      <c r="S23">
        <f>SmtRes!AC62</f>
        <v>0</v>
      </c>
      <c r="T23">
        <f>ROUND(ROUND(Q23*Source!I39, 6)*SmtRes!AK62, 2)</f>
        <v>0</v>
      </c>
      <c r="U23">
        <v>3</v>
      </c>
      <c r="Y23">
        <f>SmtRes!X62</f>
        <v>-1645734391</v>
      </c>
      <c r="Z23">
        <v>785285588</v>
      </c>
      <c r="AA23">
        <v>785285588</v>
      </c>
    </row>
    <row r="24" spans="1:27" x14ac:dyDescent="0.2">
      <c r="A24">
        <f>Source!A71</f>
        <v>4</v>
      </c>
      <c r="B24">
        <v>71</v>
      </c>
      <c r="G24" t="str">
        <f>Source!G71</f>
        <v>Ремонт отмостки</v>
      </c>
    </row>
    <row r="25" spans="1:27" x14ac:dyDescent="0.2">
      <c r="A25">
        <v>20</v>
      </c>
      <c r="B25">
        <v>72</v>
      </c>
      <c r="C25">
        <v>3</v>
      </c>
      <c r="D25">
        <v>0</v>
      </c>
      <c r="E25">
        <f>SmtRes!AV72</f>
        <v>0</v>
      </c>
      <c r="F25" t="str">
        <f>SmtRes!I72</f>
        <v>21.5-3-13</v>
      </c>
      <c r="G25" t="str">
        <f>SmtRes!K72</f>
        <v>Камни бетонные бортовые, марка БР 100.30.15</v>
      </c>
      <c r="H25" t="str">
        <f>SmtRes!O72</f>
        <v>м3</v>
      </c>
      <c r="I25">
        <f>SmtRes!Y72*Source!I77</f>
        <v>6.1919999999999993</v>
      </c>
      <c r="J25">
        <f>SmtRes!AO72</f>
        <v>1</v>
      </c>
      <c r="K25">
        <f>SmtRes!AE72</f>
        <v>10729.4</v>
      </c>
      <c r="L25">
        <f>SmtRes!DB72</f>
        <v>46136.42</v>
      </c>
      <c r="M25">
        <f>ROUND(ROUND(L25*Source!I77, 6)*1, 2)</f>
        <v>66436.44</v>
      </c>
      <c r="N25">
        <f>SmtRes!AA72</f>
        <v>10729.4</v>
      </c>
      <c r="O25">
        <f>ROUND(ROUND(L25*Source!I77, 6)*SmtRes!DA72, 2)</f>
        <v>66436.44</v>
      </c>
      <c r="P25">
        <f>SmtRes!AG72</f>
        <v>0</v>
      </c>
      <c r="Q25">
        <f>SmtRes!DC72</f>
        <v>0</v>
      </c>
      <c r="R25">
        <f>ROUND(ROUND(Q25*Source!I77, 6)*1, 2)</f>
        <v>0</v>
      </c>
      <c r="S25">
        <f>SmtRes!AC72</f>
        <v>0</v>
      </c>
      <c r="T25">
        <f>ROUND(ROUND(Q25*Source!I77, 6)*SmtRes!AK72, 2)</f>
        <v>0</v>
      </c>
      <c r="U25">
        <v>3</v>
      </c>
      <c r="Y25">
        <f>SmtRes!X72</f>
        <v>1584935712</v>
      </c>
      <c r="Z25">
        <v>1125708068</v>
      </c>
      <c r="AA25">
        <v>1125708068</v>
      </c>
    </row>
    <row r="26" spans="1:27" x14ac:dyDescent="0.2">
      <c r="A26">
        <v>20</v>
      </c>
      <c r="B26">
        <v>71</v>
      </c>
      <c r="C26">
        <v>3</v>
      </c>
      <c r="D26">
        <v>0</v>
      </c>
      <c r="E26">
        <f>SmtRes!AV71</f>
        <v>0</v>
      </c>
      <c r="F26" t="str">
        <f>SmtRes!I71</f>
        <v>21.3-2-15</v>
      </c>
      <c r="G26" t="str">
        <f>SmtRes!K71</f>
        <v>Растворы цементные, марка 100</v>
      </c>
      <c r="H26" t="str">
        <f>SmtRes!O71</f>
        <v>м3</v>
      </c>
      <c r="I26">
        <f>SmtRes!Y71*Source!I77</f>
        <v>8.6399999999999991E-2</v>
      </c>
      <c r="J26">
        <f>SmtRes!AO71</f>
        <v>1</v>
      </c>
      <c r="K26">
        <f>SmtRes!AE71</f>
        <v>3977.01</v>
      </c>
      <c r="L26">
        <f>SmtRes!DB71</f>
        <v>238.62</v>
      </c>
      <c r="M26">
        <f>ROUND(ROUND(L26*Source!I77, 6)*1, 2)</f>
        <v>343.61</v>
      </c>
      <c r="N26">
        <f>SmtRes!AA71</f>
        <v>3977.01</v>
      </c>
      <c r="O26">
        <f>ROUND(ROUND(L26*Source!I77, 6)*SmtRes!DA71, 2)</f>
        <v>343.61</v>
      </c>
      <c r="P26">
        <f>SmtRes!AG71</f>
        <v>0</v>
      </c>
      <c r="Q26">
        <f>SmtRes!DC71</f>
        <v>0</v>
      </c>
      <c r="R26">
        <f>ROUND(ROUND(Q26*Source!I77, 6)*1, 2)</f>
        <v>0</v>
      </c>
      <c r="S26">
        <f>SmtRes!AC71</f>
        <v>0</v>
      </c>
      <c r="T26">
        <f>ROUND(ROUND(Q26*Source!I77, 6)*SmtRes!AK71, 2)</f>
        <v>0</v>
      </c>
      <c r="U26">
        <v>3</v>
      </c>
      <c r="Y26">
        <f>SmtRes!X71</f>
        <v>-656046760</v>
      </c>
      <c r="Z26">
        <v>873168382</v>
      </c>
      <c r="AA26">
        <v>873168382</v>
      </c>
    </row>
    <row r="27" spans="1:27" x14ac:dyDescent="0.2">
      <c r="A27">
        <v>20</v>
      </c>
      <c r="B27">
        <v>70</v>
      </c>
      <c r="C27">
        <v>3</v>
      </c>
      <c r="D27">
        <v>0</v>
      </c>
      <c r="E27">
        <f>SmtRes!AV70</f>
        <v>0</v>
      </c>
      <c r="F27" t="str">
        <f>SmtRes!I70</f>
        <v>21.3-1-69</v>
      </c>
      <c r="G27" t="str">
        <f>SmtRes!K70</f>
        <v>Смеси бетонные, БСГ, тяжелого бетона на гранитном щебне, класс прочности: В15 (М200); П3, фракция 5-20, F50-100, W0-2</v>
      </c>
      <c r="H27" t="str">
        <f>SmtRes!O70</f>
        <v>м3</v>
      </c>
      <c r="I27">
        <f>SmtRes!Y70*Source!I77</f>
        <v>5.6159999999999997</v>
      </c>
      <c r="J27">
        <f>SmtRes!AO70</f>
        <v>1</v>
      </c>
      <c r="K27">
        <f>SmtRes!AE70</f>
        <v>5443.46</v>
      </c>
      <c r="L27">
        <f>SmtRes!DB70</f>
        <v>21229.49</v>
      </c>
      <c r="M27">
        <f>ROUND(ROUND(L27*Source!I77, 6)*1, 2)</f>
        <v>30570.47</v>
      </c>
      <c r="N27">
        <f>SmtRes!AA70</f>
        <v>5443.46</v>
      </c>
      <c r="O27">
        <f>ROUND(ROUND(L27*Source!I77, 6)*SmtRes!DA70, 2)</f>
        <v>30570.47</v>
      </c>
      <c r="P27">
        <f>SmtRes!AG70</f>
        <v>0</v>
      </c>
      <c r="Q27">
        <f>SmtRes!DC70</f>
        <v>0</v>
      </c>
      <c r="R27">
        <f>ROUND(ROUND(Q27*Source!I77, 6)*1, 2)</f>
        <v>0</v>
      </c>
      <c r="S27">
        <f>SmtRes!AC70</f>
        <v>0</v>
      </c>
      <c r="T27">
        <f>ROUND(ROUND(Q27*Source!I77, 6)*SmtRes!AK70, 2)</f>
        <v>0</v>
      </c>
      <c r="U27">
        <v>3</v>
      </c>
      <c r="Y27">
        <f>SmtRes!X70</f>
        <v>-53335581</v>
      </c>
      <c r="Z27">
        <v>-526471385</v>
      </c>
      <c r="AA27">
        <v>-526471385</v>
      </c>
    </row>
    <row r="28" spans="1:27" x14ac:dyDescent="0.2">
      <c r="A28">
        <v>20</v>
      </c>
      <c r="B28">
        <v>80</v>
      </c>
      <c r="C28">
        <v>3</v>
      </c>
      <c r="D28">
        <v>0</v>
      </c>
      <c r="E28">
        <f>SmtRes!AV80</f>
        <v>0</v>
      </c>
      <c r="F28" t="str">
        <f>SmtRes!I80</f>
        <v>21.1-25-13</v>
      </c>
      <c r="G28" t="str">
        <f>SmtRes!K80</f>
        <v>Вода</v>
      </c>
      <c r="H28" t="str">
        <f>SmtRes!O80</f>
        <v>м3</v>
      </c>
      <c r="I28">
        <f>SmtRes!Y80*Source!I78</f>
        <v>0.36</v>
      </c>
      <c r="J28">
        <f>SmtRes!AO80</f>
        <v>1</v>
      </c>
      <c r="K28">
        <f>SmtRes!AE80</f>
        <v>38.229999999999997</v>
      </c>
      <c r="L28">
        <f>SmtRes!DB80</f>
        <v>191.15</v>
      </c>
      <c r="M28">
        <f>ROUND(ROUND(L28*Source!I78, 6)*1, 2)</f>
        <v>13.76</v>
      </c>
      <c r="N28">
        <f>SmtRes!AA80</f>
        <v>38.229999999999997</v>
      </c>
      <c r="O28">
        <f>ROUND(ROUND(L28*Source!I78, 6)*SmtRes!DA80, 2)</f>
        <v>13.76</v>
      </c>
      <c r="P28">
        <f>SmtRes!AG80</f>
        <v>0</v>
      </c>
      <c r="Q28">
        <f>SmtRes!DC80</f>
        <v>0</v>
      </c>
      <c r="R28">
        <f>ROUND(ROUND(Q28*Source!I78, 6)*1, 2)</f>
        <v>0</v>
      </c>
      <c r="S28">
        <f>SmtRes!AC80</f>
        <v>0</v>
      </c>
      <c r="T28">
        <f>ROUND(ROUND(Q28*Source!I78, 6)*SmtRes!AK80, 2)</f>
        <v>0</v>
      </c>
      <c r="U28">
        <v>3</v>
      </c>
      <c r="Y28">
        <f>SmtRes!X80</f>
        <v>-504744613</v>
      </c>
      <c r="Z28">
        <v>-1084018561</v>
      </c>
      <c r="AA28">
        <v>-1084018561</v>
      </c>
    </row>
    <row r="29" spans="1:27" x14ac:dyDescent="0.2">
      <c r="A29">
        <v>20</v>
      </c>
      <c r="B29">
        <v>79</v>
      </c>
      <c r="C29">
        <v>3</v>
      </c>
      <c r="D29">
        <v>0</v>
      </c>
      <c r="E29">
        <f>SmtRes!AV79</f>
        <v>0</v>
      </c>
      <c r="F29" t="str">
        <f>SmtRes!I79</f>
        <v>21.1-12-10</v>
      </c>
      <c r="G29" t="str">
        <f>SmtRes!K79</f>
        <v>Песок для дорожных работ, рядовой</v>
      </c>
      <c r="H29" t="str">
        <f>SmtRes!O79</f>
        <v>м3</v>
      </c>
      <c r="I29">
        <f>SmtRes!Y79*Source!I78</f>
        <v>7.919999999999999</v>
      </c>
      <c r="J29">
        <f>SmtRes!AO79</f>
        <v>1</v>
      </c>
      <c r="K29">
        <f>SmtRes!AE79</f>
        <v>573.77</v>
      </c>
      <c r="L29">
        <f>SmtRes!DB79</f>
        <v>63114.7</v>
      </c>
      <c r="M29">
        <f>ROUND(ROUND(L29*Source!I78, 6)*1, 2)</f>
        <v>4544.26</v>
      </c>
      <c r="N29">
        <f>SmtRes!AA79</f>
        <v>573.77</v>
      </c>
      <c r="O29">
        <f>ROUND(ROUND(L29*Source!I78, 6)*SmtRes!DA79, 2)</f>
        <v>4544.26</v>
      </c>
      <c r="P29">
        <f>SmtRes!AG79</f>
        <v>0</v>
      </c>
      <c r="Q29">
        <f>SmtRes!DC79</f>
        <v>0</v>
      </c>
      <c r="R29">
        <f>ROUND(ROUND(Q29*Source!I78, 6)*1, 2)</f>
        <v>0</v>
      </c>
      <c r="S29">
        <f>SmtRes!AC79</f>
        <v>0</v>
      </c>
      <c r="T29">
        <f>ROUND(ROUND(Q29*Source!I78, 6)*SmtRes!AK79, 2)</f>
        <v>0</v>
      </c>
      <c r="U29">
        <v>3</v>
      </c>
      <c r="Y29">
        <f>SmtRes!X79</f>
        <v>-921262155</v>
      </c>
      <c r="Z29">
        <v>-1683128744</v>
      </c>
      <c r="AA29">
        <v>-1683128744</v>
      </c>
    </row>
    <row r="30" spans="1:27" x14ac:dyDescent="0.2">
      <c r="A30">
        <v>20</v>
      </c>
      <c r="B30">
        <v>89</v>
      </c>
      <c r="C30">
        <v>3</v>
      </c>
      <c r="D30">
        <v>0</v>
      </c>
      <c r="E30">
        <f>SmtRes!AV89</f>
        <v>0</v>
      </c>
      <c r="F30" t="str">
        <f>SmtRes!I89</f>
        <v>21.1-25-13</v>
      </c>
      <c r="G30" t="str">
        <f>SmtRes!K89</f>
        <v>Вода</v>
      </c>
      <c r="H30" t="str">
        <f>SmtRes!O89</f>
        <v>м3</v>
      </c>
      <c r="I30">
        <f>SmtRes!Y89*Source!I79</f>
        <v>1.008</v>
      </c>
      <c r="J30">
        <f>SmtRes!AO89</f>
        <v>1</v>
      </c>
      <c r="K30">
        <f>SmtRes!AE89</f>
        <v>38.229999999999997</v>
      </c>
      <c r="L30">
        <f>SmtRes!DB89</f>
        <v>267.61</v>
      </c>
      <c r="M30">
        <f>ROUND(ROUND(L30*Source!I79, 6)*1, 2)</f>
        <v>38.54</v>
      </c>
      <c r="N30">
        <f>SmtRes!AA89</f>
        <v>38.229999999999997</v>
      </c>
      <c r="O30">
        <f>ROUND(ROUND(L30*Source!I79, 6)*SmtRes!DA89, 2)</f>
        <v>38.54</v>
      </c>
      <c r="P30">
        <f>SmtRes!AG89</f>
        <v>0</v>
      </c>
      <c r="Q30">
        <f>SmtRes!DC89</f>
        <v>0</v>
      </c>
      <c r="R30">
        <f>ROUND(ROUND(Q30*Source!I79, 6)*1, 2)</f>
        <v>0</v>
      </c>
      <c r="S30">
        <f>SmtRes!AC89</f>
        <v>0</v>
      </c>
      <c r="T30">
        <f>ROUND(ROUND(Q30*Source!I79, 6)*SmtRes!AK89, 2)</f>
        <v>0</v>
      </c>
      <c r="U30">
        <v>3</v>
      </c>
      <c r="Y30">
        <f>SmtRes!X89</f>
        <v>-504744613</v>
      </c>
      <c r="Z30">
        <v>-1084018561</v>
      </c>
      <c r="AA30">
        <v>-1084018561</v>
      </c>
    </row>
    <row r="31" spans="1:27" x14ac:dyDescent="0.2">
      <c r="A31">
        <v>20</v>
      </c>
      <c r="B31">
        <v>88</v>
      </c>
      <c r="C31">
        <v>3</v>
      </c>
      <c r="D31">
        <v>0</v>
      </c>
      <c r="E31">
        <f>SmtRes!AV88</f>
        <v>0</v>
      </c>
      <c r="F31" t="str">
        <f>SmtRes!I88</f>
        <v>21.1-12-36</v>
      </c>
      <c r="G31" t="str">
        <f>SmtRes!K88</f>
        <v>Щебень из естественного камня для строительных работ, марка 1200-800, фракция 20-40 мм</v>
      </c>
      <c r="H31" t="str">
        <f>SmtRes!O88</f>
        <v>м3</v>
      </c>
      <c r="I31">
        <f>SmtRes!Y88*Source!I79</f>
        <v>18.143999999999998</v>
      </c>
      <c r="J31">
        <f>SmtRes!AO88</f>
        <v>1</v>
      </c>
      <c r="K31">
        <f>SmtRes!AE88</f>
        <v>2380</v>
      </c>
      <c r="L31">
        <f>SmtRes!DB88</f>
        <v>299880</v>
      </c>
      <c r="M31">
        <f>ROUND(ROUND(L31*Source!I79, 6)*1, 2)</f>
        <v>43182.720000000001</v>
      </c>
      <c r="N31">
        <f>SmtRes!AA88</f>
        <v>2380</v>
      </c>
      <c r="O31">
        <f>ROUND(ROUND(L31*Source!I79, 6)*SmtRes!DA88, 2)</f>
        <v>43182.720000000001</v>
      </c>
      <c r="P31">
        <f>SmtRes!AG88</f>
        <v>0</v>
      </c>
      <c r="Q31">
        <f>SmtRes!DC88</f>
        <v>0</v>
      </c>
      <c r="R31">
        <f>ROUND(ROUND(Q31*Source!I79, 6)*1, 2)</f>
        <v>0</v>
      </c>
      <c r="S31">
        <f>SmtRes!AC88</f>
        <v>0</v>
      </c>
      <c r="T31">
        <f>ROUND(ROUND(Q31*Source!I79, 6)*SmtRes!AK88, 2)</f>
        <v>0</v>
      </c>
      <c r="U31">
        <v>3</v>
      </c>
      <c r="Y31">
        <f>SmtRes!X88</f>
        <v>287222880</v>
      </c>
      <c r="Z31">
        <v>-1071813226</v>
      </c>
      <c r="AA31">
        <v>-1071813226</v>
      </c>
    </row>
    <row r="32" spans="1:27" x14ac:dyDescent="0.2">
      <c r="A32">
        <f>Source!A81</f>
        <v>18</v>
      </c>
      <c r="B32">
        <v>81</v>
      </c>
      <c r="C32">
        <v>3</v>
      </c>
      <c r="D32">
        <f>Source!BI81</f>
        <v>4</v>
      </c>
      <c r="E32">
        <f>Source!FS81</f>
        <v>0</v>
      </c>
      <c r="F32" t="str">
        <f>Source!F81</f>
        <v>21.3-4-68</v>
      </c>
      <c r="G32" t="str">
        <f>Source!G81</f>
        <v>Каркасы и сетки арматурные плоские, собранные и сваренные (связанные) в арматурные изделия, класс ВР-I, диаметр 5 мм</v>
      </c>
      <c r="H32" t="str">
        <f>Source!H81</f>
        <v>т</v>
      </c>
      <c r="I32">
        <f>Source!I81</f>
        <v>7.1999999999999995E-2</v>
      </c>
      <c r="J32">
        <v>1</v>
      </c>
      <c r="K32">
        <f>Source!AC81</f>
        <v>45378.52</v>
      </c>
      <c r="M32">
        <f>ROUND(K32*I32, 2)</f>
        <v>3267.25</v>
      </c>
      <c r="N32">
        <f>Source!AC81*IF(Source!BC81&lt;&gt; 0, Source!BC81, 1)</f>
        <v>45378.52</v>
      </c>
      <c r="O32">
        <f>ROUND(N32*I32, 2)</f>
        <v>3267.25</v>
      </c>
      <c r="P32">
        <f>Source!AE81</f>
        <v>0</v>
      </c>
      <c r="R32">
        <f>ROUND(P32*I32, 2)</f>
        <v>0</v>
      </c>
      <c r="S32">
        <f>Source!AE81*IF(Source!BS81&lt;&gt; 0, Source!BS81, 1)</f>
        <v>0</v>
      </c>
      <c r="T32">
        <f>ROUND(S32*I32, 2)</f>
        <v>0</v>
      </c>
      <c r="U32">
        <v>3</v>
      </c>
      <c r="Y32">
        <f>Source!GF81</f>
        <v>28246506</v>
      </c>
      <c r="Z32">
        <v>548520579</v>
      </c>
      <c r="AA32">
        <v>548520579</v>
      </c>
    </row>
    <row r="33" spans="1:27" x14ac:dyDescent="0.2">
      <c r="A33">
        <v>20</v>
      </c>
      <c r="B33">
        <v>96</v>
      </c>
      <c r="C33">
        <v>3</v>
      </c>
      <c r="D33">
        <v>0</v>
      </c>
      <c r="E33">
        <f>SmtRes!AV96</f>
        <v>0</v>
      </c>
      <c r="F33" t="str">
        <f>SmtRes!I96</f>
        <v>21.3-1-64</v>
      </c>
      <c r="G33" t="str">
        <f>SmtRes!K96</f>
        <v>Смеси бетонные, БСГ, тяжелого бетона на гранитном щебне, класс прочности: В7,5 (М100); П3, фракция 5-20</v>
      </c>
      <c r="H33" t="str">
        <f>SmtRes!O96</f>
        <v>м3</v>
      </c>
      <c r="I33">
        <f>SmtRes!Y96*Source!I82</f>
        <v>16.1568</v>
      </c>
      <c r="J33">
        <f>SmtRes!AO96</f>
        <v>1</v>
      </c>
      <c r="K33">
        <f>SmtRes!AE96</f>
        <v>3284.47</v>
      </c>
      <c r="L33">
        <f>SmtRes!DB96</f>
        <v>335015.94</v>
      </c>
      <c r="M33">
        <f>ROUND(ROUND(L33*Source!I82, 6)*1, 2)</f>
        <v>53066.52</v>
      </c>
      <c r="N33">
        <f>SmtRes!AA96</f>
        <v>3284.47</v>
      </c>
      <c r="O33">
        <f>ROUND(ROUND(L33*Source!I82, 6)*SmtRes!DA96, 2)</f>
        <v>53066.52</v>
      </c>
      <c r="P33">
        <f>SmtRes!AG96</f>
        <v>0</v>
      </c>
      <c r="Q33">
        <f>SmtRes!DC96</f>
        <v>0</v>
      </c>
      <c r="R33">
        <f>ROUND(ROUND(Q33*Source!I82, 6)*1, 2)</f>
        <v>0</v>
      </c>
      <c r="S33">
        <f>SmtRes!AC96</f>
        <v>0</v>
      </c>
      <c r="T33">
        <f>ROUND(ROUND(Q33*Source!I82, 6)*SmtRes!AK96, 2)</f>
        <v>0</v>
      </c>
      <c r="U33">
        <v>3</v>
      </c>
      <c r="Y33">
        <f>SmtRes!X96</f>
        <v>-463276619</v>
      </c>
      <c r="Z33">
        <v>-1917585005</v>
      </c>
      <c r="AA33">
        <v>-1917585005</v>
      </c>
    </row>
    <row r="34" spans="1:27" x14ac:dyDescent="0.2">
      <c r="A34">
        <v>20</v>
      </c>
      <c r="B34">
        <v>95</v>
      </c>
      <c r="C34">
        <v>3</v>
      </c>
      <c r="D34">
        <v>0</v>
      </c>
      <c r="E34">
        <f>SmtRes!AV95</f>
        <v>0</v>
      </c>
      <c r="F34" t="str">
        <f>SmtRes!I95</f>
        <v>21.1-25-13</v>
      </c>
      <c r="G34" t="str">
        <f>SmtRes!K95</f>
        <v>Вода</v>
      </c>
      <c r="H34" t="str">
        <f>SmtRes!O95</f>
        <v>м3</v>
      </c>
      <c r="I34">
        <f>SmtRes!Y95*Source!I82</f>
        <v>0.2772</v>
      </c>
      <c r="J34">
        <f>SmtRes!AO95</f>
        <v>1</v>
      </c>
      <c r="K34">
        <f>SmtRes!AE95</f>
        <v>38.229999999999997</v>
      </c>
      <c r="L34">
        <f>SmtRes!DB95</f>
        <v>66.900000000000006</v>
      </c>
      <c r="M34">
        <f>ROUND(ROUND(L34*Source!I82, 6)*1, 2)</f>
        <v>10.6</v>
      </c>
      <c r="N34">
        <f>SmtRes!AA95</f>
        <v>38.229999999999997</v>
      </c>
      <c r="O34">
        <f>ROUND(ROUND(L34*Source!I82, 6)*SmtRes!DA95, 2)</f>
        <v>10.6</v>
      </c>
      <c r="P34">
        <f>SmtRes!AG95</f>
        <v>0</v>
      </c>
      <c r="Q34">
        <f>SmtRes!DC95</f>
        <v>0</v>
      </c>
      <c r="R34">
        <f>ROUND(ROUND(Q34*Source!I82, 6)*1, 2)</f>
        <v>0</v>
      </c>
      <c r="S34">
        <f>SmtRes!AC95</f>
        <v>0</v>
      </c>
      <c r="T34">
        <f>ROUND(ROUND(Q34*Source!I82, 6)*SmtRes!AK95, 2)</f>
        <v>0</v>
      </c>
      <c r="U34">
        <v>3</v>
      </c>
      <c r="Y34">
        <f>SmtRes!X95</f>
        <v>-504744613</v>
      </c>
      <c r="Z34">
        <v>-1084018561</v>
      </c>
      <c r="AA34">
        <v>-1084018561</v>
      </c>
    </row>
    <row r="35" spans="1:27" x14ac:dyDescent="0.2">
      <c r="A35">
        <v>20</v>
      </c>
      <c r="B35">
        <v>94</v>
      </c>
      <c r="C35">
        <v>3</v>
      </c>
      <c r="D35">
        <v>0</v>
      </c>
      <c r="E35">
        <f>SmtRes!AV94</f>
        <v>0</v>
      </c>
      <c r="F35" t="str">
        <f>SmtRes!I94</f>
        <v>21.1-20-17</v>
      </c>
      <c r="G35" t="str">
        <f>SmtRes!K94</f>
        <v>Мешковина</v>
      </c>
      <c r="H35" t="str">
        <f>SmtRes!O94</f>
        <v>м2</v>
      </c>
      <c r="I35">
        <f>SmtRes!Y94*Source!I82</f>
        <v>39.6</v>
      </c>
      <c r="J35">
        <f>SmtRes!AO94</f>
        <v>1</v>
      </c>
      <c r="K35">
        <f>SmtRes!AE94</f>
        <v>137</v>
      </c>
      <c r="L35">
        <f>SmtRes!DB94</f>
        <v>34250</v>
      </c>
      <c r="M35">
        <f>ROUND(ROUND(L35*Source!I82, 6)*1, 2)</f>
        <v>5425.2</v>
      </c>
      <c r="N35">
        <f>SmtRes!AA94</f>
        <v>137</v>
      </c>
      <c r="O35">
        <f>ROUND(ROUND(L35*Source!I82, 6)*SmtRes!DA94, 2)</f>
        <v>5425.2</v>
      </c>
      <c r="P35">
        <f>SmtRes!AG94</f>
        <v>0</v>
      </c>
      <c r="Q35">
        <f>SmtRes!DC94</f>
        <v>0</v>
      </c>
      <c r="R35">
        <f>ROUND(ROUND(Q35*Source!I82, 6)*1, 2)</f>
        <v>0</v>
      </c>
      <c r="S35">
        <f>SmtRes!AC94</f>
        <v>0</v>
      </c>
      <c r="T35">
        <f>ROUND(ROUND(Q35*Source!I82, 6)*SmtRes!AK94, 2)</f>
        <v>0</v>
      </c>
      <c r="U35">
        <v>3</v>
      </c>
      <c r="Y35">
        <f>SmtRes!X94</f>
        <v>1073228038</v>
      </c>
      <c r="Z35">
        <v>1961841357</v>
      </c>
      <c r="AA35">
        <v>1961841357</v>
      </c>
    </row>
    <row r="36" spans="1:27" x14ac:dyDescent="0.2">
      <c r="A36">
        <v>20</v>
      </c>
      <c r="B36">
        <v>100</v>
      </c>
      <c r="C36">
        <v>3</v>
      </c>
      <c r="D36">
        <v>0</v>
      </c>
      <c r="E36">
        <f>SmtRes!AV100</f>
        <v>0</v>
      </c>
      <c r="F36" t="str">
        <f>SmtRes!I100</f>
        <v>21.3-3-18</v>
      </c>
      <c r="G36" t="str">
        <f>SmtRes!K100</f>
        <v>Смеси асфальтобетонные дорожные горячие мелкозернистые, марка I, тип Б</v>
      </c>
      <c r="H36" t="str">
        <f>SmtRes!O100</f>
        <v>т</v>
      </c>
      <c r="I36">
        <f>SmtRes!Y100*Source!I83</f>
        <v>13.795199999999999</v>
      </c>
      <c r="J36">
        <f>SmtRes!AO100</f>
        <v>1</v>
      </c>
      <c r="K36">
        <f>SmtRes!AE100</f>
        <v>4087.58</v>
      </c>
      <c r="L36">
        <f>SmtRes!DB100</f>
        <v>39159.019999999997</v>
      </c>
      <c r="M36">
        <f>ROUND(ROUND(L36*Source!I83, 6)*1, 2)</f>
        <v>56388.99</v>
      </c>
      <c r="N36">
        <f>SmtRes!AA100</f>
        <v>4087.58</v>
      </c>
      <c r="O36">
        <f>ROUND(ROUND(L36*Source!I83, 6)*SmtRes!DA100, 2)</f>
        <v>56388.99</v>
      </c>
      <c r="P36">
        <f>SmtRes!AG100</f>
        <v>0</v>
      </c>
      <c r="Q36">
        <f>SmtRes!DC100</f>
        <v>0</v>
      </c>
      <c r="R36">
        <f>ROUND(ROUND(Q36*Source!I83, 6)*1, 2)</f>
        <v>0</v>
      </c>
      <c r="S36">
        <f>SmtRes!AC100</f>
        <v>0</v>
      </c>
      <c r="T36">
        <f>ROUND(ROUND(Q36*Source!I83, 6)*SmtRes!AK100, 2)</f>
        <v>0</v>
      </c>
      <c r="U36">
        <v>3</v>
      </c>
      <c r="Y36">
        <f>SmtRes!X100</f>
        <v>-63334633</v>
      </c>
      <c r="Z36">
        <v>-800513818</v>
      </c>
      <c r="AA36">
        <v>-800513818</v>
      </c>
    </row>
    <row r="37" spans="1:27" x14ac:dyDescent="0.2">
      <c r="A37">
        <f>Source!A115</f>
        <v>4</v>
      </c>
      <c r="B37">
        <v>115</v>
      </c>
      <c r="G37" t="str">
        <f>Source!G115</f>
        <v>Прочее</v>
      </c>
    </row>
    <row r="38" spans="1:27" x14ac:dyDescent="0.2">
      <c r="A38">
        <f>Source!A156</f>
        <v>4</v>
      </c>
      <c r="B38">
        <v>156</v>
      </c>
      <c r="G38" t="str">
        <f>Source!G156</f>
        <v>Вывоз грунта</v>
      </c>
    </row>
    <row r="39" spans="1:27" x14ac:dyDescent="0.2">
      <c r="A39">
        <f>Source!A193</f>
        <v>4</v>
      </c>
      <c r="B39">
        <v>193</v>
      </c>
      <c r="G39" t="str">
        <f>Source!G193</f>
        <v>Мусор</v>
      </c>
    </row>
    <row r="40" spans="1:27" x14ac:dyDescent="0.2">
      <c r="A40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1"/>
  <sheetViews>
    <sheetView workbookViewId="0"/>
  </sheetViews>
  <sheetFormatPr defaultRowHeight="12.75" x14ac:dyDescent="0.2"/>
  <cols>
    <col min="1" max="1" width="18.7109375" customWidth="1"/>
    <col min="2" max="2" width="40.7109375" customWidth="1"/>
    <col min="3" max="6" width="12.7109375" customWidth="1"/>
    <col min="35" max="35" width="54.28515625" hidden="1" customWidth="1"/>
    <col min="36" max="38" width="0" hidden="1" customWidth="1"/>
  </cols>
  <sheetData>
    <row r="2" spans="1:37" ht="16.5" x14ac:dyDescent="0.2">
      <c r="A2" s="70" t="str">
        <f>CONCATENATE( "Основание: ЛС №", Source!L20)</f>
        <v>Основание: ЛС №</v>
      </c>
      <c r="B2" s="70"/>
      <c r="C2" s="70"/>
      <c r="D2" s="70"/>
      <c r="E2" s="70"/>
      <c r="F2" s="70"/>
    </row>
    <row r="3" spans="1:37" ht="16.5" x14ac:dyDescent="0.2">
      <c r="A3" s="71" t="s">
        <v>422</v>
      </c>
      <c r="B3" s="72"/>
      <c r="C3" s="72"/>
      <c r="D3" s="72"/>
      <c r="E3" s="72"/>
      <c r="F3" s="72"/>
    </row>
    <row r="4" spans="1:37" ht="33" x14ac:dyDescent="0.2">
      <c r="A4" s="71" t="str">
        <f>CONCATENATE("Объект: ",IF(Source!G263&lt;&gt;"Новый объект", Source!G263, ""))</f>
        <v>Объект: по адресу г. Москва, Ул. Авиаторов, д.28.</v>
      </c>
      <c r="B4" s="72"/>
      <c r="C4" s="72"/>
      <c r="D4" s="72"/>
      <c r="E4" s="72"/>
      <c r="F4" s="72"/>
      <c r="AI4" s="33" t="s">
        <v>423</v>
      </c>
    </row>
    <row r="5" spans="1:37" x14ac:dyDescent="0.2">
      <c r="A5" s="61" t="s">
        <v>424</v>
      </c>
      <c r="B5" s="61" t="s">
        <v>425</v>
      </c>
      <c r="C5" s="61" t="s">
        <v>357</v>
      </c>
      <c r="D5" s="61" t="s">
        <v>426</v>
      </c>
      <c r="E5" s="74" t="s">
        <v>427</v>
      </c>
      <c r="F5" s="75"/>
    </row>
    <row r="6" spans="1:37" x14ac:dyDescent="0.2">
      <c r="A6" s="62"/>
      <c r="B6" s="62"/>
      <c r="C6" s="62"/>
      <c r="D6" s="62"/>
      <c r="E6" s="76"/>
      <c r="F6" s="77"/>
    </row>
    <row r="7" spans="1:37" ht="14.25" x14ac:dyDescent="0.2">
      <c r="A7" s="73"/>
      <c r="B7" s="73"/>
      <c r="C7" s="73"/>
      <c r="D7" s="73"/>
      <c r="E7" s="19" t="s">
        <v>428</v>
      </c>
      <c r="F7" s="19" t="s">
        <v>429</v>
      </c>
    </row>
    <row r="8" spans="1:37" ht="14.25" x14ac:dyDescent="0.2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</row>
    <row r="9" spans="1:37" ht="16.5" x14ac:dyDescent="0.2">
      <c r="A9" s="71" t="str">
        <f>CONCATENATE("Локальная смета: ",IF(Source!G22&lt;&gt;"Новая локальная смета", Source!G22, ""))</f>
        <v>Локальная смета: ГБОУ Школа №1542</v>
      </c>
      <c r="B9" s="72"/>
      <c r="C9" s="72"/>
      <c r="D9" s="72"/>
      <c r="E9" s="72"/>
      <c r="F9" s="72"/>
    </row>
    <row r="10" spans="1:37" ht="16.5" x14ac:dyDescent="0.2">
      <c r="A10" s="71" t="str">
        <f>CONCATENATE("Раздел: ",IF(Source!G26&lt;&gt;"Новый раздел", Source!G26, ""))</f>
        <v>Раздел: Ремонт дорожек и тротуаров</v>
      </c>
      <c r="B10" s="72"/>
      <c r="C10" s="72"/>
      <c r="D10" s="72"/>
      <c r="E10" s="72"/>
      <c r="F10" s="72"/>
    </row>
    <row r="11" spans="1:37" ht="14.25" x14ac:dyDescent="0.2">
      <c r="A11" s="78" t="s">
        <v>430</v>
      </c>
      <c r="B11" s="79"/>
      <c r="C11" s="79"/>
      <c r="D11" s="79"/>
      <c r="E11" s="79"/>
      <c r="F11" s="79"/>
    </row>
    <row r="12" spans="1:37" ht="14.25" x14ac:dyDescent="0.2">
      <c r="A12" s="35" t="s">
        <v>275</v>
      </c>
      <c r="B12" s="36" t="s">
        <v>277</v>
      </c>
      <c r="C12" s="36" t="s">
        <v>179</v>
      </c>
      <c r="D12" s="37">
        <f>ROUND(SUMIF(RV_DATA!Z8:'RV_DATA'!Z23, -1683128744, RV_DATA!I8:'RV_DATA'!I23), 6)</f>
        <v>16.5</v>
      </c>
      <c r="E12" s="38">
        <f>ROUND(RV_DATA!K16, 6)</f>
        <v>573.77</v>
      </c>
      <c r="F12" s="38">
        <f>ROUND(SUMIF(RV_DATA!Z8:'RV_DATA'!Z23, -1683128744, RV_DATA!M8:'RV_DATA'!M23), 6)</f>
        <v>9467.2099999999991</v>
      </c>
      <c r="AK12">
        <v>3</v>
      </c>
    </row>
    <row r="13" spans="1:37" ht="42.75" x14ac:dyDescent="0.2">
      <c r="A13" s="35" t="s">
        <v>284</v>
      </c>
      <c r="B13" s="36" t="s">
        <v>286</v>
      </c>
      <c r="C13" s="36" t="s">
        <v>179</v>
      </c>
      <c r="D13" s="37">
        <f>ROUND(SUMIF(RV_DATA!Z8:'RV_DATA'!Z23, -1071813226, RV_DATA!I8:'RV_DATA'!I23), 6)</f>
        <v>244.44</v>
      </c>
      <c r="E13" s="38">
        <f>ROUND(RV_DATA!K18, 6)</f>
        <v>2380</v>
      </c>
      <c r="F13" s="38">
        <f>ROUND(SUMIF(RV_DATA!Z8:'RV_DATA'!Z23, -1071813226, RV_DATA!M8:'RV_DATA'!M23), 6)</f>
        <v>581767.19999999995</v>
      </c>
      <c r="AK13">
        <v>3</v>
      </c>
    </row>
    <row r="14" spans="1:37" ht="14.25" x14ac:dyDescent="0.2">
      <c r="A14" s="35" t="s">
        <v>203</v>
      </c>
      <c r="B14" s="36" t="s">
        <v>205</v>
      </c>
      <c r="C14" s="36" t="s">
        <v>179</v>
      </c>
      <c r="D14" s="37">
        <f>ROUND(SUMIF(RV_DATA!Z8:'RV_DATA'!Z23, -1084018561, RV_DATA!I8:'RV_DATA'!I23), 6)</f>
        <v>16.950800000000001</v>
      </c>
      <c r="E14" s="38">
        <f>ROUND(RV_DATA!K9, 6)</f>
        <v>38.229999999999997</v>
      </c>
      <c r="F14" s="38">
        <f>ROUND(SUMIF(RV_DATA!Z8:'RV_DATA'!Z23, -1084018561, RV_DATA!M8:'RV_DATA'!M23), 6)</f>
        <v>646.11</v>
      </c>
      <c r="AK14">
        <v>3</v>
      </c>
    </row>
    <row r="15" spans="1:37" ht="14.25" x14ac:dyDescent="0.2">
      <c r="A15" s="35" t="s">
        <v>206</v>
      </c>
      <c r="B15" s="36" t="s">
        <v>208</v>
      </c>
      <c r="C15" s="36" t="s">
        <v>209</v>
      </c>
      <c r="D15" s="37">
        <f>ROUND(SUMIF(RV_DATA!Z8:'RV_DATA'!Z23, -11446357, RV_DATA!I8:'RV_DATA'!I23), 6)</f>
        <v>57.33</v>
      </c>
      <c r="E15" s="38">
        <f>ROUND(RV_DATA!K8, 6)</f>
        <v>335.91</v>
      </c>
      <c r="F15" s="38">
        <f>ROUND(SUMIF(RV_DATA!Z8:'RV_DATA'!Z23, -11446357, RV_DATA!M8:'RV_DATA'!M23), 6)</f>
        <v>19254.689999999999</v>
      </c>
      <c r="AK15">
        <v>3</v>
      </c>
    </row>
    <row r="16" spans="1:37" ht="28.5" x14ac:dyDescent="0.2">
      <c r="A16" s="35" t="s">
        <v>296</v>
      </c>
      <c r="B16" s="36" t="s">
        <v>298</v>
      </c>
      <c r="C16" s="36" t="s">
        <v>63</v>
      </c>
      <c r="D16" s="37">
        <f>ROUND(SUMIF(RV_DATA!Z8:'RV_DATA'!Z23, -556657899, RV_DATA!I8:'RV_DATA'!I23), 6)</f>
        <v>1.0999999999999999E-2</v>
      </c>
      <c r="E16" s="38">
        <f>ROUND(RV_DATA!K20, 6)</f>
        <v>258044.69</v>
      </c>
      <c r="F16" s="38">
        <f>ROUND(SUMIF(RV_DATA!Z8:'RV_DATA'!Z23, -556657899, RV_DATA!M8:'RV_DATA'!M23), 6)</f>
        <v>2838.49</v>
      </c>
      <c r="AK16">
        <v>3</v>
      </c>
    </row>
    <row r="17" spans="1:37" ht="71.25" x14ac:dyDescent="0.2">
      <c r="A17" s="35" t="s">
        <v>240</v>
      </c>
      <c r="B17" s="36" t="s">
        <v>242</v>
      </c>
      <c r="C17" s="36" t="s">
        <v>179</v>
      </c>
      <c r="D17" s="37">
        <f>ROUND(SUMIF(RV_DATA!Z8:'RV_DATA'!Z23, 1236093705, RV_DATA!I8:'RV_DATA'!I23), 6)</f>
        <v>16.52</v>
      </c>
      <c r="E17" s="38">
        <f>ROUND(RV_DATA!K12, 6)</f>
        <v>5395.46</v>
      </c>
      <c r="F17" s="38">
        <f>ROUND(SUMIF(RV_DATA!Z8:'RV_DATA'!Z23, 1236093705, RV_DATA!M8:'RV_DATA'!M23), 6)</f>
        <v>89132.4</v>
      </c>
      <c r="AK17">
        <v>3</v>
      </c>
    </row>
    <row r="18" spans="1:37" ht="71.25" x14ac:dyDescent="0.2">
      <c r="A18" s="35" t="s">
        <v>299</v>
      </c>
      <c r="B18" s="36" t="s">
        <v>301</v>
      </c>
      <c r="C18" s="36" t="s">
        <v>179</v>
      </c>
      <c r="D18" s="37">
        <f>ROUND(SUMIF(RV_DATA!Z8:'RV_DATA'!Z23, 234318750, RV_DATA!I8:'RV_DATA'!I23), 6)</f>
        <v>5.39</v>
      </c>
      <c r="E18" s="38">
        <f>ROUND(RV_DATA!K19, 6)</f>
        <v>5834.62</v>
      </c>
      <c r="F18" s="38">
        <f>ROUND(SUMIF(RV_DATA!Z8:'RV_DATA'!Z23, 234318750, RV_DATA!M8:'RV_DATA'!M23), 6)</f>
        <v>31448.6</v>
      </c>
      <c r="AK18">
        <v>3</v>
      </c>
    </row>
    <row r="19" spans="1:37" ht="57" x14ac:dyDescent="0.2">
      <c r="A19" s="35" t="s">
        <v>260</v>
      </c>
      <c r="B19" s="36" t="s">
        <v>262</v>
      </c>
      <c r="C19" s="36" t="s">
        <v>179</v>
      </c>
      <c r="D19" s="37">
        <f>ROUND(SUMIF(RV_DATA!Z8:'RV_DATA'!Z23, 2062470438, RV_DATA!I8:'RV_DATA'!I23), 6)</f>
        <v>21.39</v>
      </c>
      <c r="E19" s="38">
        <f>ROUND(RV_DATA!K14, 6)</f>
        <v>4979.1400000000003</v>
      </c>
      <c r="F19" s="38">
        <f>ROUND(SUMIF(RV_DATA!Z8:'RV_DATA'!Z23, 2062470438, RV_DATA!M8:'RV_DATA'!M23), 6)</f>
        <v>106503.6</v>
      </c>
      <c r="AK19">
        <v>3</v>
      </c>
    </row>
    <row r="20" spans="1:37" ht="14.25" x14ac:dyDescent="0.2">
      <c r="A20" s="35" t="s">
        <v>243</v>
      </c>
      <c r="B20" s="36" t="s">
        <v>245</v>
      </c>
      <c r="C20" s="36" t="s">
        <v>179</v>
      </c>
      <c r="D20" s="37">
        <f>ROUND(SUMIF(RV_DATA!Z8:'RV_DATA'!Z23, 873168382, RV_DATA!I8:'RV_DATA'!I23), 6)</f>
        <v>0.27960000000000002</v>
      </c>
      <c r="E20" s="38">
        <f>ROUND(RV_DATA!K11, 6)</f>
        <v>3977.01</v>
      </c>
      <c r="F20" s="38">
        <f>ROUND(SUMIF(RV_DATA!Z8:'RV_DATA'!Z23, 873168382, RV_DATA!M8:'RV_DATA'!M23), 6)</f>
        <v>1113.74</v>
      </c>
      <c r="AK20">
        <v>3</v>
      </c>
    </row>
    <row r="21" spans="1:37" ht="42.75" x14ac:dyDescent="0.2">
      <c r="A21" s="35" t="s">
        <v>308</v>
      </c>
      <c r="B21" s="36" t="s">
        <v>310</v>
      </c>
      <c r="C21" s="36" t="s">
        <v>63</v>
      </c>
      <c r="D21" s="37">
        <f>ROUND(SUMIF(RV_DATA!Z8:'RV_DATA'!Z23, -800513818, RV_DATA!I8:'RV_DATA'!I23), 6)</f>
        <v>190.06720000000001</v>
      </c>
      <c r="E21" s="38">
        <f>ROUND(RV_DATA!K22, 6)</f>
        <v>4087.58</v>
      </c>
      <c r="F21" s="38">
        <f>ROUND(SUMIF(RV_DATA!Z8:'RV_DATA'!Z23, -800513818, RV_DATA!M8:'RV_DATA'!M23), 6)</f>
        <v>776914.96</v>
      </c>
      <c r="AK21">
        <v>3</v>
      </c>
    </row>
    <row r="22" spans="1:37" ht="28.5" x14ac:dyDescent="0.2">
      <c r="A22" s="35" t="s">
        <v>311</v>
      </c>
      <c r="B22" s="36" t="s">
        <v>313</v>
      </c>
      <c r="C22" s="36" t="s">
        <v>63</v>
      </c>
      <c r="D22" s="37">
        <f>ROUND(SUMIF(RV_DATA!Z8:'RV_DATA'!Z23, 785285588, RV_DATA!I8:'RV_DATA'!I23), 6)</f>
        <v>48.012799999999999</v>
      </c>
      <c r="E22" s="38">
        <f>ROUND(RV_DATA!K23, 6)</f>
        <v>3812.18</v>
      </c>
      <c r="F22" s="38">
        <f>ROUND(SUMIF(RV_DATA!Z8:'RV_DATA'!Z23, 785285588, RV_DATA!M8:'RV_DATA'!M23), 6)</f>
        <v>183033.52</v>
      </c>
      <c r="AK22">
        <v>3</v>
      </c>
    </row>
    <row r="23" spans="1:37" ht="57" x14ac:dyDescent="0.2">
      <c r="A23" s="35" t="s">
        <v>61</v>
      </c>
      <c r="B23" s="36" t="s">
        <v>62</v>
      </c>
      <c r="C23" s="36" t="s">
        <v>63</v>
      </c>
      <c r="D23" s="37">
        <f>ROUND(SUMIF(RV_DATA!Z8:'RV_DATA'!Z23, 548520579, RV_DATA!I8:'RV_DATA'!I23), 6)</f>
        <v>0.11</v>
      </c>
      <c r="E23" s="38">
        <f>ROUND(RV_DATA!K21, 6)</f>
        <v>45378.52</v>
      </c>
      <c r="F23" s="38">
        <f>ROUND(SUMIF(RV_DATA!Z8:'RV_DATA'!Z23, 548520579, RV_DATA!M8:'RV_DATA'!M23), 6)</f>
        <v>4991.6400000000003</v>
      </c>
      <c r="AK23">
        <v>3</v>
      </c>
    </row>
    <row r="24" spans="1:37" ht="28.5" x14ac:dyDescent="0.2">
      <c r="A24" s="35" t="s">
        <v>246</v>
      </c>
      <c r="B24" s="36" t="s">
        <v>248</v>
      </c>
      <c r="C24" s="36" t="s">
        <v>179</v>
      </c>
      <c r="D24" s="37">
        <f>ROUND(SUMIF(RV_DATA!Z8:'RV_DATA'!Z23, 1125708068, RV_DATA!I8:'RV_DATA'!I23), 6)</f>
        <v>12.208</v>
      </c>
      <c r="E24" s="38">
        <f>ROUND(RV_DATA!K10, 6)</f>
        <v>10729.4</v>
      </c>
      <c r="F24" s="38">
        <f>ROUND(SUMIF(RV_DATA!Z8:'RV_DATA'!Z23, 1125708068, RV_DATA!M8:'RV_DATA'!M23), 6)</f>
        <v>130984</v>
      </c>
      <c r="AK24">
        <v>3</v>
      </c>
    </row>
    <row r="25" spans="1:37" ht="15" x14ac:dyDescent="0.25">
      <c r="A25" s="80" t="s">
        <v>431</v>
      </c>
      <c r="B25" s="80"/>
      <c r="C25" s="80"/>
      <c r="D25" s="80"/>
      <c r="E25" s="81">
        <f>SUMIF(AK12:AK24, 3, F12:F24)</f>
        <v>1938096.1599999997</v>
      </c>
      <c r="F25" s="81"/>
    </row>
    <row r="26" spans="1:37" ht="16.5" x14ac:dyDescent="0.2">
      <c r="A26" s="71" t="str">
        <f>CONCATENATE("Раздел: ",IF(Source!G73&lt;&gt;"Новый раздел", Source!G73, ""))</f>
        <v>Раздел: Ремонт отмостки</v>
      </c>
      <c r="B26" s="72"/>
      <c r="C26" s="72"/>
      <c r="D26" s="72"/>
      <c r="E26" s="72"/>
      <c r="F26" s="72"/>
    </row>
    <row r="27" spans="1:37" ht="14.25" x14ac:dyDescent="0.2">
      <c r="A27" s="78" t="s">
        <v>430</v>
      </c>
      <c r="B27" s="79"/>
      <c r="C27" s="79"/>
      <c r="D27" s="79"/>
      <c r="E27" s="79"/>
      <c r="F27" s="79"/>
    </row>
    <row r="28" spans="1:37" ht="14.25" x14ac:dyDescent="0.2">
      <c r="A28" s="35" t="s">
        <v>275</v>
      </c>
      <c r="B28" s="36" t="s">
        <v>277</v>
      </c>
      <c r="C28" s="36" t="s">
        <v>179</v>
      </c>
      <c r="D28" s="37">
        <f>ROUND(SUMIF(RV_DATA!Z25:'RV_DATA'!Z36, -1683128744, RV_DATA!I25:'RV_DATA'!I36), 6)</f>
        <v>7.92</v>
      </c>
      <c r="E28" s="38">
        <f>ROUND(RV_DATA!K29, 6)</f>
        <v>573.77</v>
      </c>
      <c r="F28" s="38">
        <f>ROUND(SUMIF(RV_DATA!Z25:'RV_DATA'!Z36, -1683128744, RV_DATA!M25:'RV_DATA'!M36), 6)</f>
        <v>4544.26</v>
      </c>
      <c r="AK28">
        <v>3</v>
      </c>
    </row>
    <row r="29" spans="1:37" ht="42.75" x14ac:dyDescent="0.2">
      <c r="A29" s="35" t="s">
        <v>284</v>
      </c>
      <c r="B29" s="36" t="s">
        <v>286</v>
      </c>
      <c r="C29" s="36" t="s">
        <v>179</v>
      </c>
      <c r="D29" s="37">
        <f>ROUND(SUMIF(RV_DATA!Z25:'RV_DATA'!Z36, -1071813226, RV_DATA!I25:'RV_DATA'!I36), 6)</f>
        <v>18.143999999999998</v>
      </c>
      <c r="E29" s="38">
        <f>ROUND(RV_DATA!K31, 6)</f>
        <v>2380</v>
      </c>
      <c r="F29" s="38">
        <f>ROUND(SUMIF(RV_DATA!Z25:'RV_DATA'!Z36, -1071813226, RV_DATA!M25:'RV_DATA'!M36), 6)</f>
        <v>43182.720000000001</v>
      </c>
      <c r="AK29">
        <v>3</v>
      </c>
    </row>
    <row r="30" spans="1:37" ht="14.25" x14ac:dyDescent="0.2">
      <c r="A30" s="35" t="s">
        <v>323</v>
      </c>
      <c r="B30" s="36" t="s">
        <v>325</v>
      </c>
      <c r="C30" s="36" t="s">
        <v>19</v>
      </c>
      <c r="D30" s="37">
        <f>ROUND(SUMIF(RV_DATA!Z25:'RV_DATA'!Z36, 1961841357, RV_DATA!I25:'RV_DATA'!I36), 6)</f>
        <v>39.6</v>
      </c>
      <c r="E30" s="38">
        <f>ROUND(RV_DATA!K35, 6)</f>
        <v>137</v>
      </c>
      <c r="F30" s="38">
        <f>ROUND(SUMIF(RV_DATA!Z25:'RV_DATA'!Z36, 1961841357, RV_DATA!M25:'RV_DATA'!M36), 6)</f>
        <v>5425.2</v>
      </c>
      <c r="AK30">
        <v>3</v>
      </c>
    </row>
    <row r="31" spans="1:37" ht="14.25" x14ac:dyDescent="0.2">
      <c r="A31" s="35" t="s">
        <v>203</v>
      </c>
      <c r="B31" s="36" t="s">
        <v>205</v>
      </c>
      <c r="C31" s="36" t="s">
        <v>179</v>
      </c>
      <c r="D31" s="37">
        <f>ROUND(SUMIF(RV_DATA!Z25:'RV_DATA'!Z36, -1084018561, RV_DATA!I25:'RV_DATA'!I36), 6)</f>
        <v>1.6452</v>
      </c>
      <c r="E31" s="38">
        <f>ROUND(RV_DATA!K28, 6)</f>
        <v>38.229999999999997</v>
      </c>
      <c r="F31" s="38">
        <f>ROUND(SUMIF(RV_DATA!Z25:'RV_DATA'!Z36, -1084018561, RV_DATA!M25:'RV_DATA'!M36), 6)</f>
        <v>62.9</v>
      </c>
      <c r="AK31">
        <v>3</v>
      </c>
    </row>
    <row r="32" spans="1:37" ht="57" x14ac:dyDescent="0.2">
      <c r="A32" s="35" t="s">
        <v>326</v>
      </c>
      <c r="B32" s="36" t="s">
        <v>328</v>
      </c>
      <c r="C32" s="36" t="s">
        <v>179</v>
      </c>
      <c r="D32" s="37">
        <f>ROUND(SUMIF(RV_DATA!Z25:'RV_DATA'!Z36, -1917585005, RV_DATA!I25:'RV_DATA'!I36), 6)</f>
        <v>16.1568</v>
      </c>
      <c r="E32" s="38">
        <f>ROUND(RV_DATA!K33, 6)</f>
        <v>3284.47</v>
      </c>
      <c r="F32" s="38">
        <f>ROUND(SUMIF(RV_DATA!Z25:'RV_DATA'!Z36, -1917585005, RV_DATA!M25:'RV_DATA'!M36), 6)</f>
        <v>53066.52</v>
      </c>
      <c r="AK32">
        <v>3</v>
      </c>
    </row>
    <row r="33" spans="1:37" ht="57" x14ac:dyDescent="0.2">
      <c r="A33" s="35" t="s">
        <v>317</v>
      </c>
      <c r="B33" s="36" t="s">
        <v>319</v>
      </c>
      <c r="C33" s="36" t="s">
        <v>179</v>
      </c>
      <c r="D33" s="37">
        <f>ROUND(SUMIF(RV_DATA!Z25:'RV_DATA'!Z36, -526471385, RV_DATA!I25:'RV_DATA'!I36), 6)</f>
        <v>5.6159999999999997</v>
      </c>
      <c r="E33" s="38">
        <f>ROUND(RV_DATA!K27, 6)</f>
        <v>5443.46</v>
      </c>
      <c r="F33" s="38">
        <f>ROUND(SUMIF(RV_DATA!Z25:'RV_DATA'!Z36, -526471385, RV_DATA!M25:'RV_DATA'!M36), 6)</f>
        <v>30570.47</v>
      </c>
      <c r="AK33">
        <v>3</v>
      </c>
    </row>
    <row r="34" spans="1:37" ht="14.25" x14ac:dyDescent="0.2">
      <c r="A34" s="35" t="s">
        <v>243</v>
      </c>
      <c r="B34" s="36" t="s">
        <v>245</v>
      </c>
      <c r="C34" s="36" t="s">
        <v>179</v>
      </c>
      <c r="D34" s="37">
        <f>ROUND(SUMIF(RV_DATA!Z25:'RV_DATA'!Z36, 873168382, RV_DATA!I25:'RV_DATA'!I36), 6)</f>
        <v>8.6400000000000005E-2</v>
      </c>
      <c r="E34" s="38">
        <f>ROUND(RV_DATA!K26, 6)</f>
        <v>3977.01</v>
      </c>
      <c r="F34" s="38">
        <f>ROUND(SUMIF(RV_DATA!Z25:'RV_DATA'!Z36, 873168382, RV_DATA!M25:'RV_DATA'!M36), 6)</f>
        <v>343.61</v>
      </c>
      <c r="AK34">
        <v>3</v>
      </c>
    </row>
    <row r="35" spans="1:37" ht="42.75" x14ac:dyDescent="0.2">
      <c r="A35" s="35" t="s">
        <v>308</v>
      </c>
      <c r="B35" s="36" t="s">
        <v>310</v>
      </c>
      <c r="C35" s="36" t="s">
        <v>63</v>
      </c>
      <c r="D35" s="37">
        <f>ROUND(SUMIF(RV_DATA!Z25:'RV_DATA'!Z36, -800513818, RV_DATA!I25:'RV_DATA'!I36), 6)</f>
        <v>13.795199999999999</v>
      </c>
      <c r="E35" s="38">
        <f>ROUND(RV_DATA!K36, 6)</f>
        <v>4087.58</v>
      </c>
      <c r="F35" s="38">
        <f>ROUND(SUMIF(RV_DATA!Z25:'RV_DATA'!Z36, -800513818, RV_DATA!M25:'RV_DATA'!M36), 6)</f>
        <v>56388.99</v>
      </c>
      <c r="AK35">
        <v>3</v>
      </c>
    </row>
    <row r="36" spans="1:37" ht="57" x14ac:dyDescent="0.2">
      <c r="A36" s="35" t="s">
        <v>61</v>
      </c>
      <c r="B36" s="36" t="s">
        <v>62</v>
      </c>
      <c r="C36" s="36" t="s">
        <v>63</v>
      </c>
      <c r="D36" s="37">
        <f>ROUND(SUMIF(RV_DATA!Z25:'RV_DATA'!Z36, 548520579, RV_DATA!I25:'RV_DATA'!I36), 6)</f>
        <v>7.1999999999999995E-2</v>
      </c>
      <c r="E36" s="38">
        <f>ROUND(RV_DATA!K32, 6)</f>
        <v>45378.52</v>
      </c>
      <c r="F36" s="38">
        <f>ROUND(SUMIF(RV_DATA!Z25:'RV_DATA'!Z36, 548520579, RV_DATA!M25:'RV_DATA'!M36), 6)</f>
        <v>3267.25</v>
      </c>
      <c r="AK36">
        <v>3</v>
      </c>
    </row>
    <row r="37" spans="1:37" ht="28.5" x14ac:dyDescent="0.2">
      <c r="A37" s="35" t="s">
        <v>246</v>
      </c>
      <c r="B37" s="36" t="s">
        <v>248</v>
      </c>
      <c r="C37" s="36" t="s">
        <v>179</v>
      </c>
      <c r="D37" s="37">
        <f>ROUND(SUMIF(RV_DATA!Z25:'RV_DATA'!Z36, 1125708068, RV_DATA!I25:'RV_DATA'!I36), 6)</f>
        <v>6.1920000000000002</v>
      </c>
      <c r="E37" s="38">
        <f>ROUND(RV_DATA!K25, 6)</f>
        <v>10729.4</v>
      </c>
      <c r="F37" s="38">
        <f>ROUND(SUMIF(RV_DATA!Z25:'RV_DATA'!Z36, 1125708068, RV_DATA!M25:'RV_DATA'!M36), 6)</f>
        <v>66436.44</v>
      </c>
      <c r="AK37">
        <v>3</v>
      </c>
    </row>
    <row r="38" spans="1:37" ht="15" x14ac:dyDescent="0.25">
      <c r="A38" s="80" t="s">
        <v>431</v>
      </c>
      <c r="B38" s="80"/>
      <c r="C38" s="80"/>
      <c r="D38" s="80"/>
      <c r="E38" s="81">
        <f>SUMIF(AK28:AK37, 3, F28:F37)</f>
        <v>263288.36</v>
      </c>
      <c r="F38" s="81"/>
    </row>
    <row r="39" spans="1:37" ht="16.5" x14ac:dyDescent="0.2">
      <c r="A39" s="71" t="str">
        <f>CONCATENATE("Раздел: ",IF(Source!G117&lt;&gt;"Новый раздел", Source!G117, ""))</f>
        <v>Раздел: Прочее</v>
      </c>
      <c r="B39" s="72"/>
      <c r="C39" s="72"/>
      <c r="D39" s="72"/>
      <c r="E39" s="72"/>
      <c r="F39" s="72"/>
    </row>
    <row r="40" spans="1:37" ht="16.5" x14ac:dyDescent="0.2">
      <c r="A40" s="71" t="str">
        <f>CONCATENATE("Раздел: ",IF(Source!G158&lt;&gt;"Новый раздел", Source!G158, ""))</f>
        <v>Раздел: Вывоз грунта</v>
      </c>
      <c r="B40" s="72"/>
      <c r="C40" s="72"/>
      <c r="D40" s="72"/>
      <c r="E40" s="72"/>
      <c r="F40" s="72"/>
    </row>
    <row r="41" spans="1:37" ht="16.5" x14ac:dyDescent="0.2">
      <c r="A41" s="71" t="str">
        <f>CONCATENATE("Раздел: ",IF(Source!G195&lt;&gt;"Новый раздел", Source!G195, ""))</f>
        <v>Раздел: Мусор</v>
      </c>
      <c r="B41" s="72"/>
      <c r="C41" s="72"/>
      <c r="D41" s="72"/>
      <c r="E41" s="72"/>
      <c r="F41" s="72"/>
    </row>
  </sheetData>
  <sortState ref="A28:AL37">
    <sortCondition ref="A28"/>
  </sortState>
  <mergeCells count="20">
    <mergeCell ref="A41:F41"/>
    <mergeCell ref="A9:F9"/>
    <mergeCell ref="A10:F10"/>
    <mergeCell ref="A11:F11"/>
    <mergeCell ref="A25:D25"/>
    <mergeCell ref="E25:F25"/>
    <mergeCell ref="A26:F26"/>
    <mergeCell ref="A27:F27"/>
    <mergeCell ref="A38:D38"/>
    <mergeCell ref="E38:F38"/>
    <mergeCell ref="A39:F39"/>
    <mergeCell ref="A40:F40"/>
    <mergeCell ref="A2:F2"/>
    <mergeCell ref="A3:F3"/>
    <mergeCell ref="A4:F4"/>
    <mergeCell ref="A5:A7"/>
    <mergeCell ref="B5:B7"/>
    <mergeCell ref="C5:C7"/>
    <mergeCell ref="D5:D7"/>
    <mergeCell ref="E5:F6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2" width="0" hidden="1" customWidth="1"/>
  </cols>
  <sheetData>
    <row r="1" spans="1:5" x14ac:dyDescent="0.2">
      <c r="A1" s="8" t="str">
        <f>Source!B1</f>
        <v>Smeta.RU  (495) 974-1589</v>
      </c>
    </row>
    <row r="2" spans="1:5" ht="14.25" x14ac:dyDescent="0.2">
      <c r="C2" s="10"/>
      <c r="D2" s="10"/>
    </row>
    <row r="3" spans="1:5" ht="15" x14ac:dyDescent="0.25">
      <c r="C3" s="10"/>
      <c r="D3" s="26" t="s">
        <v>342</v>
      </c>
    </row>
    <row r="4" spans="1:5" ht="15" x14ac:dyDescent="0.25">
      <c r="C4" s="26"/>
      <c r="D4" s="26"/>
    </row>
    <row r="5" spans="1:5" ht="15" x14ac:dyDescent="0.25">
      <c r="C5" s="83" t="s">
        <v>432</v>
      </c>
      <c r="D5" s="83"/>
    </row>
    <row r="6" spans="1:5" ht="15" x14ac:dyDescent="0.25">
      <c r="C6" s="39"/>
      <c r="D6" s="39"/>
    </row>
    <row r="7" spans="1:5" ht="15" x14ac:dyDescent="0.25">
      <c r="C7" s="83" t="s">
        <v>432</v>
      </c>
      <c r="D7" s="83"/>
    </row>
    <row r="8" spans="1:5" ht="15" x14ac:dyDescent="0.25">
      <c r="C8" s="39"/>
      <c r="D8" s="39"/>
    </row>
    <row r="9" spans="1:5" ht="15" x14ac:dyDescent="0.25">
      <c r="C9" s="26" t="s">
        <v>433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84" t="str">
        <f>CONCATENATE("Дефектный акт ", IF(Source!AN15&lt;&gt;"", Source!AN15," "))</f>
        <v xml:space="preserve">Дефектный акт  </v>
      </c>
      <c r="B11" s="84"/>
      <c r="C11" s="84"/>
      <c r="D11" s="84"/>
      <c r="E11" s="10"/>
    </row>
    <row r="12" spans="1:5" ht="15" x14ac:dyDescent="0.25">
      <c r="A12" s="85" t="str">
        <f>CONCATENATE("На капитальный ремонт ", Source!G12)</f>
        <v>На капитальный ремонт по адресу г. Москва, Ул. Авиаторов, д.28.</v>
      </c>
      <c r="B12" s="85"/>
      <c r="C12" s="85"/>
      <c r="D12" s="85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40" t="s">
        <v>434</v>
      </c>
      <c r="C14" s="10"/>
      <c r="D14" s="10"/>
      <c r="E14" s="10"/>
    </row>
    <row r="15" spans="1:5" ht="15" x14ac:dyDescent="0.2">
      <c r="A15" s="10"/>
      <c r="B15" s="40" t="s">
        <v>435</v>
      </c>
      <c r="C15" s="10"/>
      <c r="D15" s="10"/>
      <c r="E15" s="10"/>
    </row>
    <row r="16" spans="1:5" ht="15" x14ac:dyDescent="0.2">
      <c r="A16" s="10"/>
      <c r="B16" s="40" t="s">
        <v>436</v>
      </c>
      <c r="C16" s="10"/>
      <c r="D16" s="10"/>
      <c r="E16" s="10"/>
    </row>
    <row r="17" spans="1:5" ht="28.5" x14ac:dyDescent="0.2">
      <c r="A17" s="19" t="s">
        <v>437</v>
      </c>
      <c r="B17" s="19" t="s">
        <v>356</v>
      </c>
      <c r="C17" s="19" t="s">
        <v>357</v>
      </c>
      <c r="D17" s="19" t="s">
        <v>438</v>
      </c>
      <c r="E17" s="41" t="s">
        <v>439</v>
      </c>
    </row>
    <row r="18" spans="1:5" ht="14.25" x14ac:dyDescent="0.2">
      <c r="A18" s="42">
        <v>1</v>
      </c>
      <c r="B18" s="42">
        <v>2</v>
      </c>
      <c r="C18" s="42">
        <v>3</v>
      </c>
      <c r="D18" s="42">
        <v>4</v>
      </c>
      <c r="E18" s="43">
        <v>5</v>
      </c>
    </row>
    <row r="19" spans="1:5" ht="16.5" x14ac:dyDescent="0.25">
      <c r="A19" s="82" t="str">
        <f>CONCATENATE("Локальная смета: ", Source!G20)</f>
        <v>Локальная смета: ГБОУ Школа №1542</v>
      </c>
      <c r="B19" s="82"/>
      <c r="C19" s="82"/>
      <c r="D19" s="82"/>
      <c r="E19" s="82"/>
    </row>
    <row r="20" spans="1:5" ht="16.5" x14ac:dyDescent="0.25">
      <c r="A20" s="82" t="str">
        <f>CONCATENATE("Раздел: ", Source!G24)</f>
        <v>Раздел: Ремонт дорожек и тротуаров</v>
      </c>
      <c r="B20" s="82"/>
      <c r="C20" s="82"/>
      <c r="D20" s="82"/>
      <c r="E20" s="82"/>
    </row>
    <row r="21" spans="1:5" ht="42.75" x14ac:dyDescent="0.2">
      <c r="A21" s="45">
        <v>1</v>
      </c>
      <c r="B21" s="46" t="str">
        <f>Source!G28</f>
        <v>Срезка поверхностного слоя асфальтобетонных дорожных покрытий методом холодного фрезерования, при ширине барабана фрезы 1000 мм и толщине слоя 5 см</v>
      </c>
      <c r="C21" s="47" t="str">
        <f>Source!H28</f>
        <v>м2</v>
      </c>
      <c r="D21" s="48">
        <f>Source!I28</f>
        <v>819</v>
      </c>
      <c r="E21" s="46"/>
    </row>
    <row r="22" spans="1:5" ht="14.25" x14ac:dyDescent="0.2">
      <c r="A22" s="45">
        <v>2</v>
      </c>
      <c r="B22" s="46" t="str">
        <f>Source!G29</f>
        <v>Разборка покрытий и оснований асфальтобетонных</v>
      </c>
      <c r="C22" s="47" t="str">
        <f>Source!H29</f>
        <v>100 м3</v>
      </c>
      <c r="D22" s="48">
        <f>Source!I29</f>
        <v>0.11</v>
      </c>
      <c r="E22" s="46"/>
    </row>
    <row r="23" spans="1:5" ht="28.5" x14ac:dyDescent="0.2">
      <c r="A23" s="45">
        <v>3</v>
      </c>
      <c r="B23" s="46" t="str">
        <f>Source!G30</f>
        <v>Разборка асфальтобетона вдоль бортового камня при срезке методом холодного фрезерования</v>
      </c>
      <c r="C23" s="47" t="str">
        <f>Source!H30</f>
        <v>100 м</v>
      </c>
      <c r="D23" s="48">
        <f>Source!I30</f>
        <v>2.8</v>
      </c>
      <c r="E23" s="46"/>
    </row>
    <row r="24" spans="1:5" ht="14.25" x14ac:dyDescent="0.2">
      <c r="A24" s="45">
        <v>4</v>
      </c>
      <c r="B24" s="46" t="str">
        <f>Source!G31</f>
        <v>Разборка покрытий и оснований цементобетонных</v>
      </c>
      <c r="C24" s="47" t="str">
        <f>Source!H31</f>
        <v>100 м3</v>
      </c>
      <c r="D24" s="48">
        <f>Source!I31</f>
        <v>0.97099999999999997</v>
      </c>
      <c r="E24" s="46"/>
    </row>
    <row r="25" spans="1:5" ht="14.25" x14ac:dyDescent="0.2">
      <c r="A25" s="45">
        <v>5</v>
      </c>
      <c r="B25" s="46" t="str">
        <f>Source!G32</f>
        <v>Замена бортового камня бетонного во дворовых территориях</v>
      </c>
      <c r="C25" s="47" t="str">
        <f>Source!H32</f>
        <v>м</v>
      </c>
      <c r="D25" s="48">
        <f>Source!I32</f>
        <v>280</v>
      </c>
      <c r="E25" s="46"/>
    </row>
    <row r="26" spans="1:5" ht="14.25" x14ac:dyDescent="0.2">
      <c r="A26" s="45">
        <v>6</v>
      </c>
      <c r="B26" s="46" t="str">
        <f>Source!G33</f>
        <v>Ремонт бортового камня бетонного без замены</v>
      </c>
      <c r="C26" s="47" t="str">
        <f>Source!H33</f>
        <v>м</v>
      </c>
      <c r="D26" s="48">
        <f>Source!I33</f>
        <v>186</v>
      </c>
      <c r="E26" s="46"/>
    </row>
    <row r="27" spans="1:5" ht="14.25" x14ac:dyDescent="0.2">
      <c r="A27" s="45">
        <v>7</v>
      </c>
      <c r="B27" s="46" t="str">
        <f>Source!G34</f>
        <v>Устройство подстилающих и выравнивающих слоев оснований из песка</v>
      </c>
      <c r="C27" s="47" t="str">
        <f>Source!H34</f>
        <v>100 м3</v>
      </c>
      <c r="D27" s="48">
        <f>Source!I34</f>
        <v>0.15</v>
      </c>
      <c r="E27" s="46"/>
    </row>
    <row r="28" spans="1:5" ht="14.25" x14ac:dyDescent="0.2">
      <c r="A28" s="45">
        <v>8</v>
      </c>
      <c r="B28" s="46" t="str">
        <f>Source!G35</f>
        <v>Устройство подстилающих и выравнивающих слоев оснований из щебня</v>
      </c>
      <c r="C28" s="47" t="str">
        <f>Source!H35</f>
        <v>100 м3</v>
      </c>
      <c r="D28" s="48">
        <f>Source!I35</f>
        <v>1.94</v>
      </c>
      <c r="E28" s="46"/>
    </row>
    <row r="29" spans="1:5" ht="42.75" x14ac:dyDescent="0.2">
      <c r="A29" s="45">
        <v>9</v>
      </c>
      <c r="B29" s="46" t="str">
        <f>Source!G36</f>
        <v>Устройство однослойных покрытий из бетона марки М350 толщиной слоя 24 см (без стоимости арматуры) (в местах провала основания бетонной плитки)</v>
      </c>
      <c r="C29" s="47" t="str">
        <f>Source!H36</f>
        <v>1000 м2</v>
      </c>
      <c r="D29" s="48">
        <f>Source!I36</f>
        <v>2.1999999999999999E-2</v>
      </c>
      <c r="E29" s="46"/>
    </row>
    <row r="30" spans="1:5" ht="28.5" x14ac:dyDescent="0.2">
      <c r="A30" s="45">
        <v>9.1</v>
      </c>
      <c r="B30" s="46" t="str">
        <f>Source!G37</f>
        <v>Каркасы и сетки арматурные плоские, собранные и сваренные (связанные) в арматурные изделия, класс ВР-I, диаметр 5 мм</v>
      </c>
      <c r="C30" s="47" t="str">
        <f>Source!H37</f>
        <v>т</v>
      </c>
      <c r="D30" s="48">
        <f>Source!I37</f>
        <v>0.10999999999999999</v>
      </c>
      <c r="E30" s="46"/>
    </row>
    <row r="31" spans="1:5" ht="28.5" x14ac:dyDescent="0.2">
      <c r="A31" s="45">
        <v>10</v>
      </c>
      <c r="B31" s="46" t="str">
        <f>Source!G38</f>
        <v>Устройство покрытий из асфальтобетонных смесей вручную, толщина 4 см</v>
      </c>
      <c r="C31" s="47" t="str">
        <f>Source!H38</f>
        <v>100 м2</v>
      </c>
      <c r="D31" s="48">
        <f>Source!I38</f>
        <v>19.84</v>
      </c>
      <c r="E31" s="46"/>
    </row>
    <row r="32" spans="1:5" ht="42.75" x14ac:dyDescent="0.2">
      <c r="A32" s="45">
        <v>11</v>
      </c>
      <c r="B32" s="46" t="str">
        <f>Source!G39</f>
        <v>Устройство асфальтобетонных покрытий дорожек и тротуаров однослойных из литой мелкозернистой асфальтобетонной смеси, добавлять или исключать на каждые 0,5 см изменения толщины слоя</v>
      </c>
      <c r="C32" s="47" t="str">
        <f>Source!H39</f>
        <v>100 м2</v>
      </c>
      <c r="D32" s="48">
        <f>Source!I39</f>
        <v>19.84</v>
      </c>
      <c r="E32" s="46"/>
    </row>
    <row r="33" spans="1:5" ht="16.5" x14ac:dyDescent="0.25">
      <c r="A33" s="82" t="str">
        <f>CONCATENATE("Раздел: ", Source!G71)</f>
        <v>Раздел: Ремонт отмостки</v>
      </c>
      <c r="B33" s="82"/>
      <c r="C33" s="82"/>
      <c r="D33" s="82"/>
      <c r="E33" s="82"/>
    </row>
    <row r="34" spans="1:5" ht="14.25" x14ac:dyDescent="0.2">
      <c r="A34" s="45">
        <v>12</v>
      </c>
      <c r="B34" s="46" t="str">
        <f>Source!G75</f>
        <v>Разборка покрытий и оснований цементобетонных</v>
      </c>
      <c r="C34" s="47" t="str">
        <f>Source!H75</f>
        <v>100 м3</v>
      </c>
      <c r="D34" s="48">
        <f>Source!I75</f>
        <v>0.14399999999999999</v>
      </c>
      <c r="E34" s="46"/>
    </row>
    <row r="35" spans="1:5" ht="28.5" x14ac:dyDescent="0.2">
      <c r="A35" s="45">
        <v>13</v>
      </c>
      <c r="B35" s="46" t="str">
        <f>Source!G76</f>
        <v>Разработка грунта с погрузкой на автомобили-самосвалы экскаваторами с ковшом вместимостью 0,4 м3, группа грунтов 1-3</v>
      </c>
      <c r="C35" s="47" t="str">
        <f>Source!H76</f>
        <v>100 м3</v>
      </c>
      <c r="D35" s="48">
        <f>Source!I76</f>
        <v>0.14399999999999999</v>
      </c>
      <c r="E35" s="46"/>
    </row>
    <row r="36" spans="1:5" ht="28.5" x14ac:dyDescent="0.2">
      <c r="A36" s="45">
        <v>14</v>
      </c>
      <c r="B36" s="46" t="str">
        <f>Source!G77</f>
        <v>Установка бортовых камней бетонных марки БР 100.30.15 при цементобетонных покрытиях</v>
      </c>
      <c r="C36" s="47" t="str">
        <f>Source!H77</f>
        <v>100 м</v>
      </c>
      <c r="D36" s="48">
        <f>Source!I77</f>
        <v>1.44</v>
      </c>
      <c r="E36" s="46"/>
    </row>
    <row r="37" spans="1:5" ht="14.25" x14ac:dyDescent="0.2">
      <c r="A37" s="45">
        <v>15</v>
      </c>
      <c r="B37" s="46" t="str">
        <f>Source!G78</f>
        <v>Устройство подстилающих и выравнивающих слоев оснований из песка</v>
      </c>
      <c r="C37" s="47" t="str">
        <f>Source!H78</f>
        <v>100 м3</v>
      </c>
      <c r="D37" s="48">
        <f>Source!I78</f>
        <v>7.1999999999999995E-2</v>
      </c>
      <c r="E37" s="46"/>
    </row>
    <row r="38" spans="1:5" ht="14.25" x14ac:dyDescent="0.2">
      <c r="A38" s="45">
        <v>16</v>
      </c>
      <c r="B38" s="46" t="str">
        <f>Source!G79</f>
        <v>Устройство подстилающих и выравнивающих слоев оснований из щебня</v>
      </c>
      <c r="C38" s="47" t="str">
        <f>Source!H79</f>
        <v>100 м3</v>
      </c>
      <c r="D38" s="48">
        <f>Source!I79</f>
        <v>0.14399999999999999</v>
      </c>
      <c r="E38" s="46"/>
    </row>
    <row r="39" spans="1:5" ht="28.5" x14ac:dyDescent="0.2">
      <c r="A39" s="45">
        <v>17</v>
      </c>
      <c r="B39" s="46" t="str">
        <f>Source!G80</f>
        <v>Укладка металлической сетки в цементобетонное покрытие (без стоимости сетки)</v>
      </c>
      <c r="C39" s="47" t="str">
        <f>Source!H80</f>
        <v>1000 м2</v>
      </c>
      <c r="D39" s="48">
        <f>Source!I80</f>
        <v>1.44E-2</v>
      </c>
      <c r="E39" s="46"/>
    </row>
    <row r="40" spans="1:5" ht="28.5" x14ac:dyDescent="0.2">
      <c r="A40" s="45">
        <v>17.100000000000001</v>
      </c>
      <c r="B40" s="46" t="str">
        <f>Source!G81</f>
        <v>Каркасы и сетки арматурные плоские, собранные и сваренные (связанные) в арматурные изделия, класс ВР-I, диаметр 5 мм</v>
      </c>
      <c r="C40" s="47" t="str">
        <f>Source!H81</f>
        <v>т</v>
      </c>
      <c r="D40" s="48">
        <f>Source!I81</f>
        <v>7.1999999999999995E-2</v>
      </c>
      <c r="E40" s="46"/>
    </row>
    <row r="41" spans="1:5" ht="14.25" x14ac:dyDescent="0.2">
      <c r="A41" s="45">
        <v>18</v>
      </c>
      <c r="B41" s="46" t="str">
        <f>Source!G82</f>
        <v>Устройство бетонной подготовки (толщ. 11 см)</v>
      </c>
      <c r="C41" s="47" t="str">
        <f>Source!H82</f>
        <v>100 м3</v>
      </c>
      <c r="D41" s="48">
        <f>Source!I82</f>
        <v>0.15840000000000001</v>
      </c>
      <c r="E41" s="46"/>
    </row>
    <row r="42" spans="1:5" ht="28.5" x14ac:dyDescent="0.2">
      <c r="A42" s="45">
        <v>19</v>
      </c>
      <c r="B42" s="46" t="str">
        <f>Source!G83</f>
        <v>Устройство покрытий из асфальтобетонных смесей вручную, толщина 4 см</v>
      </c>
      <c r="C42" s="47" t="str">
        <f>Source!H83</f>
        <v>100 м2</v>
      </c>
      <c r="D42" s="48">
        <f>Source!I83</f>
        <v>1.44</v>
      </c>
      <c r="E42" s="46"/>
    </row>
    <row r="43" spans="1:5" ht="16.5" x14ac:dyDescent="0.25">
      <c r="A43" s="82" t="str">
        <f>CONCATENATE("Раздел: ", Source!G115)</f>
        <v>Раздел: Прочее</v>
      </c>
      <c r="B43" s="82"/>
      <c r="C43" s="82"/>
      <c r="D43" s="82"/>
      <c r="E43" s="82"/>
    </row>
    <row r="44" spans="1:5" ht="28.5" x14ac:dyDescent="0.2">
      <c r="A44" s="45">
        <v>20</v>
      </c>
      <c r="B44" s="46" t="str">
        <f>Source!G119</f>
        <v>Механизированная погрузка строительного мусора в автомобили-самосвалы</v>
      </c>
      <c r="C44" s="47" t="str">
        <f>Source!H119</f>
        <v>т</v>
      </c>
      <c r="D44" s="48">
        <f>Source!I119</f>
        <v>109.6</v>
      </c>
      <c r="E44" s="46"/>
    </row>
    <row r="45" spans="1:5" ht="42.75" x14ac:dyDescent="0.2">
      <c r="A45" s="45">
        <v>21</v>
      </c>
      <c r="B45" s="46" t="str">
        <f>Source!G120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C45" s="47" t="str">
        <f>Source!H120</f>
        <v>т</v>
      </c>
      <c r="D45" s="48">
        <f>Source!I120</f>
        <v>109.6</v>
      </c>
      <c r="E45" s="46"/>
    </row>
    <row r="46" spans="1:5" ht="42.75" x14ac:dyDescent="0.2">
      <c r="A46" s="45">
        <v>22</v>
      </c>
      <c r="B46" s="46" t="str">
        <f>Source!G121</f>
        <v>Перевозка отфрезерованного асфальтобетона автосамосвалами грузоподъемностью до 10 т - добавляется на каждый последующий 1 км до 100 км</v>
      </c>
      <c r="C46" s="47" t="str">
        <f>Source!H121</f>
        <v>т</v>
      </c>
      <c r="D46" s="48">
        <f>Source!I121</f>
        <v>109.6</v>
      </c>
      <c r="E46" s="46"/>
    </row>
    <row r="47" spans="1:5" ht="28.5" x14ac:dyDescent="0.2">
      <c r="A47" s="45">
        <v>23</v>
      </c>
      <c r="B47" s="46" t="str">
        <f>Source!G122</f>
        <v>Механизированная погрузка строительного мусора в автомобили-самосвалы</v>
      </c>
      <c r="C47" s="47" t="str">
        <f>Source!H122</f>
        <v>т</v>
      </c>
      <c r="D47" s="48">
        <f>Source!I122</f>
        <v>267.60000000000002</v>
      </c>
      <c r="E47" s="46"/>
    </row>
    <row r="48" spans="1:5" ht="28.5" x14ac:dyDescent="0.2">
      <c r="A48" s="45">
        <v>24</v>
      </c>
      <c r="B48" s="46" t="str">
        <f>Source!G123</f>
        <v>Перевозка строительного мусора автосамосвалами грузоподъемностью до 10 т на расстояние 1 км - при механизированной погрузке</v>
      </c>
      <c r="C48" s="47" t="str">
        <f>Source!H123</f>
        <v>т</v>
      </c>
      <c r="D48" s="48">
        <f>Source!I123</f>
        <v>267.60000000000002</v>
      </c>
      <c r="E48" s="46"/>
    </row>
    <row r="49" spans="1:5" ht="28.5" x14ac:dyDescent="0.2">
      <c r="A49" s="45">
        <v>25</v>
      </c>
      <c r="B49" s="46" t="str">
        <f>Source!G124</f>
        <v>Перевозка строительного мусора автосамосвалами грузоподъемностью до 10 т - добавляется на каждый последующий 1 км до 100 км</v>
      </c>
      <c r="C49" s="47" t="str">
        <f>Source!H124</f>
        <v>т</v>
      </c>
      <c r="D49" s="48">
        <f>Source!I124</f>
        <v>267.60000000000002</v>
      </c>
      <c r="E49" s="46"/>
    </row>
    <row r="50" spans="1:5" ht="16.5" x14ac:dyDescent="0.25">
      <c r="A50" s="82" t="str">
        <f>CONCATENATE("Раздел: ", Source!G156)</f>
        <v>Раздел: Вывоз грунта</v>
      </c>
      <c r="B50" s="82"/>
      <c r="C50" s="82"/>
      <c r="D50" s="82"/>
      <c r="E50" s="82"/>
    </row>
    <row r="51" spans="1:5" ht="28.5" x14ac:dyDescent="0.2">
      <c r="A51" s="45">
        <v>26</v>
      </c>
      <c r="B51" s="46" t="str">
        <f>Source!G160</f>
        <v>Перевозка грунта автосамосвалами грузоподъемностью до 10 т на расстояние 1 км</v>
      </c>
      <c r="C51" s="47" t="str">
        <f>Source!H160</f>
        <v>м3</v>
      </c>
      <c r="D51" s="48">
        <f>Source!I160</f>
        <v>14.4</v>
      </c>
      <c r="E51" s="46"/>
    </row>
    <row r="52" spans="1:5" ht="42.75" x14ac:dyDescent="0.2">
      <c r="A52" s="45">
        <v>27</v>
      </c>
      <c r="B52" s="46" t="str">
        <f>Source!G161</f>
        <v>Перевозка грунта автосамосвалами грузоподъемностью до 10 т - добавляется на каждый последующий 1 км до 100 км (к поз. 49-3401-1-1)</v>
      </c>
      <c r="C52" s="47" t="str">
        <f>Source!H161</f>
        <v>м3</v>
      </c>
      <c r="D52" s="48">
        <f>Source!I161</f>
        <v>14.4</v>
      </c>
      <c r="E52" s="46"/>
    </row>
    <row r="53" spans="1:5" ht="16.5" x14ac:dyDescent="0.25">
      <c r="A53" s="82" t="str">
        <f>CONCATENATE("Раздел: ", Source!G193)</f>
        <v>Раздел: Мусор</v>
      </c>
      <c r="B53" s="82"/>
      <c r="C53" s="82"/>
      <c r="D53" s="82"/>
      <c r="E53" s="82"/>
    </row>
    <row r="54" spans="1:5" ht="28.5" x14ac:dyDescent="0.2">
      <c r="A54" s="45">
        <v>28</v>
      </c>
      <c r="B54" s="46" t="str">
        <f>Source!G197</f>
        <v>Механизированная погрузка строительного мусора в автомобили-самосвалы</v>
      </c>
      <c r="C54" s="47" t="str">
        <f>Source!H197</f>
        <v>т</v>
      </c>
      <c r="D54" s="48">
        <f>Source!I197</f>
        <v>68.739999999999995</v>
      </c>
      <c r="E54" s="46"/>
    </row>
    <row r="55" spans="1:5" ht="42.75" x14ac:dyDescent="0.2">
      <c r="A55" s="45">
        <v>29</v>
      </c>
      <c r="B55" s="46" t="str">
        <f>Source!G198</f>
        <v>Перевозка отфрезерованного асфальтобетона автосамосвалами грузоподъемностью до 10 т на расстояние 1 км - при механизированной погрузке</v>
      </c>
      <c r="C55" s="47" t="str">
        <f>Source!H198</f>
        <v>т</v>
      </c>
      <c r="D55" s="48">
        <f>Source!I198</f>
        <v>68.739999999999995</v>
      </c>
      <c r="E55" s="46"/>
    </row>
    <row r="56" spans="1:5" ht="42.75" x14ac:dyDescent="0.2">
      <c r="A56" s="44">
        <v>30</v>
      </c>
      <c r="B56" s="36" t="str">
        <f>Source!G199</f>
        <v>Перевозка отфрезерованного асфальтобетона автосамосвалами грузоподъемностью до 10 т - добавляется на каждый последующий 1 км до 100 км</v>
      </c>
      <c r="C56" s="37" t="str">
        <f>Source!H199</f>
        <v>т</v>
      </c>
      <c r="D56" s="34">
        <f>Source!I199</f>
        <v>68.739999999999995</v>
      </c>
      <c r="E56" s="36"/>
    </row>
    <row r="59" spans="1:5" ht="15" x14ac:dyDescent="0.25">
      <c r="A59" s="31" t="s">
        <v>440</v>
      </c>
      <c r="B59" s="31"/>
      <c r="C59" s="31" t="s">
        <v>441</v>
      </c>
      <c r="D59" s="31"/>
      <c r="E59" s="31"/>
    </row>
  </sheetData>
  <mergeCells count="10">
    <mergeCell ref="A33:E33"/>
    <mergeCell ref="A43:E43"/>
    <mergeCell ref="A50:E50"/>
    <mergeCell ref="A53:E53"/>
    <mergeCell ref="C5:D5"/>
    <mergeCell ref="C7:D7"/>
    <mergeCell ref="A11:D11"/>
    <mergeCell ref="A12:D12"/>
    <mergeCell ref="A19:E19"/>
    <mergeCell ref="A20:E20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00"/>
  <sheetViews>
    <sheetView workbookViewId="0">
      <selection activeCell="A296" sqref="A296:O296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56347</v>
      </c>
      <c r="M1">
        <v>10</v>
      </c>
      <c r="N1">
        <v>11</v>
      </c>
      <c r="O1">
        <v>5</v>
      </c>
      <c r="P1">
        <v>3</v>
      </c>
      <c r="Q1">
        <v>2</v>
      </c>
    </row>
    <row r="12" spans="1:133" x14ac:dyDescent="0.2">
      <c r="A12" s="1">
        <v>1</v>
      </c>
      <c r="B12" s="1">
        <v>296</v>
      </c>
      <c r="C12" s="1">
        <v>0</v>
      </c>
      <c r="D12" s="1">
        <f>ROW(A263)</f>
        <v>263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1</v>
      </c>
      <c r="BU12" s="1">
        <v>0</v>
      </c>
      <c r="BV12" s="1">
        <v>1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B263</f>
        <v>296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по адресу г. Москва, Ул. Авиаторов, д.28.</v>
      </c>
      <c r="H18" s="2"/>
      <c r="I18" s="2"/>
      <c r="J18" s="2"/>
      <c r="K18" s="2"/>
      <c r="L18" s="2"/>
      <c r="M18" s="2"/>
      <c r="N18" s="2"/>
      <c r="O18" s="2">
        <f t="shared" ref="O18:AT18" si="1">O263</f>
        <v>3532595.36</v>
      </c>
      <c r="P18" s="2">
        <f t="shared" si="1"/>
        <v>2201392.73</v>
      </c>
      <c r="Q18" s="2">
        <f t="shared" si="1"/>
        <v>1043833.68</v>
      </c>
      <c r="R18" s="2">
        <f t="shared" si="1"/>
        <v>513363.08</v>
      </c>
      <c r="S18" s="2">
        <f t="shared" si="1"/>
        <v>287368.95</v>
      </c>
      <c r="T18" s="2">
        <f t="shared" si="1"/>
        <v>0</v>
      </c>
      <c r="U18" s="2">
        <f t="shared" si="1"/>
        <v>1239.7780640000001</v>
      </c>
      <c r="V18" s="2">
        <f t="shared" si="1"/>
        <v>0</v>
      </c>
      <c r="W18" s="2">
        <f t="shared" si="1"/>
        <v>0</v>
      </c>
      <c r="X18" s="2">
        <f t="shared" si="1"/>
        <v>201158.28</v>
      </c>
      <c r="Y18" s="2">
        <f t="shared" si="1"/>
        <v>28736.9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3980955.02</v>
      </c>
      <c r="AS18" s="2">
        <f t="shared" si="1"/>
        <v>0</v>
      </c>
      <c r="AT18" s="2">
        <f t="shared" si="1"/>
        <v>0</v>
      </c>
      <c r="AU18" s="2">
        <f t="shared" ref="AU18:BZ18" si="2">AU263</f>
        <v>3980955.02</v>
      </c>
      <c r="AV18" s="2">
        <f t="shared" si="2"/>
        <v>2201392.73</v>
      </c>
      <c r="AW18" s="2">
        <f t="shared" si="2"/>
        <v>2201392.73</v>
      </c>
      <c r="AX18" s="2">
        <f t="shared" si="2"/>
        <v>0</v>
      </c>
      <c r="AY18" s="2">
        <f t="shared" si="2"/>
        <v>2201392.73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CA263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DG263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EM263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FS263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ROW(A231)</f>
        <v>231</v>
      </c>
      <c r="E20" s="1"/>
      <c r="F20" s="1" t="s">
        <v>12</v>
      </c>
      <c r="G20" s="1" t="s">
        <v>13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 t="s">
        <v>3</v>
      </c>
      <c r="N20" s="1"/>
      <c r="O20" s="1"/>
      <c r="P20" s="1"/>
      <c r="Q20" s="1"/>
      <c r="R20" s="1"/>
      <c r="S20" s="1">
        <v>0</v>
      </c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45" x14ac:dyDescent="0.2">
      <c r="A22" s="2">
        <v>52</v>
      </c>
      <c r="B22" s="2">
        <f t="shared" ref="B22:G22" si="7">B231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ГБОУ Школа №1542</v>
      </c>
      <c r="H22" s="2"/>
      <c r="I22" s="2"/>
      <c r="J22" s="2"/>
      <c r="K22" s="2"/>
      <c r="L22" s="2"/>
      <c r="M22" s="2"/>
      <c r="N22" s="2"/>
      <c r="O22" s="2">
        <f t="shared" ref="O22:AT22" si="8">O231</f>
        <v>3532595.36</v>
      </c>
      <c r="P22" s="2">
        <f t="shared" si="8"/>
        <v>2201392.73</v>
      </c>
      <c r="Q22" s="2">
        <f t="shared" si="8"/>
        <v>1043833.68</v>
      </c>
      <c r="R22" s="2">
        <f t="shared" si="8"/>
        <v>513363.08</v>
      </c>
      <c r="S22" s="2">
        <f t="shared" si="8"/>
        <v>287368.95</v>
      </c>
      <c r="T22" s="2">
        <f t="shared" si="8"/>
        <v>0</v>
      </c>
      <c r="U22" s="2">
        <f t="shared" si="8"/>
        <v>1239.7780640000001</v>
      </c>
      <c r="V22" s="2">
        <f t="shared" si="8"/>
        <v>0</v>
      </c>
      <c r="W22" s="2">
        <f t="shared" si="8"/>
        <v>0</v>
      </c>
      <c r="X22" s="2">
        <f t="shared" si="8"/>
        <v>201158.28</v>
      </c>
      <c r="Y22" s="2">
        <f t="shared" si="8"/>
        <v>28736.9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3980955.02</v>
      </c>
      <c r="AS22" s="2">
        <f t="shared" si="8"/>
        <v>0</v>
      </c>
      <c r="AT22" s="2">
        <f t="shared" si="8"/>
        <v>0</v>
      </c>
      <c r="AU22" s="2">
        <f t="shared" ref="AU22:BZ22" si="9">AU231</f>
        <v>3980955.02</v>
      </c>
      <c r="AV22" s="2">
        <f t="shared" si="9"/>
        <v>2201392.73</v>
      </c>
      <c r="AW22" s="2">
        <f t="shared" si="9"/>
        <v>2201392.73</v>
      </c>
      <c r="AX22" s="2">
        <f t="shared" si="9"/>
        <v>0</v>
      </c>
      <c r="AY22" s="2">
        <f t="shared" si="9"/>
        <v>2201392.73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CA231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DG231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EM231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FS231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ROW(A41)</f>
        <v>41</v>
      </c>
      <c r="E24" s="1"/>
      <c r="F24" s="1" t="s">
        <v>14</v>
      </c>
      <c r="G24" s="1" t="s">
        <v>15</v>
      </c>
      <c r="H24" s="1" t="s">
        <v>3</v>
      </c>
      <c r="I24" s="1">
        <v>0</v>
      </c>
      <c r="J24" s="1"/>
      <c r="K24" s="1">
        <v>0</v>
      </c>
      <c r="L24" s="1"/>
      <c r="M24" s="1" t="s">
        <v>3</v>
      </c>
      <c r="N24" s="1"/>
      <c r="O24" s="1"/>
      <c r="P24" s="1"/>
      <c r="Q24" s="1"/>
      <c r="R24" s="1"/>
      <c r="S24" s="1">
        <v>0</v>
      </c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B41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Ремонт дорожек и тротуаров</v>
      </c>
      <c r="H26" s="2"/>
      <c r="I26" s="2"/>
      <c r="J26" s="2"/>
      <c r="K26" s="2"/>
      <c r="L26" s="2"/>
      <c r="M26" s="2"/>
      <c r="N26" s="2"/>
      <c r="O26" s="2">
        <f t="shared" ref="O26:AT26" si="15">O41</f>
        <v>2588352.98</v>
      </c>
      <c r="P26" s="2">
        <f t="shared" si="15"/>
        <v>1938104.35</v>
      </c>
      <c r="Q26" s="2">
        <f t="shared" si="15"/>
        <v>400951.89</v>
      </c>
      <c r="R26" s="2">
        <f t="shared" si="15"/>
        <v>183080.54</v>
      </c>
      <c r="S26" s="2">
        <f t="shared" si="15"/>
        <v>249296.74</v>
      </c>
      <c r="T26" s="2">
        <f t="shared" si="15"/>
        <v>0</v>
      </c>
      <c r="U26" s="2">
        <f t="shared" si="15"/>
        <v>1067.65112</v>
      </c>
      <c r="V26" s="2">
        <f t="shared" si="15"/>
        <v>0</v>
      </c>
      <c r="W26" s="2">
        <f t="shared" si="15"/>
        <v>0</v>
      </c>
      <c r="X26" s="2">
        <f t="shared" si="15"/>
        <v>174507.71</v>
      </c>
      <c r="Y26" s="2">
        <f t="shared" si="15"/>
        <v>24929.67</v>
      </c>
      <c r="Z26" s="2">
        <f t="shared" si="15"/>
        <v>0</v>
      </c>
      <c r="AA26" s="2">
        <f t="shared" si="15"/>
        <v>0</v>
      </c>
      <c r="AB26" s="2">
        <f t="shared" si="15"/>
        <v>2588352.98</v>
      </c>
      <c r="AC26" s="2">
        <f t="shared" si="15"/>
        <v>1938104.35</v>
      </c>
      <c r="AD26" s="2">
        <f t="shared" si="15"/>
        <v>400951.89</v>
      </c>
      <c r="AE26" s="2">
        <f t="shared" si="15"/>
        <v>183080.54</v>
      </c>
      <c r="AF26" s="2">
        <f t="shared" si="15"/>
        <v>249296.74</v>
      </c>
      <c r="AG26" s="2">
        <f t="shared" si="15"/>
        <v>0</v>
      </c>
      <c r="AH26" s="2">
        <f t="shared" si="15"/>
        <v>1067.65112</v>
      </c>
      <c r="AI26" s="2">
        <f t="shared" si="15"/>
        <v>0</v>
      </c>
      <c r="AJ26" s="2">
        <f t="shared" si="15"/>
        <v>0</v>
      </c>
      <c r="AK26" s="2">
        <f t="shared" si="15"/>
        <v>174507.71</v>
      </c>
      <c r="AL26" s="2">
        <f t="shared" si="15"/>
        <v>24929.67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2985517.35</v>
      </c>
      <c r="AS26" s="2">
        <f t="shared" si="15"/>
        <v>0</v>
      </c>
      <c r="AT26" s="2">
        <f t="shared" si="15"/>
        <v>0</v>
      </c>
      <c r="AU26" s="2">
        <f t="shared" ref="AU26:BZ26" si="16">AU41</f>
        <v>2985517.35</v>
      </c>
      <c r="AV26" s="2">
        <f t="shared" si="16"/>
        <v>1938104.35</v>
      </c>
      <c r="AW26" s="2">
        <f t="shared" si="16"/>
        <v>1938104.35</v>
      </c>
      <c r="AX26" s="2">
        <f t="shared" si="16"/>
        <v>0</v>
      </c>
      <c r="AY26" s="2">
        <f t="shared" si="16"/>
        <v>1938104.35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CA41</f>
        <v>2985517.35</v>
      </c>
      <c r="CB26" s="2">
        <f t="shared" si="17"/>
        <v>0</v>
      </c>
      <c r="CC26" s="2">
        <f t="shared" si="17"/>
        <v>0</v>
      </c>
      <c r="CD26" s="2">
        <f t="shared" si="17"/>
        <v>2985517.35</v>
      </c>
      <c r="CE26" s="2">
        <f t="shared" si="17"/>
        <v>1938104.35</v>
      </c>
      <c r="CF26" s="2">
        <f t="shared" si="17"/>
        <v>1938104.35</v>
      </c>
      <c r="CG26" s="2">
        <f t="shared" si="17"/>
        <v>0</v>
      </c>
      <c r="CH26" s="2">
        <f t="shared" si="17"/>
        <v>1938104.35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DG41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EM41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FS41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ROW(SmtRes!A5)</f>
        <v>5</v>
      </c>
      <c r="D28">
        <f>ROW(EtalonRes!A5)</f>
        <v>5</v>
      </c>
      <c r="E28" t="s">
        <v>16</v>
      </c>
      <c r="F28" t="s">
        <v>17</v>
      </c>
      <c r="G28" t="s">
        <v>18</v>
      </c>
      <c r="H28" t="s">
        <v>19</v>
      </c>
      <c r="I28">
        <v>819</v>
      </c>
      <c r="J28">
        <v>0</v>
      </c>
      <c r="K28">
        <v>819</v>
      </c>
      <c r="O28">
        <f t="shared" ref="O28:O39" si="21">ROUND(CP28,2)</f>
        <v>90761.58</v>
      </c>
      <c r="P28">
        <f t="shared" ref="P28:P39" si="22">ROUND(CQ28*I28,2)</f>
        <v>19361.16</v>
      </c>
      <c r="Q28">
        <f t="shared" ref="Q28:Q39" si="23">ROUND(CR28*I28,2)</f>
        <v>65085.93</v>
      </c>
      <c r="R28">
        <f t="shared" ref="R28:R39" si="24">ROUND(CS28*I28,2)</f>
        <v>33456.15</v>
      </c>
      <c r="S28">
        <f t="shared" ref="S28:S39" si="25">ROUND(CT28*I28,2)</f>
        <v>6314.49</v>
      </c>
      <c r="T28">
        <f t="shared" ref="T28:T39" si="26">ROUND(CU28*I28,2)</f>
        <v>0</v>
      </c>
      <c r="U28">
        <f t="shared" ref="U28:U39" si="27">CV28*I28</f>
        <v>24.57</v>
      </c>
      <c r="V28">
        <f t="shared" ref="V28:V39" si="28">CW28*I28</f>
        <v>0</v>
      </c>
      <c r="W28">
        <f t="shared" ref="W28:W39" si="29">ROUND(CX28*I28,2)</f>
        <v>0</v>
      </c>
      <c r="X28">
        <f t="shared" ref="X28:X39" si="30">ROUND(CY28,2)</f>
        <v>4420.1400000000003</v>
      </c>
      <c r="Y28">
        <f t="shared" ref="Y28:Y39" si="31">ROUND(CZ28,2)</f>
        <v>631.45000000000005</v>
      </c>
      <c r="AA28">
        <v>36602762</v>
      </c>
      <c r="AB28">
        <f t="shared" ref="AB28:AB39" si="32">ROUND((AC28+AD28+AF28),6)</f>
        <v>110.82</v>
      </c>
      <c r="AC28">
        <f t="shared" ref="AC28:AC38" si="33">ROUND((ES28),6)</f>
        <v>23.64</v>
      </c>
      <c r="AD28">
        <f t="shared" ref="AD28:AD38" si="34">ROUND((((ET28)-(EU28))+AE28),6)</f>
        <v>79.47</v>
      </c>
      <c r="AE28">
        <f t="shared" ref="AE28:AE38" si="35">ROUND((EU28),6)</f>
        <v>40.85</v>
      </c>
      <c r="AF28">
        <f t="shared" ref="AF28:AF38" si="36">ROUND((EV28),6)</f>
        <v>7.71</v>
      </c>
      <c r="AG28">
        <f t="shared" ref="AG28:AG39" si="37">ROUND((AP28),6)</f>
        <v>0</v>
      </c>
      <c r="AH28">
        <f t="shared" ref="AH28:AH38" si="38">(EW28)</f>
        <v>0.03</v>
      </c>
      <c r="AI28">
        <f t="shared" ref="AI28:AI38" si="39">(EX28)</f>
        <v>0</v>
      </c>
      <c r="AJ28">
        <f t="shared" ref="AJ28:AJ39" si="40">(AS28)</f>
        <v>0</v>
      </c>
      <c r="AK28">
        <v>110.82</v>
      </c>
      <c r="AL28">
        <v>23.64</v>
      </c>
      <c r="AM28">
        <v>79.47</v>
      </c>
      <c r="AN28">
        <v>40.85</v>
      </c>
      <c r="AO28">
        <v>7.71</v>
      </c>
      <c r="AP28">
        <v>0</v>
      </c>
      <c r="AQ28">
        <v>0.03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20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B28" t="s">
        <v>3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9" si="41">(P28+Q28+S28)</f>
        <v>90761.58</v>
      </c>
      <c r="CQ28">
        <f t="shared" ref="CQ28:CQ39" si="42">(AC28*BC28*AW28)</f>
        <v>23.64</v>
      </c>
      <c r="CR28">
        <f t="shared" ref="CR28:CR38" si="43">((((ET28)*BB28-(EU28)*BS28)+AE28*BS28)*AV28)</f>
        <v>79.47</v>
      </c>
      <c r="CS28">
        <f t="shared" ref="CS28:CS39" si="44">(AE28*BS28*AV28)</f>
        <v>40.85</v>
      </c>
      <c r="CT28">
        <f t="shared" ref="CT28:CT39" si="45">(AF28*BA28*AV28)</f>
        <v>7.71</v>
      </c>
      <c r="CU28">
        <f t="shared" ref="CU28:CU39" si="46">AG28</f>
        <v>0</v>
      </c>
      <c r="CV28">
        <f t="shared" ref="CV28:CV39" si="47">(AH28*AV28)</f>
        <v>0.03</v>
      </c>
      <c r="CW28">
        <f t="shared" ref="CW28:CW39" si="48">AI28</f>
        <v>0</v>
      </c>
      <c r="CX28">
        <f t="shared" ref="CX28:CX39" si="49">AJ28</f>
        <v>0</v>
      </c>
      <c r="CY28">
        <f t="shared" ref="CY28:CY39" si="50">((S28*BZ28)/100)</f>
        <v>4420.143</v>
      </c>
      <c r="CZ28">
        <f t="shared" ref="CZ28:CZ39" si="51">((S28*CA28)/100)</f>
        <v>631.44899999999996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19</v>
      </c>
      <c r="DW28" t="s">
        <v>19</v>
      </c>
      <c r="DX28">
        <v>1</v>
      </c>
      <c r="DZ28" t="s">
        <v>3</v>
      </c>
      <c r="EA28" t="s">
        <v>3</v>
      </c>
      <c r="EB28" t="s">
        <v>3</v>
      </c>
      <c r="EC28" t="s">
        <v>3</v>
      </c>
      <c r="EE28">
        <v>36274424</v>
      </c>
      <c r="EF28">
        <v>1</v>
      </c>
      <c r="EG28" t="s">
        <v>21</v>
      </c>
      <c r="EH28">
        <v>0</v>
      </c>
      <c r="EI28" t="s">
        <v>3</v>
      </c>
      <c r="EJ28">
        <v>4</v>
      </c>
      <c r="EK28">
        <v>0</v>
      </c>
      <c r="EL28" t="s">
        <v>22</v>
      </c>
      <c r="EM28" t="s">
        <v>23</v>
      </c>
      <c r="EO28" t="s">
        <v>3</v>
      </c>
      <c r="EQ28">
        <v>0</v>
      </c>
      <c r="ER28">
        <v>110.82</v>
      </c>
      <c r="ES28">
        <v>23.64</v>
      </c>
      <c r="ET28">
        <v>79.47</v>
      </c>
      <c r="EU28">
        <v>40.85</v>
      </c>
      <c r="EV28">
        <v>7.71</v>
      </c>
      <c r="EW28">
        <v>0.03</v>
      </c>
      <c r="EX28">
        <v>0</v>
      </c>
      <c r="EY28">
        <v>0</v>
      </c>
      <c r="FQ28">
        <v>0</v>
      </c>
      <c r="FR28">
        <f t="shared" ref="FR28:FR39" si="52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374526846</v>
      </c>
      <c r="GG28">
        <v>2</v>
      </c>
      <c r="GH28">
        <v>1</v>
      </c>
      <c r="GI28">
        <v>-2</v>
      </c>
      <c r="GJ28">
        <v>0</v>
      </c>
      <c r="GK28">
        <f>ROUND(R28*(R12)/100,2)</f>
        <v>36132.639999999999</v>
      </c>
      <c r="GL28">
        <f t="shared" ref="GL28:GL39" si="53">ROUND(IF(AND(BH28=3,BI28=3,FS28&lt;&gt;0),P28,0),2)</f>
        <v>0</v>
      </c>
      <c r="GM28">
        <f t="shared" ref="GM28:GM39" si="54">ROUND(O28+X28+Y28+GK28,2)+GX28</f>
        <v>131945.81</v>
      </c>
      <c r="GN28">
        <f t="shared" ref="GN28:GN39" si="55">IF(OR(BI28=0,BI28=1),ROUND(O28+X28+Y28+GK28,2),0)</f>
        <v>0</v>
      </c>
      <c r="GO28">
        <f t="shared" ref="GO28:GO39" si="56">IF(BI28=2,ROUND(O28+X28+Y28+GK28,2),0)</f>
        <v>0</v>
      </c>
      <c r="GP28">
        <f t="shared" ref="GP28:GP39" si="57">IF(BI28=4,ROUND(O28+X28+Y28+GK28,2)+GX28,0)</f>
        <v>131945.81</v>
      </c>
      <c r="GR28">
        <v>0</v>
      </c>
      <c r="GS28">
        <v>3</v>
      </c>
      <c r="GT28">
        <v>0</v>
      </c>
      <c r="GU28" t="s">
        <v>3</v>
      </c>
      <c r="GV28">
        <f t="shared" ref="GV28:GV39" si="58">ROUND((GT28),6)</f>
        <v>0</v>
      </c>
      <c r="GW28">
        <v>1</v>
      </c>
      <c r="GX28">
        <f t="shared" ref="GX28:GX39" si="59">ROUND(HC28*I28,2)</f>
        <v>0</v>
      </c>
      <c r="HA28">
        <v>0</v>
      </c>
      <c r="HB28">
        <v>0</v>
      </c>
      <c r="HC28">
        <f t="shared" ref="HC28:HC39" si="60">GV28*GW28</f>
        <v>0</v>
      </c>
      <c r="HE28" t="s">
        <v>3</v>
      </c>
      <c r="HF28" t="s">
        <v>3</v>
      </c>
      <c r="HM28" t="s">
        <v>3</v>
      </c>
      <c r="HN28" t="s">
        <v>3</v>
      </c>
      <c r="HO28" t="s">
        <v>3</v>
      </c>
      <c r="HP28" t="s">
        <v>3</v>
      </c>
      <c r="HQ28" t="s">
        <v>3</v>
      </c>
      <c r="IK28">
        <v>0</v>
      </c>
    </row>
    <row r="29" spans="1:245" x14ac:dyDescent="0.2">
      <c r="A29">
        <v>17</v>
      </c>
      <c r="B29">
        <v>1</v>
      </c>
      <c r="C29">
        <f>ROW(SmtRes!A9)</f>
        <v>9</v>
      </c>
      <c r="D29">
        <f>ROW(EtalonRes!A9)</f>
        <v>9</v>
      </c>
      <c r="E29" t="s">
        <v>24</v>
      </c>
      <c r="F29" t="s">
        <v>25</v>
      </c>
      <c r="G29" t="s">
        <v>26</v>
      </c>
      <c r="H29" t="s">
        <v>27</v>
      </c>
      <c r="I29">
        <f>ROUND(11/100,9)</f>
        <v>0.11</v>
      </c>
      <c r="J29">
        <v>0</v>
      </c>
      <c r="K29">
        <f>ROUND(11/100,9)</f>
        <v>0.11</v>
      </c>
      <c r="O29">
        <f t="shared" si="21"/>
        <v>7430.4</v>
      </c>
      <c r="P29">
        <f t="shared" si="22"/>
        <v>0</v>
      </c>
      <c r="Q29">
        <f t="shared" si="23"/>
        <v>3751.01</v>
      </c>
      <c r="R29">
        <f t="shared" si="24"/>
        <v>2045.24</v>
      </c>
      <c r="S29">
        <f t="shared" si="25"/>
        <v>3679.39</v>
      </c>
      <c r="T29">
        <f t="shared" si="26"/>
        <v>0</v>
      </c>
      <c r="U29">
        <f t="shared" si="27"/>
        <v>17.05</v>
      </c>
      <c r="V29">
        <f t="shared" si="28"/>
        <v>0</v>
      </c>
      <c r="W29">
        <f t="shared" si="29"/>
        <v>0</v>
      </c>
      <c r="X29">
        <f t="shared" si="30"/>
        <v>2575.5700000000002</v>
      </c>
      <c r="Y29">
        <f t="shared" si="31"/>
        <v>367.94</v>
      </c>
      <c r="AA29">
        <v>36602762</v>
      </c>
      <c r="AB29">
        <f t="shared" si="32"/>
        <v>67549.070000000007</v>
      </c>
      <c r="AC29">
        <f t="shared" si="33"/>
        <v>0</v>
      </c>
      <c r="AD29">
        <f t="shared" si="34"/>
        <v>34100.07</v>
      </c>
      <c r="AE29">
        <f t="shared" si="35"/>
        <v>18593.07</v>
      </c>
      <c r="AF29">
        <f t="shared" si="36"/>
        <v>33449</v>
      </c>
      <c r="AG29">
        <f t="shared" si="37"/>
        <v>0</v>
      </c>
      <c r="AH29">
        <f t="shared" si="38"/>
        <v>155</v>
      </c>
      <c r="AI29">
        <f t="shared" si="39"/>
        <v>0</v>
      </c>
      <c r="AJ29">
        <f t="shared" si="40"/>
        <v>0</v>
      </c>
      <c r="AK29">
        <v>67549.070000000007</v>
      </c>
      <c r="AL29">
        <v>0</v>
      </c>
      <c r="AM29">
        <v>34100.07</v>
      </c>
      <c r="AN29">
        <v>18593.07</v>
      </c>
      <c r="AO29">
        <v>33449</v>
      </c>
      <c r="AP29">
        <v>0</v>
      </c>
      <c r="AQ29">
        <v>155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28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B29" t="s">
        <v>3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41"/>
        <v>7430.4</v>
      </c>
      <c r="CQ29">
        <f t="shared" si="42"/>
        <v>0</v>
      </c>
      <c r="CR29">
        <f t="shared" si="43"/>
        <v>34100.07</v>
      </c>
      <c r="CS29">
        <f t="shared" si="44"/>
        <v>18593.07</v>
      </c>
      <c r="CT29">
        <f t="shared" si="45"/>
        <v>33449</v>
      </c>
      <c r="CU29">
        <f t="shared" si="46"/>
        <v>0</v>
      </c>
      <c r="CV29">
        <f t="shared" si="47"/>
        <v>155</v>
      </c>
      <c r="CW29">
        <f t="shared" si="48"/>
        <v>0</v>
      </c>
      <c r="CX29">
        <f t="shared" si="49"/>
        <v>0</v>
      </c>
      <c r="CY29">
        <f t="shared" si="50"/>
        <v>2575.5729999999999</v>
      </c>
      <c r="CZ29">
        <f t="shared" si="51"/>
        <v>367.93900000000002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1007</v>
      </c>
      <c r="DV29" t="s">
        <v>27</v>
      </c>
      <c r="DW29" t="s">
        <v>27</v>
      </c>
      <c r="DX29">
        <v>100</v>
      </c>
      <c r="DZ29" t="s">
        <v>3</v>
      </c>
      <c r="EA29" t="s">
        <v>3</v>
      </c>
      <c r="EB29" t="s">
        <v>3</v>
      </c>
      <c r="EC29" t="s">
        <v>3</v>
      </c>
      <c r="EE29">
        <v>36274424</v>
      </c>
      <c r="EF29">
        <v>1</v>
      </c>
      <c r="EG29" t="s">
        <v>21</v>
      </c>
      <c r="EH29">
        <v>0</v>
      </c>
      <c r="EI29" t="s">
        <v>3</v>
      </c>
      <c r="EJ29">
        <v>4</v>
      </c>
      <c r="EK29">
        <v>0</v>
      </c>
      <c r="EL29" t="s">
        <v>22</v>
      </c>
      <c r="EM29" t="s">
        <v>23</v>
      </c>
      <c r="EO29" t="s">
        <v>3</v>
      </c>
      <c r="EQ29">
        <v>0</v>
      </c>
      <c r="ER29">
        <v>67549.070000000007</v>
      </c>
      <c r="ES29">
        <v>0</v>
      </c>
      <c r="ET29">
        <v>34100.07</v>
      </c>
      <c r="EU29">
        <v>18593.07</v>
      </c>
      <c r="EV29">
        <v>33449</v>
      </c>
      <c r="EW29">
        <v>155</v>
      </c>
      <c r="EX29">
        <v>0</v>
      </c>
      <c r="EY29">
        <v>0</v>
      </c>
      <c r="FQ29">
        <v>0</v>
      </c>
      <c r="FR29">
        <f t="shared" si="52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679574235</v>
      </c>
      <c r="GG29">
        <v>2</v>
      </c>
      <c r="GH29">
        <v>1</v>
      </c>
      <c r="GI29">
        <v>-2</v>
      </c>
      <c r="GJ29">
        <v>0</v>
      </c>
      <c r="GK29">
        <f>ROUND(R29*(R12)/100,2)</f>
        <v>2208.86</v>
      </c>
      <c r="GL29">
        <f t="shared" si="53"/>
        <v>0</v>
      </c>
      <c r="GM29">
        <f t="shared" si="54"/>
        <v>12582.77</v>
      </c>
      <c r="GN29">
        <f t="shared" si="55"/>
        <v>0</v>
      </c>
      <c r="GO29">
        <f t="shared" si="56"/>
        <v>0</v>
      </c>
      <c r="GP29">
        <f t="shared" si="57"/>
        <v>12582.77</v>
      </c>
      <c r="GR29">
        <v>0</v>
      </c>
      <c r="GS29">
        <v>3</v>
      </c>
      <c r="GT29">
        <v>0</v>
      </c>
      <c r="GU29" t="s">
        <v>3</v>
      </c>
      <c r="GV29">
        <f t="shared" si="58"/>
        <v>0</v>
      </c>
      <c r="GW29">
        <v>1</v>
      </c>
      <c r="GX29">
        <f t="shared" si="59"/>
        <v>0</v>
      </c>
      <c r="HA29">
        <v>0</v>
      </c>
      <c r="HB29">
        <v>0</v>
      </c>
      <c r="HC29">
        <f t="shared" si="60"/>
        <v>0</v>
      </c>
      <c r="HE29" t="s">
        <v>3</v>
      </c>
      <c r="HF29" t="s">
        <v>3</v>
      </c>
      <c r="HM29" t="s">
        <v>3</v>
      </c>
      <c r="HN29" t="s">
        <v>3</v>
      </c>
      <c r="HO29" t="s">
        <v>3</v>
      </c>
      <c r="HP29" t="s">
        <v>3</v>
      </c>
      <c r="HQ29" t="s">
        <v>3</v>
      </c>
      <c r="IK29">
        <v>0</v>
      </c>
    </row>
    <row r="30" spans="1:245" x14ac:dyDescent="0.2">
      <c r="A30">
        <v>17</v>
      </c>
      <c r="B30">
        <v>1</v>
      </c>
      <c r="C30">
        <f>ROW(SmtRes!A13)</f>
        <v>13</v>
      </c>
      <c r="D30">
        <f>ROW(EtalonRes!A13)</f>
        <v>13</v>
      </c>
      <c r="E30" t="s">
        <v>29</v>
      </c>
      <c r="F30" t="s">
        <v>30</v>
      </c>
      <c r="G30" t="s">
        <v>31</v>
      </c>
      <c r="H30" t="s">
        <v>32</v>
      </c>
      <c r="I30">
        <f>ROUND(280/100,9)</f>
        <v>2.8</v>
      </c>
      <c r="J30">
        <v>0</v>
      </c>
      <c r="K30">
        <f>ROUND(280/100,9)</f>
        <v>2.8</v>
      </c>
      <c r="O30">
        <f t="shared" si="21"/>
        <v>23757.97</v>
      </c>
      <c r="P30">
        <f t="shared" si="22"/>
        <v>0</v>
      </c>
      <c r="Q30">
        <f t="shared" si="23"/>
        <v>17020.86</v>
      </c>
      <c r="R30">
        <f t="shared" si="24"/>
        <v>7049.08</v>
      </c>
      <c r="S30">
        <f t="shared" si="25"/>
        <v>6737.11</v>
      </c>
      <c r="T30">
        <f t="shared" si="26"/>
        <v>0</v>
      </c>
      <c r="U30">
        <f t="shared" si="27"/>
        <v>30.015999999999998</v>
      </c>
      <c r="V30">
        <f t="shared" si="28"/>
        <v>0</v>
      </c>
      <c r="W30">
        <f t="shared" si="29"/>
        <v>0</v>
      </c>
      <c r="X30">
        <f t="shared" si="30"/>
        <v>4715.9799999999996</v>
      </c>
      <c r="Y30">
        <f t="shared" si="31"/>
        <v>673.71</v>
      </c>
      <c r="AA30">
        <v>36602762</v>
      </c>
      <c r="AB30">
        <f t="shared" si="32"/>
        <v>8484.99</v>
      </c>
      <c r="AC30">
        <f t="shared" si="33"/>
        <v>0</v>
      </c>
      <c r="AD30">
        <f t="shared" si="34"/>
        <v>6078.88</v>
      </c>
      <c r="AE30">
        <f t="shared" si="35"/>
        <v>2517.5300000000002</v>
      </c>
      <c r="AF30">
        <f t="shared" si="36"/>
        <v>2406.11</v>
      </c>
      <c r="AG30">
        <f t="shared" si="37"/>
        <v>0</v>
      </c>
      <c r="AH30">
        <f t="shared" si="38"/>
        <v>10.72</v>
      </c>
      <c r="AI30">
        <f t="shared" si="39"/>
        <v>0</v>
      </c>
      <c r="AJ30">
        <f t="shared" si="40"/>
        <v>0</v>
      </c>
      <c r="AK30">
        <v>8484.99</v>
      </c>
      <c r="AL30">
        <v>0</v>
      </c>
      <c r="AM30">
        <v>6078.88</v>
      </c>
      <c r="AN30">
        <v>2517.5300000000002</v>
      </c>
      <c r="AO30">
        <v>2406.11</v>
      </c>
      <c r="AP30">
        <v>0</v>
      </c>
      <c r="AQ30">
        <v>10.72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33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B30" t="s">
        <v>3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41"/>
        <v>23757.97</v>
      </c>
      <c r="CQ30">
        <f t="shared" si="42"/>
        <v>0</v>
      </c>
      <c r="CR30">
        <f t="shared" si="43"/>
        <v>6078.88</v>
      </c>
      <c r="CS30">
        <f t="shared" si="44"/>
        <v>2517.5300000000002</v>
      </c>
      <c r="CT30">
        <f t="shared" si="45"/>
        <v>2406.11</v>
      </c>
      <c r="CU30">
        <f t="shared" si="46"/>
        <v>0</v>
      </c>
      <c r="CV30">
        <f t="shared" si="47"/>
        <v>10.72</v>
      </c>
      <c r="CW30">
        <f t="shared" si="48"/>
        <v>0</v>
      </c>
      <c r="CX30">
        <f t="shared" si="49"/>
        <v>0</v>
      </c>
      <c r="CY30">
        <f t="shared" si="50"/>
        <v>4715.9769999999999</v>
      </c>
      <c r="CZ30">
        <f t="shared" si="51"/>
        <v>673.7109999999999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1003</v>
      </c>
      <c r="DV30" t="s">
        <v>32</v>
      </c>
      <c r="DW30" t="s">
        <v>32</v>
      </c>
      <c r="DX30">
        <v>100</v>
      </c>
      <c r="DZ30" t="s">
        <v>3</v>
      </c>
      <c r="EA30" t="s">
        <v>3</v>
      </c>
      <c r="EB30" t="s">
        <v>3</v>
      </c>
      <c r="EC30" t="s">
        <v>3</v>
      </c>
      <c r="EE30">
        <v>36274424</v>
      </c>
      <c r="EF30">
        <v>1</v>
      </c>
      <c r="EG30" t="s">
        <v>21</v>
      </c>
      <c r="EH30">
        <v>0</v>
      </c>
      <c r="EI30" t="s">
        <v>3</v>
      </c>
      <c r="EJ30">
        <v>4</v>
      </c>
      <c r="EK30">
        <v>0</v>
      </c>
      <c r="EL30" t="s">
        <v>22</v>
      </c>
      <c r="EM30" t="s">
        <v>23</v>
      </c>
      <c r="EO30" t="s">
        <v>3</v>
      </c>
      <c r="EQ30">
        <v>0</v>
      </c>
      <c r="ER30">
        <v>8484.99</v>
      </c>
      <c r="ES30">
        <v>0</v>
      </c>
      <c r="ET30">
        <v>6078.88</v>
      </c>
      <c r="EU30">
        <v>2517.5300000000002</v>
      </c>
      <c r="EV30">
        <v>2406.11</v>
      </c>
      <c r="EW30">
        <v>10.72</v>
      </c>
      <c r="EX30">
        <v>0</v>
      </c>
      <c r="EY30">
        <v>0</v>
      </c>
      <c r="FQ30">
        <v>0</v>
      </c>
      <c r="FR30">
        <f t="shared" si="52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-837903024</v>
      </c>
      <c r="GG30">
        <v>2</v>
      </c>
      <c r="GH30">
        <v>1</v>
      </c>
      <c r="GI30">
        <v>-2</v>
      </c>
      <c r="GJ30">
        <v>0</v>
      </c>
      <c r="GK30">
        <f>ROUND(R30*(R12)/100,2)</f>
        <v>7613.01</v>
      </c>
      <c r="GL30">
        <f t="shared" si="53"/>
        <v>0</v>
      </c>
      <c r="GM30">
        <f t="shared" si="54"/>
        <v>36760.67</v>
      </c>
      <c r="GN30">
        <f t="shared" si="55"/>
        <v>0</v>
      </c>
      <c r="GO30">
        <f t="shared" si="56"/>
        <v>0</v>
      </c>
      <c r="GP30">
        <f t="shared" si="57"/>
        <v>36760.67</v>
      </c>
      <c r="GR30">
        <v>0</v>
      </c>
      <c r="GS30">
        <v>3</v>
      </c>
      <c r="GT30">
        <v>0</v>
      </c>
      <c r="GU30" t="s">
        <v>3</v>
      </c>
      <c r="GV30">
        <f t="shared" si="58"/>
        <v>0</v>
      </c>
      <c r="GW30">
        <v>1</v>
      </c>
      <c r="GX30">
        <f t="shared" si="59"/>
        <v>0</v>
      </c>
      <c r="HA30">
        <v>0</v>
      </c>
      <c r="HB30">
        <v>0</v>
      </c>
      <c r="HC30">
        <f t="shared" si="60"/>
        <v>0</v>
      </c>
      <c r="HE30" t="s">
        <v>3</v>
      </c>
      <c r="HF30" t="s">
        <v>3</v>
      </c>
      <c r="HM30" t="s">
        <v>3</v>
      </c>
      <c r="HN30" t="s">
        <v>3</v>
      </c>
      <c r="HO30" t="s">
        <v>3</v>
      </c>
      <c r="HP30" t="s">
        <v>3</v>
      </c>
      <c r="HQ30" t="s">
        <v>3</v>
      </c>
      <c r="IK30">
        <v>0</v>
      </c>
    </row>
    <row r="31" spans="1:245" x14ac:dyDescent="0.2">
      <c r="A31">
        <v>17</v>
      </c>
      <c r="B31">
        <v>1</v>
      </c>
      <c r="C31">
        <f>ROW(SmtRes!A16)</f>
        <v>16</v>
      </c>
      <c r="D31">
        <f>ROW(EtalonRes!A16)</f>
        <v>16</v>
      </c>
      <c r="E31" t="s">
        <v>34</v>
      </c>
      <c r="F31" t="s">
        <v>35</v>
      </c>
      <c r="G31" t="s">
        <v>36</v>
      </c>
      <c r="H31" t="s">
        <v>27</v>
      </c>
      <c r="I31">
        <f>ROUND(97.1/100,9)</f>
        <v>0.97099999999999997</v>
      </c>
      <c r="J31">
        <v>0</v>
      </c>
      <c r="K31">
        <f>ROUND(97.1/100,9)</f>
        <v>0.97099999999999997</v>
      </c>
      <c r="O31">
        <f t="shared" si="21"/>
        <v>28673.88</v>
      </c>
      <c r="P31">
        <f t="shared" si="22"/>
        <v>0</v>
      </c>
      <c r="Q31">
        <f t="shared" si="23"/>
        <v>15622.45</v>
      </c>
      <c r="R31">
        <f t="shared" si="24"/>
        <v>5153.38</v>
      </c>
      <c r="S31">
        <f t="shared" si="25"/>
        <v>13051.43</v>
      </c>
      <c r="T31">
        <f t="shared" si="26"/>
        <v>0</v>
      </c>
      <c r="U31">
        <f t="shared" si="27"/>
        <v>48.064499999999995</v>
      </c>
      <c r="V31">
        <f t="shared" si="28"/>
        <v>0</v>
      </c>
      <c r="W31">
        <f t="shared" si="29"/>
        <v>0</v>
      </c>
      <c r="X31">
        <f t="shared" si="30"/>
        <v>9136</v>
      </c>
      <c r="Y31">
        <f t="shared" si="31"/>
        <v>1305.1400000000001</v>
      </c>
      <c r="AA31">
        <v>36602762</v>
      </c>
      <c r="AB31">
        <f t="shared" si="32"/>
        <v>29530.26</v>
      </c>
      <c r="AC31">
        <f t="shared" si="33"/>
        <v>0</v>
      </c>
      <c r="AD31">
        <f t="shared" si="34"/>
        <v>16089.03</v>
      </c>
      <c r="AE31">
        <f t="shared" si="35"/>
        <v>5307.29</v>
      </c>
      <c r="AF31">
        <f t="shared" si="36"/>
        <v>13441.23</v>
      </c>
      <c r="AG31">
        <f t="shared" si="37"/>
        <v>0</v>
      </c>
      <c r="AH31">
        <f t="shared" si="38"/>
        <v>49.5</v>
      </c>
      <c r="AI31">
        <f t="shared" si="39"/>
        <v>0</v>
      </c>
      <c r="AJ31">
        <f t="shared" si="40"/>
        <v>0</v>
      </c>
      <c r="AK31">
        <v>29530.26</v>
      </c>
      <c r="AL31">
        <v>0</v>
      </c>
      <c r="AM31">
        <v>16089.03</v>
      </c>
      <c r="AN31">
        <v>5307.29</v>
      </c>
      <c r="AO31">
        <v>13441.23</v>
      </c>
      <c r="AP31">
        <v>0</v>
      </c>
      <c r="AQ31">
        <v>49.5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37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B31" t="s">
        <v>3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41"/>
        <v>28673.88</v>
      </c>
      <c r="CQ31">
        <f t="shared" si="42"/>
        <v>0</v>
      </c>
      <c r="CR31">
        <f t="shared" si="43"/>
        <v>16089.030000000002</v>
      </c>
      <c r="CS31">
        <f t="shared" si="44"/>
        <v>5307.29</v>
      </c>
      <c r="CT31">
        <f t="shared" si="45"/>
        <v>13441.23</v>
      </c>
      <c r="CU31">
        <f t="shared" si="46"/>
        <v>0</v>
      </c>
      <c r="CV31">
        <f t="shared" si="47"/>
        <v>49.5</v>
      </c>
      <c r="CW31">
        <f t="shared" si="48"/>
        <v>0</v>
      </c>
      <c r="CX31">
        <f t="shared" si="49"/>
        <v>0</v>
      </c>
      <c r="CY31">
        <f t="shared" si="50"/>
        <v>9136.0010000000002</v>
      </c>
      <c r="CZ31">
        <f t="shared" si="51"/>
        <v>1305.143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1007</v>
      </c>
      <c r="DV31" t="s">
        <v>27</v>
      </c>
      <c r="DW31" t="s">
        <v>27</v>
      </c>
      <c r="DX31">
        <v>100</v>
      </c>
      <c r="DZ31" t="s">
        <v>3</v>
      </c>
      <c r="EA31" t="s">
        <v>3</v>
      </c>
      <c r="EB31" t="s">
        <v>3</v>
      </c>
      <c r="EC31" t="s">
        <v>3</v>
      </c>
      <c r="EE31">
        <v>36274424</v>
      </c>
      <c r="EF31">
        <v>1</v>
      </c>
      <c r="EG31" t="s">
        <v>21</v>
      </c>
      <c r="EH31">
        <v>0</v>
      </c>
      <c r="EI31" t="s">
        <v>3</v>
      </c>
      <c r="EJ31">
        <v>4</v>
      </c>
      <c r="EK31">
        <v>0</v>
      </c>
      <c r="EL31" t="s">
        <v>22</v>
      </c>
      <c r="EM31" t="s">
        <v>23</v>
      </c>
      <c r="EO31" t="s">
        <v>3</v>
      </c>
      <c r="EQ31">
        <v>0</v>
      </c>
      <c r="ER31">
        <v>29530.26</v>
      </c>
      <c r="ES31">
        <v>0</v>
      </c>
      <c r="ET31">
        <v>16089.03</v>
      </c>
      <c r="EU31">
        <v>5307.29</v>
      </c>
      <c r="EV31">
        <v>13441.23</v>
      </c>
      <c r="EW31">
        <v>49.5</v>
      </c>
      <c r="EX31">
        <v>0</v>
      </c>
      <c r="EY31">
        <v>0</v>
      </c>
      <c r="FQ31">
        <v>0</v>
      </c>
      <c r="FR31">
        <f t="shared" si="52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-1922769753</v>
      </c>
      <c r="GG31">
        <v>2</v>
      </c>
      <c r="GH31">
        <v>1</v>
      </c>
      <c r="GI31">
        <v>-2</v>
      </c>
      <c r="GJ31">
        <v>0</v>
      </c>
      <c r="GK31">
        <f>ROUND(R31*(R12)/100,2)</f>
        <v>5565.65</v>
      </c>
      <c r="GL31">
        <f t="shared" si="53"/>
        <v>0</v>
      </c>
      <c r="GM31">
        <f t="shared" si="54"/>
        <v>44680.67</v>
      </c>
      <c r="GN31">
        <f t="shared" si="55"/>
        <v>0</v>
      </c>
      <c r="GO31">
        <f t="shared" si="56"/>
        <v>0</v>
      </c>
      <c r="GP31">
        <f t="shared" si="57"/>
        <v>44680.67</v>
      </c>
      <c r="GR31">
        <v>0</v>
      </c>
      <c r="GS31">
        <v>3</v>
      </c>
      <c r="GT31">
        <v>0</v>
      </c>
      <c r="GU31" t="s">
        <v>3</v>
      </c>
      <c r="GV31">
        <f t="shared" si="58"/>
        <v>0</v>
      </c>
      <c r="GW31">
        <v>1</v>
      </c>
      <c r="GX31">
        <f t="shared" si="59"/>
        <v>0</v>
      </c>
      <c r="HA31">
        <v>0</v>
      </c>
      <c r="HB31">
        <v>0</v>
      </c>
      <c r="HC31">
        <f t="shared" si="60"/>
        <v>0</v>
      </c>
      <c r="HE31" t="s">
        <v>3</v>
      </c>
      <c r="HF31" t="s">
        <v>3</v>
      </c>
      <c r="HM31" t="s">
        <v>3</v>
      </c>
      <c r="HN31" t="s">
        <v>3</v>
      </c>
      <c r="HO31" t="s">
        <v>3</v>
      </c>
      <c r="HP31" t="s">
        <v>3</v>
      </c>
      <c r="HQ31" t="s">
        <v>3</v>
      </c>
      <c r="IK31">
        <v>0</v>
      </c>
    </row>
    <row r="32" spans="1:245" x14ac:dyDescent="0.2">
      <c r="A32">
        <v>17</v>
      </c>
      <c r="B32">
        <v>1</v>
      </c>
      <c r="C32">
        <f>ROW(SmtRes!A25)</f>
        <v>25</v>
      </c>
      <c r="D32">
        <f>ROW(EtalonRes!A25)</f>
        <v>25</v>
      </c>
      <c r="E32" t="s">
        <v>38</v>
      </c>
      <c r="F32" t="s">
        <v>39</v>
      </c>
      <c r="G32" t="s">
        <v>40</v>
      </c>
      <c r="H32" t="s">
        <v>41</v>
      </c>
      <c r="I32">
        <v>280</v>
      </c>
      <c r="J32">
        <v>0</v>
      </c>
      <c r="K32">
        <v>280</v>
      </c>
      <c r="O32">
        <f t="shared" si="21"/>
        <v>324262.40000000002</v>
      </c>
      <c r="P32">
        <f t="shared" si="22"/>
        <v>220785.6</v>
      </c>
      <c r="Q32">
        <f t="shared" si="23"/>
        <v>59922.8</v>
      </c>
      <c r="R32">
        <f t="shared" si="24"/>
        <v>33227.599999999999</v>
      </c>
      <c r="S32">
        <f t="shared" si="25"/>
        <v>43554</v>
      </c>
      <c r="T32">
        <f t="shared" si="26"/>
        <v>0</v>
      </c>
      <c r="U32">
        <f t="shared" si="27"/>
        <v>184.8</v>
      </c>
      <c r="V32">
        <f t="shared" si="28"/>
        <v>0</v>
      </c>
      <c r="W32">
        <f t="shared" si="29"/>
        <v>0</v>
      </c>
      <c r="X32">
        <f t="shared" si="30"/>
        <v>30487.8</v>
      </c>
      <c r="Y32">
        <f t="shared" si="31"/>
        <v>4355.3999999999996</v>
      </c>
      <c r="AA32">
        <v>36602762</v>
      </c>
      <c r="AB32">
        <f t="shared" si="32"/>
        <v>1158.08</v>
      </c>
      <c r="AC32">
        <f t="shared" si="33"/>
        <v>788.52</v>
      </c>
      <c r="AD32">
        <f t="shared" si="34"/>
        <v>214.01</v>
      </c>
      <c r="AE32">
        <f t="shared" si="35"/>
        <v>118.67</v>
      </c>
      <c r="AF32">
        <f t="shared" si="36"/>
        <v>155.55000000000001</v>
      </c>
      <c r="AG32">
        <f t="shared" si="37"/>
        <v>0</v>
      </c>
      <c r="AH32">
        <f t="shared" si="38"/>
        <v>0.66</v>
      </c>
      <c r="AI32">
        <f t="shared" si="39"/>
        <v>0</v>
      </c>
      <c r="AJ32">
        <f t="shared" si="40"/>
        <v>0</v>
      </c>
      <c r="AK32">
        <v>1158.08</v>
      </c>
      <c r="AL32">
        <v>788.52</v>
      </c>
      <c r="AM32">
        <v>214.01</v>
      </c>
      <c r="AN32">
        <v>118.67</v>
      </c>
      <c r="AO32">
        <v>155.55000000000001</v>
      </c>
      <c r="AP32">
        <v>0</v>
      </c>
      <c r="AQ32">
        <v>0.66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42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B32" t="s">
        <v>3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41"/>
        <v>324262.40000000002</v>
      </c>
      <c r="CQ32">
        <f t="shared" si="42"/>
        <v>788.52</v>
      </c>
      <c r="CR32">
        <f t="shared" si="43"/>
        <v>214.01</v>
      </c>
      <c r="CS32">
        <f t="shared" si="44"/>
        <v>118.67</v>
      </c>
      <c r="CT32">
        <f t="shared" si="45"/>
        <v>155.55000000000001</v>
      </c>
      <c r="CU32">
        <f t="shared" si="46"/>
        <v>0</v>
      </c>
      <c r="CV32">
        <f t="shared" si="47"/>
        <v>0.66</v>
      </c>
      <c r="CW32">
        <f t="shared" si="48"/>
        <v>0</v>
      </c>
      <c r="CX32">
        <f t="shared" si="49"/>
        <v>0</v>
      </c>
      <c r="CY32">
        <f t="shared" si="50"/>
        <v>30487.8</v>
      </c>
      <c r="CZ32">
        <f t="shared" si="51"/>
        <v>4355.3999999999996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1003</v>
      </c>
      <c r="DV32" t="s">
        <v>41</v>
      </c>
      <c r="DW32" t="s">
        <v>41</v>
      </c>
      <c r="DX32">
        <v>1</v>
      </c>
      <c r="DZ32" t="s">
        <v>3</v>
      </c>
      <c r="EA32" t="s">
        <v>3</v>
      </c>
      <c r="EB32" t="s">
        <v>3</v>
      </c>
      <c r="EC32" t="s">
        <v>3</v>
      </c>
      <c r="EE32">
        <v>36274424</v>
      </c>
      <c r="EF32">
        <v>1</v>
      </c>
      <c r="EG32" t="s">
        <v>21</v>
      </c>
      <c r="EH32">
        <v>0</v>
      </c>
      <c r="EI32" t="s">
        <v>3</v>
      </c>
      <c r="EJ32">
        <v>4</v>
      </c>
      <c r="EK32">
        <v>0</v>
      </c>
      <c r="EL32" t="s">
        <v>22</v>
      </c>
      <c r="EM32" t="s">
        <v>23</v>
      </c>
      <c r="EO32" t="s">
        <v>3</v>
      </c>
      <c r="EQ32">
        <v>0</v>
      </c>
      <c r="ER32">
        <v>1158.08</v>
      </c>
      <c r="ES32">
        <v>788.52</v>
      </c>
      <c r="ET32">
        <v>214.01</v>
      </c>
      <c r="EU32">
        <v>118.67</v>
      </c>
      <c r="EV32">
        <v>155.55000000000001</v>
      </c>
      <c r="EW32">
        <v>0.66</v>
      </c>
      <c r="EX32">
        <v>0</v>
      </c>
      <c r="EY32">
        <v>0</v>
      </c>
      <c r="FQ32">
        <v>0</v>
      </c>
      <c r="FR32">
        <f t="shared" si="52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-690714473</v>
      </c>
      <c r="GG32">
        <v>2</v>
      </c>
      <c r="GH32">
        <v>1</v>
      </c>
      <c r="GI32">
        <v>-2</v>
      </c>
      <c r="GJ32">
        <v>0</v>
      </c>
      <c r="GK32">
        <f>ROUND(R32*(R12)/100,2)</f>
        <v>35885.81</v>
      </c>
      <c r="GL32">
        <f t="shared" si="53"/>
        <v>0</v>
      </c>
      <c r="GM32">
        <f t="shared" si="54"/>
        <v>394991.41</v>
      </c>
      <c r="GN32">
        <f t="shared" si="55"/>
        <v>0</v>
      </c>
      <c r="GO32">
        <f t="shared" si="56"/>
        <v>0</v>
      </c>
      <c r="GP32">
        <f t="shared" si="57"/>
        <v>394991.41</v>
      </c>
      <c r="GR32">
        <v>0</v>
      </c>
      <c r="GS32">
        <v>3</v>
      </c>
      <c r="GT32">
        <v>0</v>
      </c>
      <c r="GU32" t="s">
        <v>3</v>
      </c>
      <c r="GV32">
        <f t="shared" si="58"/>
        <v>0</v>
      </c>
      <c r="GW32">
        <v>1</v>
      </c>
      <c r="GX32">
        <f t="shared" si="59"/>
        <v>0</v>
      </c>
      <c r="HA32">
        <v>0</v>
      </c>
      <c r="HB32">
        <v>0</v>
      </c>
      <c r="HC32">
        <f t="shared" si="60"/>
        <v>0</v>
      </c>
      <c r="HE32" t="s">
        <v>3</v>
      </c>
      <c r="HF32" t="s">
        <v>3</v>
      </c>
      <c r="HM32" t="s">
        <v>3</v>
      </c>
      <c r="HN32" t="s">
        <v>3</v>
      </c>
      <c r="HO32" t="s">
        <v>3</v>
      </c>
      <c r="HP32" t="s">
        <v>3</v>
      </c>
      <c r="HQ32" t="s">
        <v>3</v>
      </c>
      <c r="IK32">
        <v>0</v>
      </c>
    </row>
    <row r="33" spans="1:245" x14ac:dyDescent="0.2">
      <c r="A33">
        <v>17</v>
      </c>
      <c r="B33">
        <v>1</v>
      </c>
      <c r="C33">
        <f>ROW(SmtRes!A32)</f>
        <v>32</v>
      </c>
      <c r="D33">
        <f>ROW(EtalonRes!A32)</f>
        <v>32</v>
      </c>
      <c r="E33" t="s">
        <v>43</v>
      </c>
      <c r="F33" t="s">
        <v>44</v>
      </c>
      <c r="G33" t="s">
        <v>45</v>
      </c>
      <c r="H33" t="s">
        <v>41</v>
      </c>
      <c r="I33">
        <v>186</v>
      </c>
      <c r="J33">
        <v>0</v>
      </c>
      <c r="K33">
        <v>186</v>
      </c>
      <c r="O33">
        <f t="shared" si="21"/>
        <v>259343.52</v>
      </c>
      <c r="P33">
        <f t="shared" si="22"/>
        <v>106948.14</v>
      </c>
      <c r="Q33">
        <f t="shared" si="23"/>
        <v>81605.64</v>
      </c>
      <c r="R33">
        <f t="shared" si="24"/>
        <v>35914.74</v>
      </c>
      <c r="S33">
        <f t="shared" si="25"/>
        <v>70789.740000000005</v>
      </c>
      <c r="T33">
        <f t="shared" si="26"/>
        <v>0</v>
      </c>
      <c r="U33">
        <f t="shared" si="27"/>
        <v>336.66</v>
      </c>
      <c r="V33">
        <f t="shared" si="28"/>
        <v>0</v>
      </c>
      <c r="W33">
        <f t="shared" si="29"/>
        <v>0</v>
      </c>
      <c r="X33">
        <f t="shared" si="30"/>
        <v>49552.82</v>
      </c>
      <c r="Y33">
        <f t="shared" si="31"/>
        <v>7078.97</v>
      </c>
      <c r="AA33">
        <v>36602762</v>
      </c>
      <c r="AB33">
        <f t="shared" si="32"/>
        <v>1394.32</v>
      </c>
      <c r="AC33">
        <f t="shared" si="33"/>
        <v>574.99</v>
      </c>
      <c r="AD33">
        <f t="shared" si="34"/>
        <v>438.74</v>
      </c>
      <c r="AE33">
        <f t="shared" si="35"/>
        <v>193.09</v>
      </c>
      <c r="AF33">
        <f t="shared" si="36"/>
        <v>380.59</v>
      </c>
      <c r="AG33">
        <f t="shared" si="37"/>
        <v>0</v>
      </c>
      <c r="AH33">
        <f t="shared" si="38"/>
        <v>1.81</v>
      </c>
      <c r="AI33">
        <f t="shared" si="39"/>
        <v>0</v>
      </c>
      <c r="AJ33">
        <f t="shared" si="40"/>
        <v>0</v>
      </c>
      <c r="AK33">
        <v>1394.32</v>
      </c>
      <c r="AL33">
        <v>574.99</v>
      </c>
      <c r="AM33">
        <v>438.74</v>
      </c>
      <c r="AN33">
        <v>193.09</v>
      </c>
      <c r="AO33">
        <v>380.59</v>
      </c>
      <c r="AP33">
        <v>0</v>
      </c>
      <c r="AQ33">
        <v>1.81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46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B33" t="s">
        <v>3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1"/>
        <v>259343.52000000002</v>
      </c>
      <c r="CQ33">
        <f t="shared" si="42"/>
        <v>574.99</v>
      </c>
      <c r="CR33">
        <f t="shared" si="43"/>
        <v>438.74</v>
      </c>
      <c r="CS33">
        <f t="shared" si="44"/>
        <v>193.09</v>
      </c>
      <c r="CT33">
        <f t="shared" si="45"/>
        <v>380.59</v>
      </c>
      <c r="CU33">
        <f t="shared" si="46"/>
        <v>0</v>
      </c>
      <c r="CV33">
        <f t="shared" si="47"/>
        <v>1.81</v>
      </c>
      <c r="CW33">
        <f t="shared" si="48"/>
        <v>0</v>
      </c>
      <c r="CX33">
        <f t="shared" si="49"/>
        <v>0</v>
      </c>
      <c r="CY33">
        <f t="shared" si="50"/>
        <v>49552.818000000007</v>
      </c>
      <c r="CZ33">
        <f t="shared" si="51"/>
        <v>7078.9740000000002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1003</v>
      </c>
      <c r="DV33" t="s">
        <v>41</v>
      </c>
      <c r="DW33" t="s">
        <v>41</v>
      </c>
      <c r="DX33">
        <v>1</v>
      </c>
      <c r="DZ33" t="s">
        <v>3</v>
      </c>
      <c r="EA33" t="s">
        <v>3</v>
      </c>
      <c r="EB33" t="s">
        <v>3</v>
      </c>
      <c r="EC33" t="s">
        <v>3</v>
      </c>
      <c r="EE33">
        <v>36274424</v>
      </c>
      <c r="EF33">
        <v>1</v>
      </c>
      <c r="EG33" t="s">
        <v>21</v>
      </c>
      <c r="EH33">
        <v>0</v>
      </c>
      <c r="EI33" t="s">
        <v>3</v>
      </c>
      <c r="EJ33">
        <v>4</v>
      </c>
      <c r="EK33">
        <v>0</v>
      </c>
      <c r="EL33" t="s">
        <v>22</v>
      </c>
      <c r="EM33" t="s">
        <v>23</v>
      </c>
      <c r="EO33" t="s">
        <v>3</v>
      </c>
      <c r="EQ33">
        <v>0</v>
      </c>
      <c r="ER33">
        <v>1394.32</v>
      </c>
      <c r="ES33">
        <v>574.99</v>
      </c>
      <c r="ET33">
        <v>438.74</v>
      </c>
      <c r="EU33">
        <v>193.09</v>
      </c>
      <c r="EV33">
        <v>380.59</v>
      </c>
      <c r="EW33">
        <v>1.81</v>
      </c>
      <c r="EX33">
        <v>0</v>
      </c>
      <c r="EY33">
        <v>0</v>
      </c>
      <c r="FQ33">
        <v>0</v>
      </c>
      <c r="FR33">
        <f t="shared" si="52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1662121477</v>
      </c>
      <c r="GG33">
        <v>2</v>
      </c>
      <c r="GH33">
        <v>1</v>
      </c>
      <c r="GI33">
        <v>-2</v>
      </c>
      <c r="GJ33">
        <v>0</v>
      </c>
      <c r="GK33">
        <f>ROUND(R33*(R12)/100,2)</f>
        <v>38787.919999999998</v>
      </c>
      <c r="GL33">
        <f t="shared" si="53"/>
        <v>0</v>
      </c>
      <c r="GM33">
        <f t="shared" si="54"/>
        <v>354763.23</v>
      </c>
      <c r="GN33">
        <f t="shared" si="55"/>
        <v>0</v>
      </c>
      <c r="GO33">
        <f t="shared" si="56"/>
        <v>0</v>
      </c>
      <c r="GP33">
        <f t="shared" si="57"/>
        <v>354763.23</v>
      </c>
      <c r="GR33">
        <v>0</v>
      </c>
      <c r="GS33">
        <v>3</v>
      </c>
      <c r="GT33">
        <v>0</v>
      </c>
      <c r="GU33" t="s">
        <v>3</v>
      </c>
      <c r="GV33">
        <f t="shared" si="58"/>
        <v>0</v>
      </c>
      <c r="GW33">
        <v>1</v>
      </c>
      <c r="GX33">
        <f t="shared" si="59"/>
        <v>0</v>
      </c>
      <c r="HA33">
        <v>0</v>
      </c>
      <c r="HB33">
        <v>0</v>
      </c>
      <c r="HC33">
        <f t="shared" si="60"/>
        <v>0</v>
      </c>
      <c r="HE33" t="s">
        <v>3</v>
      </c>
      <c r="HF33" t="s">
        <v>3</v>
      </c>
      <c r="HM33" t="s">
        <v>3</v>
      </c>
      <c r="HN33" t="s">
        <v>3</v>
      </c>
      <c r="HO33" t="s">
        <v>3</v>
      </c>
      <c r="HP33" t="s">
        <v>3</v>
      </c>
      <c r="HQ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ROW(SmtRes!A40)</f>
        <v>40</v>
      </c>
      <c r="D34">
        <f>ROW(EtalonRes!A40)</f>
        <v>40</v>
      </c>
      <c r="E34" t="s">
        <v>47</v>
      </c>
      <c r="F34" t="s">
        <v>48</v>
      </c>
      <c r="G34" t="s">
        <v>49</v>
      </c>
      <c r="H34" t="s">
        <v>27</v>
      </c>
      <c r="I34">
        <f>ROUND(15/100,9)</f>
        <v>0.15</v>
      </c>
      <c r="J34">
        <v>0</v>
      </c>
      <c r="K34">
        <f>ROUND(15/100,9)</f>
        <v>0.15</v>
      </c>
      <c r="O34">
        <f t="shared" si="21"/>
        <v>11247.29</v>
      </c>
      <c r="P34">
        <f t="shared" si="22"/>
        <v>9495.8799999999992</v>
      </c>
      <c r="Q34">
        <f t="shared" si="23"/>
        <v>1238.8399999999999</v>
      </c>
      <c r="R34">
        <f t="shared" si="24"/>
        <v>533</v>
      </c>
      <c r="S34">
        <f t="shared" si="25"/>
        <v>512.57000000000005</v>
      </c>
      <c r="T34">
        <f t="shared" si="26"/>
        <v>0</v>
      </c>
      <c r="U34">
        <f t="shared" si="27"/>
        <v>2.4839999999999995</v>
      </c>
      <c r="V34">
        <f t="shared" si="28"/>
        <v>0</v>
      </c>
      <c r="W34">
        <f t="shared" si="29"/>
        <v>0</v>
      </c>
      <c r="X34">
        <f t="shared" si="30"/>
        <v>358.8</v>
      </c>
      <c r="Y34">
        <f t="shared" si="31"/>
        <v>51.26</v>
      </c>
      <c r="AA34">
        <v>36602762</v>
      </c>
      <c r="AB34">
        <f t="shared" si="32"/>
        <v>74981.929999999993</v>
      </c>
      <c r="AC34">
        <f t="shared" si="33"/>
        <v>63305.85</v>
      </c>
      <c r="AD34">
        <f t="shared" si="34"/>
        <v>8258.92</v>
      </c>
      <c r="AE34">
        <f t="shared" si="35"/>
        <v>3553.33</v>
      </c>
      <c r="AF34">
        <f t="shared" si="36"/>
        <v>3417.16</v>
      </c>
      <c r="AG34">
        <f t="shared" si="37"/>
        <v>0</v>
      </c>
      <c r="AH34">
        <f t="shared" si="38"/>
        <v>16.559999999999999</v>
      </c>
      <c r="AI34">
        <f t="shared" si="39"/>
        <v>0</v>
      </c>
      <c r="AJ34">
        <f t="shared" si="40"/>
        <v>0</v>
      </c>
      <c r="AK34">
        <v>74981.929999999993</v>
      </c>
      <c r="AL34">
        <v>63305.85</v>
      </c>
      <c r="AM34">
        <v>8258.92</v>
      </c>
      <c r="AN34">
        <v>3553.33</v>
      </c>
      <c r="AO34">
        <v>3417.16</v>
      </c>
      <c r="AP34">
        <v>0</v>
      </c>
      <c r="AQ34">
        <v>16.559999999999999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50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B34" t="s">
        <v>3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41"/>
        <v>11247.289999999999</v>
      </c>
      <c r="CQ34">
        <f t="shared" si="42"/>
        <v>63305.85</v>
      </c>
      <c r="CR34">
        <f t="shared" si="43"/>
        <v>8258.92</v>
      </c>
      <c r="CS34">
        <f t="shared" si="44"/>
        <v>3553.33</v>
      </c>
      <c r="CT34">
        <f t="shared" si="45"/>
        <v>3417.16</v>
      </c>
      <c r="CU34">
        <f t="shared" si="46"/>
        <v>0</v>
      </c>
      <c r="CV34">
        <f t="shared" si="47"/>
        <v>16.559999999999999</v>
      </c>
      <c r="CW34">
        <f t="shared" si="48"/>
        <v>0</v>
      </c>
      <c r="CX34">
        <f t="shared" si="49"/>
        <v>0</v>
      </c>
      <c r="CY34">
        <f t="shared" si="50"/>
        <v>358.79900000000004</v>
      </c>
      <c r="CZ34">
        <f t="shared" si="51"/>
        <v>51.257000000000005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27</v>
      </c>
      <c r="DW34" t="s">
        <v>27</v>
      </c>
      <c r="DX34">
        <v>100</v>
      </c>
      <c r="DZ34" t="s">
        <v>3</v>
      </c>
      <c r="EA34" t="s">
        <v>3</v>
      </c>
      <c r="EB34" t="s">
        <v>3</v>
      </c>
      <c r="EC34" t="s">
        <v>3</v>
      </c>
      <c r="EE34">
        <v>36274424</v>
      </c>
      <c r="EF34">
        <v>1</v>
      </c>
      <c r="EG34" t="s">
        <v>21</v>
      </c>
      <c r="EH34">
        <v>0</v>
      </c>
      <c r="EI34" t="s">
        <v>3</v>
      </c>
      <c r="EJ34">
        <v>4</v>
      </c>
      <c r="EK34">
        <v>0</v>
      </c>
      <c r="EL34" t="s">
        <v>22</v>
      </c>
      <c r="EM34" t="s">
        <v>23</v>
      </c>
      <c r="EO34" t="s">
        <v>3</v>
      </c>
      <c r="EQ34">
        <v>0</v>
      </c>
      <c r="ER34">
        <v>74981.929999999993</v>
      </c>
      <c r="ES34">
        <v>63305.85</v>
      </c>
      <c r="ET34">
        <v>8258.92</v>
      </c>
      <c r="EU34">
        <v>3553.33</v>
      </c>
      <c r="EV34">
        <v>3417.16</v>
      </c>
      <c r="EW34">
        <v>16.559999999999999</v>
      </c>
      <c r="EX34">
        <v>0</v>
      </c>
      <c r="EY34">
        <v>0</v>
      </c>
      <c r="FQ34">
        <v>0</v>
      </c>
      <c r="FR34">
        <f t="shared" si="52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366740654</v>
      </c>
      <c r="GG34">
        <v>2</v>
      </c>
      <c r="GH34">
        <v>1</v>
      </c>
      <c r="GI34">
        <v>-2</v>
      </c>
      <c r="GJ34">
        <v>0</v>
      </c>
      <c r="GK34">
        <f>ROUND(R34*(R12)/100,2)</f>
        <v>575.64</v>
      </c>
      <c r="GL34">
        <f t="shared" si="53"/>
        <v>0</v>
      </c>
      <c r="GM34">
        <f t="shared" si="54"/>
        <v>12232.99</v>
      </c>
      <c r="GN34">
        <f t="shared" si="55"/>
        <v>0</v>
      </c>
      <c r="GO34">
        <f t="shared" si="56"/>
        <v>0</v>
      </c>
      <c r="GP34">
        <f t="shared" si="57"/>
        <v>12232.99</v>
      </c>
      <c r="GR34">
        <v>0</v>
      </c>
      <c r="GS34">
        <v>3</v>
      </c>
      <c r="GT34">
        <v>0</v>
      </c>
      <c r="GU34" t="s">
        <v>3</v>
      </c>
      <c r="GV34">
        <f t="shared" si="58"/>
        <v>0</v>
      </c>
      <c r="GW34">
        <v>1</v>
      </c>
      <c r="GX34">
        <f t="shared" si="59"/>
        <v>0</v>
      </c>
      <c r="HA34">
        <v>0</v>
      </c>
      <c r="HB34">
        <v>0</v>
      </c>
      <c r="HC34">
        <f t="shared" si="60"/>
        <v>0</v>
      </c>
      <c r="HE34" t="s">
        <v>3</v>
      </c>
      <c r="HF34" t="s">
        <v>3</v>
      </c>
      <c r="HM34" t="s">
        <v>3</v>
      </c>
      <c r="HN34" t="s">
        <v>3</v>
      </c>
      <c r="HO34" t="s">
        <v>3</v>
      </c>
      <c r="HP34" t="s">
        <v>3</v>
      </c>
      <c r="HQ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ROW(SmtRes!A49)</f>
        <v>49</v>
      </c>
      <c r="D35">
        <f>ROW(EtalonRes!A49)</f>
        <v>49</v>
      </c>
      <c r="E35" t="s">
        <v>51</v>
      </c>
      <c r="F35" t="s">
        <v>52</v>
      </c>
      <c r="G35" t="s">
        <v>53</v>
      </c>
      <c r="H35" t="s">
        <v>27</v>
      </c>
      <c r="I35">
        <f>ROUND(194/100,9)</f>
        <v>1.94</v>
      </c>
      <c r="J35">
        <v>0</v>
      </c>
      <c r="K35">
        <f>ROUND(194/100,9)</f>
        <v>1.94</v>
      </c>
      <c r="O35">
        <f t="shared" si="21"/>
        <v>713026.75</v>
      </c>
      <c r="P35">
        <f t="shared" si="22"/>
        <v>582286.36</v>
      </c>
      <c r="Q35">
        <f t="shared" si="23"/>
        <v>120796.47</v>
      </c>
      <c r="R35">
        <f t="shared" si="24"/>
        <v>45376.15</v>
      </c>
      <c r="S35">
        <f t="shared" si="25"/>
        <v>9943.92</v>
      </c>
      <c r="T35">
        <f t="shared" si="26"/>
        <v>0</v>
      </c>
      <c r="U35">
        <f t="shared" si="27"/>
        <v>48.189599999999999</v>
      </c>
      <c r="V35">
        <f t="shared" si="28"/>
        <v>0</v>
      </c>
      <c r="W35">
        <f t="shared" si="29"/>
        <v>0</v>
      </c>
      <c r="X35">
        <f t="shared" si="30"/>
        <v>6960.74</v>
      </c>
      <c r="Y35">
        <f t="shared" si="31"/>
        <v>994.39</v>
      </c>
      <c r="AA35">
        <v>36602762</v>
      </c>
      <c r="AB35">
        <f t="shared" si="32"/>
        <v>367539.56</v>
      </c>
      <c r="AC35">
        <f t="shared" si="33"/>
        <v>300147.61</v>
      </c>
      <c r="AD35">
        <f t="shared" si="34"/>
        <v>62266.22</v>
      </c>
      <c r="AE35">
        <f t="shared" si="35"/>
        <v>23389.77</v>
      </c>
      <c r="AF35">
        <f t="shared" si="36"/>
        <v>5125.7299999999996</v>
      </c>
      <c r="AG35">
        <f t="shared" si="37"/>
        <v>0</v>
      </c>
      <c r="AH35">
        <f t="shared" si="38"/>
        <v>24.84</v>
      </c>
      <c r="AI35">
        <f t="shared" si="39"/>
        <v>0</v>
      </c>
      <c r="AJ35">
        <f t="shared" si="40"/>
        <v>0</v>
      </c>
      <c r="AK35">
        <v>367539.56</v>
      </c>
      <c r="AL35">
        <v>300147.61</v>
      </c>
      <c r="AM35">
        <v>62266.22</v>
      </c>
      <c r="AN35">
        <v>23389.77</v>
      </c>
      <c r="AO35">
        <v>5125.7299999999996</v>
      </c>
      <c r="AP35">
        <v>0</v>
      </c>
      <c r="AQ35">
        <v>24.84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54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B35" t="s">
        <v>3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1"/>
        <v>713026.75</v>
      </c>
      <c r="CQ35">
        <f t="shared" si="42"/>
        <v>300147.61</v>
      </c>
      <c r="CR35">
        <f t="shared" si="43"/>
        <v>62266.22</v>
      </c>
      <c r="CS35">
        <f t="shared" si="44"/>
        <v>23389.77</v>
      </c>
      <c r="CT35">
        <f t="shared" si="45"/>
        <v>5125.7299999999996</v>
      </c>
      <c r="CU35">
        <f t="shared" si="46"/>
        <v>0</v>
      </c>
      <c r="CV35">
        <f t="shared" si="47"/>
        <v>24.84</v>
      </c>
      <c r="CW35">
        <f t="shared" si="48"/>
        <v>0</v>
      </c>
      <c r="CX35">
        <f t="shared" si="49"/>
        <v>0</v>
      </c>
      <c r="CY35">
        <f t="shared" si="50"/>
        <v>6960.7440000000006</v>
      </c>
      <c r="CZ35">
        <f t="shared" si="51"/>
        <v>994.39199999999994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1007</v>
      </c>
      <c r="DV35" t="s">
        <v>27</v>
      </c>
      <c r="DW35" t="s">
        <v>27</v>
      </c>
      <c r="DX35">
        <v>100</v>
      </c>
      <c r="DZ35" t="s">
        <v>3</v>
      </c>
      <c r="EA35" t="s">
        <v>3</v>
      </c>
      <c r="EB35" t="s">
        <v>3</v>
      </c>
      <c r="EC35" t="s">
        <v>3</v>
      </c>
      <c r="EE35">
        <v>36274424</v>
      </c>
      <c r="EF35">
        <v>1</v>
      </c>
      <c r="EG35" t="s">
        <v>21</v>
      </c>
      <c r="EH35">
        <v>0</v>
      </c>
      <c r="EI35" t="s">
        <v>3</v>
      </c>
      <c r="EJ35">
        <v>4</v>
      </c>
      <c r="EK35">
        <v>0</v>
      </c>
      <c r="EL35" t="s">
        <v>22</v>
      </c>
      <c r="EM35" t="s">
        <v>23</v>
      </c>
      <c r="EO35" t="s">
        <v>3</v>
      </c>
      <c r="EQ35">
        <v>0</v>
      </c>
      <c r="ER35">
        <v>367539.56</v>
      </c>
      <c r="ES35">
        <v>300147.61</v>
      </c>
      <c r="ET35">
        <v>62266.22</v>
      </c>
      <c r="EU35">
        <v>23389.77</v>
      </c>
      <c r="EV35">
        <v>5125.7299999999996</v>
      </c>
      <c r="EW35">
        <v>24.84</v>
      </c>
      <c r="EX35">
        <v>0</v>
      </c>
      <c r="EY35">
        <v>0</v>
      </c>
      <c r="FQ35">
        <v>0</v>
      </c>
      <c r="FR35">
        <f t="shared" si="52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-1394883479</v>
      </c>
      <c r="GG35">
        <v>2</v>
      </c>
      <c r="GH35">
        <v>1</v>
      </c>
      <c r="GI35">
        <v>-2</v>
      </c>
      <c r="GJ35">
        <v>0</v>
      </c>
      <c r="GK35">
        <f>ROUND(R35*(R12)/100,2)</f>
        <v>49006.239999999998</v>
      </c>
      <c r="GL35">
        <f t="shared" si="53"/>
        <v>0</v>
      </c>
      <c r="GM35">
        <f t="shared" si="54"/>
        <v>769988.12</v>
      </c>
      <c r="GN35">
        <f t="shared" si="55"/>
        <v>0</v>
      </c>
      <c r="GO35">
        <f t="shared" si="56"/>
        <v>0</v>
      </c>
      <c r="GP35">
        <f t="shared" si="57"/>
        <v>769988.12</v>
      </c>
      <c r="GR35">
        <v>0</v>
      </c>
      <c r="GS35">
        <v>3</v>
      </c>
      <c r="GT35">
        <v>0</v>
      </c>
      <c r="GU35" t="s">
        <v>3</v>
      </c>
      <c r="GV35">
        <f t="shared" si="58"/>
        <v>0</v>
      </c>
      <c r="GW35">
        <v>1</v>
      </c>
      <c r="GX35">
        <f t="shared" si="59"/>
        <v>0</v>
      </c>
      <c r="HA35">
        <v>0</v>
      </c>
      <c r="HB35">
        <v>0</v>
      </c>
      <c r="HC35">
        <f t="shared" si="60"/>
        <v>0</v>
      </c>
      <c r="HE35" t="s">
        <v>3</v>
      </c>
      <c r="HF35" t="s">
        <v>3</v>
      </c>
      <c r="HM35" t="s">
        <v>3</v>
      </c>
      <c r="HN35" t="s">
        <v>3</v>
      </c>
      <c r="HO35" t="s">
        <v>3</v>
      </c>
      <c r="HP35" t="s">
        <v>3</v>
      </c>
      <c r="HQ35" t="s">
        <v>3</v>
      </c>
      <c r="IK35">
        <v>0</v>
      </c>
    </row>
    <row r="36" spans="1:245" x14ac:dyDescent="0.2">
      <c r="A36">
        <v>17</v>
      </c>
      <c r="B36">
        <v>1</v>
      </c>
      <c r="C36">
        <f>ROW(SmtRes!A56)</f>
        <v>56</v>
      </c>
      <c r="D36">
        <f>ROW(EtalonRes!A56)</f>
        <v>56</v>
      </c>
      <c r="E36" t="s">
        <v>55</v>
      </c>
      <c r="F36" t="s">
        <v>56</v>
      </c>
      <c r="G36" t="s">
        <v>57</v>
      </c>
      <c r="H36" t="s">
        <v>58</v>
      </c>
      <c r="I36">
        <f>ROUND(22/1000,9)</f>
        <v>2.1999999999999999E-2</v>
      </c>
      <c r="J36">
        <v>0</v>
      </c>
      <c r="K36">
        <f>ROUND(22/1000,9)</f>
        <v>2.1999999999999999E-2</v>
      </c>
      <c r="O36">
        <f t="shared" si="21"/>
        <v>34569.01</v>
      </c>
      <c r="P36">
        <f t="shared" si="22"/>
        <v>34287.089999999997</v>
      </c>
      <c r="Q36">
        <f t="shared" si="23"/>
        <v>141.72999999999999</v>
      </c>
      <c r="R36">
        <f t="shared" si="24"/>
        <v>96.73</v>
      </c>
      <c r="S36">
        <f t="shared" si="25"/>
        <v>140.19</v>
      </c>
      <c r="T36">
        <f t="shared" si="26"/>
        <v>0</v>
      </c>
      <c r="U36">
        <f t="shared" si="27"/>
        <v>0.64261999999999997</v>
      </c>
      <c r="V36">
        <f t="shared" si="28"/>
        <v>0</v>
      </c>
      <c r="W36">
        <f t="shared" si="29"/>
        <v>0</v>
      </c>
      <c r="X36">
        <f t="shared" si="30"/>
        <v>98.13</v>
      </c>
      <c r="Y36">
        <f t="shared" si="31"/>
        <v>14.02</v>
      </c>
      <c r="AA36">
        <v>36602762</v>
      </c>
      <c r="AB36">
        <f t="shared" si="32"/>
        <v>1571319.07</v>
      </c>
      <c r="AC36">
        <f t="shared" si="33"/>
        <v>1558504.24</v>
      </c>
      <c r="AD36">
        <f t="shared" si="34"/>
        <v>6442.38</v>
      </c>
      <c r="AE36">
        <f t="shared" si="35"/>
        <v>4397</v>
      </c>
      <c r="AF36">
        <f t="shared" si="36"/>
        <v>6372.45</v>
      </c>
      <c r="AG36">
        <f t="shared" si="37"/>
        <v>0</v>
      </c>
      <c r="AH36">
        <f t="shared" si="38"/>
        <v>29.21</v>
      </c>
      <c r="AI36">
        <f t="shared" si="39"/>
        <v>0</v>
      </c>
      <c r="AJ36">
        <f t="shared" si="40"/>
        <v>0</v>
      </c>
      <c r="AK36">
        <v>1571319.07</v>
      </c>
      <c r="AL36">
        <v>1558504.24</v>
      </c>
      <c r="AM36">
        <v>6442.38</v>
      </c>
      <c r="AN36">
        <v>4397</v>
      </c>
      <c r="AO36">
        <v>6372.45</v>
      </c>
      <c r="AP36">
        <v>0</v>
      </c>
      <c r="AQ36">
        <v>29.21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59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B36" t="s">
        <v>3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41"/>
        <v>34569.01</v>
      </c>
      <c r="CQ36">
        <f t="shared" si="42"/>
        <v>1558504.24</v>
      </c>
      <c r="CR36">
        <f t="shared" si="43"/>
        <v>6442.38</v>
      </c>
      <c r="CS36">
        <f t="shared" si="44"/>
        <v>4397</v>
      </c>
      <c r="CT36">
        <f t="shared" si="45"/>
        <v>6372.45</v>
      </c>
      <c r="CU36">
        <f t="shared" si="46"/>
        <v>0</v>
      </c>
      <c r="CV36">
        <f t="shared" si="47"/>
        <v>29.21</v>
      </c>
      <c r="CW36">
        <f t="shared" si="48"/>
        <v>0</v>
      </c>
      <c r="CX36">
        <f t="shared" si="49"/>
        <v>0</v>
      </c>
      <c r="CY36">
        <f t="shared" si="50"/>
        <v>98.132999999999996</v>
      </c>
      <c r="CZ36">
        <f t="shared" si="51"/>
        <v>14.019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1005</v>
      </c>
      <c r="DV36" t="s">
        <v>58</v>
      </c>
      <c r="DW36" t="s">
        <v>58</v>
      </c>
      <c r="DX36">
        <v>1000</v>
      </c>
      <c r="DZ36" t="s">
        <v>3</v>
      </c>
      <c r="EA36" t="s">
        <v>3</v>
      </c>
      <c r="EB36" t="s">
        <v>3</v>
      </c>
      <c r="EC36" t="s">
        <v>3</v>
      </c>
      <c r="EE36">
        <v>36274424</v>
      </c>
      <c r="EF36">
        <v>1</v>
      </c>
      <c r="EG36" t="s">
        <v>21</v>
      </c>
      <c r="EH36">
        <v>0</v>
      </c>
      <c r="EI36" t="s">
        <v>3</v>
      </c>
      <c r="EJ36">
        <v>4</v>
      </c>
      <c r="EK36">
        <v>0</v>
      </c>
      <c r="EL36" t="s">
        <v>22</v>
      </c>
      <c r="EM36" t="s">
        <v>23</v>
      </c>
      <c r="EO36" t="s">
        <v>3</v>
      </c>
      <c r="EQ36">
        <v>0</v>
      </c>
      <c r="ER36">
        <v>1571319.07</v>
      </c>
      <c r="ES36">
        <v>1558504.24</v>
      </c>
      <c r="ET36">
        <v>6442.38</v>
      </c>
      <c r="EU36">
        <v>4397</v>
      </c>
      <c r="EV36">
        <v>6372.45</v>
      </c>
      <c r="EW36">
        <v>29.21</v>
      </c>
      <c r="EX36">
        <v>0</v>
      </c>
      <c r="EY36">
        <v>0</v>
      </c>
      <c r="FQ36">
        <v>0</v>
      </c>
      <c r="FR36">
        <f t="shared" si="52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-1283427344</v>
      </c>
      <c r="GG36">
        <v>2</v>
      </c>
      <c r="GH36">
        <v>1</v>
      </c>
      <c r="GI36">
        <v>-2</v>
      </c>
      <c r="GJ36">
        <v>0</v>
      </c>
      <c r="GK36">
        <f>ROUND(R36*(R12)/100,2)</f>
        <v>104.47</v>
      </c>
      <c r="GL36">
        <f t="shared" si="53"/>
        <v>0</v>
      </c>
      <c r="GM36">
        <f t="shared" si="54"/>
        <v>34785.629999999997</v>
      </c>
      <c r="GN36">
        <f t="shared" si="55"/>
        <v>0</v>
      </c>
      <c r="GO36">
        <f t="shared" si="56"/>
        <v>0</v>
      </c>
      <c r="GP36">
        <f t="shared" si="57"/>
        <v>34785.629999999997</v>
      </c>
      <c r="GR36">
        <v>0</v>
      </c>
      <c r="GS36">
        <v>3</v>
      </c>
      <c r="GT36">
        <v>0</v>
      </c>
      <c r="GU36" t="s">
        <v>3</v>
      </c>
      <c r="GV36">
        <f t="shared" si="58"/>
        <v>0</v>
      </c>
      <c r="GW36">
        <v>1</v>
      </c>
      <c r="GX36">
        <f t="shared" si="59"/>
        <v>0</v>
      </c>
      <c r="HA36">
        <v>0</v>
      </c>
      <c r="HB36">
        <v>0</v>
      </c>
      <c r="HC36">
        <f t="shared" si="60"/>
        <v>0</v>
      </c>
      <c r="HE36" t="s">
        <v>3</v>
      </c>
      <c r="HF36" t="s">
        <v>3</v>
      </c>
      <c r="HM36" t="s">
        <v>3</v>
      </c>
      <c r="HN36" t="s">
        <v>3</v>
      </c>
      <c r="HO36" t="s">
        <v>3</v>
      </c>
      <c r="HP36" t="s">
        <v>3</v>
      </c>
      <c r="HQ36" t="s">
        <v>3</v>
      </c>
      <c r="IK36">
        <v>0</v>
      </c>
    </row>
    <row r="37" spans="1:245" x14ac:dyDescent="0.2">
      <c r="A37">
        <v>18</v>
      </c>
      <c r="B37">
        <v>1</v>
      </c>
      <c r="C37">
        <v>56</v>
      </c>
      <c r="E37" t="s">
        <v>60</v>
      </c>
      <c r="F37" t="s">
        <v>61</v>
      </c>
      <c r="G37" t="s">
        <v>62</v>
      </c>
      <c r="H37" t="s">
        <v>63</v>
      </c>
      <c r="I37">
        <f>I36*J37</f>
        <v>0.10999999999999999</v>
      </c>
      <c r="J37">
        <v>5</v>
      </c>
      <c r="K37">
        <v>5</v>
      </c>
      <c r="O37">
        <f t="shared" si="21"/>
        <v>4991.6400000000003</v>
      </c>
      <c r="P37">
        <f t="shared" si="22"/>
        <v>4991.6400000000003</v>
      </c>
      <c r="Q37">
        <f t="shared" si="23"/>
        <v>0</v>
      </c>
      <c r="R37">
        <f t="shared" si="24"/>
        <v>0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36602762</v>
      </c>
      <c r="AB37">
        <f t="shared" si="32"/>
        <v>45378.52</v>
      </c>
      <c r="AC37">
        <f t="shared" si="33"/>
        <v>45378.52</v>
      </c>
      <c r="AD37">
        <f t="shared" si="34"/>
        <v>0</v>
      </c>
      <c r="AE37">
        <f t="shared" si="35"/>
        <v>0</v>
      </c>
      <c r="AF37">
        <f t="shared" si="36"/>
        <v>0</v>
      </c>
      <c r="AG37">
        <f t="shared" si="37"/>
        <v>0</v>
      </c>
      <c r="AH37">
        <f t="shared" si="38"/>
        <v>0</v>
      </c>
      <c r="AI37">
        <f t="shared" si="39"/>
        <v>0</v>
      </c>
      <c r="AJ37">
        <f t="shared" si="40"/>
        <v>0</v>
      </c>
      <c r="AK37">
        <v>45378.52</v>
      </c>
      <c r="AL37">
        <v>45378.52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3</v>
      </c>
      <c r="BI37">
        <v>4</v>
      </c>
      <c r="BJ37" t="s">
        <v>64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B37" t="s">
        <v>3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1"/>
        <v>4991.6400000000003</v>
      </c>
      <c r="CQ37">
        <f t="shared" si="42"/>
        <v>45378.52</v>
      </c>
      <c r="CR37">
        <f t="shared" si="43"/>
        <v>0</v>
      </c>
      <c r="CS37">
        <f t="shared" si="44"/>
        <v>0</v>
      </c>
      <c r="CT37">
        <f t="shared" si="45"/>
        <v>0</v>
      </c>
      <c r="CU37">
        <f t="shared" si="46"/>
        <v>0</v>
      </c>
      <c r="CV37">
        <f t="shared" si="47"/>
        <v>0</v>
      </c>
      <c r="CW37">
        <f t="shared" si="48"/>
        <v>0</v>
      </c>
      <c r="CX37">
        <f t="shared" si="49"/>
        <v>0</v>
      </c>
      <c r="CY37">
        <f t="shared" si="50"/>
        <v>0</v>
      </c>
      <c r="CZ37">
        <f t="shared" si="51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1009</v>
      </c>
      <c r="DV37" t="s">
        <v>63</v>
      </c>
      <c r="DW37" t="s">
        <v>63</v>
      </c>
      <c r="DX37">
        <v>1000</v>
      </c>
      <c r="DZ37" t="s">
        <v>3</v>
      </c>
      <c r="EA37" t="s">
        <v>3</v>
      </c>
      <c r="EB37" t="s">
        <v>3</v>
      </c>
      <c r="EC37" t="s">
        <v>3</v>
      </c>
      <c r="EE37">
        <v>36274424</v>
      </c>
      <c r="EF37">
        <v>1</v>
      </c>
      <c r="EG37" t="s">
        <v>21</v>
      </c>
      <c r="EH37">
        <v>0</v>
      </c>
      <c r="EI37" t="s">
        <v>3</v>
      </c>
      <c r="EJ37">
        <v>4</v>
      </c>
      <c r="EK37">
        <v>0</v>
      </c>
      <c r="EL37" t="s">
        <v>22</v>
      </c>
      <c r="EM37" t="s">
        <v>23</v>
      </c>
      <c r="EO37" t="s">
        <v>3</v>
      </c>
      <c r="EQ37">
        <v>0</v>
      </c>
      <c r="ER37">
        <v>45378.52</v>
      </c>
      <c r="ES37">
        <v>45378.52</v>
      </c>
      <c r="ET37">
        <v>0</v>
      </c>
      <c r="EU37">
        <v>0</v>
      </c>
      <c r="EV37">
        <v>0</v>
      </c>
      <c r="EW37">
        <v>0</v>
      </c>
      <c r="EX37">
        <v>0</v>
      </c>
      <c r="FQ37">
        <v>0</v>
      </c>
      <c r="FR37">
        <f t="shared" si="52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28246506</v>
      </c>
      <c r="GG37">
        <v>2</v>
      </c>
      <c r="GH37">
        <v>1</v>
      </c>
      <c r="GI37">
        <v>-2</v>
      </c>
      <c r="GJ37">
        <v>0</v>
      </c>
      <c r="GK37">
        <f>ROUND(R37*(R12)/100,2)</f>
        <v>0</v>
      </c>
      <c r="GL37">
        <f t="shared" si="53"/>
        <v>0</v>
      </c>
      <c r="GM37">
        <f t="shared" si="54"/>
        <v>4991.6400000000003</v>
      </c>
      <c r="GN37">
        <f t="shared" si="55"/>
        <v>0</v>
      </c>
      <c r="GO37">
        <f t="shared" si="56"/>
        <v>0</v>
      </c>
      <c r="GP37">
        <f t="shared" si="57"/>
        <v>4991.6400000000003</v>
      </c>
      <c r="GR37">
        <v>0</v>
      </c>
      <c r="GS37">
        <v>3</v>
      </c>
      <c r="GT37">
        <v>0</v>
      </c>
      <c r="GU37" t="s">
        <v>3</v>
      </c>
      <c r="GV37">
        <f t="shared" si="58"/>
        <v>0</v>
      </c>
      <c r="GW37">
        <v>1</v>
      </c>
      <c r="GX37">
        <f t="shared" si="59"/>
        <v>0</v>
      </c>
      <c r="HA37">
        <v>0</v>
      </c>
      <c r="HB37">
        <v>0</v>
      </c>
      <c r="HC37">
        <f t="shared" si="60"/>
        <v>0</v>
      </c>
      <c r="HE37" t="s">
        <v>3</v>
      </c>
      <c r="HF37" t="s">
        <v>3</v>
      </c>
      <c r="HM37" t="s">
        <v>3</v>
      </c>
      <c r="HN37" t="s">
        <v>3</v>
      </c>
      <c r="HO37" t="s">
        <v>3</v>
      </c>
      <c r="HP37" t="s">
        <v>3</v>
      </c>
      <c r="HQ37" t="s">
        <v>3</v>
      </c>
      <c r="IK37">
        <v>0</v>
      </c>
    </row>
    <row r="38" spans="1:245" x14ac:dyDescent="0.2">
      <c r="A38">
        <v>17</v>
      </c>
      <c r="B38">
        <v>1</v>
      </c>
      <c r="C38">
        <f>ROW(SmtRes!A60)</f>
        <v>60</v>
      </c>
      <c r="D38">
        <f>ROW(EtalonRes!A60)</f>
        <v>60</v>
      </c>
      <c r="E38" t="s">
        <v>65</v>
      </c>
      <c r="F38" t="s">
        <v>66</v>
      </c>
      <c r="G38" t="s">
        <v>67</v>
      </c>
      <c r="H38" t="s">
        <v>68</v>
      </c>
      <c r="I38">
        <f>ROUND(1984/100,9)</f>
        <v>19.84</v>
      </c>
      <c r="J38">
        <v>0</v>
      </c>
      <c r="K38">
        <f>ROUND(1984/100,9)</f>
        <v>19.84</v>
      </c>
      <c r="O38">
        <f t="shared" si="21"/>
        <v>880548.4</v>
      </c>
      <c r="P38">
        <f t="shared" si="22"/>
        <v>776914.96</v>
      </c>
      <c r="Q38">
        <f t="shared" si="23"/>
        <v>35766.160000000003</v>
      </c>
      <c r="R38">
        <f t="shared" si="24"/>
        <v>20228.47</v>
      </c>
      <c r="S38">
        <f t="shared" si="25"/>
        <v>67867.28</v>
      </c>
      <c r="T38">
        <f t="shared" si="26"/>
        <v>0</v>
      </c>
      <c r="U38">
        <f t="shared" si="27"/>
        <v>269.22879999999998</v>
      </c>
      <c r="V38">
        <f t="shared" si="28"/>
        <v>0</v>
      </c>
      <c r="W38">
        <f t="shared" si="29"/>
        <v>0</v>
      </c>
      <c r="X38">
        <f t="shared" si="30"/>
        <v>47507.1</v>
      </c>
      <c r="Y38">
        <f t="shared" si="31"/>
        <v>6786.73</v>
      </c>
      <c r="AA38">
        <v>36602762</v>
      </c>
      <c r="AB38">
        <f t="shared" si="32"/>
        <v>44382.48</v>
      </c>
      <c r="AC38">
        <f t="shared" si="33"/>
        <v>39159.019999999997</v>
      </c>
      <c r="AD38">
        <f t="shared" si="34"/>
        <v>1802.73</v>
      </c>
      <c r="AE38">
        <f t="shared" si="35"/>
        <v>1019.58</v>
      </c>
      <c r="AF38">
        <f t="shared" si="36"/>
        <v>3420.73</v>
      </c>
      <c r="AG38">
        <f t="shared" si="37"/>
        <v>0</v>
      </c>
      <c r="AH38">
        <f t="shared" si="38"/>
        <v>13.57</v>
      </c>
      <c r="AI38">
        <f t="shared" si="39"/>
        <v>0</v>
      </c>
      <c r="AJ38">
        <f t="shared" si="40"/>
        <v>0</v>
      </c>
      <c r="AK38">
        <v>44382.48</v>
      </c>
      <c r="AL38">
        <v>39159.019999999997</v>
      </c>
      <c r="AM38">
        <v>1802.73</v>
      </c>
      <c r="AN38">
        <v>1019.58</v>
      </c>
      <c r="AO38">
        <v>3420.73</v>
      </c>
      <c r="AP38">
        <v>0</v>
      </c>
      <c r="AQ38">
        <v>13.57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69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B38" t="s">
        <v>3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41"/>
        <v>880548.4</v>
      </c>
      <c r="CQ38">
        <f t="shared" si="42"/>
        <v>39159.019999999997</v>
      </c>
      <c r="CR38">
        <f t="shared" si="43"/>
        <v>1802.73</v>
      </c>
      <c r="CS38">
        <f t="shared" si="44"/>
        <v>1019.58</v>
      </c>
      <c r="CT38">
        <f t="shared" si="45"/>
        <v>3420.73</v>
      </c>
      <c r="CU38">
        <f t="shared" si="46"/>
        <v>0</v>
      </c>
      <c r="CV38">
        <f t="shared" si="47"/>
        <v>13.57</v>
      </c>
      <c r="CW38">
        <f t="shared" si="48"/>
        <v>0</v>
      </c>
      <c r="CX38">
        <f t="shared" si="49"/>
        <v>0</v>
      </c>
      <c r="CY38">
        <f t="shared" si="50"/>
        <v>47507.095999999998</v>
      </c>
      <c r="CZ38">
        <f t="shared" si="51"/>
        <v>6786.7280000000001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1005</v>
      </c>
      <c r="DV38" t="s">
        <v>68</v>
      </c>
      <c r="DW38" t="s">
        <v>68</v>
      </c>
      <c r="DX38">
        <v>100</v>
      </c>
      <c r="DZ38" t="s">
        <v>3</v>
      </c>
      <c r="EA38" t="s">
        <v>3</v>
      </c>
      <c r="EB38" t="s">
        <v>3</v>
      </c>
      <c r="EC38" t="s">
        <v>3</v>
      </c>
      <c r="EE38">
        <v>36274424</v>
      </c>
      <c r="EF38">
        <v>1</v>
      </c>
      <c r="EG38" t="s">
        <v>21</v>
      </c>
      <c r="EH38">
        <v>0</v>
      </c>
      <c r="EI38" t="s">
        <v>3</v>
      </c>
      <c r="EJ38">
        <v>4</v>
      </c>
      <c r="EK38">
        <v>0</v>
      </c>
      <c r="EL38" t="s">
        <v>22</v>
      </c>
      <c r="EM38" t="s">
        <v>23</v>
      </c>
      <c r="EO38" t="s">
        <v>3</v>
      </c>
      <c r="EQ38">
        <v>0</v>
      </c>
      <c r="ER38">
        <v>44382.48</v>
      </c>
      <c r="ES38">
        <v>39159.019999999997</v>
      </c>
      <c r="ET38">
        <v>1802.73</v>
      </c>
      <c r="EU38">
        <v>1019.58</v>
      </c>
      <c r="EV38">
        <v>3420.73</v>
      </c>
      <c r="EW38">
        <v>13.57</v>
      </c>
      <c r="EX38">
        <v>0</v>
      </c>
      <c r="EY38">
        <v>0</v>
      </c>
      <c r="FQ38">
        <v>0</v>
      </c>
      <c r="FR38">
        <f t="shared" si="52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-993345633</v>
      </c>
      <c r="GG38">
        <v>2</v>
      </c>
      <c r="GH38">
        <v>1</v>
      </c>
      <c r="GI38">
        <v>-2</v>
      </c>
      <c r="GJ38">
        <v>0</v>
      </c>
      <c r="GK38">
        <f>ROUND(R38*(R12)/100,2)</f>
        <v>21846.75</v>
      </c>
      <c r="GL38">
        <f t="shared" si="53"/>
        <v>0</v>
      </c>
      <c r="GM38">
        <f t="shared" si="54"/>
        <v>956688.98</v>
      </c>
      <c r="GN38">
        <f t="shared" si="55"/>
        <v>0</v>
      </c>
      <c r="GO38">
        <f t="shared" si="56"/>
        <v>0</v>
      </c>
      <c r="GP38">
        <f t="shared" si="57"/>
        <v>956688.98</v>
      </c>
      <c r="GR38">
        <v>0</v>
      </c>
      <c r="GS38">
        <v>3</v>
      </c>
      <c r="GT38">
        <v>0</v>
      </c>
      <c r="GU38" t="s">
        <v>3</v>
      </c>
      <c r="GV38">
        <f t="shared" si="58"/>
        <v>0</v>
      </c>
      <c r="GW38">
        <v>1</v>
      </c>
      <c r="GX38">
        <f t="shared" si="59"/>
        <v>0</v>
      </c>
      <c r="HA38">
        <v>0</v>
      </c>
      <c r="HB38">
        <v>0</v>
      </c>
      <c r="HC38">
        <f t="shared" si="60"/>
        <v>0</v>
      </c>
      <c r="HE38" t="s">
        <v>3</v>
      </c>
      <c r="HF38" t="s">
        <v>3</v>
      </c>
      <c r="HM38" t="s">
        <v>3</v>
      </c>
      <c r="HN38" t="s">
        <v>3</v>
      </c>
      <c r="HO38" t="s">
        <v>3</v>
      </c>
      <c r="HP38" t="s">
        <v>3</v>
      </c>
      <c r="HQ38" t="s">
        <v>3</v>
      </c>
      <c r="IK38">
        <v>0</v>
      </c>
    </row>
    <row r="39" spans="1:245" x14ac:dyDescent="0.2">
      <c r="A39">
        <v>17</v>
      </c>
      <c r="B39">
        <v>1</v>
      </c>
      <c r="C39">
        <f>ROW(SmtRes!A62)</f>
        <v>62</v>
      </c>
      <c r="D39">
        <f>ROW(EtalonRes!A62)</f>
        <v>62</v>
      </c>
      <c r="E39" t="s">
        <v>70</v>
      </c>
      <c r="F39" t="s">
        <v>71</v>
      </c>
      <c r="G39" t="s">
        <v>72</v>
      </c>
      <c r="H39" t="s">
        <v>68</v>
      </c>
      <c r="I39">
        <f>ROUND(1984/100,9)</f>
        <v>19.84</v>
      </c>
      <c r="J39">
        <v>0</v>
      </c>
      <c r="K39">
        <f>ROUND(1984/100,9)</f>
        <v>19.84</v>
      </c>
      <c r="O39">
        <f t="shared" si="21"/>
        <v>209740.14</v>
      </c>
      <c r="P39">
        <f t="shared" si="22"/>
        <v>183033.52</v>
      </c>
      <c r="Q39">
        <f t="shared" si="23"/>
        <v>0</v>
      </c>
      <c r="R39">
        <f t="shared" si="24"/>
        <v>0</v>
      </c>
      <c r="S39">
        <f t="shared" si="25"/>
        <v>26706.62</v>
      </c>
      <c r="T39">
        <f t="shared" si="26"/>
        <v>0</v>
      </c>
      <c r="U39">
        <f t="shared" si="27"/>
        <v>105.9456</v>
      </c>
      <c r="V39">
        <f t="shared" si="28"/>
        <v>0</v>
      </c>
      <c r="W39">
        <f t="shared" si="29"/>
        <v>0</v>
      </c>
      <c r="X39">
        <f t="shared" si="30"/>
        <v>18694.63</v>
      </c>
      <c r="Y39">
        <f t="shared" si="31"/>
        <v>2670.66</v>
      </c>
      <c r="AA39">
        <v>36602762</v>
      </c>
      <c r="AB39">
        <f t="shared" si="32"/>
        <v>10571.58</v>
      </c>
      <c r="AC39">
        <f>ROUND(((ES39*2)),6)</f>
        <v>9225.48</v>
      </c>
      <c r="AD39">
        <f>ROUND(((((ET39*2))-((EU39*2)))+AE39),6)</f>
        <v>0</v>
      </c>
      <c r="AE39">
        <f>ROUND(((EU39*2)),6)</f>
        <v>0</v>
      </c>
      <c r="AF39">
        <f>ROUND(((EV39*2)),6)</f>
        <v>1346.1</v>
      </c>
      <c r="AG39">
        <f t="shared" si="37"/>
        <v>0</v>
      </c>
      <c r="AH39">
        <f>((EW39*2))</f>
        <v>5.34</v>
      </c>
      <c r="AI39">
        <f>((EX39*2))</f>
        <v>0</v>
      </c>
      <c r="AJ39">
        <f t="shared" si="40"/>
        <v>0</v>
      </c>
      <c r="AK39">
        <v>5285.79</v>
      </c>
      <c r="AL39">
        <v>4612.74</v>
      </c>
      <c r="AM39">
        <v>0</v>
      </c>
      <c r="AN39">
        <v>0</v>
      </c>
      <c r="AO39">
        <v>673.05</v>
      </c>
      <c r="AP39">
        <v>0</v>
      </c>
      <c r="AQ39">
        <v>2.67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73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B39" t="s">
        <v>3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41"/>
        <v>209740.13999999998</v>
      </c>
      <c r="CQ39">
        <f t="shared" si="42"/>
        <v>9225.48</v>
      </c>
      <c r="CR39">
        <f>(((((ET39*2))*BB39-((EU39*2))*BS39)+AE39*BS39)*AV39)</f>
        <v>0</v>
      </c>
      <c r="CS39">
        <f t="shared" si="44"/>
        <v>0</v>
      </c>
      <c r="CT39">
        <f t="shared" si="45"/>
        <v>1346.1</v>
      </c>
      <c r="CU39">
        <f t="shared" si="46"/>
        <v>0</v>
      </c>
      <c r="CV39">
        <f t="shared" si="47"/>
        <v>5.34</v>
      </c>
      <c r="CW39">
        <f t="shared" si="48"/>
        <v>0</v>
      </c>
      <c r="CX39">
        <f t="shared" si="49"/>
        <v>0</v>
      </c>
      <c r="CY39">
        <f t="shared" si="50"/>
        <v>18694.633999999998</v>
      </c>
      <c r="CZ39">
        <f t="shared" si="51"/>
        <v>2670.6620000000003</v>
      </c>
      <c r="DC39" t="s">
        <v>3</v>
      </c>
      <c r="DD39" t="s">
        <v>74</v>
      </c>
      <c r="DE39" t="s">
        <v>74</v>
      </c>
      <c r="DF39" t="s">
        <v>74</v>
      </c>
      <c r="DG39" t="s">
        <v>74</v>
      </c>
      <c r="DH39" t="s">
        <v>3</v>
      </c>
      <c r="DI39" t="s">
        <v>74</v>
      </c>
      <c r="DJ39" t="s">
        <v>74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1005</v>
      </c>
      <c r="DV39" t="s">
        <v>68</v>
      </c>
      <c r="DW39" t="s">
        <v>68</v>
      </c>
      <c r="DX39">
        <v>100</v>
      </c>
      <c r="DZ39" t="s">
        <v>3</v>
      </c>
      <c r="EA39" t="s">
        <v>3</v>
      </c>
      <c r="EB39" t="s">
        <v>3</v>
      </c>
      <c r="EC39" t="s">
        <v>3</v>
      </c>
      <c r="EE39">
        <v>36274424</v>
      </c>
      <c r="EF39">
        <v>1</v>
      </c>
      <c r="EG39" t="s">
        <v>21</v>
      </c>
      <c r="EH39">
        <v>0</v>
      </c>
      <c r="EI39" t="s">
        <v>3</v>
      </c>
      <c r="EJ39">
        <v>4</v>
      </c>
      <c r="EK39">
        <v>0</v>
      </c>
      <c r="EL39" t="s">
        <v>22</v>
      </c>
      <c r="EM39" t="s">
        <v>23</v>
      </c>
      <c r="EO39" t="s">
        <v>3</v>
      </c>
      <c r="EQ39">
        <v>0</v>
      </c>
      <c r="ER39">
        <v>5285.79</v>
      </c>
      <c r="ES39">
        <v>4612.74</v>
      </c>
      <c r="ET39">
        <v>0</v>
      </c>
      <c r="EU39">
        <v>0</v>
      </c>
      <c r="EV39">
        <v>673.05</v>
      </c>
      <c r="EW39">
        <v>2.67</v>
      </c>
      <c r="EX39">
        <v>0</v>
      </c>
      <c r="EY39">
        <v>0</v>
      </c>
      <c r="FQ39">
        <v>0</v>
      </c>
      <c r="FR39">
        <f t="shared" si="52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-76441411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53"/>
        <v>0</v>
      </c>
      <c r="GM39">
        <f t="shared" si="54"/>
        <v>231105.43</v>
      </c>
      <c r="GN39">
        <f t="shared" si="55"/>
        <v>0</v>
      </c>
      <c r="GO39">
        <f t="shared" si="56"/>
        <v>0</v>
      </c>
      <c r="GP39">
        <f t="shared" si="57"/>
        <v>231105.43</v>
      </c>
      <c r="GR39">
        <v>0</v>
      </c>
      <c r="GS39">
        <v>3</v>
      </c>
      <c r="GT39">
        <v>0</v>
      </c>
      <c r="GU39" t="s">
        <v>3</v>
      </c>
      <c r="GV39">
        <f t="shared" si="58"/>
        <v>0</v>
      </c>
      <c r="GW39">
        <v>1</v>
      </c>
      <c r="GX39">
        <f t="shared" si="59"/>
        <v>0</v>
      </c>
      <c r="HA39">
        <v>0</v>
      </c>
      <c r="HB39">
        <v>0</v>
      </c>
      <c r="HC39">
        <f t="shared" si="60"/>
        <v>0</v>
      </c>
      <c r="HE39" t="s">
        <v>3</v>
      </c>
      <c r="HF39" t="s">
        <v>3</v>
      </c>
      <c r="HM39" t="s">
        <v>3</v>
      </c>
      <c r="HN39" t="s">
        <v>3</v>
      </c>
      <c r="HO39" t="s">
        <v>3</v>
      </c>
      <c r="HP39" t="s">
        <v>3</v>
      </c>
      <c r="HQ39" t="s">
        <v>3</v>
      </c>
      <c r="IK39">
        <v>0</v>
      </c>
    </row>
    <row r="41" spans="1:245" x14ac:dyDescent="0.2">
      <c r="A41" s="2">
        <v>51</v>
      </c>
      <c r="B41" s="2">
        <f>B24</f>
        <v>1</v>
      </c>
      <c r="C41" s="2">
        <f>A24</f>
        <v>4</v>
      </c>
      <c r="D41" s="2">
        <f>ROW(A24)</f>
        <v>24</v>
      </c>
      <c r="E41" s="2"/>
      <c r="F41" s="2" t="str">
        <f>IF(F24&lt;&gt;"",F24,"")</f>
        <v>Новый раздел</v>
      </c>
      <c r="G41" s="2" t="str">
        <f>IF(G24&lt;&gt;"",G24,"")</f>
        <v>Ремонт дорожек и тротуаров</v>
      </c>
      <c r="H41" s="2">
        <v>0</v>
      </c>
      <c r="I41" s="2"/>
      <c r="J41" s="2"/>
      <c r="K41" s="2"/>
      <c r="L41" s="2"/>
      <c r="M41" s="2"/>
      <c r="N41" s="2"/>
      <c r="O41" s="2">
        <f t="shared" ref="O41:T41" si="61">ROUND(AB41,2)</f>
        <v>2588352.98</v>
      </c>
      <c r="P41" s="2">
        <f t="shared" si="61"/>
        <v>1938104.35</v>
      </c>
      <c r="Q41" s="2">
        <f t="shared" si="61"/>
        <v>400951.89</v>
      </c>
      <c r="R41" s="2">
        <f t="shared" si="61"/>
        <v>183080.54</v>
      </c>
      <c r="S41" s="2">
        <f t="shared" si="61"/>
        <v>249296.74</v>
      </c>
      <c r="T41" s="2">
        <f t="shared" si="61"/>
        <v>0</v>
      </c>
      <c r="U41" s="2">
        <f>AH41</f>
        <v>1067.65112</v>
      </c>
      <c r="V41" s="2">
        <f>AI41</f>
        <v>0</v>
      </c>
      <c r="W41" s="2">
        <f>ROUND(AJ41,2)</f>
        <v>0</v>
      </c>
      <c r="X41" s="2">
        <f>ROUND(AK41,2)</f>
        <v>174507.71</v>
      </c>
      <c r="Y41" s="2">
        <f>ROUND(AL41,2)</f>
        <v>24929.67</v>
      </c>
      <c r="Z41" s="2"/>
      <c r="AA41" s="2"/>
      <c r="AB41" s="2">
        <f>ROUND(SUMIF(AA28:AA39,"=36602762",O28:O39),2)</f>
        <v>2588352.98</v>
      </c>
      <c r="AC41" s="2">
        <f>ROUND(SUMIF(AA28:AA39,"=36602762",P28:P39),2)</f>
        <v>1938104.35</v>
      </c>
      <c r="AD41" s="2">
        <f>ROUND(SUMIF(AA28:AA39,"=36602762",Q28:Q39),2)</f>
        <v>400951.89</v>
      </c>
      <c r="AE41" s="2">
        <f>ROUND(SUMIF(AA28:AA39,"=36602762",R28:R39),2)</f>
        <v>183080.54</v>
      </c>
      <c r="AF41" s="2">
        <f>ROUND(SUMIF(AA28:AA39,"=36602762",S28:S39),2)</f>
        <v>249296.74</v>
      </c>
      <c r="AG41" s="2">
        <f>ROUND(SUMIF(AA28:AA39,"=36602762",T28:T39),2)</f>
        <v>0</v>
      </c>
      <c r="AH41" s="2">
        <f>SUMIF(AA28:AA39,"=36602762",U28:U39)</f>
        <v>1067.65112</v>
      </c>
      <c r="AI41" s="2">
        <f>SUMIF(AA28:AA39,"=36602762",V28:V39)</f>
        <v>0</v>
      </c>
      <c r="AJ41" s="2">
        <f>ROUND(SUMIF(AA28:AA39,"=36602762",W28:W39),2)</f>
        <v>0</v>
      </c>
      <c r="AK41" s="2">
        <f>ROUND(SUMIF(AA28:AA39,"=36602762",X28:X39),2)</f>
        <v>174507.71</v>
      </c>
      <c r="AL41" s="2">
        <f>ROUND(SUMIF(AA28:AA39,"=36602762",Y28:Y39),2)</f>
        <v>24929.67</v>
      </c>
      <c r="AM41" s="2"/>
      <c r="AN41" s="2"/>
      <c r="AO41" s="2">
        <f t="shared" ref="AO41:BD41" si="62">ROUND(BX41,2)</f>
        <v>0</v>
      </c>
      <c r="AP41" s="2">
        <f t="shared" si="62"/>
        <v>0</v>
      </c>
      <c r="AQ41" s="2">
        <f t="shared" si="62"/>
        <v>0</v>
      </c>
      <c r="AR41" s="2">
        <f t="shared" si="62"/>
        <v>2985517.35</v>
      </c>
      <c r="AS41" s="2">
        <f t="shared" si="62"/>
        <v>0</v>
      </c>
      <c r="AT41" s="2">
        <f t="shared" si="62"/>
        <v>0</v>
      </c>
      <c r="AU41" s="2">
        <f t="shared" si="62"/>
        <v>2985517.35</v>
      </c>
      <c r="AV41" s="2">
        <f t="shared" si="62"/>
        <v>1938104.35</v>
      </c>
      <c r="AW41" s="2">
        <f t="shared" si="62"/>
        <v>1938104.35</v>
      </c>
      <c r="AX41" s="2">
        <f t="shared" si="62"/>
        <v>0</v>
      </c>
      <c r="AY41" s="2">
        <f t="shared" si="62"/>
        <v>1938104.35</v>
      </c>
      <c r="AZ41" s="2">
        <f t="shared" si="62"/>
        <v>0</v>
      </c>
      <c r="BA41" s="2">
        <f t="shared" si="62"/>
        <v>0</v>
      </c>
      <c r="BB41" s="2">
        <f t="shared" si="62"/>
        <v>0</v>
      </c>
      <c r="BC41" s="2">
        <f t="shared" si="62"/>
        <v>0</v>
      </c>
      <c r="BD41" s="2">
        <f t="shared" si="62"/>
        <v>0</v>
      </c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>
        <f>ROUND(SUMIF(AA28:AA39,"=36602762",FQ28:FQ39),2)</f>
        <v>0</v>
      </c>
      <c r="BY41" s="2">
        <f>ROUND(SUMIF(AA28:AA39,"=36602762",FR28:FR39),2)</f>
        <v>0</v>
      </c>
      <c r="BZ41" s="2">
        <f>ROUND(SUMIF(AA28:AA39,"=36602762",GL28:GL39),2)</f>
        <v>0</v>
      </c>
      <c r="CA41" s="2">
        <f>ROUND(SUMIF(AA28:AA39,"=36602762",GM28:GM39),2)</f>
        <v>2985517.35</v>
      </c>
      <c r="CB41" s="2">
        <f>ROUND(SUMIF(AA28:AA39,"=36602762",GN28:GN39),2)</f>
        <v>0</v>
      </c>
      <c r="CC41" s="2">
        <f>ROUND(SUMIF(AA28:AA39,"=36602762",GO28:GO39),2)</f>
        <v>0</v>
      </c>
      <c r="CD41" s="2">
        <f>ROUND(SUMIF(AA28:AA39,"=36602762",GP28:GP39),2)</f>
        <v>2985517.35</v>
      </c>
      <c r="CE41" s="2">
        <f>AC41-BX41</f>
        <v>1938104.35</v>
      </c>
      <c r="CF41" s="2">
        <f>AC41-BY41</f>
        <v>1938104.35</v>
      </c>
      <c r="CG41" s="2">
        <f>BX41-BZ41</f>
        <v>0</v>
      </c>
      <c r="CH41" s="2">
        <f>AC41-BX41-BY41+BZ41</f>
        <v>1938104.35</v>
      </c>
      <c r="CI41" s="2">
        <f>BY41-BZ41</f>
        <v>0</v>
      </c>
      <c r="CJ41" s="2">
        <f>ROUND(SUMIF(AA28:AA39,"=36602762",GX28:GX39),2)</f>
        <v>0</v>
      </c>
      <c r="CK41" s="2">
        <f>ROUND(SUMIF(AA28:AA39,"=36602762",GY28:GY39),2)</f>
        <v>0</v>
      </c>
      <c r="CL41" s="2">
        <f>ROUND(SUMIF(AA28:AA39,"=36602762",GZ28:GZ39),2)</f>
        <v>0</v>
      </c>
      <c r="CM41" s="2">
        <f>ROUND(SUMIF(AA28:AA39,"=36602762",HD28:HD39),2)</f>
        <v>0</v>
      </c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>
        <v>0</v>
      </c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201</v>
      </c>
      <c r="F43" s="4">
        <f>ROUND(Source!O41,O43)</f>
        <v>2588352.98</v>
      </c>
      <c r="G43" s="4" t="s">
        <v>75</v>
      </c>
      <c r="H43" s="4" t="s">
        <v>76</v>
      </c>
      <c r="I43" s="4"/>
      <c r="J43" s="4"/>
      <c r="K43" s="4">
        <v>201</v>
      </c>
      <c r="L43" s="4">
        <v>1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>
        <v>2588352.98</v>
      </c>
      <c r="X43" s="4">
        <v>1</v>
      </c>
      <c r="Y43" s="4">
        <v>2588352.98</v>
      </c>
      <c r="Z43" s="4"/>
      <c r="AA43" s="4"/>
      <c r="AB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202</v>
      </c>
      <c r="F44" s="4">
        <f>ROUND(Source!P41,O44)</f>
        <v>1938104.35</v>
      </c>
      <c r="G44" s="4" t="s">
        <v>77</v>
      </c>
      <c r="H44" s="4" t="s">
        <v>78</v>
      </c>
      <c r="I44" s="4"/>
      <c r="J44" s="4"/>
      <c r="K44" s="4">
        <v>202</v>
      </c>
      <c r="L44" s="4">
        <v>2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>
        <v>1938104.35</v>
      </c>
      <c r="X44" s="4">
        <v>1</v>
      </c>
      <c r="Y44" s="4">
        <v>1938104.35</v>
      </c>
      <c r="Z44" s="4"/>
      <c r="AA44" s="4"/>
      <c r="AB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222</v>
      </c>
      <c r="F45" s="4">
        <f>ROUND(Source!AO41,O45)</f>
        <v>0</v>
      </c>
      <c r="G45" s="4" t="s">
        <v>79</v>
      </c>
      <c r="H45" s="4" t="s">
        <v>80</v>
      </c>
      <c r="I45" s="4"/>
      <c r="J45" s="4"/>
      <c r="K45" s="4">
        <v>222</v>
      </c>
      <c r="L45" s="4">
        <v>3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>
        <v>0</v>
      </c>
      <c r="X45" s="4">
        <v>1</v>
      </c>
      <c r="Y45" s="4">
        <v>0</v>
      </c>
      <c r="Z45" s="4"/>
      <c r="AA45" s="4"/>
      <c r="AB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225</v>
      </c>
      <c r="F46" s="4">
        <f>ROUND(Source!AV41,O46)</f>
        <v>1938104.35</v>
      </c>
      <c r="G46" s="4" t="s">
        <v>81</v>
      </c>
      <c r="H46" s="4" t="s">
        <v>82</v>
      </c>
      <c r="I46" s="4"/>
      <c r="J46" s="4"/>
      <c r="K46" s="4">
        <v>225</v>
      </c>
      <c r="L46" s="4">
        <v>4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>
        <v>1938104.35</v>
      </c>
      <c r="X46" s="4">
        <v>1</v>
      </c>
      <c r="Y46" s="4">
        <v>1938104.35</v>
      </c>
      <c r="Z46" s="4"/>
      <c r="AA46" s="4"/>
      <c r="AB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226</v>
      </c>
      <c r="F47" s="4">
        <f>ROUND(Source!AW41,O47)</f>
        <v>1938104.35</v>
      </c>
      <c r="G47" s="4" t="s">
        <v>83</v>
      </c>
      <c r="H47" s="4" t="s">
        <v>84</v>
      </c>
      <c r="I47" s="4"/>
      <c r="J47" s="4"/>
      <c r="K47" s="4">
        <v>226</v>
      </c>
      <c r="L47" s="4">
        <v>5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>
        <v>1938104.35</v>
      </c>
      <c r="X47" s="4">
        <v>1</v>
      </c>
      <c r="Y47" s="4">
        <v>1938104.35</v>
      </c>
      <c r="Z47" s="4"/>
      <c r="AA47" s="4"/>
      <c r="AB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227</v>
      </c>
      <c r="F48" s="4">
        <f>ROUND(Source!AX41,O48)</f>
        <v>0</v>
      </c>
      <c r="G48" s="4" t="s">
        <v>85</v>
      </c>
      <c r="H48" s="4" t="s">
        <v>86</v>
      </c>
      <c r="I48" s="4"/>
      <c r="J48" s="4"/>
      <c r="K48" s="4">
        <v>227</v>
      </c>
      <c r="L48" s="4">
        <v>6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>
        <v>0</v>
      </c>
      <c r="X48" s="4">
        <v>1</v>
      </c>
      <c r="Y48" s="4">
        <v>0</v>
      </c>
      <c r="Z48" s="4"/>
      <c r="AA48" s="4"/>
      <c r="AB48" s="4"/>
    </row>
    <row r="49" spans="1:28" x14ac:dyDescent="0.2">
      <c r="A49" s="4">
        <v>50</v>
      </c>
      <c r="B49" s="4">
        <v>0</v>
      </c>
      <c r="C49" s="4">
        <v>0</v>
      </c>
      <c r="D49" s="4">
        <v>1</v>
      </c>
      <c r="E49" s="4">
        <v>228</v>
      </c>
      <c r="F49" s="4">
        <f>ROUND(Source!AY41,O49)</f>
        <v>1938104.35</v>
      </c>
      <c r="G49" s="4" t="s">
        <v>87</v>
      </c>
      <c r="H49" s="4" t="s">
        <v>88</v>
      </c>
      <c r="I49" s="4"/>
      <c r="J49" s="4"/>
      <c r="K49" s="4">
        <v>228</v>
      </c>
      <c r="L49" s="4">
        <v>7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>
        <v>1938104.35</v>
      </c>
      <c r="X49" s="4">
        <v>1</v>
      </c>
      <c r="Y49" s="4">
        <v>1938104.35</v>
      </c>
      <c r="Z49" s="4"/>
      <c r="AA49" s="4"/>
      <c r="AB49" s="4"/>
    </row>
    <row r="50" spans="1:28" x14ac:dyDescent="0.2">
      <c r="A50" s="4">
        <v>50</v>
      </c>
      <c r="B50" s="4">
        <v>0</v>
      </c>
      <c r="C50" s="4">
        <v>0</v>
      </c>
      <c r="D50" s="4">
        <v>1</v>
      </c>
      <c r="E50" s="4">
        <v>216</v>
      </c>
      <c r="F50" s="4">
        <f>ROUND(Source!AP41,O50)</f>
        <v>0</v>
      </c>
      <c r="G50" s="4" t="s">
        <v>89</v>
      </c>
      <c r="H50" s="4" t="s">
        <v>90</v>
      </c>
      <c r="I50" s="4"/>
      <c r="J50" s="4"/>
      <c r="K50" s="4">
        <v>216</v>
      </c>
      <c r="L50" s="4">
        <v>8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>
        <v>0</v>
      </c>
      <c r="X50" s="4">
        <v>1</v>
      </c>
      <c r="Y50" s="4">
        <v>0</v>
      </c>
      <c r="Z50" s="4"/>
      <c r="AA50" s="4"/>
      <c r="AB50" s="4"/>
    </row>
    <row r="51" spans="1:28" x14ac:dyDescent="0.2">
      <c r="A51" s="4">
        <v>50</v>
      </c>
      <c r="B51" s="4">
        <v>0</v>
      </c>
      <c r="C51" s="4">
        <v>0</v>
      </c>
      <c r="D51" s="4">
        <v>1</v>
      </c>
      <c r="E51" s="4">
        <v>223</v>
      </c>
      <c r="F51" s="4">
        <f>ROUND(Source!AQ41,O51)</f>
        <v>0</v>
      </c>
      <c r="G51" s="4" t="s">
        <v>91</v>
      </c>
      <c r="H51" s="4" t="s">
        <v>92</v>
      </c>
      <c r="I51" s="4"/>
      <c r="J51" s="4"/>
      <c r="K51" s="4">
        <v>223</v>
      </c>
      <c r="L51" s="4">
        <v>9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>
        <v>0</v>
      </c>
      <c r="X51" s="4">
        <v>1</v>
      </c>
      <c r="Y51" s="4">
        <v>0</v>
      </c>
      <c r="Z51" s="4"/>
      <c r="AA51" s="4"/>
      <c r="AB51" s="4"/>
    </row>
    <row r="52" spans="1:28" x14ac:dyDescent="0.2">
      <c r="A52" s="4">
        <v>50</v>
      </c>
      <c r="B52" s="4">
        <v>0</v>
      </c>
      <c r="C52" s="4">
        <v>0</v>
      </c>
      <c r="D52" s="4">
        <v>1</v>
      </c>
      <c r="E52" s="4">
        <v>229</v>
      </c>
      <c r="F52" s="4">
        <f>ROUND(Source!AZ41,O52)</f>
        <v>0</v>
      </c>
      <c r="G52" s="4" t="s">
        <v>93</v>
      </c>
      <c r="H52" s="4" t="s">
        <v>94</v>
      </c>
      <c r="I52" s="4"/>
      <c r="J52" s="4"/>
      <c r="K52" s="4">
        <v>229</v>
      </c>
      <c r="L52" s="4">
        <v>10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>
        <v>0</v>
      </c>
      <c r="X52" s="4">
        <v>1</v>
      </c>
      <c r="Y52" s="4">
        <v>0</v>
      </c>
      <c r="Z52" s="4"/>
      <c r="AA52" s="4"/>
      <c r="AB52" s="4"/>
    </row>
    <row r="53" spans="1:28" x14ac:dyDescent="0.2">
      <c r="A53" s="4">
        <v>50</v>
      </c>
      <c r="B53" s="4">
        <v>0</v>
      </c>
      <c r="C53" s="4">
        <v>0</v>
      </c>
      <c r="D53" s="4">
        <v>1</v>
      </c>
      <c r="E53" s="4">
        <v>203</v>
      </c>
      <c r="F53" s="4">
        <f>ROUND(Source!Q41,O53)</f>
        <v>400951.89</v>
      </c>
      <c r="G53" s="4" t="s">
        <v>95</v>
      </c>
      <c r="H53" s="4" t="s">
        <v>96</v>
      </c>
      <c r="I53" s="4"/>
      <c r="J53" s="4"/>
      <c r="K53" s="4">
        <v>203</v>
      </c>
      <c r="L53" s="4">
        <v>11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>
        <v>400951.89</v>
      </c>
      <c r="X53" s="4">
        <v>1</v>
      </c>
      <c r="Y53" s="4">
        <v>400951.89</v>
      </c>
      <c r="Z53" s="4"/>
      <c r="AA53" s="4"/>
      <c r="AB53" s="4"/>
    </row>
    <row r="54" spans="1:28" x14ac:dyDescent="0.2">
      <c r="A54" s="4">
        <v>50</v>
      </c>
      <c r="B54" s="4">
        <v>0</v>
      </c>
      <c r="C54" s="4">
        <v>0</v>
      </c>
      <c r="D54" s="4">
        <v>1</v>
      </c>
      <c r="E54" s="4">
        <v>231</v>
      </c>
      <c r="F54" s="4">
        <f>ROUND(Source!BB41,O54)</f>
        <v>0</v>
      </c>
      <c r="G54" s="4" t="s">
        <v>97</v>
      </c>
      <c r="H54" s="4" t="s">
        <v>98</v>
      </c>
      <c r="I54" s="4"/>
      <c r="J54" s="4"/>
      <c r="K54" s="4">
        <v>231</v>
      </c>
      <c r="L54" s="4">
        <v>12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>
        <v>0</v>
      </c>
      <c r="X54" s="4">
        <v>1</v>
      </c>
      <c r="Y54" s="4">
        <v>0</v>
      </c>
      <c r="Z54" s="4"/>
      <c r="AA54" s="4"/>
      <c r="AB54" s="4"/>
    </row>
    <row r="55" spans="1:28" x14ac:dyDescent="0.2">
      <c r="A55" s="4">
        <v>50</v>
      </c>
      <c r="B55" s="4">
        <v>0</v>
      </c>
      <c r="C55" s="4">
        <v>0</v>
      </c>
      <c r="D55" s="4">
        <v>1</v>
      </c>
      <c r="E55" s="4">
        <v>204</v>
      </c>
      <c r="F55" s="4">
        <f>ROUND(Source!R41,O55)</f>
        <v>183080.54</v>
      </c>
      <c r="G55" s="4" t="s">
        <v>99</v>
      </c>
      <c r="H55" s="4" t="s">
        <v>100</v>
      </c>
      <c r="I55" s="4"/>
      <c r="J55" s="4"/>
      <c r="K55" s="4">
        <v>204</v>
      </c>
      <c r="L55" s="4">
        <v>13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>
        <v>183080.54</v>
      </c>
      <c r="X55" s="4">
        <v>1</v>
      </c>
      <c r="Y55" s="4">
        <v>183080.54</v>
      </c>
      <c r="Z55" s="4"/>
      <c r="AA55" s="4"/>
      <c r="AB55" s="4"/>
    </row>
    <row r="56" spans="1:28" x14ac:dyDescent="0.2">
      <c r="A56" s="4">
        <v>50</v>
      </c>
      <c r="B56" s="4">
        <v>0</v>
      </c>
      <c r="C56" s="4">
        <v>0</v>
      </c>
      <c r="D56" s="4">
        <v>1</v>
      </c>
      <c r="E56" s="4">
        <v>205</v>
      </c>
      <c r="F56" s="4">
        <f>ROUND(Source!S41,O56)</f>
        <v>249296.74</v>
      </c>
      <c r="G56" s="4" t="s">
        <v>101</v>
      </c>
      <c r="H56" s="4" t="s">
        <v>102</v>
      </c>
      <c r="I56" s="4"/>
      <c r="J56" s="4"/>
      <c r="K56" s="4">
        <v>205</v>
      </c>
      <c r="L56" s="4">
        <v>14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>
        <v>249296.74</v>
      </c>
      <c r="X56" s="4">
        <v>1</v>
      </c>
      <c r="Y56" s="4">
        <v>249296.74</v>
      </c>
      <c r="Z56" s="4"/>
      <c r="AA56" s="4"/>
      <c r="AB56" s="4"/>
    </row>
    <row r="57" spans="1:28" x14ac:dyDescent="0.2">
      <c r="A57" s="4">
        <v>50</v>
      </c>
      <c r="B57" s="4">
        <v>0</v>
      </c>
      <c r="C57" s="4">
        <v>0</v>
      </c>
      <c r="D57" s="4">
        <v>1</v>
      </c>
      <c r="E57" s="4">
        <v>232</v>
      </c>
      <c r="F57" s="4">
        <f>ROUND(Source!BC41,O57)</f>
        <v>0</v>
      </c>
      <c r="G57" s="4" t="s">
        <v>103</v>
      </c>
      <c r="H57" s="4" t="s">
        <v>104</v>
      </c>
      <c r="I57" s="4"/>
      <c r="J57" s="4"/>
      <c r="K57" s="4">
        <v>232</v>
      </c>
      <c r="L57" s="4">
        <v>15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>
        <v>0</v>
      </c>
      <c r="X57" s="4">
        <v>1</v>
      </c>
      <c r="Y57" s="4">
        <v>0</v>
      </c>
      <c r="Z57" s="4"/>
      <c r="AA57" s="4"/>
      <c r="AB57" s="4"/>
    </row>
    <row r="58" spans="1:28" x14ac:dyDescent="0.2">
      <c r="A58" s="4">
        <v>50</v>
      </c>
      <c r="B58" s="4">
        <v>0</v>
      </c>
      <c r="C58" s="4">
        <v>0</v>
      </c>
      <c r="D58" s="4">
        <v>1</v>
      </c>
      <c r="E58" s="4">
        <v>214</v>
      </c>
      <c r="F58" s="4">
        <f>ROUND(Source!AS41,O58)</f>
        <v>0</v>
      </c>
      <c r="G58" s="4" t="s">
        <v>105</v>
      </c>
      <c r="H58" s="4" t="s">
        <v>106</v>
      </c>
      <c r="I58" s="4"/>
      <c r="J58" s="4"/>
      <c r="K58" s="4">
        <v>214</v>
      </c>
      <c r="L58" s="4">
        <v>16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>
        <v>0</v>
      </c>
      <c r="X58" s="4">
        <v>1</v>
      </c>
      <c r="Y58" s="4">
        <v>0</v>
      </c>
      <c r="Z58" s="4"/>
      <c r="AA58" s="4"/>
      <c r="AB58" s="4"/>
    </row>
    <row r="59" spans="1:28" x14ac:dyDescent="0.2">
      <c r="A59" s="4">
        <v>50</v>
      </c>
      <c r="B59" s="4">
        <v>0</v>
      </c>
      <c r="C59" s="4">
        <v>0</v>
      </c>
      <c r="D59" s="4">
        <v>1</v>
      </c>
      <c r="E59" s="4">
        <v>215</v>
      </c>
      <c r="F59" s="4">
        <f>ROUND(Source!AT41,O59)</f>
        <v>0</v>
      </c>
      <c r="G59" s="4" t="s">
        <v>107</v>
      </c>
      <c r="H59" s="4" t="s">
        <v>108</v>
      </c>
      <c r="I59" s="4"/>
      <c r="J59" s="4"/>
      <c r="K59" s="4">
        <v>215</v>
      </c>
      <c r="L59" s="4">
        <v>17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>
        <v>0</v>
      </c>
      <c r="X59" s="4">
        <v>1</v>
      </c>
      <c r="Y59" s="4">
        <v>0</v>
      </c>
      <c r="Z59" s="4"/>
      <c r="AA59" s="4"/>
      <c r="AB59" s="4"/>
    </row>
    <row r="60" spans="1:28" x14ac:dyDescent="0.2">
      <c r="A60" s="4">
        <v>50</v>
      </c>
      <c r="B60" s="4">
        <v>0</v>
      </c>
      <c r="C60" s="4">
        <v>0</v>
      </c>
      <c r="D60" s="4">
        <v>1</v>
      </c>
      <c r="E60" s="4">
        <v>217</v>
      </c>
      <c r="F60" s="4">
        <f>ROUND(Source!AU41,O60)</f>
        <v>2985517.35</v>
      </c>
      <c r="G60" s="4" t="s">
        <v>109</v>
      </c>
      <c r="H60" s="4" t="s">
        <v>110</v>
      </c>
      <c r="I60" s="4"/>
      <c r="J60" s="4"/>
      <c r="K60" s="4">
        <v>217</v>
      </c>
      <c r="L60" s="4">
        <v>18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>
        <v>2985517.35</v>
      </c>
      <c r="X60" s="4">
        <v>1</v>
      </c>
      <c r="Y60" s="4">
        <v>2985517.35</v>
      </c>
      <c r="Z60" s="4"/>
      <c r="AA60" s="4"/>
      <c r="AB60" s="4"/>
    </row>
    <row r="61" spans="1:28" x14ac:dyDescent="0.2">
      <c r="A61" s="4">
        <v>50</v>
      </c>
      <c r="B61" s="4">
        <v>0</v>
      </c>
      <c r="C61" s="4">
        <v>0</v>
      </c>
      <c r="D61" s="4">
        <v>1</v>
      </c>
      <c r="E61" s="4">
        <v>230</v>
      </c>
      <c r="F61" s="4">
        <f>ROUND(Source!BA41,O61)</f>
        <v>0</v>
      </c>
      <c r="G61" s="4" t="s">
        <v>111</v>
      </c>
      <c r="H61" s="4" t="s">
        <v>112</v>
      </c>
      <c r="I61" s="4"/>
      <c r="J61" s="4"/>
      <c r="K61" s="4">
        <v>230</v>
      </c>
      <c r="L61" s="4">
        <v>19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>
        <v>0</v>
      </c>
      <c r="X61" s="4">
        <v>1</v>
      </c>
      <c r="Y61" s="4">
        <v>0</v>
      </c>
      <c r="Z61" s="4"/>
      <c r="AA61" s="4"/>
      <c r="AB61" s="4"/>
    </row>
    <row r="62" spans="1:28" x14ac:dyDescent="0.2">
      <c r="A62" s="4">
        <v>50</v>
      </c>
      <c r="B62" s="4">
        <v>0</v>
      </c>
      <c r="C62" s="4">
        <v>0</v>
      </c>
      <c r="D62" s="4">
        <v>1</v>
      </c>
      <c r="E62" s="4">
        <v>206</v>
      </c>
      <c r="F62" s="4">
        <f>ROUND(Source!T41,O62)</f>
        <v>0</v>
      </c>
      <c r="G62" s="4" t="s">
        <v>113</v>
      </c>
      <c r="H62" s="4" t="s">
        <v>114</v>
      </c>
      <c r="I62" s="4"/>
      <c r="J62" s="4"/>
      <c r="K62" s="4">
        <v>206</v>
      </c>
      <c r="L62" s="4">
        <v>20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>
        <v>0</v>
      </c>
      <c r="X62" s="4">
        <v>1</v>
      </c>
      <c r="Y62" s="4">
        <v>0</v>
      </c>
      <c r="Z62" s="4"/>
      <c r="AA62" s="4"/>
      <c r="AB62" s="4"/>
    </row>
    <row r="63" spans="1:28" x14ac:dyDescent="0.2">
      <c r="A63" s="4">
        <v>50</v>
      </c>
      <c r="B63" s="4">
        <v>0</v>
      </c>
      <c r="C63" s="4">
        <v>0</v>
      </c>
      <c r="D63" s="4">
        <v>1</v>
      </c>
      <c r="E63" s="4">
        <v>207</v>
      </c>
      <c r="F63" s="4">
        <f>Source!U41</f>
        <v>1067.65112</v>
      </c>
      <c r="G63" s="4" t="s">
        <v>115</v>
      </c>
      <c r="H63" s="4" t="s">
        <v>116</v>
      </c>
      <c r="I63" s="4"/>
      <c r="J63" s="4"/>
      <c r="K63" s="4">
        <v>207</v>
      </c>
      <c r="L63" s="4">
        <v>21</v>
      </c>
      <c r="M63" s="4">
        <v>3</v>
      </c>
      <c r="N63" s="4" t="s">
        <v>3</v>
      </c>
      <c r="O63" s="4">
        <v>-1</v>
      </c>
      <c r="P63" s="4"/>
      <c r="Q63" s="4"/>
      <c r="R63" s="4"/>
      <c r="S63" s="4"/>
      <c r="T63" s="4"/>
      <c r="U63" s="4"/>
      <c r="V63" s="4"/>
      <c r="W63" s="4">
        <v>1067.65112</v>
      </c>
      <c r="X63" s="4">
        <v>1</v>
      </c>
      <c r="Y63" s="4">
        <v>1067.65112</v>
      </c>
      <c r="Z63" s="4"/>
      <c r="AA63" s="4"/>
      <c r="AB63" s="4"/>
    </row>
    <row r="64" spans="1:28" x14ac:dyDescent="0.2">
      <c r="A64" s="4">
        <v>50</v>
      </c>
      <c r="B64" s="4">
        <v>0</v>
      </c>
      <c r="C64" s="4">
        <v>0</v>
      </c>
      <c r="D64" s="4">
        <v>1</v>
      </c>
      <c r="E64" s="4">
        <v>208</v>
      </c>
      <c r="F64" s="4">
        <f>Source!V41</f>
        <v>0</v>
      </c>
      <c r="G64" s="4" t="s">
        <v>117</v>
      </c>
      <c r="H64" s="4" t="s">
        <v>118</v>
      </c>
      <c r="I64" s="4"/>
      <c r="J64" s="4"/>
      <c r="K64" s="4">
        <v>208</v>
      </c>
      <c r="L64" s="4">
        <v>22</v>
      </c>
      <c r="M64" s="4">
        <v>3</v>
      </c>
      <c r="N64" s="4" t="s">
        <v>3</v>
      </c>
      <c r="O64" s="4">
        <v>-1</v>
      </c>
      <c r="P64" s="4"/>
      <c r="Q64" s="4"/>
      <c r="R64" s="4"/>
      <c r="S64" s="4"/>
      <c r="T64" s="4"/>
      <c r="U64" s="4"/>
      <c r="V64" s="4"/>
      <c r="W64" s="4">
        <v>0</v>
      </c>
      <c r="X64" s="4">
        <v>1</v>
      </c>
      <c r="Y64" s="4">
        <v>0</v>
      </c>
      <c r="Z64" s="4"/>
      <c r="AA64" s="4"/>
      <c r="AB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209</v>
      </c>
      <c r="F65" s="4">
        <f>ROUND(Source!W41,O65)</f>
        <v>0</v>
      </c>
      <c r="G65" s="4" t="s">
        <v>119</v>
      </c>
      <c r="H65" s="4" t="s">
        <v>120</v>
      </c>
      <c r="I65" s="4"/>
      <c r="J65" s="4"/>
      <c r="K65" s="4">
        <v>209</v>
      </c>
      <c r="L65" s="4">
        <v>23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>
        <v>0</v>
      </c>
      <c r="X65" s="4">
        <v>1</v>
      </c>
      <c r="Y65" s="4">
        <v>0</v>
      </c>
      <c r="Z65" s="4"/>
      <c r="AA65" s="4"/>
      <c r="AB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233</v>
      </c>
      <c r="F66" s="4">
        <f>ROUND(Source!BD41,O66)</f>
        <v>0</v>
      </c>
      <c r="G66" s="4" t="s">
        <v>121</v>
      </c>
      <c r="H66" s="4" t="s">
        <v>122</v>
      </c>
      <c r="I66" s="4"/>
      <c r="J66" s="4"/>
      <c r="K66" s="4">
        <v>233</v>
      </c>
      <c r="L66" s="4">
        <v>24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>
        <v>0</v>
      </c>
      <c r="X66" s="4">
        <v>1</v>
      </c>
      <c r="Y66" s="4">
        <v>0</v>
      </c>
      <c r="Z66" s="4"/>
      <c r="AA66" s="4"/>
      <c r="AB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210</v>
      </c>
      <c r="F67" s="4">
        <f>ROUND(Source!X41,O67)</f>
        <v>174507.71</v>
      </c>
      <c r="G67" s="4" t="s">
        <v>123</v>
      </c>
      <c r="H67" s="4" t="s">
        <v>124</v>
      </c>
      <c r="I67" s="4"/>
      <c r="J67" s="4"/>
      <c r="K67" s="4">
        <v>210</v>
      </c>
      <c r="L67" s="4">
        <v>25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>
        <v>174507.71</v>
      </c>
      <c r="X67" s="4">
        <v>1</v>
      </c>
      <c r="Y67" s="4">
        <v>174507.71</v>
      </c>
      <c r="Z67" s="4"/>
      <c r="AA67" s="4"/>
      <c r="AB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211</v>
      </c>
      <c r="F68" s="4">
        <f>ROUND(Source!Y41,O68)</f>
        <v>24929.67</v>
      </c>
      <c r="G68" s="4" t="s">
        <v>125</v>
      </c>
      <c r="H68" s="4" t="s">
        <v>126</v>
      </c>
      <c r="I68" s="4"/>
      <c r="J68" s="4"/>
      <c r="K68" s="4">
        <v>211</v>
      </c>
      <c r="L68" s="4">
        <v>26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>
        <v>24929.67</v>
      </c>
      <c r="X68" s="4">
        <v>1</v>
      </c>
      <c r="Y68" s="4">
        <v>24929.67</v>
      </c>
      <c r="Z68" s="4"/>
      <c r="AA68" s="4"/>
      <c r="AB68" s="4"/>
    </row>
    <row r="69" spans="1:245" x14ac:dyDescent="0.2">
      <c r="A69" s="4">
        <v>50</v>
      </c>
      <c r="B69" s="4">
        <v>0</v>
      </c>
      <c r="C69" s="4">
        <v>0</v>
      </c>
      <c r="D69" s="4">
        <v>1</v>
      </c>
      <c r="E69" s="4">
        <v>224</v>
      </c>
      <c r="F69" s="4">
        <f>ROUND(Source!AR41,O69)</f>
        <v>2985517.35</v>
      </c>
      <c r="G69" s="4" t="s">
        <v>127</v>
      </c>
      <c r="H69" s="4" t="s">
        <v>128</v>
      </c>
      <c r="I69" s="4"/>
      <c r="J69" s="4"/>
      <c r="K69" s="4">
        <v>224</v>
      </c>
      <c r="L69" s="4">
        <v>27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>
        <v>2985517.35</v>
      </c>
      <c r="X69" s="4">
        <v>1</v>
      </c>
      <c r="Y69" s="4">
        <v>2985517.35</v>
      </c>
      <c r="Z69" s="4"/>
      <c r="AA69" s="4"/>
      <c r="AB69" s="4"/>
    </row>
    <row r="71" spans="1:245" x14ac:dyDescent="0.2">
      <c r="A71" s="1">
        <v>4</v>
      </c>
      <c r="B71" s="1">
        <v>1</v>
      </c>
      <c r="C71" s="1"/>
      <c r="D71" s="1">
        <f>ROW(A85)</f>
        <v>85</v>
      </c>
      <c r="E71" s="1"/>
      <c r="F71" s="1" t="s">
        <v>14</v>
      </c>
      <c r="G71" s="1" t="s">
        <v>129</v>
      </c>
      <c r="H71" s="1" t="s">
        <v>3</v>
      </c>
      <c r="I71" s="1">
        <v>0</v>
      </c>
      <c r="J71" s="1"/>
      <c r="K71" s="1">
        <v>0</v>
      </c>
      <c r="L71" s="1"/>
      <c r="M71" s="1" t="s">
        <v>3</v>
      </c>
      <c r="N71" s="1"/>
      <c r="O71" s="1"/>
      <c r="P71" s="1"/>
      <c r="Q71" s="1"/>
      <c r="R71" s="1"/>
      <c r="S71" s="1">
        <v>0</v>
      </c>
      <c r="T71" s="1"/>
      <c r="U71" s="1" t="s">
        <v>3</v>
      </c>
      <c r="V71" s="1">
        <v>0</v>
      </c>
      <c r="W71" s="1"/>
      <c r="X71" s="1"/>
      <c r="Y71" s="1"/>
      <c r="Z71" s="1"/>
      <c r="AA71" s="1"/>
      <c r="AB71" s="1" t="s">
        <v>3</v>
      </c>
      <c r="AC71" s="1" t="s">
        <v>3</v>
      </c>
      <c r="AD71" s="1" t="s">
        <v>3</v>
      </c>
      <c r="AE71" s="1" t="s">
        <v>3</v>
      </c>
      <c r="AF71" s="1" t="s">
        <v>3</v>
      </c>
      <c r="AG71" s="1" t="s">
        <v>3</v>
      </c>
      <c r="AH71" s="1"/>
      <c r="AI71" s="1"/>
      <c r="AJ71" s="1"/>
      <c r="AK71" s="1"/>
      <c r="AL71" s="1"/>
      <c r="AM71" s="1"/>
      <c r="AN71" s="1"/>
      <c r="AO71" s="1"/>
      <c r="AP71" s="1" t="s">
        <v>3</v>
      </c>
      <c r="AQ71" s="1" t="s">
        <v>3</v>
      </c>
      <c r="AR71" s="1" t="s">
        <v>3</v>
      </c>
      <c r="AS71" s="1"/>
      <c r="AT71" s="1"/>
      <c r="AU71" s="1"/>
      <c r="AV71" s="1"/>
      <c r="AW71" s="1"/>
      <c r="AX71" s="1"/>
      <c r="AY71" s="1"/>
      <c r="AZ71" s="1" t="s">
        <v>3</v>
      </c>
      <c r="BA71" s="1"/>
      <c r="BB71" s="1" t="s">
        <v>3</v>
      </c>
      <c r="BC71" s="1" t="s">
        <v>3</v>
      </c>
      <c r="BD71" s="1" t="s">
        <v>3</v>
      </c>
      <c r="BE71" s="1" t="s">
        <v>3</v>
      </c>
      <c r="BF71" s="1" t="s">
        <v>3</v>
      </c>
      <c r="BG71" s="1" t="s">
        <v>3</v>
      </c>
      <c r="BH71" s="1" t="s">
        <v>3</v>
      </c>
      <c r="BI71" s="1" t="s">
        <v>3</v>
      </c>
      <c r="BJ71" s="1" t="s">
        <v>3</v>
      </c>
      <c r="BK71" s="1" t="s">
        <v>3</v>
      </c>
      <c r="BL71" s="1" t="s">
        <v>3</v>
      </c>
      <c r="BM71" s="1" t="s">
        <v>3</v>
      </c>
      <c r="BN71" s="1" t="s">
        <v>3</v>
      </c>
      <c r="BO71" s="1" t="s">
        <v>3</v>
      </c>
      <c r="BP71" s="1" t="s">
        <v>3</v>
      </c>
      <c r="BQ71" s="1"/>
      <c r="BR71" s="1"/>
      <c r="BS71" s="1"/>
      <c r="BT71" s="1"/>
      <c r="BU71" s="1"/>
      <c r="BV71" s="1"/>
      <c r="BW71" s="1"/>
      <c r="BX71" s="1"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>
        <v>0</v>
      </c>
    </row>
    <row r="73" spans="1:245" x14ac:dyDescent="0.2">
      <c r="A73" s="2">
        <v>52</v>
      </c>
      <c r="B73" s="2">
        <f t="shared" ref="B73:G73" si="63">B85</f>
        <v>1</v>
      </c>
      <c r="C73" s="2">
        <f t="shared" si="63"/>
        <v>4</v>
      </c>
      <c r="D73" s="2">
        <f t="shared" si="63"/>
        <v>71</v>
      </c>
      <c r="E73" s="2">
        <f t="shared" si="63"/>
        <v>0</v>
      </c>
      <c r="F73" s="2" t="str">
        <f t="shared" si="63"/>
        <v>Новый раздел</v>
      </c>
      <c r="G73" s="2" t="str">
        <f t="shared" si="63"/>
        <v>Ремонт отмостки</v>
      </c>
      <c r="H73" s="2"/>
      <c r="I73" s="2"/>
      <c r="J73" s="2"/>
      <c r="K73" s="2"/>
      <c r="L73" s="2"/>
      <c r="M73" s="2"/>
      <c r="N73" s="2"/>
      <c r="O73" s="2">
        <f t="shared" ref="O73:AT73" si="64">O85</f>
        <v>317275.59999999998</v>
      </c>
      <c r="P73" s="2">
        <f t="shared" si="64"/>
        <v>263288.38</v>
      </c>
      <c r="Q73" s="2">
        <f t="shared" si="64"/>
        <v>15915.01</v>
      </c>
      <c r="R73" s="2">
        <f t="shared" si="64"/>
        <v>6496.56</v>
      </c>
      <c r="S73" s="2">
        <f t="shared" si="64"/>
        <v>38072.21</v>
      </c>
      <c r="T73" s="2">
        <f t="shared" si="64"/>
        <v>0</v>
      </c>
      <c r="U73" s="2">
        <f t="shared" si="64"/>
        <v>172.12694399999998</v>
      </c>
      <c r="V73" s="2">
        <f t="shared" si="64"/>
        <v>0</v>
      </c>
      <c r="W73" s="2">
        <f t="shared" si="64"/>
        <v>0</v>
      </c>
      <c r="X73" s="2">
        <f t="shared" si="64"/>
        <v>26650.57</v>
      </c>
      <c r="Y73" s="2">
        <f t="shared" si="64"/>
        <v>3807.23</v>
      </c>
      <c r="Z73" s="2">
        <f t="shared" si="64"/>
        <v>0</v>
      </c>
      <c r="AA73" s="2">
        <f t="shared" si="64"/>
        <v>0</v>
      </c>
      <c r="AB73" s="2">
        <f t="shared" si="64"/>
        <v>317275.59999999998</v>
      </c>
      <c r="AC73" s="2">
        <f t="shared" si="64"/>
        <v>263288.38</v>
      </c>
      <c r="AD73" s="2">
        <f t="shared" si="64"/>
        <v>15915.01</v>
      </c>
      <c r="AE73" s="2">
        <f t="shared" si="64"/>
        <v>6496.56</v>
      </c>
      <c r="AF73" s="2">
        <f t="shared" si="64"/>
        <v>38072.21</v>
      </c>
      <c r="AG73" s="2">
        <f t="shared" si="64"/>
        <v>0</v>
      </c>
      <c r="AH73" s="2">
        <f t="shared" si="64"/>
        <v>172.12694399999998</v>
      </c>
      <c r="AI73" s="2">
        <f t="shared" si="64"/>
        <v>0</v>
      </c>
      <c r="AJ73" s="2">
        <f t="shared" si="64"/>
        <v>0</v>
      </c>
      <c r="AK73" s="2">
        <f t="shared" si="64"/>
        <v>26650.57</v>
      </c>
      <c r="AL73" s="2">
        <f t="shared" si="64"/>
        <v>3807.23</v>
      </c>
      <c r="AM73" s="2">
        <f t="shared" si="64"/>
        <v>0</v>
      </c>
      <c r="AN73" s="2">
        <f t="shared" si="64"/>
        <v>0</v>
      </c>
      <c r="AO73" s="2">
        <f t="shared" si="64"/>
        <v>0</v>
      </c>
      <c r="AP73" s="2">
        <f t="shared" si="64"/>
        <v>0</v>
      </c>
      <c r="AQ73" s="2">
        <f t="shared" si="64"/>
        <v>0</v>
      </c>
      <c r="AR73" s="2">
        <f t="shared" si="64"/>
        <v>354749.69</v>
      </c>
      <c r="AS73" s="2">
        <f t="shared" si="64"/>
        <v>0</v>
      </c>
      <c r="AT73" s="2">
        <f t="shared" si="64"/>
        <v>0</v>
      </c>
      <c r="AU73" s="2">
        <f t="shared" ref="AU73:BZ73" si="65">AU85</f>
        <v>354749.69</v>
      </c>
      <c r="AV73" s="2">
        <f t="shared" si="65"/>
        <v>263288.38</v>
      </c>
      <c r="AW73" s="2">
        <f t="shared" si="65"/>
        <v>263288.38</v>
      </c>
      <c r="AX73" s="2">
        <f t="shared" si="65"/>
        <v>0</v>
      </c>
      <c r="AY73" s="2">
        <f t="shared" si="65"/>
        <v>263288.38</v>
      </c>
      <c r="AZ73" s="2">
        <f t="shared" si="65"/>
        <v>0</v>
      </c>
      <c r="BA73" s="2">
        <f t="shared" si="65"/>
        <v>0</v>
      </c>
      <c r="BB73" s="2">
        <f t="shared" si="65"/>
        <v>0</v>
      </c>
      <c r="BC73" s="2">
        <f t="shared" si="65"/>
        <v>0</v>
      </c>
      <c r="BD73" s="2">
        <f t="shared" si="65"/>
        <v>0</v>
      </c>
      <c r="BE73" s="2">
        <f t="shared" si="65"/>
        <v>0</v>
      </c>
      <c r="BF73" s="2">
        <f t="shared" si="65"/>
        <v>0</v>
      </c>
      <c r="BG73" s="2">
        <f t="shared" si="65"/>
        <v>0</v>
      </c>
      <c r="BH73" s="2">
        <f t="shared" si="65"/>
        <v>0</v>
      </c>
      <c r="BI73" s="2">
        <f t="shared" si="65"/>
        <v>0</v>
      </c>
      <c r="BJ73" s="2">
        <f t="shared" si="65"/>
        <v>0</v>
      </c>
      <c r="BK73" s="2">
        <f t="shared" si="65"/>
        <v>0</v>
      </c>
      <c r="BL73" s="2">
        <f t="shared" si="65"/>
        <v>0</v>
      </c>
      <c r="BM73" s="2">
        <f t="shared" si="65"/>
        <v>0</v>
      </c>
      <c r="BN73" s="2">
        <f t="shared" si="65"/>
        <v>0</v>
      </c>
      <c r="BO73" s="2">
        <f t="shared" si="65"/>
        <v>0</v>
      </c>
      <c r="BP73" s="2">
        <f t="shared" si="65"/>
        <v>0</v>
      </c>
      <c r="BQ73" s="2">
        <f t="shared" si="65"/>
        <v>0</v>
      </c>
      <c r="BR73" s="2">
        <f t="shared" si="65"/>
        <v>0</v>
      </c>
      <c r="BS73" s="2">
        <f t="shared" si="65"/>
        <v>0</v>
      </c>
      <c r="BT73" s="2">
        <f t="shared" si="65"/>
        <v>0</v>
      </c>
      <c r="BU73" s="2">
        <f t="shared" si="65"/>
        <v>0</v>
      </c>
      <c r="BV73" s="2">
        <f t="shared" si="65"/>
        <v>0</v>
      </c>
      <c r="BW73" s="2">
        <f t="shared" si="65"/>
        <v>0</v>
      </c>
      <c r="BX73" s="2">
        <f t="shared" si="65"/>
        <v>0</v>
      </c>
      <c r="BY73" s="2">
        <f t="shared" si="65"/>
        <v>0</v>
      </c>
      <c r="BZ73" s="2">
        <f t="shared" si="65"/>
        <v>0</v>
      </c>
      <c r="CA73" s="2">
        <f t="shared" ref="CA73:DF73" si="66">CA85</f>
        <v>354749.69</v>
      </c>
      <c r="CB73" s="2">
        <f t="shared" si="66"/>
        <v>0</v>
      </c>
      <c r="CC73" s="2">
        <f t="shared" si="66"/>
        <v>0</v>
      </c>
      <c r="CD73" s="2">
        <f t="shared" si="66"/>
        <v>354749.69</v>
      </c>
      <c r="CE73" s="2">
        <f t="shared" si="66"/>
        <v>263288.38</v>
      </c>
      <c r="CF73" s="2">
        <f t="shared" si="66"/>
        <v>263288.38</v>
      </c>
      <c r="CG73" s="2">
        <f t="shared" si="66"/>
        <v>0</v>
      </c>
      <c r="CH73" s="2">
        <f t="shared" si="66"/>
        <v>263288.38</v>
      </c>
      <c r="CI73" s="2">
        <f t="shared" si="66"/>
        <v>0</v>
      </c>
      <c r="CJ73" s="2">
        <f t="shared" si="66"/>
        <v>0</v>
      </c>
      <c r="CK73" s="2">
        <f t="shared" si="66"/>
        <v>0</v>
      </c>
      <c r="CL73" s="2">
        <f t="shared" si="66"/>
        <v>0</v>
      </c>
      <c r="CM73" s="2">
        <f t="shared" si="66"/>
        <v>0</v>
      </c>
      <c r="CN73" s="2">
        <f t="shared" si="66"/>
        <v>0</v>
      </c>
      <c r="CO73" s="2">
        <f t="shared" si="66"/>
        <v>0</v>
      </c>
      <c r="CP73" s="2">
        <f t="shared" si="66"/>
        <v>0</v>
      </c>
      <c r="CQ73" s="2">
        <f t="shared" si="66"/>
        <v>0</v>
      </c>
      <c r="CR73" s="2">
        <f t="shared" si="66"/>
        <v>0</v>
      </c>
      <c r="CS73" s="2">
        <f t="shared" si="66"/>
        <v>0</v>
      </c>
      <c r="CT73" s="2">
        <f t="shared" si="66"/>
        <v>0</v>
      </c>
      <c r="CU73" s="2">
        <f t="shared" si="66"/>
        <v>0</v>
      </c>
      <c r="CV73" s="2">
        <f t="shared" si="66"/>
        <v>0</v>
      </c>
      <c r="CW73" s="2">
        <f t="shared" si="66"/>
        <v>0</v>
      </c>
      <c r="CX73" s="2">
        <f t="shared" si="66"/>
        <v>0</v>
      </c>
      <c r="CY73" s="2">
        <f t="shared" si="66"/>
        <v>0</v>
      </c>
      <c r="CZ73" s="2">
        <f t="shared" si="66"/>
        <v>0</v>
      </c>
      <c r="DA73" s="2">
        <f t="shared" si="66"/>
        <v>0</v>
      </c>
      <c r="DB73" s="2">
        <f t="shared" si="66"/>
        <v>0</v>
      </c>
      <c r="DC73" s="2">
        <f t="shared" si="66"/>
        <v>0</v>
      </c>
      <c r="DD73" s="2">
        <f t="shared" si="66"/>
        <v>0</v>
      </c>
      <c r="DE73" s="2">
        <f t="shared" si="66"/>
        <v>0</v>
      </c>
      <c r="DF73" s="2">
        <f t="shared" si="66"/>
        <v>0</v>
      </c>
      <c r="DG73" s="3">
        <f t="shared" ref="DG73:EL73" si="67">DG85</f>
        <v>0</v>
      </c>
      <c r="DH73" s="3">
        <f t="shared" si="67"/>
        <v>0</v>
      </c>
      <c r="DI73" s="3">
        <f t="shared" si="67"/>
        <v>0</v>
      </c>
      <c r="DJ73" s="3">
        <f t="shared" si="67"/>
        <v>0</v>
      </c>
      <c r="DK73" s="3">
        <f t="shared" si="67"/>
        <v>0</v>
      </c>
      <c r="DL73" s="3">
        <f t="shared" si="67"/>
        <v>0</v>
      </c>
      <c r="DM73" s="3">
        <f t="shared" si="67"/>
        <v>0</v>
      </c>
      <c r="DN73" s="3">
        <f t="shared" si="67"/>
        <v>0</v>
      </c>
      <c r="DO73" s="3">
        <f t="shared" si="67"/>
        <v>0</v>
      </c>
      <c r="DP73" s="3">
        <f t="shared" si="67"/>
        <v>0</v>
      </c>
      <c r="DQ73" s="3">
        <f t="shared" si="67"/>
        <v>0</v>
      </c>
      <c r="DR73" s="3">
        <f t="shared" si="67"/>
        <v>0</v>
      </c>
      <c r="DS73" s="3">
        <f t="shared" si="67"/>
        <v>0</v>
      </c>
      <c r="DT73" s="3">
        <f t="shared" si="67"/>
        <v>0</v>
      </c>
      <c r="DU73" s="3">
        <f t="shared" si="67"/>
        <v>0</v>
      </c>
      <c r="DV73" s="3">
        <f t="shared" si="67"/>
        <v>0</v>
      </c>
      <c r="DW73" s="3">
        <f t="shared" si="67"/>
        <v>0</v>
      </c>
      <c r="DX73" s="3">
        <f t="shared" si="67"/>
        <v>0</v>
      </c>
      <c r="DY73" s="3">
        <f t="shared" si="67"/>
        <v>0</v>
      </c>
      <c r="DZ73" s="3">
        <f t="shared" si="67"/>
        <v>0</v>
      </c>
      <c r="EA73" s="3">
        <f t="shared" si="67"/>
        <v>0</v>
      </c>
      <c r="EB73" s="3">
        <f t="shared" si="67"/>
        <v>0</v>
      </c>
      <c r="EC73" s="3">
        <f t="shared" si="67"/>
        <v>0</v>
      </c>
      <c r="ED73" s="3">
        <f t="shared" si="67"/>
        <v>0</v>
      </c>
      <c r="EE73" s="3">
        <f t="shared" si="67"/>
        <v>0</v>
      </c>
      <c r="EF73" s="3">
        <f t="shared" si="67"/>
        <v>0</v>
      </c>
      <c r="EG73" s="3">
        <f t="shared" si="67"/>
        <v>0</v>
      </c>
      <c r="EH73" s="3">
        <f t="shared" si="67"/>
        <v>0</v>
      </c>
      <c r="EI73" s="3">
        <f t="shared" si="67"/>
        <v>0</v>
      </c>
      <c r="EJ73" s="3">
        <f t="shared" si="67"/>
        <v>0</v>
      </c>
      <c r="EK73" s="3">
        <f t="shared" si="67"/>
        <v>0</v>
      </c>
      <c r="EL73" s="3">
        <f t="shared" si="67"/>
        <v>0</v>
      </c>
      <c r="EM73" s="3">
        <f t="shared" ref="EM73:FR73" si="68">EM85</f>
        <v>0</v>
      </c>
      <c r="EN73" s="3">
        <f t="shared" si="68"/>
        <v>0</v>
      </c>
      <c r="EO73" s="3">
        <f t="shared" si="68"/>
        <v>0</v>
      </c>
      <c r="EP73" s="3">
        <f t="shared" si="68"/>
        <v>0</v>
      </c>
      <c r="EQ73" s="3">
        <f t="shared" si="68"/>
        <v>0</v>
      </c>
      <c r="ER73" s="3">
        <f t="shared" si="68"/>
        <v>0</v>
      </c>
      <c r="ES73" s="3">
        <f t="shared" si="68"/>
        <v>0</v>
      </c>
      <c r="ET73" s="3">
        <f t="shared" si="68"/>
        <v>0</v>
      </c>
      <c r="EU73" s="3">
        <f t="shared" si="68"/>
        <v>0</v>
      </c>
      <c r="EV73" s="3">
        <f t="shared" si="68"/>
        <v>0</v>
      </c>
      <c r="EW73" s="3">
        <f t="shared" si="68"/>
        <v>0</v>
      </c>
      <c r="EX73" s="3">
        <f t="shared" si="68"/>
        <v>0</v>
      </c>
      <c r="EY73" s="3">
        <f t="shared" si="68"/>
        <v>0</v>
      </c>
      <c r="EZ73" s="3">
        <f t="shared" si="68"/>
        <v>0</v>
      </c>
      <c r="FA73" s="3">
        <f t="shared" si="68"/>
        <v>0</v>
      </c>
      <c r="FB73" s="3">
        <f t="shared" si="68"/>
        <v>0</v>
      </c>
      <c r="FC73" s="3">
        <f t="shared" si="68"/>
        <v>0</v>
      </c>
      <c r="FD73" s="3">
        <f t="shared" si="68"/>
        <v>0</v>
      </c>
      <c r="FE73" s="3">
        <f t="shared" si="68"/>
        <v>0</v>
      </c>
      <c r="FF73" s="3">
        <f t="shared" si="68"/>
        <v>0</v>
      </c>
      <c r="FG73" s="3">
        <f t="shared" si="68"/>
        <v>0</v>
      </c>
      <c r="FH73" s="3">
        <f t="shared" si="68"/>
        <v>0</v>
      </c>
      <c r="FI73" s="3">
        <f t="shared" si="68"/>
        <v>0</v>
      </c>
      <c r="FJ73" s="3">
        <f t="shared" si="68"/>
        <v>0</v>
      </c>
      <c r="FK73" s="3">
        <f t="shared" si="68"/>
        <v>0</v>
      </c>
      <c r="FL73" s="3">
        <f t="shared" si="68"/>
        <v>0</v>
      </c>
      <c r="FM73" s="3">
        <f t="shared" si="68"/>
        <v>0</v>
      </c>
      <c r="FN73" s="3">
        <f t="shared" si="68"/>
        <v>0</v>
      </c>
      <c r="FO73" s="3">
        <f t="shared" si="68"/>
        <v>0</v>
      </c>
      <c r="FP73" s="3">
        <f t="shared" si="68"/>
        <v>0</v>
      </c>
      <c r="FQ73" s="3">
        <f t="shared" si="68"/>
        <v>0</v>
      </c>
      <c r="FR73" s="3">
        <f t="shared" si="68"/>
        <v>0</v>
      </c>
      <c r="FS73" s="3">
        <f t="shared" ref="FS73:GX73" si="69">FS85</f>
        <v>0</v>
      </c>
      <c r="FT73" s="3">
        <f t="shared" si="69"/>
        <v>0</v>
      </c>
      <c r="FU73" s="3">
        <f t="shared" si="69"/>
        <v>0</v>
      </c>
      <c r="FV73" s="3">
        <f t="shared" si="69"/>
        <v>0</v>
      </c>
      <c r="FW73" s="3">
        <f t="shared" si="69"/>
        <v>0</v>
      </c>
      <c r="FX73" s="3">
        <f t="shared" si="69"/>
        <v>0</v>
      </c>
      <c r="FY73" s="3">
        <f t="shared" si="69"/>
        <v>0</v>
      </c>
      <c r="FZ73" s="3">
        <f t="shared" si="69"/>
        <v>0</v>
      </c>
      <c r="GA73" s="3">
        <f t="shared" si="69"/>
        <v>0</v>
      </c>
      <c r="GB73" s="3">
        <f t="shared" si="69"/>
        <v>0</v>
      </c>
      <c r="GC73" s="3">
        <f t="shared" si="69"/>
        <v>0</v>
      </c>
      <c r="GD73" s="3">
        <f t="shared" si="69"/>
        <v>0</v>
      </c>
      <c r="GE73" s="3">
        <f t="shared" si="69"/>
        <v>0</v>
      </c>
      <c r="GF73" s="3">
        <f t="shared" si="69"/>
        <v>0</v>
      </c>
      <c r="GG73" s="3">
        <f t="shared" si="69"/>
        <v>0</v>
      </c>
      <c r="GH73" s="3">
        <f t="shared" si="69"/>
        <v>0</v>
      </c>
      <c r="GI73" s="3">
        <f t="shared" si="69"/>
        <v>0</v>
      </c>
      <c r="GJ73" s="3">
        <f t="shared" si="69"/>
        <v>0</v>
      </c>
      <c r="GK73" s="3">
        <f t="shared" si="69"/>
        <v>0</v>
      </c>
      <c r="GL73" s="3">
        <f t="shared" si="69"/>
        <v>0</v>
      </c>
      <c r="GM73" s="3">
        <f t="shared" si="69"/>
        <v>0</v>
      </c>
      <c r="GN73" s="3">
        <f t="shared" si="69"/>
        <v>0</v>
      </c>
      <c r="GO73" s="3">
        <f t="shared" si="69"/>
        <v>0</v>
      </c>
      <c r="GP73" s="3">
        <f t="shared" si="69"/>
        <v>0</v>
      </c>
      <c r="GQ73" s="3">
        <f t="shared" si="69"/>
        <v>0</v>
      </c>
      <c r="GR73" s="3">
        <f t="shared" si="69"/>
        <v>0</v>
      </c>
      <c r="GS73" s="3">
        <f t="shared" si="69"/>
        <v>0</v>
      </c>
      <c r="GT73" s="3">
        <f t="shared" si="69"/>
        <v>0</v>
      </c>
      <c r="GU73" s="3">
        <f t="shared" si="69"/>
        <v>0</v>
      </c>
      <c r="GV73" s="3">
        <f t="shared" si="69"/>
        <v>0</v>
      </c>
      <c r="GW73" s="3">
        <f t="shared" si="69"/>
        <v>0</v>
      </c>
      <c r="GX73" s="3">
        <f t="shared" si="69"/>
        <v>0</v>
      </c>
    </row>
    <row r="75" spans="1:245" x14ac:dyDescent="0.2">
      <c r="A75">
        <v>17</v>
      </c>
      <c r="B75">
        <v>1</v>
      </c>
      <c r="C75">
        <f>ROW(SmtRes!A65)</f>
        <v>65</v>
      </c>
      <c r="D75">
        <f>ROW(EtalonRes!A65)</f>
        <v>65</v>
      </c>
      <c r="E75" t="s">
        <v>130</v>
      </c>
      <c r="F75" t="s">
        <v>35</v>
      </c>
      <c r="G75" t="s">
        <v>36</v>
      </c>
      <c r="H75" t="s">
        <v>27</v>
      </c>
      <c r="I75">
        <f>ROUND(14.4/100,9)</f>
        <v>0.14399999999999999</v>
      </c>
      <c r="J75">
        <v>0</v>
      </c>
      <c r="K75">
        <f>ROUND(14.4/100,9)</f>
        <v>0.14399999999999999</v>
      </c>
      <c r="O75">
        <f t="shared" ref="O75:O83" si="70">ROUND(CP75,2)</f>
        <v>4252.3599999999997</v>
      </c>
      <c r="P75">
        <f t="shared" ref="P75:P83" si="71">ROUND(CQ75*I75,2)</f>
        <v>0</v>
      </c>
      <c r="Q75">
        <f t="shared" ref="Q75:Q83" si="72">ROUND(CR75*I75,2)</f>
        <v>2316.8200000000002</v>
      </c>
      <c r="R75">
        <f t="shared" ref="R75:R83" si="73">ROUND(CS75*I75,2)</f>
        <v>764.25</v>
      </c>
      <c r="S75">
        <f t="shared" ref="S75:S83" si="74">ROUND(CT75*I75,2)</f>
        <v>1935.54</v>
      </c>
      <c r="T75">
        <f t="shared" ref="T75:T83" si="75">ROUND(CU75*I75,2)</f>
        <v>0</v>
      </c>
      <c r="U75">
        <f t="shared" ref="U75:U83" si="76">CV75*I75</f>
        <v>7.1279999999999992</v>
      </c>
      <c r="V75">
        <f t="shared" ref="V75:V83" si="77">CW75*I75</f>
        <v>0</v>
      </c>
      <c r="W75">
        <f t="shared" ref="W75:W83" si="78">ROUND(CX75*I75,2)</f>
        <v>0</v>
      </c>
      <c r="X75">
        <f t="shared" ref="X75:X83" si="79">ROUND(CY75,2)</f>
        <v>1354.88</v>
      </c>
      <c r="Y75">
        <f t="shared" ref="Y75:Y83" si="80">ROUND(CZ75,2)</f>
        <v>193.55</v>
      </c>
      <c r="AA75">
        <v>36602762</v>
      </c>
      <c r="AB75">
        <f t="shared" ref="AB75:AB83" si="81">ROUND((AC75+AD75+AF75),6)</f>
        <v>29530.26</v>
      </c>
      <c r="AC75">
        <f t="shared" ref="AC75:AC83" si="82">ROUND((ES75),6)</f>
        <v>0</v>
      </c>
      <c r="AD75">
        <f t="shared" ref="AD75:AD83" si="83">ROUND((((ET75)-(EU75))+AE75),6)</f>
        <v>16089.03</v>
      </c>
      <c r="AE75">
        <f t="shared" ref="AE75:AE83" si="84">ROUND((EU75),6)</f>
        <v>5307.29</v>
      </c>
      <c r="AF75">
        <f t="shared" ref="AF75:AF83" si="85">ROUND((EV75),6)</f>
        <v>13441.23</v>
      </c>
      <c r="AG75">
        <f t="shared" ref="AG75:AG83" si="86">ROUND((AP75),6)</f>
        <v>0</v>
      </c>
      <c r="AH75">
        <f t="shared" ref="AH75:AH83" si="87">(EW75)</f>
        <v>49.5</v>
      </c>
      <c r="AI75">
        <f t="shared" ref="AI75:AI83" si="88">(EX75)</f>
        <v>0</v>
      </c>
      <c r="AJ75">
        <f t="shared" ref="AJ75:AJ83" si="89">(AS75)</f>
        <v>0</v>
      </c>
      <c r="AK75">
        <v>29530.26</v>
      </c>
      <c r="AL75">
        <v>0</v>
      </c>
      <c r="AM75">
        <v>16089.03</v>
      </c>
      <c r="AN75">
        <v>5307.29</v>
      </c>
      <c r="AO75">
        <v>13441.23</v>
      </c>
      <c r="AP75">
        <v>0</v>
      </c>
      <c r="AQ75">
        <v>49.5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D75" t="s">
        <v>3</v>
      </c>
      <c r="BE75" t="s">
        <v>3</v>
      </c>
      <c r="BF75" t="s">
        <v>3</v>
      </c>
      <c r="BG75" t="s">
        <v>3</v>
      </c>
      <c r="BH75">
        <v>0</v>
      </c>
      <c r="BI75">
        <v>4</v>
      </c>
      <c r="BJ75" t="s">
        <v>37</v>
      </c>
      <c r="BM75">
        <v>0</v>
      </c>
      <c r="BN75">
        <v>0</v>
      </c>
      <c r="BO75" t="s">
        <v>3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 t="s">
        <v>3</v>
      </c>
      <c r="BZ75">
        <v>70</v>
      </c>
      <c r="CA75">
        <v>10</v>
      </c>
      <c r="CB75" t="s">
        <v>3</v>
      </c>
      <c r="CE75">
        <v>0</v>
      </c>
      <c r="CF75">
        <v>0</v>
      </c>
      <c r="CG75">
        <v>0</v>
      </c>
      <c r="CM75">
        <v>0</v>
      </c>
      <c r="CN75" t="s">
        <v>3</v>
      </c>
      <c r="CO75">
        <v>0</v>
      </c>
      <c r="CP75">
        <f t="shared" ref="CP75:CP83" si="90">(P75+Q75+S75)</f>
        <v>4252.3600000000006</v>
      </c>
      <c r="CQ75">
        <f t="shared" ref="CQ75:CQ83" si="91">(AC75*BC75*AW75)</f>
        <v>0</v>
      </c>
      <c r="CR75">
        <f t="shared" ref="CR75:CR83" si="92">((((ET75)*BB75-(EU75)*BS75)+AE75*BS75)*AV75)</f>
        <v>16089.030000000002</v>
      </c>
      <c r="CS75">
        <f t="shared" ref="CS75:CS83" si="93">(AE75*BS75*AV75)</f>
        <v>5307.29</v>
      </c>
      <c r="CT75">
        <f t="shared" ref="CT75:CT83" si="94">(AF75*BA75*AV75)</f>
        <v>13441.23</v>
      </c>
      <c r="CU75">
        <f t="shared" ref="CU75:CU83" si="95">AG75</f>
        <v>0</v>
      </c>
      <c r="CV75">
        <f t="shared" ref="CV75:CV83" si="96">(AH75*AV75)</f>
        <v>49.5</v>
      </c>
      <c r="CW75">
        <f t="shared" ref="CW75:CW83" si="97">AI75</f>
        <v>0</v>
      </c>
      <c r="CX75">
        <f t="shared" ref="CX75:CX83" si="98">AJ75</f>
        <v>0</v>
      </c>
      <c r="CY75">
        <f t="shared" ref="CY75:CY83" si="99">((S75*BZ75)/100)</f>
        <v>1354.8779999999999</v>
      </c>
      <c r="CZ75">
        <f t="shared" ref="CZ75:CZ83" si="100">((S75*CA75)/100)</f>
        <v>193.554</v>
      </c>
      <c r="DC75" t="s">
        <v>3</v>
      </c>
      <c r="DD75" t="s">
        <v>3</v>
      </c>
      <c r="DE75" t="s">
        <v>3</v>
      </c>
      <c r="DF75" t="s">
        <v>3</v>
      </c>
      <c r="DG75" t="s">
        <v>3</v>
      </c>
      <c r="DH75" t="s">
        <v>3</v>
      </c>
      <c r="DI75" t="s">
        <v>3</v>
      </c>
      <c r="DJ75" t="s">
        <v>3</v>
      </c>
      <c r="DK75" t="s">
        <v>3</v>
      </c>
      <c r="DL75" t="s">
        <v>3</v>
      </c>
      <c r="DM75" t="s">
        <v>3</v>
      </c>
      <c r="DN75">
        <v>0</v>
      </c>
      <c r="DO75">
        <v>0</v>
      </c>
      <c r="DP75">
        <v>1</v>
      </c>
      <c r="DQ75">
        <v>1</v>
      </c>
      <c r="DU75">
        <v>1007</v>
      </c>
      <c r="DV75" t="s">
        <v>27</v>
      </c>
      <c r="DW75" t="s">
        <v>27</v>
      </c>
      <c r="DX75">
        <v>100</v>
      </c>
      <c r="DZ75" t="s">
        <v>3</v>
      </c>
      <c r="EA75" t="s">
        <v>3</v>
      </c>
      <c r="EB75" t="s">
        <v>3</v>
      </c>
      <c r="EC75" t="s">
        <v>3</v>
      </c>
      <c r="EE75">
        <v>36274424</v>
      </c>
      <c r="EF75">
        <v>1</v>
      </c>
      <c r="EG75" t="s">
        <v>21</v>
      </c>
      <c r="EH75">
        <v>0</v>
      </c>
      <c r="EI75" t="s">
        <v>3</v>
      </c>
      <c r="EJ75">
        <v>4</v>
      </c>
      <c r="EK75">
        <v>0</v>
      </c>
      <c r="EL75" t="s">
        <v>22</v>
      </c>
      <c r="EM75" t="s">
        <v>23</v>
      </c>
      <c r="EO75" t="s">
        <v>3</v>
      </c>
      <c r="EQ75">
        <v>0</v>
      </c>
      <c r="ER75">
        <v>29530.26</v>
      </c>
      <c r="ES75">
        <v>0</v>
      </c>
      <c r="ET75">
        <v>16089.03</v>
      </c>
      <c r="EU75">
        <v>5307.29</v>
      </c>
      <c r="EV75">
        <v>13441.23</v>
      </c>
      <c r="EW75">
        <v>49.5</v>
      </c>
      <c r="EX75">
        <v>0</v>
      </c>
      <c r="EY75">
        <v>0</v>
      </c>
      <c r="FQ75">
        <v>0</v>
      </c>
      <c r="FR75">
        <f t="shared" ref="FR75:FR83" si="101">ROUND(IF(AND(BH75=3,BI75=3),P75,0),2)</f>
        <v>0</v>
      </c>
      <c r="FS75">
        <v>0</v>
      </c>
      <c r="FX75">
        <v>70</v>
      </c>
      <c r="FY75">
        <v>10</v>
      </c>
      <c r="GA75" t="s">
        <v>3</v>
      </c>
      <c r="GD75">
        <v>0</v>
      </c>
      <c r="GF75">
        <v>-1922769753</v>
      </c>
      <c r="GG75">
        <v>2</v>
      </c>
      <c r="GH75">
        <v>1</v>
      </c>
      <c r="GI75">
        <v>-2</v>
      </c>
      <c r="GJ75">
        <v>0</v>
      </c>
      <c r="GK75">
        <f>ROUND(R75*(R12)/100,2)</f>
        <v>825.39</v>
      </c>
      <c r="GL75">
        <f t="shared" ref="GL75:GL83" si="102">ROUND(IF(AND(BH75=3,BI75=3,FS75&lt;&gt;0),P75,0),2)</f>
        <v>0</v>
      </c>
      <c r="GM75">
        <f t="shared" ref="GM75:GM83" si="103">ROUND(O75+X75+Y75+GK75,2)+GX75</f>
        <v>6626.18</v>
      </c>
      <c r="GN75">
        <f t="shared" ref="GN75:GN83" si="104">IF(OR(BI75=0,BI75=1),ROUND(O75+X75+Y75+GK75,2),0)</f>
        <v>0</v>
      </c>
      <c r="GO75">
        <f t="shared" ref="GO75:GO83" si="105">IF(BI75=2,ROUND(O75+X75+Y75+GK75,2),0)</f>
        <v>0</v>
      </c>
      <c r="GP75">
        <f t="shared" ref="GP75:GP83" si="106">IF(BI75=4,ROUND(O75+X75+Y75+GK75,2)+GX75,0)</f>
        <v>6626.18</v>
      </c>
      <c r="GR75">
        <v>0</v>
      </c>
      <c r="GS75">
        <v>3</v>
      </c>
      <c r="GT75">
        <v>0</v>
      </c>
      <c r="GU75" t="s">
        <v>3</v>
      </c>
      <c r="GV75">
        <f t="shared" ref="GV75:GV83" si="107">ROUND((GT75),6)</f>
        <v>0</v>
      </c>
      <c r="GW75">
        <v>1</v>
      </c>
      <c r="GX75">
        <f t="shared" ref="GX75:GX83" si="108">ROUND(HC75*I75,2)</f>
        <v>0</v>
      </c>
      <c r="HA75">
        <v>0</v>
      </c>
      <c r="HB75">
        <v>0</v>
      </c>
      <c r="HC75">
        <f t="shared" ref="HC75:HC83" si="109">GV75*GW75</f>
        <v>0</v>
      </c>
      <c r="HE75" t="s">
        <v>3</v>
      </c>
      <c r="HF75" t="s">
        <v>3</v>
      </c>
      <c r="HM75" t="s">
        <v>3</v>
      </c>
      <c r="HN75" t="s">
        <v>3</v>
      </c>
      <c r="HO75" t="s">
        <v>3</v>
      </c>
      <c r="HP75" t="s">
        <v>3</v>
      </c>
      <c r="HQ75" t="s">
        <v>3</v>
      </c>
      <c r="IK75">
        <v>0</v>
      </c>
    </row>
    <row r="76" spans="1:245" x14ac:dyDescent="0.2">
      <c r="A76">
        <v>17</v>
      </c>
      <c r="B76">
        <v>1</v>
      </c>
      <c r="C76">
        <f>ROW(SmtRes!A68)</f>
        <v>68</v>
      </c>
      <c r="D76">
        <f>ROW(EtalonRes!A68)</f>
        <v>68</v>
      </c>
      <c r="E76" t="s">
        <v>131</v>
      </c>
      <c r="F76" t="s">
        <v>132</v>
      </c>
      <c r="G76" t="s">
        <v>133</v>
      </c>
      <c r="H76" t="s">
        <v>27</v>
      </c>
      <c r="I76">
        <f>ROUND(14.4/100,9)</f>
        <v>0.14399999999999999</v>
      </c>
      <c r="J76">
        <v>0</v>
      </c>
      <c r="K76">
        <f>ROUND(14.4/100,9)</f>
        <v>0.14399999999999999</v>
      </c>
      <c r="O76">
        <f t="shared" si="70"/>
        <v>1500.45</v>
      </c>
      <c r="P76">
        <f t="shared" si="71"/>
        <v>0</v>
      </c>
      <c r="Q76">
        <f t="shared" si="72"/>
        <v>1436.75</v>
      </c>
      <c r="R76">
        <f t="shared" si="73"/>
        <v>640.13</v>
      </c>
      <c r="S76">
        <f t="shared" si="74"/>
        <v>63.7</v>
      </c>
      <c r="T76">
        <f t="shared" si="75"/>
        <v>0</v>
      </c>
      <c r="U76">
        <f t="shared" si="76"/>
        <v>0.31968000000000002</v>
      </c>
      <c r="V76">
        <f t="shared" si="77"/>
        <v>0</v>
      </c>
      <c r="W76">
        <f t="shared" si="78"/>
        <v>0</v>
      </c>
      <c r="X76">
        <f t="shared" si="79"/>
        <v>44.59</v>
      </c>
      <c r="Y76">
        <f t="shared" si="80"/>
        <v>6.37</v>
      </c>
      <c r="AA76">
        <v>36602762</v>
      </c>
      <c r="AB76">
        <f t="shared" si="81"/>
        <v>10419.83</v>
      </c>
      <c r="AC76">
        <f t="shared" si="82"/>
        <v>0</v>
      </c>
      <c r="AD76">
        <f t="shared" si="83"/>
        <v>9977.4500000000007</v>
      </c>
      <c r="AE76">
        <f t="shared" si="84"/>
        <v>4445.33</v>
      </c>
      <c r="AF76">
        <f t="shared" si="85"/>
        <v>442.38</v>
      </c>
      <c r="AG76">
        <f t="shared" si="86"/>
        <v>0</v>
      </c>
      <c r="AH76">
        <f t="shared" si="87"/>
        <v>2.2200000000000002</v>
      </c>
      <c r="AI76">
        <f t="shared" si="88"/>
        <v>0</v>
      </c>
      <c r="AJ76">
        <f t="shared" si="89"/>
        <v>0</v>
      </c>
      <c r="AK76">
        <v>10419.83</v>
      </c>
      <c r="AL76">
        <v>0</v>
      </c>
      <c r="AM76">
        <v>9977.4500000000007</v>
      </c>
      <c r="AN76">
        <v>4445.33</v>
      </c>
      <c r="AO76">
        <v>442.38</v>
      </c>
      <c r="AP76">
        <v>0</v>
      </c>
      <c r="AQ76">
        <v>2.2200000000000002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D76" t="s">
        <v>3</v>
      </c>
      <c r="BE76" t="s">
        <v>3</v>
      </c>
      <c r="BF76" t="s">
        <v>3</v>
      </c>
      <c r="BG76" t="s">
        <v>3</v>
      </c>
      <c r="BH76">
        <v>0</v>
      </c>
      <c r="BI76">
        <v>4</v>
      </c>
      <c r="BJ76" t="s">
        <v>134</v>
      </c>
      <c r="BM76">
        <v>0</v>
      </c>
      <c r="BN76">
        <v>0</v>
      </c>
      <c r="BO76" t="s">
        <v>3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70</v>
      </c>
      <c r="CA76">
        <v>10</v>
      </c>
      <c r="CB76" t="s">
        <v>3</v>
      </c>
      <c r="CE76">
        <v>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 t="shared" si="90"/>
        <v>1500.45</v>
      </c>
      <c r="CQ76">
        <f t="shared" si="91"/>
        <v>0</v>
      </c>
      <c r="CR76">
        <f t="shared" si="92"/>
        <v>9977.4500000000007</v>
      </c>
      <c r="CS76">
        <f t="shared" si="93"/>
        <v>4445.33</v>
      </c>
      <c r="CT76">
        <f t="shared" si="94"/>
        <v>442.38</v>
      </c>
      <c r="CU76">
        <f t="shared" si="95"/>
        <v>0</v>
      </c>
      <c r="CV76">
        <f t="shared" si="96"/>
        <v>2.2200000000000002</v>
      </c>
      <c r="CW76">
        <f t="shared" si="97"/>
        <v>0</v>
      </c>
      <c r="CX76">
        <f t="shared" si="98"/>
        <v>0</v>
      </c>
      <c r="CY76">
        <f t="shared" si="99"/>
        <v>44.59</v>
      </c>
      <c r="CZ76">
        <f t="shared" si="100"/>
        <v>6.37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0</v>
      </c>
      <c r="DO76">
        <v>0</v>
      </c>
      <c r="DP76">
        <v>1</v>
      </c>
      <c r="DQ76">
        <v>1</v>
      </c>
      <c r="DU76">
        <v>1007</v>
      </c>
      <c r="DV76" t="s">
        <v>27</v>
      </c>
      <c r="DW76" t="s">
        <v>27</v>
      </c>
      <c r="DX76">
        <v>100</v>
      </c>
      <c r="DZ76" t="s">
        <v>3</v>
      </c>
      <c r="EA76" t="s">
        <v>3</v>
      </c>
      <c r="EB76" t="s">
        <v>3</v>
      </c>
      <c r="EC76" t="s">
        <v>3</v>
      </c>
      <c r="EE76">
        <v>36274424</v>
      </c>
      <c r="EF76">
        <v>1</v>
      </c>
      <c r="EG76" t="s">
        <v>21</v>
      </c>
      <c r="EH76">
        <v>0</v>
      </c>
      <c r="EI76" t="s">
        <v>3</v>
      </c>
      <c r="EJ76">
        <v>4</v>
      </c>
      <c r="EK76">
        <v>0</v>
      </c>
      <c r="EL76" t="s">
        <v>22</v>
      </c>
      <c r="EM76" t="s">
        <v>23</v>
      </c>
      <c r="EO76" t="s">
        <v>3</v>
      </c>
      <c r="EQ76">
        <v>0</v>
      </c>
      <c r="ER76">
        <v>10419.83</v>
      </c>
      <c r="ES76">
        <v>0</v>
      </c>
      <c r="ET76">
        <v>9977.4500000000007</v>
      </c>
      <c r="EU76">
        <v>4445.33</v>
      </c>
      <c r="EV76">
        <v>442.38</v>
      </c>
      <c r="EW76">
        <v>2.2200000000000002</v>
      </c>
      <c r="EX76">
        <v>0</v>
      </c>
      <c r="EY76">
        <v>0</v>
      </c>
      <c r="FQ76">
        <v>0</v>
      </c>
      <c r="FR76">
        <f t="shared" si="101"/>
        <v>0</v>
      </c>
      <c r="FS76">
        <v>0</v>
      </c>
      <c r="FX76">
        <v>70</v>
      </c>
      <c r="FY76">
        <v>10</v>
      </c>
      <c r="GA76" t="s">
        <v>3</v>
      </c>
      <c r="GD76">
        <v>0</v>
      </c>
      <c r="GF76">
        <v>-1305891040</v>
      </c>
      <c r="GG76">
        <v>2</v>
      </c>
      <c r="GH76">
        <v>1</v>
      </c>
      <c r="GI76">
        <v>-2</v>
      </c>
      <c r="GJ76">
        <v>0</v>
      </c>
      <c r="GK76">
        <f>ROUND(R76*(R12)/100,2)</f>
        <v>691.34</v>
      </c>
      <c r="GL76">
        <f t="shared" si="102"/>
        <v>0</v>
      </c>
      <c r="GM76">
        <f t="shared" si="103"/>
        <v>2242.75</v>
      </c>
      <c r="GN76">
        <f t="shared" si="104"/>
        <v>0</v>
      </c>
      <c r="GO76">
        <f t="shared" si="105"/>
        <v>0</v>
      </c>
      <c r="GP76">
        <f t="shared" si="106"/>
        <v>2242.75</v>
      </c>
      <c r="GR76">
        <v>0</v>
      </c>
      <c r="GS76">
        <v>0</v>
      </c>
      <c r="GT76">
        <v>0</v>
      </c>
      <c r="GU76" t="s">
        <v>3</v>
      </c>
      <c r="GV76">
        <f t="shared" si="107"/>
        <v>0</v>
      </c>
      <c r="GW76">
        <v>1</v>
      </c>
      <c r="GX76">
        <f t="shared" si="108"/>
        <v>0</v>
      </c>
      <c r="HA76">
        <v>0</v>
      </c>
      <c r="HB76">
        <v>0</v>
      </c>
      <c r="HC76">
        <f t="shared" si="109"/>
        <v>0</v>
      </c>
      <c r="HE76" t="s">
        <v>3</v>
      </c>
      <c r="HF76" t="s">
        <v>3</v>
      </c>
      <c r="HM76" t="s">
        <v>3</v>
      </c>
      <c r="HN76" t="s">
        <v>3</v>
      </c>
      <c r="HO76" t="s">
        <v>3</v>
      </c>
      <c r="HP76" t="s">
        <v>3</v>
      </c>
      <c r="HQ76" t="s">
        <v>3</v>
      </c>
      <c r="IK76">
        <v>0</v>
      </c>
    </row>
    <row r="77" spans="1:245" x14ac:dyDescent="0.2">
      <c r="A77">
        <v>17</v>
      </c>
      <c r="B77">
        <v>1</v>
      </c>
      <c r="C77">
        <f>ROW(SmtRes!A72)</f>
        <v>72</v>
      </c>
      <c r="D77">
        <f>ROW(EtalonRes!A72)</f>
        <v>72</v>
      </c>
      <c r="E77" t="s">
        <v>135</v>
      </c>
      <c r="F77" t="s">
        <v>136</v>
      </c>
      <c r="G77" t="s">
        <v>137</v>
      </c>
      <c r="H77" t="s">
        <v>32</v>
      </c>
      <c r="I77">
        <f>ROUND(144/100,9)</f>
        <v>1.44</v>
      </c>
      <c r="J77">
        <v>0</v>
      </c>
      <c r="K77">
        <f>ROUND(144/100,9)</f>
        <v>1.44</v>
      </c>
      <c r="O77">
        <f t="shared" si="70"/>
        <v>122567.39</v>
      </c>
      <c r="P77">
        <f t="shared" si="71"/>
        <v>97350.54</v>
      </c>
      <c r="Q77">
        <f t="shared" si="72"/>
        <v>0</v>
      </c>
      <c r="R77">
        <f t="shared" si="73"/>
        <v>0</v>
      </c>
      <c r="S77">
        <f t="shared" si="74"/>
        <v>25216.85</v>
      </c>
      <c r="T77">
        <f t="shared" si="75"/>
        <v>0</v>
      </c>
      <c r="U77">
        <f t="shared" si="76"/>
        <v>115.58879999999999</v>
      </c>
      <c r="V77">
        <f t="shared" si="77"/>
        <v>0</v>
      </c>
      <c r="W77">
        <f t="shared" si="78"/>
        <v>0</v>
      </c>
      <c r="X77">
        <f t="shared" si="79"/>
        <v>17651.8</v>
      </c>
      <c r="Y77">
        <f t="shared" si="80"/>
        <v>2521.69</v>
      </c>
      <c r="AA77">
        <v>36602762</v>
      </c>
      <c r="AB77">
        <f t="shared" si="81"/>
        <v>85116.24</v>
      </c>
      <c r="AC77">
        <f t="shared" si="82"/>
        <v>67604.539999999994</v>
      </c>
      <c r="AD77">
        <f t="shared" si="83"/>
        <v>0</v>
      </c>
      <c r="AE77">
        <f t="shared" si="84"/>
        <v>0</v>
      </c>
      <c r="AF77">
        <f t="shared" si="85"/>
        <v>17511.7</v>
      </c>
      <c r="AG77">
        <f t="shared" si="86"/>
        <v>0</v>
      </c>
      <c r="AH77">
        <f t="shared" si="87"/>
        <v>80.27</v>
      </c>
      <c r="AI77">
        <f t="shared" si="88"/>
        <v>0</v>
      </c>
      <c r="AJ77">
        <f t="shared" si="89"/>
        <v>0</v>
      </c>
      <c r="AK77">
        <v>85116.24</v>
      </c>
      <c r="AL77">
        <v>67604.539999999994</v>
      </c>
      <c r="AM77">
        <v>0</v>
      </c>
      <c r="AN77">
        <v>0</v>
      </c>
      <c r="AO77">
        <v>17511.7</v>
      </c>
      <c r="AP77">
        <v>0</v>
      </c>
      <c r="AQ77">
        <v>80.27</v>
      </c>
      <c r="AR77">
        <v>0</v>
      </c>
      <c r="AS77">
        <v>0</v>
      </c>
      <c r="AT77">
        <v>70</v>
      </c>
      <c r="AU77">
        <v>10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0</v>
      </c>
      <c r="BI77">
        <v>4</v>
      </c>
      <c r="BJ77" t="s">
        <v>138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10</v>
      </c>
      <c r="CB77" t="s">
        <v>3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 t="shared" si="90"/>
        <v>122567.38999999998</v>
      </c>
      <c r="CQ77">
        <f t="shared" si="91"/>
        <v>67604.539999999994</v>
      </c>
      <c r="CR77">
        <f t="shared" si="92"/>
        <v>0</v>
      </c>
      <c r="CS77">
        <f t="shared" si="93"/>
        <v>0</v>
      </c>
      <c r="CT77">
        <f t="shared" si="94"/>
        <v>17511.7</v>
      </c>
      <c r="CU77">
        <f t="shared" si="95"/>
        <v>0</v>
      </c>
      <c r="CV77">
        <f t="shared" si="96"/>
        <v>80.27</v>
      </c>
      <c r="CW77">
        <f t="shared" si="97"/>
        <v>0</v>
      </c>
      <c r="CX77">
        <f t="shared" si="98"/>
        <v>0</v>
      </c>
      <c r="CY77">
        <f t="shared" si="99"/>
        <v>17651.794999999998</v>
      </c>
      <c r="CZ77">
        <f t="shared" si="100"/>
        <v>2521.6849999999999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1003</v>
      </c>
      <c r="DV77" t="s">
        <v>32</v>
      </c>
      <c r="DW77" t="s">
        <v>32</v>
      </c>
      <c r="DX77">
        <v>100</v>
      </c>
      <c r="DZ77" t="s">
        <v>3</v>
      </c>
      <c r="EA77" t="s">
        <v>3</v>
      </c>
      <c r="EB77" t="s">
        <v>3</v>
      </c>
      <c r="EC77" t="s">
        <v>3</v>
      </c>
      <c r="EE77">
        <v>36274424</v>
      </c>
      <c r="EF77">
        <v>1</v>
      </c>
      <c r="EG77" t="s">
        <v>21</v>
      </c>
      <c r="EH77">
        <v>0</v>
      </c>
      <c r="EI77" t="s">
        <v>3</v>
      </c>
      <c r="EJ77">
        <v>4</v>
      </c>
      <c r="EK77">
        <v>0</v>
      </c>
      <c r="EL77" t="s">
        <v>22</v>
      </c>
      <c r="EM77" t="s">
        <v>23</v>
      </c>
      <c r="EO77" t="s">
        <v>3</v>
      </c>
      <c r="EQ77">
        <v>0</v>
      </c>
      <c r="ER77">
        <v>85116.24</v>
      </c>
      <c r="ES77">
        <v>67604.539999999994</v>
      </c>
      <c r="ET77">
        <v>0</v>
      </c>
      <c r="EU77">
        <v>0</v>
      </c>
      <c r="EV77">
        <v>17511.7</v>
      </c>
      <c r="EW77">
        <v>80.27</v>
      </c>
      <c r="EX77">
        <v>0</v>
      </c>
      <c r="EY77">
        <v>0</v>
      </c>
      <c r="FQ77">
        <v>0</v>
      </c>
      <c r="FR77">
        <f t="shared" si="101"/>
        <v>0</v>
      </c>
      <c r="FS77">
        <v>0</v>
      </c>
      <c r="FX77">
        <v>70</v>
      </c>
      <c r="FY77">
        <v>10</v>
      </c>
      <c r="GA77" t="s">
        <v>3</v>
      </c>
      <c r="GD77">
        <v>0</v>
      </c>
      <c r="GF77">
        <v>-1676357098</v>
      </c>
      <c r="GG77">
        <v>2</v>
      </c>
      <c r="GH77">
        <v>1</v>
      </c>
      <c r="GI77">
        <v>-2</v>
      </c>
      <c r="GJ77">
        <v>0</v>
      </c>
      <c r="GK77">
        <f>ROUND(R77*(R12)/100,2)</f>
        <v>0</v>
      </c>
      <c r="GL77">
        <f t="shared" si="102"/>
        <v>0</v>
      </c>
      <c r="GM77">
        <f t="shared" si="103"/>
        <v>142740.88</v>
      </c>
      <c r="GN77">
        <f t="shared" si="104"/>
        <v>0</v>
      </c>
      <c r="GO77">
        <f t="shared" si="105"/>
        <v>0</v>
      </c>
      <c r="GP77">
        <f t="shared" si="106"/>
        <v>142740.88</v>
      </c>
      <c r="GR77">
        <v>0</v>
      </c>
      <c r="GS77">
        <v>3</v>
      </c>
      <c r="GT77">
        <v>0</v>
      </c>
      <c r="GU77" t="s">
        <v>3</v>
      </c>
      <c r="GV77">
        <f t="shared" si="107"/>
        <v>0</v>
      </c>
      <c r="GW77">
        <v>1</v>
      </c>
      <c r="GX77">
        <f t="shared" si="108"/>
        <v>0</v>
      </c>
      <c r="HA77">
        <v>0</v>
      </c>
      <c r="HB77">
        <v>0</v>
      </c>
      <c r="HC77">
        <f t="shared" si="109"/>
        <v>0</v>
      </c>
      <c r="HE77" t="s">
        <v>3</v>
      </c>
      <c r="HF77" t="s">
        <v>3</v>
      </c>
      <c r="HM77" t="s">
        <v>3</v>
      </c>
      <c r="HN77" t="s">
        <v>3</v>
      </c>
      <c r="HO77" t="s">
        <v>3</v>
      </c>
      <c r="HP77" t="s">
        <v>3</v>
      </c>
      <c r="HQ77" t="s">
        <v>3</v>
      </c>
      <c r="IK77">
        <v>0</v>
      </c>
    </row>
    <row r="78" spans="1:245" x14ac:dyDescent="0.2">
      <c r="A78">
        <v>17</v>
      </c>
      <c r="B78">
        <v>1</v>
      </c>
      <c r="C78">
        <f>ROW(SmtRes!A80)</f>
        <v>80</v>
      </c>
      <c r="D78">
        <f>ROW(EtalonRes!A80)</f>
        <v>80</v>
      </c>
      <c r="E78" t="s">
        <v>139</v>
      </c>
      <c r="F78" t="s">
        <v>48</v>
      </c>
      <c r="G78" t="s">
        <v>49</v>
      </c>
      <c r="H78" t="s">
        <v>27</v>
      </c>
      <c r="I78">
        <f>ROUND(7.2/100,9)</f>
        <v>7.1999999999999995E-2</v>
      </c>
      <c r="J78">
        <v>0</v>
      </c>
      <c r="K78">
        <f>ROUND(7.2/100,9)</f>
        <v>7.1999999999999995E-2</v>
      </c>
      <c r="O78">
        <f t="shared" si="70"/>
        <v>5398.7</v>
      </c>
      <c r="P78">
        <f t="shared" si="71"/>
        <v>4558.0200000000004</v>
      </c>
      <c r="Q78">
        <f t="shared" si="72"/>
        <v>594.64</v>
      </c>
      <c r="R78">
        <f t="shared" si="73"/>
        <v>255.84</v>
      </c>
      <c r="S78">
        <f t="shared" si="74"/>
        <v>246.04</v>
      </c>
      <c r="T78">
        <f t="shared" si="75"/>
        <v>0</v>
      </c>
      <c r="U78">
        <f t="shared" si="76"/>
        <v>1.1923199999999998</v>
      </c>
      <c r="V78">
        <f t="shared" si="77"/>
        <v>0</v>
      </c>
      <c r="W78">
        <f t="shared" si="78"/>
        <v>0</v>
      </c>
      <c r="X78">
        <f t="shared" si="79"/>
        <v>172.23</v>
      </c>
      <c r="Y78">
        <f t="shared" si="80"/>
        <v>24.6</v>
      </c>
      <c r="AA78">
        <v>36602762</v>
      </c>
      <c r="AB78">
        <f t="shared" si="81"/>
        <v>74981.929999999993</v>
      </c>
      <c r="AC78">
        <f t="shared" si="82"/>
        <v>63305.85</v>
      </c>
      <c r="AD78">
        <f t="shared" si="83"/>
        <v>8258.92</v>
      </c>
      <c r="AE78">
        <f t="shared" si="84"/>
        <v>3553.33</v>
      </c>
      <c r="AF78">
        <f t="shared" si="85"/>
        <v>3417.16</v>
      </c>
      <c r="AG78">
        <f t="shared" si="86"/>
        <v>0</v>
      </c>
      <c r="AH78">
        <f t="shared" si="87"/>
        <v>16.559999999999999</v>
      </c>
      <c r="AI78">
        <f t="shared" si="88"/>
        <v>0</v>
      </c>
      <c r="AJ78">
        <f t="shared" si="89"/>
        <v>0</v>
      </c>
      <c r="AK78">
        <v>74981.929999999993</v>
      </c>
      <c r="AL78">
        <v>63305.85</v>
      </c>
      <c r="AM78">
        <v>8258.92</v>
      </c>
      <c r="AN78">
        <v>3553.33</v>
      </c>
      <c r="AO78">
        <v>3417.16</v>
      </c>
      <c r="AP78">
        <v>0</v>
      </c>
      <c r="AQ78">
        <v>16.559999999999999</v>
      </c>
      <c r="AR78">
        <v>0</v>
      </c>
      <c r="AS78">
        <v>0</v>
      </c>
      <c r="AT78">
        <v>70</v>
      </c>
      <c r="AU78">
        <v>10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0</v>
      </c>
      <c r="BI78">
        <v>4</v>
      </c>
      <c r="BJ78" t="s">
        <v>50</v>
      </c>
      <c r="BM78">
        <v>0</v>
      </c>
      <c r="BN78">
        <v>0</v>
      </c>
      <c r="BO78" t="s">
        <v>3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70</v>
      </c>
      <c r="CA78">
        <v>10</v>
      </c>
      <c r="CB78" t="s">
        <v>3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90"/>
        <v>5398.7000000000007</v>
      </c>
      <c r="CQ78">
        <f t="shared" si="91"/>
        <v>63305.85</v>
      </c>
      <c r="CR78">
        <f t="shared" si="92"/>
        <v>8258.92</v>
      </c>
      <c r="CS78">
        <f t="shared" si="93"/>
        <v>3553.33</v>
      </c>
      <c r="CT78">
        <f t="shared" si="94"/>
        <v>3417.16</v>
      </c>
      <c r="CU78">
        <f t="shared" si="95"/>
        <v>0</v>
      </c>
      <c r="CV78">
        <f t="shared" si="96"/>
        <v>16.559999999999999</v>
      </c>
      <c r="CW78">
        <f t="shared" si="97"/>
        <v>0</v>
      </c>
      <c r="CX78">
        <f t="shared" si="98"/>
        <v>0</v>
      </c>
      <c r="CY78">
        <f t="shared" si="99"/>
        <v>172.22799999999998</v>
      </c>
      <c r="CZ78">
        <f t="shared" si="100"/>
        <v>24.603999999999999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DU78">
        <v>1007</v>
      </c>
      <c r="DV78" t="s">
        <v>27</v>
      </c>
      <c r="DW78" t="s">
        <v>27</v>
      </c>
      <c r="DX78">
        <v>100</v>
      </c>
      <c r="DZ78" t="s">
        <v>3</v>
      </c>
      <c r="EA78" t="s">
        <v>3</v>
      </c>
      <c r="EB78" t="s">
        <v>3</v>
      </c>
      <c r="EC78" t="s">
        <v>3</v>
      </c>
      <c r="EE78">
        <v>36274424</v>
      </c>
      <c r="EF78">
        <v>1</v>
      </c>
      <c r="EG78" t="s">
        <v>21</v>
      </c>
      <c r="EH78">
        <v>0</v>
      </c>
      <c r="EI78" t="s">
        <v>3</v>
      </c>
      <c r="EJ78">
        <v>4</v>
      </c>
      <c r="EK78">
        <v>0</v>
      </c>
      <c r="EL78" t="s">
        <v>22</v>
      </c>
      <c r="EM78" t="s">
        <v>23</v>
      </c>
      <c r="EO78" t="s">
        <v>3</v>
      </c>
      <c r="EQ78">
        <v>0</v>
      </c>
      <c r="ER78">
        <v>74981.929999999993</v>
      </c>
      <c r="ES78">
        <v>63305.85</v>
      </c>
      <c r="ET78">
        <v>8258.92</v>
      </c>
      <c r="EU78">
        <v>3553.33</v>
      </c>
      <c r="EV78">
        <v>3417.16</v>
      </c>
      <c r="EW78">
        <v>16.559999999999999</v>
      </c>
      <c r="EX78">
        <v>0</v>
      </c>
      <c r="EY78">
        <v>0</v>
      </c>
      <c r="FQ78">
        <v>0</v>
      </c>
      <c r="FR78">
        <f t="shared" si="101"/>
        <v>0</v>
      </c>
      <c r="FS78">
        <v>0</v>
      </c>
      <c r="FX78">
        <v>70</v>
      </c>
      <c r="FY78">
        <v>10</v>
      </c>
      <c r="GA78" t="s">
        <v>3</v>
      </c>
      <c r="GD78">
        <v>0</v>
      </c>
      <c r="GF78">
        <v>366740654</v>
      </c>
      <c r="GG78">
        <v>2</v>
      </c>
      <c r="GH78">
        <v>1</v>
      </c>
      <c r="GI78">
        <v>-2</v>
      </c>
      <c r="GJ78">
        <v>0</v>
      </c>
      <c r="GK78">
        <f>ROUND(R78*(R12)/100,2)</f>
        <v>276.31</v>
      </c>
      <c r="GL78">
        <f t="shared" si="102"/>
        <v>0</v>
      </c>
      <c r="GM78">
        <f t="shared" si="103"/>
        <v>5871.84</v>
      </c>
      <c r="GN78">
        <f t="shared" si="104"/>
        <v>0</v>
      </c>
      <c r="GO78">
        <f t="shared" si="105"/>
        <v>0</v>
      </c>
      <c r="GP78">
        <f t="shared" si="106"/>
        <v>5871.84</v>
      </c>
      <c r="GR78">
        <v>0</v>
      </c>
      <c r="GS78">
        <v>3</v>
      </c>
      <c r="GT78">
        <v>0</v>
      </c>
      <c r="GU78" t="s">
        <v>3</v>
      </c>
      <c r="GV78">
        <f t="shared" si="107"/>
        <v>0</v>
      </c>
      <c r="GW78">
        <v>1</v>
      </c>
      <c r="GX78">
        <f t="shared" si="108"/>
        <v>0</v>
      </c>
      <c r="HA78">
        <v>0</v>
      </c>
      <c r="HB78">
        <v>0</v>
      </c>
      <c r="HC78">
        <f t="shared" si="109"/>
        <v>0</v>
      </c>
      <c r="HE78" t="s">
        <v>3</v>
      </c>
      <c r="HF78" t="s">
        <v>3</v>
      </c>
      <c r="HM78" t="s">
        <v>3</v>
      </c>
      <c r="HN78" t="s">
        <v>3</v>
      </c>
      <c r="HO78" t="s">
        <v>3</v>
      </c>
      <c r="HP78" t="s">
        <v>3</v>
      </c>
      <c r="HQ78" t="s">
        <v>3</v>
      </c>
      <c r="IK78">
        <v>0</v>
      </c>
    </row>
    <row r="79" spans="1:245" x14ac:dyDescent="0.2">
      <c r="A79">
        <v>17</v>
      </c>
      <c r="B79">
        <v>1</v>
      </c>
      <c r="C79">
        <f>ROW(SmtRes!A89)</f>
        <v>89</v>
      </c>
      <c r="D79">
        <f>ROW(EtalonRes!A89)</f>
        <v>89</v>
      </c>
      <c r="E79" t="s">
        <v>140</v>
      </c>
      <c r="F79" t="s">
        <v>52</v>
      </c>
      <c r="G79" t="s">
        <v>53</v>
      </c>
      <c r="H79" t="s">
        <v>27</v>
      </c>
      <c r="I79">
        <f>ROUND(14.4/100,9)</f>
        <v>0.14399999999999999</v>
      </c>
      <c r="J79">
        <v>0</v>
      </c>
      <c r="K79">
        <f>ROUND(14.4/100,9)</f>
        <v>0.14399999999999999</v>
      </c>
      <c r="O79">
        <f t="shared" si="70"/>
        <v>52925.71</v>
      </c>
      <c r="P79">
        <f t="shared" si="71"/>
        <v>43221.26</v>
      </c>
      <c r="Q79">
        <f t="shared" si="72"/>
        <v>8966.34</v>
      </c>
      <c r="R79">
        <f t="shared" si="73"/>
        <v>3368.13</v>
      </c>
      <c r="S79">
        <f t="shared" si="74"/>
        <v>738.11</v>
      </c>
      <c r="T79">
        <f t="shared" si="75"/>
        <v>0</v>
      </c>
      <c r="U79">
        <f t="shared" si="76"/>
        <v>3.5769599999999997</v>
      </c>
      <c r="V79">
        <f t="shared" si="77"/>
        <v>0</v>
      </c>
      <c r="W79">
        <f t="shared" si="78"/>
        <v>0</v>
      </c>
      <c r="X79">
        <f t="shared" si="79"/>
        <v>516.67999999999995</v>
      </c>
      <c r="Y79">
        <f t="shared" si="80"/>
        <v>73.81</v>
      </c>
      <c r="AA79">
        <v>36602762</v>
      </c>
      <c r="AB79">
        <f t="shared" si="81"/>
        <v>367539.56</v>
      </c>
      <c r="AC79">
        <f t="shared" si="82"/>
        <v>300147.61</v>
      </c>
      <c r="AD79">
        <f t="shared" si="83"/>
        <v>62266.22</v>
      </c>
      <c r="AE79">
        <f t="shared" si="84"/>
        <v>23389.77</v>
      </c>
      <c r="AF79">
        <f t="shared" si="85"/>
        <v>5125.7299999999996</v>
      </c>
      <c r="AG79">
        <f t="shared" si="86"/>
        <v>0</v>
      </c>
      <c r="AH79">
        <f t="shared" si="87"/>
        <v>24.84</v>
      </c>
      <c r="AI79">
        <f t="shared" si="88"/>
        <v>0</v>
      </c>
      <c r="AJ79">
        <f t="shared" si="89"/>
        <v>0</v>
      </c>
      <c r="AK79">
        <v>367539.56</v>
      </c>
      <c r="AL79">
        <v>300147.61</v>
      </c>
      <c r="AM79">
        <v>62266.22</v>
      </c>
      <c r="AN79">
        <v>23389.77</v>
      </c>
      <c r="AO79">
        <v>5125.7299999999996</v>
      </c>
      <c r="AP79">
        <v>0</v>
      </c>
      <c r="AQ79">
        <v>24.84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0</v>
      </c>
      <c r="BI79">
        <v>4</v>
      </c>
      <c r="BJ79" t="s">
        <v>54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B79" t="s">
        <v>3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 t="shared" si="90"/>
        <v>52925.710000000006</v>
      </c>
      <c r="CQ79">
        <f t="shared" si="91"/>
        <v>300147.61</v>
      </c>
      <c r="CR79">
        <f t="shared" si="92"/>
        <v>62266.22</v>
      </c>
      <c r="CS79">
        <f t="shared" si="93"/>
        <v>23389.77</v>
      </c>
      <c r="CT79">
        <f t="shared" si="94"/>
        <v>5125.7299999999996</v>
      </c>
      <c r="CU79">
        <f t="shared" si="95"/>
        <v>0</v>
      </c>
      <c r="CV79">
        <f t="shared" si="96"/>
        <v>24.84</v>
      </c>
      <c r="CW79">
        <f t="shared" si="97"/>
        <v>0</v>
      </c>
      <c r="CX79">
        <f t="shared" si="98"/>
        <v>0</v>
      </c>
      <c r="CY79">
        <f t="shared" si="99"/>
        <v>516.67700000000002</v>
      </c>
      <c r="CZ79">
        <f t="shared" si="100"/>
        <v>73.811000000000007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1007</v>
      </c>
      <c r="DV79" t="s">
        <v>27</v>
      </c>
      <c r="DW79" t="s">
        <v>27</v>
      </c>
      <c r="DX79">
        <v>100</v>
      </c>
      <c r="DZ79" t="s">
        <v>3</v>
      </c>
      <c r="EA79" t="s">
        <v>3</v>
      </c>
      <c r="EB79" t="s">
        <v>3</v>
      </c>
      <c r="EC79" t="s">
        <v>3</v>
      </c>
      <c r="EE79">
        <v>36274424</v>
      </c>
      <c r="EF79">
        <v>1</v>
      </c>
      <c r="EG79" t="s">
        <v>21</v>
      </c>
      <c r="EH79">
        <v>0</v>
      </c>
      <c r="EI79" t="s">
        <v>3</v>
      </c>
      <c r="EJ79">
        <v>4</v>
      </c>
      <c r="EK79">
        <v>0</v>
      </c>
      <c r="EL79" t="s">
        <v>22</v>
      </c>
      <c r="EM79" t="s">
        <v>23</v>
      </c>
      <c r="EO79" t="s">
        <v>3</v>
      </c>
      <c r="EQ79">
        <v>0</v>
      </c>
      <c r="ER79">
        <v>367539.56</v>
      </c>
      <c r="ES79">
        <v>300147.61</v>
      </c>
      <c r="ET79">
        <v>62266.22</v>
      </c>
      <c r="EU79">
        <v>23389.77</v>
      </c>
      <c r="EV79">
        <v>5125.7299999999996</v>
      </c>
      <c r="EW79">
        <v>24.84</v>
      </c>
      <c r="EX79">
        <v>0</v>
      </c>
      <c r="EY79">
        <v>0</v>
      </c>
      <c r="FQ79">
        <v>0</v>
      </c>
      <c r="FR79">
        <f t="shared" si="101"/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-1394883479</v>
      </c>
      <c r="GG79">
        <v>2</v>
      </c>
      <c r="GH79">
        <v>1</v>
      </c>
      <c r="GI79">
        <v>-2</v>
      </c>
      <c r="GJ79">
        <v>0</v>
      </c>
      <c r="GK79">
        <f>ROUND(R79*(R12)/100,2)</f>
        <v>3637.58</v>
      </c>
      <c r="GL79">
        <f t="shared" si="102"/>
        <v>0</v>
      </c>
      <c r="GM79">
        <f t="shared" si="103"/>
        <v>57153.78</v>
      </c>
      <c r="GN79">
        <f t="shared" si="104"/>
        <v>0</v>
      </c>
      <c r="GO79">
        <f t="shared" si="105"/>
        <v>0</v>
      </c>
      <c r="GP79">
        <f t="shared" si="106"/>
        <v>57153.78</v>
      </c>
      <c r="GR79">
        <v>0</v>
      </c>
      <c r="GS79">
        <v>3</v>
      </c>
      <c r="GT79">
        <v>0</v>
      </c>
      <c r="GU79" t="s">
        <v>3</v>
      </c>
      <c r="GV79">
        <f t="shared" si="107"/>
        <v>0</v>
      </c>
      <c r="GW79">
        <v>1</v>
      </c>
      <c r="GX79">
        <f t="shared" si="108"/>
        <v>0</v>
      </c>
      <c r="HA79">
        <v>0</v>
      </c>
      <c r="HB79">
        <v>0</v>
      </c>
      <c r="HC79">
        <f t="shared" si="109"/>
        <v>0</v>
      </c>
      <c r="HE79" t="s">
        <v>3</v>
      </c>
      <c r="HF79" t="s">
        <v>3</v>
      </c>
      <c r="HM79" t="s">
        <v>3</v>
      </c>
      <c r="HN79" t="s">
        <v>3</v>
      </c>
      <c r="HO79" t="s">
        <v>3</v>
      </c>
      <c r="HP79" t="s">
        <v>3</v>
      </c>
      <c r="HQ79" t="s">
        <v>3</v>
      </c>
      <c r="IK79">
        <v>0</v>
      </c>
    </row>
    <row r="80" spans="1:245" x14ac:dyDescent="0.2">
      <c r="A80">
        <v>17</v>
      </c>
      <c r="B80">
        <v>1</v>
      </c>
      <c r="C80">
        <f>ROW(SmtRes!A91)</f>
        <v>91</v>
      </c>
      <c r="D80">
        <f>ROW(EtalonRes!A91)</f>
        <v>91</v>
      </c>
      <c r="E80" t="s">
        <v>141</v>
      </c>
      <c r="F80" t="s">
        <v>142</v>
      </c>
      <c r="G80" t="s">
        <v>143</v>
      </c>
      <c r="H80" t="s">
        <v>58</v>
      </c>
      <c r="I80">
        <f>ROUND(14.4/1000,9)</f>
        <v>1.44E-2</v>
      </c>
      <c r="J80">
        <v>0</v>
      </c>
      <c r="K80">
        <f>ROUND(14.4/1000,9)</f>
        <v>1.44E-2</v>
      </c>
      <c r="O80">
        <f t="shared" si="70"/>
        <v>45.75</v>
      </c>
      <c r="P80">
        <f t="shared" si="71"/>
        <v>0</v>
      </c>
      <c r="Q80">
        <f t="shared" si="72"/>
        <v>0</v>
      </c>
      <c r="R80">
        <f t="shared" si="73"/>
        <v>0</v>
      </c>
      <c r="S80">
        <f t="shared" si="74"/>
        <v>45.75</v>
      </c>
      <c r="T80">
        <f t="shared" si="75"/>
        <v>0</v>
      </c>
      <c r="U80">
        <f t="shared" si="76"/>
        <v>0.18878399999999998</v>
      </c>
      <c r="V80">
        <f t="shared" si="77"/>
        <v>0</v>
      </c>
      <c r="W80">
        <f t="shared" si="78"/>
        <v>0</v>
      </c>
      <c r="X80">
        <f t="shared" si="79"/>
        <v>32.03</v>
      </c>
      <c r="Y80">
        <f t="shared" si="80"/>
        <v>4.58</v>
      </c>
      <c r="AA80">
        <v>36602762</v>
      </c>
      <c r="AB80">
        <f t="shared" si="81"/>
        <v>3177.08</v>
      </c>
      <c r="AC80">
        <f t="shared" si="82"/>
        <v>0</v>
      </c>
      <c r="AD80">
        <f t="shared" si="83"/>
        <v>0</v>
      </c>
      <c r="AE80">
        <f t="shared" si="84"/>
        <v>0</v>
      </c>
      <c r="AF80">
        <f t="shared" si="85"/>
        <v>3177.08</v>
      </c>
      <c r="AG80">
        <f t="shared" si="86"/>
        <v>0</v>
      </c>
      <c r="AH80">
        <f t="shared" si="87"/>
        <v>13.11</v>
      </c>
      <c r="AI80">
        <f t="shared" si="88"/>
        <v>0</v>
      </c>
      <c r="AJ80">
        <f t="shared" si="89"/>
        <v>0</v>
      </c>
      <c r="AK80">
        <v>3177.08</v>
      </c>
      <c r="AL80">
        <v>0</v>
      </c>
      <c r="AM80">
        <v>0</v>
      </c>
      <c r="AN80">
        <v>0</v>
      </c>
      <c r="AO80">
        <v>3177.08</v>
      </c>
      <c r="AP80">
        <v>0</v>
      </c>
      <c r="AQ80">
        <v>13.11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0</v>
      </c>
      <c r="BI80">
        <v>4</v>
      </c>
      <c r="BJ80" t="s">
        <v>144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B80" t="s">
        <v>3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90"/>
        <v>45.75</v>
      </c>
      <c r="CQ80">
        <f t="shared" si="91"/>
        <v>0</v>
      </c>
      <c r="CR80">
        <f t="shared" si="92"/>
        <v>0</v>
      </c>
      <c r="CS80">
        <f t="shared" si="93"/>
        <v>0</v>
      </c>
      <c r="CT80">
        <f t="shared" si="94"/>
        <v>3177.08</v>
      </c>
      <c r="CU80">
        <f t="shared" si="95"/>
        <v>0</v>
      </c>
      <c r="CV80">
        <f t="shared" si="96"/>
        <v>13.11</v>
      </c>
      <c r="CW80">
        <f t="shared" si="97"/>
        <v>0</v>
      </c>
      <c r="CX80">
        <f t="shared" si="98"/>
        <v>0</v>
      </c>
      <c r="CY80">
        <f t="shared" si="99"/>
        <v>32.024999999999999</v>
      </c>
      <c r="CZ80">
        <f t="shared" si="100"/>
        <v>4.5750000000000002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1005</v>
      </c>
      <c r="DV80" t="s">
        <v>58</v>
      </c>
      <c r="DW80" t="s">
        <v>58</v>
      </c>
      <c r="DX80">
        <v>1000</v>
      </c>
      <c r="DZ80" t="s">
        <v>3</v>
      </c>
      <c r="EA80" t="s">
        <v>3</v>
      </c>
      <c r="EB80" t="s">
        <v>3</v>
      </c>
      <c r="EC80" t="s">
        <v>3</v>
      </c>
      <c r="EE80">
        <v>36274424</v>
      </c>
      <c r="EF80">
        <v>1</v>
      </c>
      <c r="EG80" t="s">
        <v>21</v>
      </c>
      <c r="EH80">
        <v>0</v>
      </c>
      <c r="EI80" t="s">
        <v>3</v>
      </c>
      <c r="EJ80">
        <v>4</v>
      </c>
      <c r="EK80">
        <v>0</v>
      </c>
      <c r="EL80" t="s">
        <v>22</v>
      </c>
      <c r="EM80" t="s">
        <v>23</v>
      </c>
      <c r="EO80" t="s">
        <v>3</v>
      </c>
      <c r="EQ80">
        <v>0</v>
      </c>
      <c r="ER80">
        <v>3177.08</v>
      </c>
      <c r="ES80">
        <v>0</v>
      </c>
      <c r="ET80">
        <v>0</v>
      </c>
      <c r="EU80">
        <v>0</v>
      </c>
      <c r="EV80">
        <v>3177.08</v>
      </c>
      <c r="EW80">
        <v>13.11</v>
      </c>
      <c r="EX80">
        <v>0</v>
      </c>
      <c r="EY80">
        <v>0</v>
      </c>
      <c r="FQ80">
        <v>0</v>
      </c>
      <c r="FR80">
        <f t="shared" si="101"/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1182503578</v>
      </c>
      <c r="GG80">
        <v>2</v>
      </c>
      <c r="GH80">
        <v>1</v>
      </c>
      <c r="GI80">
        <v>-2</v>
      </c>
      <c r="GJ80">
        <v>0</v>
      </c>
      <c r="GK80">
        <f>ROUND(R80*(R12)/100,2)</f>
        <v>0</v>
      </c>
      <c r="GL80">
        <f t="shared" si="102"/>
        <v>0</v>
      </c>
      <c r="GM80">
        <f t="shared" si="103"/>
        <v>82.36</v>
      </c>
      <c r="GN80">
        <f t="shared" si="104"/>
        <v>0</v>
      </c>
      <c r="GO80">
        <f t="shared" si="105"/>
        <v>0</v>
      </c>
      <c r="GP80">
        <f t="shared" si="106"/>
        <v>82.36</v>
      </c>
      <c r="GR80">
        <v>0</v>
      </c>
      <c r="GS80">
        <v>3</v>
      </c>
      <c r="GT80">
        <v>0</v>
      </c>
      <c r="GU80" t="s">
        <v>3</v>
      </c>
      <c r="GV80">
        <f t="shared" si="107"/>
        <v>0</v>
      </c>
      <c r="GW80">
        <v>1</v>
      </c>
      <c r="GX80">
        <f t="shared" si="108"/>
        <v>0</v>
      </c>
      <c r="HA80">
        <v>0</v>
      </c>
      <c r="HB80">
        <v>0</v>
      </c>
      <c r="HC80">
        <f t="shared" si="109"/>
        <v>0</v>
      </c>
      <c r="HE80" t="s">
        <v>3</v>
      </c>
      <c r="HF80" t="s">
        <v>3</v>
      </c>
      <c r="HM80" t="s">
        <v>3</v>
      </c>
      <c r="HN80" t="s">
        <v>3</v>
      </c>
      <c r="HO80" t="s">
        <v>3</v>
      </c>
      <c r="HP80" t="s">
        <v>3</v>
      </c>
      <c r="HQ80" t="s">
        <v>3</v>
      </c>
      <c r="IK80">
        <v>0</v>
      </c>
    </row>
    <row r="81" spans="1:245" x14ac:dyDescent="0.2">
      <c r="A81">
        <v>18</v>
      </c>
      <c r="B81">
        <v>1</v>
      </c>
      <c r="C81">
        <v>91</v>
      </c>
      <c r="E81" t="s">
        <v>145</v>
      </c>
      <c r="F81" t="s">
        <v>61</v>
      </c>
      <c r="G81" t="s">
        <v>62</v>
      </c>
      <c r="H81" t="s">
        <v>63</v>
      </c>
      <c r="I81">
        <f>I80*J81</f>
        <v>7.1999999999999995E-2</v>
      </c>
      <c r="J81">
        <v>5</v>
      </c>
      <c r="K81">
        <v>5</v>
      </c>
      <c r="O81">
        <f t="shared" si="70"/>
        <v>3267.25</v>
      </c>
      <c r="P81">
        <f t="shared" si="71"/>
        <v>3267.25</v>
      </c>
      <c r="Q81">
        <f t="shared" si="72"/>
        <v>0</v>
      </c>
      <c r="R81">
        <f t="shared" si="73"/>
        <v>0</v>
      </c>
      <c r="S81">
        <f t="shared" si="74"/>
        <v>0</v>
      </c>
      <c r="T81">
        <f t="shared" si="75"/>
        <v>0</v>
      </c>
      <c r="U81">
        <f t="shared" si="76"/>
        <v>0</v>
      </c>
      <c r="V81">
        <f t="shared" si="77"/>
        <v>0</v>
      </c>
      <c r="W81">
        <f t="shared" si="78"/>
        <v>0</v>
      </c>
      <c r="X81">
        <f t="shared" si="79"/>
        <v>0</v>
      </c>
      <c r="Y81">
        <f t="shared" si="80"/>
        <v>0</v>
      </c>
      <c r="AA81">
        <v>36602762</v>
      </c>
      <c r="AB81">
        <f t="shared" si="81"/>
        <v>45378.52</v>
      </c>
      <c r="AC81">
        <f t="shared" si="82"/>
        <v>45378.52</v>
      </c>
      <c r="AD81">
        <f t="shared" si="83"/>
        <v>0</v>
      </c>
      <c r="AE81">
        <f t="shared" si="84"/>
        <v>0</v>
      </c>
      <c r="AF81">
        <f t="shared" si="85"/>
        <v>0</v>
      </c>
      <c r="AG81">
        <f t="shared" si="86"/>
        <v>0</v>
      </c>
      <c r="AH81">
        <f t="shared" si="87"/>
        <v>0</v>
      </c>
      <c r="AI81">
        <f t="shared" si="88"/>
        <v>0</v>
      </c>
      <c r="AJ81">
        <f t="shared" si="89"/>
        <v>0</v>
      </c>
      <c r="AK81">
        <v>45378.52</v>
      </c>
      <c r="AL81">
        <v>45378.52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3</v>
      </c>
      <c r="BI81">
        <v>4</v>
      </c>
      <c r="BJ81" t="s">
        <v>64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B81" t="s">
        <v>3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90"/>
        <v>3267.25</v>
      </c>
      <c r="CQ81">
        <f t="shared" si="91"/>
        <v>45378.52</v>
      </c>
      <c r="CR81">
        <f t="shared" si="92"/>
        <v>0</v>
      </c>
      <c r="CS81">
        <f t="shared" si="93"/>
        <v>0</v>
      </c>
      <c r="CT81">
        <f t="shared" si="94"/>
        <v>0</v>
      </c>
      <c r="CU81">
        <f t="shared" si="95"/>
        <v>0</v>
      </c>
      <c r="CV81">
        <f t="shared" si="96"/>
        <v>0</v>
      </c>
      <c r="CW81">
        <f t="shared" si="97"/>
        <v>0</v>
      </c>
      <c r="CX81">
        <f t="shared" si="98"/>
        <v>0</v>
      </c>
      <c r="CY81">
        <f t="shared" si="99"/>
        <v>0</v>
      </c>
      <c r="CZ81">
        <f t="shared" si="100"/>
        <v>0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1009</v>
      </c>
      <c r="DV81" t="s">
        <v>63</v>
      </c>
      <c r="DW81" t="s">
        <v>63</v>
      </c>
      <c r="DX81">
        <v>1000</v>
      </c>
      <c r="DZ81" t="s">
        <v>3</v>
      </c>
      <c r="EA81" t="s">
        <v>3</v>
      </c>
      <c r="EB81" t="s">
        <v>3</v>
      </c>
      <c r="EC81" t="s">
        <v>3</v>
      </c>
      <c r="EE81">
        <v>36274424</v>
      </c>
      <c r="EF81">
        <v>1</v>
      </c>
      <c r="EG81" t="s">
        <v>21</v>
      </c>
      <c r="EH81">
        <v>0</v>
      </c>
      <c r="EI81" t="s">
        <v>3</v>
      </c>
      <c r="EJ81">
        <v>4</v>
      </c>
      <c r="EK81">
        <v>0</v>
      </c>
      <c r="EL81" t="s">
        <v>22</v>
      </c>
      <c r="EM81" t="s">
        <v>23</v>
      </c>
      <c r="EO81" t="s">
        <v>3</v>
      </c>
      <c r="EQ81">
        <v>0</v>
      </c>
      <c r="ER81">
        <v>45378.52</v>
      </c>
      <c r="ES81">
        <v>45378.52</v>
      </c>
      <c r="ET81">
        <v>0</v>
      </c>
      <c r="EU81">
        <v>0</v>
      </c>
      <c r="EV81">
        <v>0</v>
      </c>
      <c r="EW81">
        <v>0</v>
      </c>
      <c r="EX81">
        <v>0</v>
      </c>
      <c r="FQ81">
        <v>0</v>
      </c>
      <c r="FR81">
        <f t="shared" si="101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28246506</v>
      </c>
      <c r="GG81">
        <v>2</v>
      </c>
      <c r="GH81">
        <v>1</v>
      </c>
      <c r="GI81">
        <v>-2</v>
      </c>
      <c r="GJ81">
        <v>0</v>
      </c>
      <c r="GK81">
        <f>ROUND(R81*(R12)/100,2)</f>
        <v>0</v>
      </c>
      <c r="GL81">
        <f t="shared" si="102"/>
        <v>0</v>
      </c>
      <c r="GM81">
        <f t="shared" si="103"/>
        <v>3267.25</v>
      </c>
      <c r="GN81">
        <f t="shared" si="104"/>
        <v>0</v>
      </c>
      <c r="GO81">
        <f t="shared" si="105"/>
        <v>0</v>
      </c>
      <c r="GP81">
        <f t="shared" si="106"/>
        <v>3267.25</v>
      </c>
      <c r="GR81">
        <v>0</v>
      </c>
      <c r="GS81">
        <v>3</v>
      </c>
      <c r="GT81">
        <v>0</v>
      </c>
      <c r="GU81" t="s">
        <v>3</v>
      </c>
      <c r="GV81">
        <f t="shared" si="107"/>
        <v>0</v>
      </c>
      <c r="GW81">
        <v>1</v>
      </c>
      <c r="GX81">
        <f t="shared" si="108"/>
        <v>0</v>
      </c>
      <c r="HA81">
        <v>0</v>
      </c>
      <c r="HB81">
        <v>0</v>
      </c>
      <c r="HC81">
        <f t="shared" si="109"/>
        <v>0</v>
      </c>
      <c r="HE81" t="s">
        <v>3</v>
      </c>
      <c r="HF81" t="s">
        <v>3</v>
      </c>
      <c r="HM81" t="s">
        <v>3</v>
      </c>
      <c r="HN81" t="s">
        <v>3</v>
      </c>
      <c r="HO81" t="s">
        <v>3</v>
      </c>
      <c r="HP81" t="s">
        <v>3</v>
      </c>
      <c r="HQ81" t="s">
        <v>3</v>
      </c>
      <c r="IK81">
        <v>0</v>
      </c>
    </row>
    <row r="82" spans="1:245" x14ac:dyDescent="0.2">
      <c r="A82">
        <v>17</v>
      </c>
      <c r="B82">
        <v>1</v>
      </c>
      <c r="C82">
        <f>ROW(SmtRes!A96)</f>
        <v>96</v>
      </c>
      <c r="D82">
        <f>ROW(EtalonRes!A96)</f>
        <v>96</v>
      </c>
      <c r="E82" t="s">
        <v>146</v>
      </c>
      <c r="F82" t="s">
        <v>147</v>
      </c>
      <c r="G82" t="s">
        <v>148</v>
      </c>
      <c r="H82" t="s">
        <v>27</v>
      </c>
      <c r="I82">
        <f>ROUND(15.84/100,9)</f>
        <v>0.15840000000000001</v>
      </c>
      <c r="J82">
        <v>0</v>
      </c>
      <c r="K82">
        <f>ROUND(15.84/100,9)</f>
        <v>0.15840000000000001</v>
      </c>
      <c r="O82">
        <f t="shared" si="70"/>
        <v>63407.22</v>
      </c>
      <c r="P82">
        <f t="shared" si="71"/>
        <v>58502.32</v>
      </c>
      <c r="Q82">
        <f t="shared" si="72"/>
        <v>4.53</v>
      </c>
      <c r="R82">
        <f t="shared" si="73"/>
        <v>0.01</v>
      </c>
      <c r="S82">
        <f t="shared" si="74"/>
        <v>4900.37</v>
      </c>
      <c r="T82">
        <f t="shared" si="75"/>
        <v>0</v>
      </c>
      <c r="U82">
        <f t="shared" si="76"/>
        <v>24.591600000000003</v>
      </c>
      <c r="V82">
        <f t="shared" si="77"/>
        <v>0</v>
      </c>
      <c r="W82">
        <f t="shared" si="78"/>
        <v>0</v>
      </c>
      <c r="X82">
        <f t="shared" si="79"/>
        <v>3430.26</v>
      </c>
      <c r="Y82">
        <f t="shared" si="80"/>
        <v>490.04</v>
      </c>
      <c r="AA82">
        <v>36602762</v>
      </c>
      <c r="AB82">
        <f t="shared" si="81"/>
        <v>400298.11</v>
      </c>
      <c r="AC82">
        <f t="shared" si="82"/>
        <v>369332.84</v>
      </c>
      <c r="AD82">
        <f t="shared" si="83"/>
        <v>28.6</v>
      </c>
      <c r="AE82">
        <f t="shared" si="84"/>
        <v>7.0000000000000007E-2</v>
      </c>
      <c r="AF82">
        <f t="shared" si="85"/>
        <v>30936.67</v>
      </c>
      <c r="AG82">
        <f t="shared" si="86"/>
        <v>0</v>
      </c>
      <c r="AH82">
        <f t="shared" si="87"/>
        <v>155.25</v>
      </c>
      <c r="AI82">
        <f t="shared" si="88"/>
        <v>0</v>
      </c>
      <c r="AJ82">
        <f t="shared" si="89"/>
        <v>0</v>
      </c>
      <c r="AK82">
        <v>400298.11</v>
      </c>
      <c r="AL82">
        <v>369332.84</v>
      </c>
      <c r="AM82">
        <v>28.6</v>
      </c>
      <c r="AN82">
        <v>7.0000000000000007E-2</v>
      </c>
      <c r="AO82">
        <v>30936.67</v>
      </c>
      <c r="AP82">
        <v>0</v>
      </c>
      <c r="AQ82">
        <v>155.25</v>
      </c>
      <c r="AR82">
        <v>0</v>
      </c>
      <c r="AS82">
        <v>0</v>
      </c>
      <c r="AT82">
        <v>70</v>
      </c>
      <c r="AU82">
        <v>10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0</v>
      </c>
      <c r="BI82">
        <v>4</v>
      </c>
      <c r="BJ82" t="s">
        <v>149</v>
      </c>
      <c r="BM82">
        <v>0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70</v>
      </c>
      <c r="CA82">
        <v>10</v>
      </c>
      <c r="CB82" t="s">
        <v>3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90"/>
        <v>63407.22</v>
      </c>
      <c r="CQ82">
        <f t="shared" si="91"/>
        <v>369332.84</v>
      </c>
      <c r="CR82">
        <f t="shared" si="92"/>
        <v>28.6</v>
      </c>
      <c r="CS82">
        <f t="shared" si="93"/>
        <v>7.0000000000000007E-2</v>
      </c>
      <c r="CT82">
        <f t="shared" si="94"/>
        <v>30936.67</v>
      </c>
      <c r="CU82">
        <f t="shared" si="95"/>
        <v>0</v>
      </c>
      <c r="CV82">
        <f t="shared" si="96"/>
        <v>155.25</v>
      </c>
      <c r="CW82">
        <f t="shared" si="97"/>
        <v>0</v>
      </c>
      <c r="CX82">
        <f t="shared" si="98"/>
        <v>0</v>
      </c>
      <c r="CY82">
        <f t="shared" si="99"/>
        <v>3430.2589999999996</v>
      </c>
      <c r="CZ82">
        <f t="shared" si="100"/>
        <v>490.03699999999998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1007</v>
      </c>
      <c r="DV82" t="s">
        <v>27</v>
      </c>
      <c r="DW82" t="s">
        <v>27</v>
      </c>
      <c r="DX82">
        <v>100</v>
      </c>
      <c r="DZ82" t="s">
        <v>3</v>
      </c>
      <c r="EA82" t="s">
        <v>3</v>
      </c>
      <c r="EB82" t="s">
        <v>3</v>
      </c>
      <c r="EC82" t="s">
        <v>3</v>
      </c>
      <c r="EE82">
        <v>36274424</v>
      </c>
      <c r="EF82">
        <v>1</v>
      </c>
      <c r="EG82" t="s">
        <v>21</v>
      </c>
      <c r="EH82">
        <v>0</v>
      </c>
      <c r="EI82" t="s">
        <v>3</v>
      </c>
      <c r="EJ82">
        <v>4</v>
      </c>
      <c r="EK82">
        <v>0</v>
      </c>
      <c r="EL82" t="s">
        <v>22</v>
      </c>
      <c r="EM82" t="s">
        <v>23</v>
      </c>
      <c r="EO82" t="s">
        <v>3</v>
      </c>
      <c r="EQ82">
        <v>0</v>
      </c>
      <c r="ER82">
        <v>400298.11</v>
      </c>
      <c r="ES82">
        <v>369332.84</v>
      </c>
      <c r="ET82">
        <v>28.6</v>
      </c>
      <c r="EU82">
        <v>7.0000000000000007E-2</v>
      </c>
      <c r="EV82">
        <v>30936.67</v>
      </c>
      <c r="EW82">
        <v>155.25</v>
      </c>
      <c r="EX82">
        <v>0</v>
      </c>
      <c r="EY82">
        <v>0</v>
      </c>
      <c r="FQ82">
        <v>0</v>
      </c>
      <c r="FR82">
        <f t="shared" si="101"/>
        <v>0</v>
      </c>
      <c r="FS82">
        <v>0</v>
      </c>
      <c r="FX82">
        <v>70</v>
      </c>
      <c r="FY82">
        <v>10</v>
      </c>
      <c r="GA82" t="s">
        <v>3</v>
      </c>
      <c r="GD82">
        <v>0</v>
      </c>
      <c r="GF82">
        <v>683105204</v>
      </c>
      <c r="GG82">
        <v>2</v>
      </c>
      <c r="GH82">
        <v>1</v>
      </c>
      <c r="GI82">
        <v>-2</v>
      </c>
      <c r="GJ82">
        <v>0</v>
      </c>
      <c r="GK82">
        <f>ROUND(R82*(R12)/100,2)</f>
        <v>0.01</v>
      </c>
      <c r="GL82">
        <f t="shared" si="102"/>
        <v>0</v>
      </c>
      <c r="GM82">
        <f t="shared" si="103"/>
        <v>67327.53</v>
      </c>
      <c r="GN82">
        <f t="shared" si="104"/>
        <v>0</v>
      </c>
      <c r="GO82">
        <f t="shared" si="105"/>
        <v>0</v>
      </c>
      <c r="GP82">
        <f t="shared" si="106"/>
        <v>67327.53</v>
      </c>
      <c r="GR82">
        <v>0</v>
      </c>
      <c r="GS82">
        <v>3</v>
      </c>
      <c r="GT82">
        <v>0</v>
      </c>
      <c r="GU82" t="s">
        <v>3</v>
      </c>
      <c r="GV82">
        <f t="shared" si="107"/>
        <v>0</v>
      </c>
      <c r="GW82">
        <v>1</v>
      </c>
      <c r="GX82">
        <f t="shared" si="108"/>
        <v>0</v>
      </c>
      <c r="HA82">
        <v>0</v>
      </c>
      <c r="HB82">
        <v>0</v>
      </c>
      <c r="HC82">
        <f t="shared" si="109"/>
        <v>0</v>
      </c>
      <c r="HE82" t="s">
        <v>3</v>
      </c>
      <c r="HF82" t="s">
        <v>3</v>
      </c>
      <c r="HM82" t="s">
        <v>3</v>
      </c>
      <c r="HN82" t="s">
        <v>3</v>
      </c>
      <c r="HO82" t="s">
        <v>3</v>
      </c>
      <c r="HP82" t="s">
        <v>3</v>
      </c>
      <c r="HQ82" t="s">
        <v>3</v>
      </c>
      <c r="IK82">
        <v>0</v>
      </c>
    </row>
    <row r="83" spans="1:245" x14ac:dyDescent="0.2">
      <c r="A83">
        <v>17</v>
      </c>
      <c r="B83">
        <v>1</v>
      </c>
      <c r="C83">
        <f>ROW(SmtRes!A100)</f>
        <v>100</v>
      </c>
      <c r="D83">
        <f>ROW(EtalonRes!A100)</f>
        <v>100</v>
      </c>
      <c r="E83" t="s">
        <v>150</v>
      </c>
      <c r="F83" t="s">
        <v>66</v>
      </c>
      <c r="G83" t="s">
        <v>67</v>
      </c>
      <c r="H83" t="s">
        <v>68</v>
      </c>
      <c r="I83">
        <f>ROUND(144/100,9)</f>
        <v>1.44</v>
      </c>
      <c r="J83">
        <v>0</v>
      </c>
      <c r="K83">
        <f>ROUND(144/100,9)</f>
        <v>1.44</v>
      </c>
      <c r="O83">
        <f t="shared" si="70"/>
        <v>63910.77</v>
      </c>
      <c r="P83">
        <f t="shared" si="71"/>
        <v>56388.99</v>
      </c>
      <c r="Q83">
        <f t="shared" si="72"/>
        <v>2595.9299999999998</v>
      </c>
      <c r="R83">
        <f t="shared" si="73"/>
        <v>1468.2</v>
      </c>
      <c r="S83">
        <f t="shared" si="74"/>
        <v>4925.8500000000004</v>
      </c>
      <c r="T83">
        <f t="shared" si="75"/>
        <v>0</v>
      </c>
      <c r="U83">
        <f t="shared" si="76"/>
        <v>19.540800000000001</v>
      </c>
      <c r="V83">
        <f t="shared" si="77"/>
        <v>0</v>
      </c>
      <c r="W83">
        <f t="shared" si="78"/>
        <v>0</v>
      </c>
      <c r="X83">
        <f t="shared" si="79"/>
        <v>3448.1</v>
      </c>
      <c r="Y83">
        <f t="shared" si="80"/>
        <v>492.59</v>
      </c>
      <c r="AA83">
        <v>36602762</v>
      </c>
      <c r="AB83">
        <f t="shared" si="81"/>
        <v>44382.48</v>
      </c>
      <c r="AC83">
        <f t="shared" si="82"/>
        <v>39159.019999999997</v>
      </c>
      <c r="AD83">
        <f t="shared" si="83"/>
        <v>1802.73</v>
      </c>
      <c r="AE83">
        <f t="shared" si="84"/>
        <v>1019.58</v>
      </c>
      <c r="AF83">
        <f t="shared" si="85"/>
        <v>3420.73</v>
      </c>
      <c r="AG83">
        <f t="shared" si="86"/>
        <v>0</v>
      </c>
      <c r="AH83">
        <f t="shared" si="87"/>
        <v>13.57</v>
      </c>
      <c r="AI83">
        <f t="shared" si="88"/>
        <v>0</v>
      </c>
      <c r="AJ83">
        <f t="shared" si="89"/>
        <v>0</v>
      </c>
      <c r="AK83">
        <v>44382.48</v>
      </c>
      <c r="AL83">
        <v>39159.019999999997</v>
      </c>
      <c r="AM83">
        <v>1802.73</v>
      </c>
      <c r="AN83">
        <v>1019.58</v>
      </c>
      <c r="AO83">
        <v>3420.73</v>
      </c>
      <c r="AP83">
        <v>0</v>
      </c>
      <c r="AQ83">
        <v>13.57</v>
      </c>
      <c r="AR83">
        <v>0</v>
      </c>
      <c r="AS83">
        <v>0</v>
      </c>
      <c r="AT83">
        <v>70</v>
      </c>
      <c r="AU83">
        <v>10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0</v>
      </c>
      <c r="BI83">
        <v>4</v>
      </c>
      <c r="BJ83" t="s">
        <v>69</v>
      </c>
      <c r="BM83">
        <v>0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70</v>
      </c>
      <c r="CA83">
        <v>10</v>
      </c>
      <c r="CB83" t="s">
        <v>3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90"/>
        <v>63910.77</v>
      </c>
      <c r="CQ83">
        <f t="shared" si="91"/>
        <v>39159.019999999997</v>
      </c>
      <c r="CR83">
        <f t="shared" si="92"/>
        <v>1802.73</v>
      </c>
      <c r="CS83">
        <f t="shared" si="93"/>
        <v>1019.58</v>
      </c>
      <c r="CT83">
        <f t="shared" si="94"/>
        <v>3420.73</v>
      </c>
      <c r="CU83">
        <f t="shared" si="95"/>
        <v>0</v>
      </c>
      <c r="CV83">
        <f t="shared" si="96"/>
        <v>13.57</v>
      </c>
      <c r="CW83">
        <f t="shared" si="97"/>
        <v>0</v>
      </c>
      <c r="CX83">
        <f t="shared" si="98"/>
        <v>0</v>
      </c>
      <c r="CY83">
        <f t="shared" si="99"/>
        <v>3448.0949999999998</v>
      </c>
      <c r="CZ83">
        <f t="shared" si="100"/>
        <v>492.58499999999998</v>
      </c>
      <c r="DC83" t="s">
        <v>3</v>
      </c>
      <c r="DD83" t="s">
        <v>3</v>
      </c>
      <c r="DE83" t="s">
        <v>3</v>
      </c>
      <c r="DF83" t="s">
        <v>3</v>
      </c>
      <c r="DG83" t="s">
        <v>3</v>
      </c>
      <c r="DH83" t="s">
        <v>3</v>
      </c>
      <c r="DI83" t="s">
        <v>3</v>
      </c>
      <c r="DJ83" t="s">
        <v>3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1005</v>
      </c>
      <c r="DV83" t="s">
        <v>68</v>
      </c>
      <c r="DW83" t="s">
        <v>68</v>
      </c>
      <c r="DX83">
        <v>100</v>
      </c>
      <c r="DZ83" t="s">
        <v>3</v>
      </c>
      <c r="EA83" t="s">
        <v>3</v>
      </c>
      <c r="EB83" t="s">
        <v>3</v>
      </c>
      <c r="EC83" t="s">
        <v>3</v>
      </c>
      <c r="EE83">
        <v>36274424</v>
      </c>
      <c r="EF83">
        <v>1</v>
      </c>
      <c r="EG83" t="s">
        <v>21</v>
      </c>
      <c r="EH83">
        <v>0</v>
      </c>
      <c r="EI83" t="s">
        <v>3</v>
      </c>
      <c r="EJ83">
        <v>4</v>
      </c>
      <c r="EK83">
        <v>0</v>
      </c>
      <c r="EL83" t="s">
        <v>22</v>
      </c>
      <c r="EM83" t="s">
        <v>23</v>
      </c>
      <c r="EO83" t="s">
        <v>3</v>
      </c>
      <c r="EQ83">
        <v>0</v>
      </c>
      <c r="ER83">
        <v>44382.48</v>
      </c>
      <c r="ES83">
        <v>39159.019999999997</v>
      </c>
      <c r="ET83">
        <v>1802.73</v>
      </c>
      <c r="EU83">
        <v>1019.58</v>
      </c>
      <c r="EV83">
        <v>3420.73</v>
      </c>
      <c r="EW83">
        <v>13.57</v>
      </c>
      <c r="EX83">
        <v>0</v>
      </c>
      <c r="EY83">
        <v>0</v>
      </c>
      <c r="FQ83">
        <v>0</v>
      </c>
      <c r="FR83">
        <f t="shared" si="101"/>
        <v>0</v>
      </c>
      <c r="FS83">
        <v>0</v>
      </c>
      <c r="FX83">
        <v>70</v>
      </c>
      <c r="FY83">
        <v>10</v>
      </c>
      <c r="GA83" t="s">
        <v>3</v>
      </c>
      <c r="GD83">
        <v>0</v>
      </c>
      <c r="GF83">
        <v>-993345633</v>
      </c>
      <c r="GG83">
        <v>2</v>
      </c>
      <c r="GH83">
        <v>1</v>
      </c>
      <c r="GI83">
        <v>-2</v>
      </c>
      <c r="GJ83">
        <v>0</v>
      </c>
      <c r="GK83">
        <f>ROUND(R83*(R12)/100,2)</f>
        <v>1585.66</v>
      </c>
      <c r="GL83">
        <f t="shared" si="102"/>
        <v>0</v>
      </c>
      <c r="GM83">
        <f t="shared" si="103"/>
        <v>69437.119999999995</v>
      </c>
      <c r="GN83">
        <f t="shared" si="104"/>
        <v>0</v>
      </c>
      <c r="GO83">
        <f t="shared" si="105"/>
        <v>0</v>
      </c>
      <c r="GP83">
        <f t="shared" si="106"/>
        <v>69437.119999999995</v>
      </c>
      <c r="GR83">
        <v>0</v>
      </c>
      <c r="GS83">
        <v>3</v>
      </c>
      <c r="GT83">
        <v>0</v>
      </c>
      <c r="GU83" t="s">
        <v>3</v>
      </c>
      <c r="GV83">
        <f t="shared" si="107"/>
        <v>0</v>
      </c>
      <c r="GW83">
        <v>1</v>
      </c>
      <c r="GX83">
        <f t="shared" si="108"/>
        <v>0</v>
      </c>
      <c r="HA83">
        <v>0</v>
      </c>
      <c r="HB83">
        <v>0</v>
      </c>
      <c r="HC83">
        <f t="shared" si="109"/>
        <v>0</v>
      </c>
      <c r="HE83" t="s">
        <v>3</v>
      </c>
      <c r="HF83" t="s">
        <v>3</v>
      </c>
      <c r="HM83" t="s">
        <v>3</v>
      </c>
      <c r="HN83" t="s">
        <v>3</v>
      </c>
      <c r="HO83" t="s">
        <v>3</v>
      </c>
      <c r="HP83" t="s">
        <v>3</v>
      </c>
      <c r="HQ83" t="s">
        <v>3</v>
      </c>
      <c r="IK83">
        <v>0</v>
      </c>
    </row>
    <row r="85" spans="1:245" x14ac:dyDescent="0.2">
      <c r="A85" s="2">
        <v>51</v>
      </c>
      <c r="B85" s="2">
        <f>B71</f>
        <v>1</v>
      </c>
      <c r="C85" s="2">
        <f>A71</f>
        <v>4</v>
      </c>
      <c r="D85" s="2">
        <f>ROW(A71)</f>
        <v>71</v>
      </c>
      <c r="E85" s="2"/>
      <c r="F85" s="2" t="str">
        <f>IF(F71&lt;&gt;"",F71,"")</f>
        <v>Новый раздел</v>
      </c>
      <c r="G85" s="2" t="str">
        <f>IF(G71&lt;&gt;"",G71,"")</f>
        <v>Ремонт отмостки</v>
      </c>
      <c r="H85" s="2">
        <v>0</v>
      </c>
      <c r="I85" s="2"/>
      <c r="J85" s="2"/>
      <c r="K85" s="2"/>
      <c r="L85" s="2"/>
      <c r="M85" s="2"/>
      <c r="N85" s="2"/>
      <c r="O85" s="2">
        <f t="shared" ref="O85:T85" si="110">ROUND(AB85,2)</f>
        <v>317275.59999999998</v>
      </c>
      <c r="P85" s="2">
        <f t="shared" si="110"/>
        <v>263288.38</v>
      </c>
      <c r="Q85" s="2">
        <f t="shared" si="110"/>
        <v>15915.01</v>
      </c>
      <c r="R85" s="2">
        <f t="shared" si="110"/>
        <v>6496.56</v>
      </c>
      <c r="S85" s="2">
        <f t="shared" si="110"/>
        <v>38072.21</v>
      </c>
      <c r="T85" s="2">
        <f t="shared" si="110"/>
        <v>0</v>
      </c>
      <c r="U85" s="2">
        <f>AH85</f>
        <v>172.12694399999998</v>
      </c>
      <c r="V85" s="2">
        <f>AI85</f>
        <v>0</v>
      </c>
      <c r="W85" s="2">
        <f>ROUND(AJ85,2)</f>
        <v>0</v>
      </c>
      <c r="X85" s="2">
        <f>ROUND(AK85,2)</f>
        <v>26650.57</v>
      </c>
      <c r="Y85" s="2">
        <f>ROUND(AL85,2)</f>
        <v>3807.23</v>
      </c>
      <c r="Z85" s="2"/>
      <c r="AA85" s="2"/>
      <c r="AB85" s="2">
        <f>ROUND(SUMIF(AA75:AA83,"=36602762",O75:O83),2)</f>
        <v>317275.59999999998</v>
      </c>
      <c r="AC85" s="2">
        <f>ROUND(SUMIF(AA75:AA83,"=36602762",P75:P83),2)</f>
        <v>263288.38</v>
      </c>
      <c r="AD85" s="2">
        <f>ROUND(SUMIF(AA75:AA83,"=36602762",Q75:Q83),2)</f>
        <v>15915.01</v>
      </c>
      <c r="AE85" s="2">
        <f>ROUND(SUMIF(AA75:AA83,"=36602762",R75:R83),2)</f>
        <v>6496.56</v>
      </c>
      <c r="AF85" s="2">
        <f>ROUND(SUMIF(AA75:AA83,"=36602762",S75:S83),2)</f>
        <v>38072.21</v>
      </c>
      <c r="AG85" s="2">
        <f>ROUND(SUMIF(AA75:AA83,"=36602762",T75:T83),2)</f>
        <v>0</v>
      </c>
      <c r="AH85" s="2">
        <f>SUMIF(AA75:AA83,"=36602762",U75:U83)</f>
        <v>172.12694399999998</v>
      </c>
      <c r="AI85" s="2">
        <f>SUMIF(AA75:AA83,"=36602762",V75:V83)</f>
        <v>0</v>
      </c>
      <c r="AJ85" s="2">
        <f>ROUND(SUMIF(AA75:AA83,"=36602762",W75:W83),2)</f>
        <v>0</v>
      </c>
      <c r="AK85" s="2">
        <f>ROUND(SUMIF(AA75:AA83,"=36602762",X75:X83),2)</f>
        <v>26650.57</v>
      </c>
      <c r="AL85" s="2">
        <f>ROUND(SUMIF(AA75:AA83,"=36602762",Y75:Y83),2)</f>
        <v>3807.23</v>
      </c>
      <c r="AM85" s="2"/>
      <c r="AN85" s="2"/>
      <c r="AO85" s="2">
        <f t="shared" ref="AO85:BD85" si="111">ROUND(BX85,2)</f>
        <v>0</v>
      </c>
      <c r="AP85" s="2">
        <f t="shared" si="111"/>
        <v>0</v>
      </c>
      <c r="AQ85" s="2">
        <f t="shared" si="111"/>
        <v>0</v>
      </c>
      <c r="AR85" s="2">
        <f t="shared" si="111"/>
        <v>354749.69</v>
      </c>
      <c r="AS85" s="2">
        <f t="shared" si="111"/>
        <v>0</v>
      </c>
      <c r="AT85" s="2">
        <f t="shared" si="111"/>
        <v>0</v>
      </c>
      <c r="AU85" s="2">
        <f t="shared" si="111"/>
        <v>354749.69</v>
      </c>
      <c r="AV85" s="2">
        <f t="shared" si="111"/>
        <v>263288.38</v>
      </c>
      <c r="AW85" s="2">
        <f t="shared" si="111"/>
        <v>263288.38</v>
      </c>
      <c r="AX85" s="2">
        <f t="shared" si="111"/>
        <v>0</v>
      </c>
      <c r="AY85" s="2">
        <f t="shared" si="111"/>
        <v>263288.38</v>
      </c>
      <c r="AZ85" s="2">
        <f t="shared" si="111"/>
        <v>0</v>
      </c>
      <c r="BA85" s="2">
        <f t="shared" si="111"/>
        <v>0</v>
      </c>
      <c r="BB85" s="2">
        <f t="shared" si="111"/>
        <v>0</v>
      </c>
      <c r="BC85" s="2">
        <f t="shared" si="111"/>
        <v>0</v>
      </c>
      <c r="BD85" s="2">
        <f t="shared" si="111"/>
        <v>0</v>
      </c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>
        <f>ROUND(SUMIF(AA75:AA83,"=36602762",FQ75:FQ83),2)</f>
        <v>0</v>
      </c>
      <c r="BY85" s="2">
        <f>ROUND(SUMIF(AA75:AA83,"=36602762",FR75:FR83),2)</f>
        <v>0</v>
      </c>
      <c r="BZ85" s="2">
        <f>ROUND(SUMIF(AA75:AA83,"=36602762",GL75:GL83),2)</f>
        <v>0</v>
      </c>
      <c r="CA85" s="2">
        <f>ROUND(SUMIF(AA75:AA83,"=36602762",GM75:GM83),2)</f>
        <v>354749.69</v>
      </c>
      <c r="CB85" s="2">
        <f>ROUND(SUMIF(AA75:AA83,"=36602762",GN75:GN83),2)</f>
        <v>0</v>
      </c>
      <c r="CC85" s="2">
        <f>ROUND(SUMIF(AA75:AA83,"=36602762",GO75:GO83),2)</f>
        <v>0</v>
      </c>
      <c r="CD85" s="2">
        <f>ROUND(SUMIF(AA75:AA83,"=36602762",GP75:GP83),2)</f>
        <v>354749.69</v>
      </c>
      <c r="CE85" s="2">
        <f>AC85-BX85</f>
        <v>263288.38</v>
      </c>
      <c r="CF85" s="2">
        <f>AC85-BY85</f>
        <v>263288.38</v>
      </c>
      <c r="CG85" s="2">
        <f>BX85-BZ85</f>
        <v>0</v>
      </c>
      <c r="CH85" s="2">
        <f>AC85-BX85-BY85+BZ85</f>
        <v>263288.38</v>
      </c>
      <c r="CI85" s="2">
        <f>BY85-BZ85</f>
        <v>0</v>
      </c>
      <c r="CJ85" s="2">
        <f>ROUND(SUMIF(AA75:AA83,"=36602762",GX75:GX83),2)</f>
        <v>0</v>
      </c>
      <c r="CK85" s="2">
        <f>ROUND(SUMIF(AA75:AA83,"=36602762",GY75:GY83),2)</f>
        <v>0</v>
      </c>
      <c r="CL85" s="2">
        <f>ROUND(SUMIF(AA75:AA83,"=36602762",GZ75:GZ83),2)</f>
        <v>0</v>
      </c>
      <c r="CM85" s="2">
        <f>ROUND(SUMIF(AA75:AA83,"=36602762",HD75:HD83),2)</f>
        <v>0</v>
      </c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>
        <v>0</v>
      </c>
    </row>
    <row r="87" spans="1:245" x14ac:dyDescent="0.2">
      <c r="A87" s="4">
        <v>50</v>
      </c>
      <c r="B87" s="4">
        <v>0</v>
      </c>
      <c r="C87" s="4">
        <v>0</v>
      </c>
      <c r="D87" s="4">
        <v>1</v>
      </c>
      <c r="E87" s="4">
        <v>201</v>
      </c>
      <c r="F87" s="4">
        <f>ROUND(Source!O85,O87)</f>
        <v>317275.59999999998</v>
      </c>
      <c r="G87" s="4" t="s">
        <v>75</v>
      </c>
      <c r="H87" s="4" t="s">
        <v>76</v>
      </c>
      <c r="I87" s="4"/>
      <c r="J87" s="4"/>
      <c r="K87" s="4">
        <v>201</v>
      </c>
      <c r="L87" s="4">
        <v>1</v>
      </c>
      <c r="M87" s="4">
        <v>3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>
        <v>317275.59999999998</v>
      </c>
      <c r="X87" s="4">
        <v>1</v>
      </c>
      <c r="Y87" s="4">
        <v>317275.59999999998</v>
      </c>
      <c r="Z87" s="4"/>
      <c r="AA87" s="4"/>
      <c r="AB87" s="4"/>
    </row>
    <row r="88" spans="1:245" x14ac:dyDescent="0.2">
      <c r="A88" s="4">
        <v>50</v>
      </c>
      <c r="B88" s="4">
        <v>0</v>
      </c>
      <c r="C88" s="4">
        <v>0</v>
      </c>
      <c r="D88" s="4">
        <v>1</v>
      </c>
      <c r="E88" s="4">
        <v>202</v>
      </c>
      <c r="F88" s="4">
        <f>ROUND(Source!P85,O88)</f>
        <v>263288.38</v>
      </c>
      <c r="G88" s="4" t="s">
        <v>77</v>
      </c>
      <c r="H88" s="4" t="s">
        <v>78</v>
      </c>
      <c r="I88" s="4"/>
      <c r="J88" s="4"/>
      <c r="K88" s="4">
        <v>202</v>
      </c>
      <c r="L88" s="4">
        <v>2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>
        <v>263288.38</v>
      </c>
      <c r="X88" s="4">
        <v>1</v>
      </c>
      <c r="Y88" s="4">
        <v>263288.38</v>
      </c>
      <c r="Z88" s="4"/>
      <c r="AA88" s="4"/>
      <c r="AB88" s="4"/>
    </row>
    <row r="89" spans="1:245" x14ac:dyDescent="0.2">
      <c r="A89" s="4">
        <v>50</v>
      </c>
      <c r="B89" s="4">
        <v>0</v>
      </c>
      <c r="C89" s="4">
        <v>0</v>
      </c>
      <c r="D89" s="4">
        <v>1</v>
      </c>
      <c r="E89" s="4">
        <v>222</v>
      </c>
      <c r="F89" s="4">
        <f>ROUND(Source!AO85,O89)</f>
        <v>0</v>
      </c>
      <c r="G89" s="4" t="s">
        <v>79</v>
      </c>
      <c r="H89" s="4" t="s">
        <v>80</v>
      </c>
      <c r="I89" s="4"/>
      <c r="J89" s="4"/>
      <c r="K89" s="4">
        <v>222</v>
      </c>
      <c r="L89" s="4">
        <v>3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>
        <v>0</v>
      </c>
      <c r="X89" s="4">
        <v>1</v>
      </c>
      <c r="Y89" s="4">
        <v>0</v>
      </c>
      <c r="Z89" s="4"/>
      <c r="AA89" s="4"/>
      <c r="AB89" s="4"/>
    </row>
    <row r="90" spans="1:245" x14ac:dyDescent="0.2">
      <c r="A90" s="4">
        <v>50</v>
      </c>
      <c r="B90" s="4">
        <v>0</v>
      </c>
      <c r="C90" s="4">
        <v>0</v>
      </c>
      <c r="D90" s="4">
        <v>1</v>
      </c>
      <c r="E90" s="4">
        <v>225</v>
      </c>
      <c r="F90" s="4">
        <f>ROUND(Source!AV85,O90)</f>
        <v>263288.38</v>
      </c>
      <c r="G90" s="4" t="s">
        <v>81</v>
      </c>
      <c r="H90" s="4" t="s">
        <v>82</v>
      </c>
      <c r="I90" s="4"/>
      <c r="J90" s="4"/>
      <c r="K90" s="4">
        <v>225</v>
      </c>
      <c r="L90" s="4">
        <v>4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>
        <v>263288.38</v>
      </c>
      <c r="X90" s="4">
        <v>1</v>
      </c>
      <c r="Y90" s="4">
        <v>263288.38</v>
      </c>
      <c r="Z90" s="4"/>
      <c r="AA90" s="4"/>
      <c r="AB90" s="4"/>
    </row>
    <row r="91" spans="1:245" x14ac:dyDescent="0.2">
      <c r="A91" s="4">
        <v>50</v>
      </c>
      <c r="B91" s="4">
        <v>0</v>
      </c>
      <c r="C91" s="4">
        <v>0</v>
      </c>
      <c r="D91" s="4">
        <v>1</v>
      </c>
      <c r="E91" s="4">
        <v>226</v>
      </c>
      <c r="F91" s="4">
        <f>ROUND(Source!AW85,O91)</f>
        <v>263288.38</v>
      </c>
      <c r="G91" s="4" t="s">
        <v>83</v>
      </c>
      <c r="H91" s="4" t="s">
        <v>84</v>
      </c>
      <c r="I91" s="4"/>
      <c r="J91" s="4"/>
      <c r="K91" s="4">
        <v>226</v>
      </c>
      <c r="L91" s="4">
        <v>5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>
        <v>263288.38</v>
      </c>
      <c r="X91" s="4">
        <v>1</v>
      </c>
      <c r="Y91" s="4">
        <v>263288.38</v>
      </c>
      <c r="Z91" s="4"/>
      <c r="AA91" s="4"/>
      <c r="AB91" s="4"/>
    </row>
    <row r="92" spans="1:245" x14ac:dyDescent="0.2">
      <c r="A92" s="4">
        <v>50</v>
      </c>
      <c r="B92" s="4">
        <v>0</v>
      </c>
      <c r="C92" s="4">
        <v>0</v>
      </c>
      <c r="D92" s="4">
        <v>1</v>
      </c>
      <c r="E92" s="4">
        <v>227</v>
      </c>
      <c r="F92" s="4">
        <f>ROUND(Source!AX85,O92)</f>
        <v>0</v>
      </c>
      <c r="G92" s="4" t="s">
        <v>85</v>
      </c>
      <c r="H92" s="4" t="s">
        <v>86</v>
      </c>
      <c r="I92" s="4"/>
      <c r="J92" s="4"/>
      <c r="K92" s="4">
        <v>227</v>
      </c>
      <c r="L92" s="4">
        <v>6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>
        <v>0</v>
      </c>
      <c r="X92" s="4">
        <v>1</v>
      </c>
      <c r="Y92" s="4">
        <v>0</v>
      </c>
      <c r="Z92" s="4"/>
      <c r="AA92" s="4"/>
      <c r="AB92" s="4"/>
    </row>
    <row r="93" spans="1:245" x14ac:dyDescent="0.2">
      <c r="A93" s="4">
        <v>50</v>
      </c>
      <c r="B93" s="4">
        <v>0</v>
      </c>
      <c r="C93" s="4">
        <v>0</v>
      </c>
      <c r="D93" s="4">
        <v>1</v>
      </c>
      <c r="E93" s="4">
        <v>228</v>
      </c>
      <c r="F93" s="4">
        <f>ROUND(Source!AY85,O93)</f>
        <v>263288.38</v>
      </c>
      <c r="G93" s="4" t="s">
        <v>87</v>
      </c>
      <c r="H93" s="4" t="s">
        <v>88</v>
      </c>
      <c r="I93" s="4"/>
      <c r="J93" s="4"/>
      <c r="K93" s="4">
        <v>228</v>
      </c>
      <c r="L93" s="4">
        <v>7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>
        <v>263288.38</v>
      </c>
      <c r="X93" s="4">
        <v>1</v>
      </c>
      <c r="Y93" s="4">
        <v>263288.38</v>
      </c>
      <c r="Z93" s="4"/>
      <c r="AA93" s="4"/>
      <c r="AB93" s="4"/>
    </row>
    <row r="94" spans="1:245" x14ac:dyDescent="0.2">
      <c r="A94" s="4">
        <v>50</v>
      </c>
      <c r="B94" s="4">
        <v>0</v>
      </c>
      <c r="C94" s="4">
        <v>0</v>
      </c>
      <c r="D94" s="4">
        <v>1</v>
      </c>
      <c r="E94" s="4">
        <v>216</v>
      </c>
      <c r="F94" s="4">
        <f>ROUND(Source!AP85,O94)</f>
        <v>0</v>
      </c>
      <c r="G94" s="4" t="s">
        <v>89</v>
      </c>
      <c r="H94" s="4" t="s">
        <v>90</v>
      </c>
      <c r="I94" s="4"/>
      <c r="J94" s="4"/>
      <c r="K94" s="4">
        <v>216</v>
      </c>
      <c r="L94" s="4">
        <v>8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>
        <v>0</v>
      </c>
      <c r="X94" s="4">
        <v>1</v>
      </c>
      <c r="Y94" s="4">
        <v>0</v>
      </c>
      <c r="Z94" s="4"/>
      <c r="AA94" s="4"/>
      <c r="AB94" s="4"/>
    </row>
    <row r="95" spans="1:245" x14ac:dyDescent="0.2">
      <c r="A95" s="4">
        <v>50</v>
      </c>
      <c r="B95" s="4">
        <v>0</v>
      </c>
      <c r="C95" s="4">
        <v>0</v>
      </c>
      <c r="D95" s="4">
        <v>1</v>
      </c>
      <c r="E95" s="4">
        <v>223</v>
      </c>
      <c r="F95" s="4">
        <f>ROUND(Source!AQ85,O95)</f>
        <v>0</v>
      </c>
      <c r="G95" s="4" t="s">
        <v>91</v>
      </c>
      <c r="H95" s="4" t="s">
        <v>92</v>
      </c>
      <c r="I95" s="4"/>
      <c r="J95" s="4"/>
      <c r="K95" s="4">
        <v>223</v>
      </c>
      <c r="L95" s="4">
        <v>9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>
        <v>0</v>
      </c>
      <c r="X95" s="4">
        <v>1</v>
      </c>
      <c r="Y95" s="4">
        <v>0</v>
      </c>
      <c r="Z95" s="4"/>
      <c r="AA95" s="4"/>
      <c r="AB95" s="4"/>
    </row>
    <row r="96" spans="1:245" x14ac:dyDescent="0.2">
      <c r="A96" s="4">
        <v>50</v>
      </c>
      <c r="B96" s="4">
        <v>0</v>
      </c>
      <c r="C96" s="4">
        <v>0</v>
      </c>
      <c r="D96" s="4">
        <v>1</v>
      </c>
      <c r="E96" s="4">
        <v>229</v>
      </c>
      <c r="F96" s="4">
        <f>ROUND(Source!AZ85,O96)</f>
        <v>0</v>
      </c>
      <c r="G96" s="4" t="s">
        <v>93</v>
      </c>
      <c r="H96" s="4" t="s">
        <v>94</v>
      </c>
      <c r="I96" s="4"/>
      <c r="J96" s="4"/>
      <c r="K96" s="4">
        <v>229</v>
      </c>
      <c r="L96" s="4">
        <v>10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>
        <v>0</v>
      </c>
      <c r="X96" s="4">
        <v>1</v>
      </c>
      <c r="Y96" s="4">
        <v>0</v>
      </c>
      <c r="Z96" s="4"/>
      <c r="AA96" s="4"/>
      <c r="AB96" s="4"/>
    </row>
    <row r="97" spans="1:28" x14ac:dyDescent="0.2">
      <c r="A97" s="4">
        <v>50</v>
      </c>
      <c r="B97" s="4">
        <v>0</v>
      </c>
      <c r="C97" s="4">
        <v>0</v>
      </c>
      <c r="D97" s="4">
        <v>1</v>
      </c>
      <c r="E97" s="4">
        <v>203</v>
      </c>
      <c r="F97" s="4">
        <f>ROUND(Source!Q85,O97)</f>
        <v>15915.01</v>
      </c>
      <c r="G97" s="4" t="s">
        <v>95</v>
      </c>
      <c r="H97" s="4" t="s">
        <v>96</v>
      </c>
      <c r="I97" s="4"/>
      <c r="J97" s="4"/>
      <c r="K97" s="4">
        <v>203</v>
      </c>
      <c r="L97" s="4">
        <v>11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>
        <v>15915.01</v>
      </c>
      <c r="X97" s="4">
        <v>1</v>
      </c>
      <c r="Y97" s="4">
        <v>15915.01</v>
      </c>
      <c r="Z97" s="4"/>
      <c r="AA97" s="4"/>
      <c r="AB97" s="4"/>
    </row>
    <row r="98" spans="1:28" x14ac:dyDescent="0.2">
      <c r="A98" s="4">
        <v>50</v>
      </c>
      <c r="B98" s="4">
        <v>0</v>
      </c>
      <c r="C98" s="4">
        <v>0</v>
      </c>
      <c r="D98" s="4">
        <v>1</v>
      </c>
      <c r="E98" s="4">
        <v>231</v>
      </c>
      <c r="F98" s="4">
        <f>ROUND(Source!BB85,O98)</f>
        <v>0</v>
      </c>
      <c r="G98" s="4" t="s">
        <v>97</v>
      </c>
      <c r="H98" s="4" t="s">
        <v>98</v>
      </c>
      <c r="I98" s="4"/>
      <c r="J98" s="4"/>
      <c r="K98" s="4">
        <v>231</v>
      </c>
      <c r="L98" s="4">
        <v>12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>
        <v>0</v>
      </c>
      <c r="X98" s="4">
        <v>1</v>
      </c>
      <c r="Y98" s="4">
        <v>0</v>
      </c>
      <c r="Z98" s="4"/>
      <c r="AA98" s="4"/>
      <c r="AB98" s="4"/>
    </row>
    <row r="99" spans="1:28" x14ac:dyDescent="0.2">
      <c r="A99" s="4">
        <v>50</v>
      </c>
      <c r="B99" s="4">
        <v>0</v>
      </c>
      <c r="C99" s="4">
        <v>0</v>
      </c>
      <c r="D99" s="4">
        <v>1</v>
      </c>
      <c r="E99" s="4">
        <v>204</v>
      </c>
      <c r="F99" s="4">
        <f>ROUND(Source!R85,O99)</f>
        <v>6496.56</v>
      </c>
      <c r="G99" s="4" t="s">
        <v>99</v>
      </c>
      <c r="H99" s="4" t="s">
        <v>100</v>
      </c>
      <c r="I99" s="4"/>
      <c r="J99" s="4"/>
      <c r="K99" s="4">
        <v>204</v>
      </c>
      <c r="L99" s="4">
        <v>13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>
        <v>6496.56</v>
      </c>
      <c r="X99" s="4">
        <v>1</v>
      </c>
      <c r="Y99" s="4">
        <v>6496.56</v>
      </c>
      <c r="Z99" s="4"/>
      <c r="AA99" s="4"/>
      <c r="AB99" s="4"/>
    </row>
    <row r="100" spans="1:28" x14ac:dyDescent="0.2">
      <c r="A100" s="4">
        <v>50</v>
      </c>
      <c r="B100" s="4">
        <v>0</v>
      </c>
      <c r="C100" s="4">
        <v>0</v>
      </c>
      <c r="D100" s="4">
        <v>1</v>
      </c>
      <c r="E100" s="4">
        <v>205</v>
      </c>
      <c r="F100" s="4">
        <f>ROUND(Source!S85,O100)</f>
        <v>38072.21</v>
      </c>
      <c r="G100" s="4" t="s">
        <v>101</v>
      </c>
      <c r="H100" s="4" t="s">
        <v>102</v>
      </c>
      <c r="I100" s="4"/>
      <c r="J100" s="4"/>
      <c r="K100" s="4">
        <v>205</v>
      </c>
      <c r="L100" s="4">
        <v>14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>
        <v>38072.21</v>
      </c>
      <c r="X100" s="4">
        <v>1</v>
      </c>
      <c r="Y100" s="4">
        <v>38072.21</v>
      </c>
      <c r="Z100" s="4"/>
      <c r="AA100" s="4"/>
      <c r="AB100" s="4"/>
    </row>
    <row r="101" spans="1:28" x14ac:dyDescent="0.2">
      <c r="A101" s="4">
        <v>50</v>
      </c>
      <c r="B101" s="4">
        <v>0</v>
      </c>
      <c r="C101" s="4">
        <v>0</v>
      </c>
      <c r="D101" s="4">
        <v>1</v>
      </c>
      <c r="E101" s="4">
        <v>232</v>
      </c>
      <c r="F101" s="4">
        <f>ROUND(Source!BC85,O101)</f>
        <v>0</v>
      </c>
      <c r="G101" s="4" t="s">
        <v>103</v>
      </c>
      <c r="H101" s="4" t="s">
        <v>104</v>
      </c>
      <c r="I101" s="4"/>
      <c r="J101" s="4"/>
      <c r="K101" s="4">
        <v>232</v>
      </c>
      <c r="L101" s="4">
        <v>15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>
        <v>0</v>
      </c>
      <c r="X101" s="4">
        <v>1</v>
      </c>
      <c r="Y101" s="4">
        <v>0</v>
      </c>
      <c r="Z101" s="4"/>
      <c r="AA101" s="4"/>
      <c r="AB101" s="4"/>
    </row>
    <row r="102" spans="1:28" x14ac:dyDescent="0.2">
      <c r="A102" s="4">
        <v>50</v>
      </c>
      <c r="B102" s="4">
        <v>0</v>
      </c>
      <c r="C102" s="4">
        <v>0</v>
      </c>
      <c r="D102" s="4">
        <v>1</v>
      </c>
      <c r="E102" s="4">
        <v>214</v>
      </c>
      <c r="F102" s="4">
        <f>ROUND(Source!AS85,O102)</f>
        <v>0</v>
      </c>
      <c r="G102" s="4" t="s">
        <v>105</v>
      </c>
      <c r="H102" s="4" t="s">
        <v>106</v>
      </c>
      <c r="I102" s="4"/>
      <c r="J102" s="4"/>
      <c r="K102" s="4">
        <v>214</v>
      </c>
      <c r="L102" s="4">
        <v>16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>
        <v>0</v>
      </c>
      <c r="X102" s="4">
        <v>1</v>
      </c>
      <c r="Y102" s="4">
        <v>0</v>
      </c>
      <c r="Z102" s="4"/>
      <c r="AA102" s="4"/>
      <c r="AB102" s="4"/>
    </row>
    <row r="103" spans="1:28" x14ac:dyDescent="0.2">
      <c r="A103" s="4">
        <v>50</v>
      </c>
      <c r="B103" s="4">
        <v>0</v>
      </c>
      <c r="C103" s="4">
        <v>0</v>
      </c>
      <c r="D103" s="4">
        <v>1</v>
      </c>
      <c r="E103" s="4">
        <v>215</v>
      </c>
      <c r="F103" s="4">
        <f>ROUND(Source!AT85,O103)</f>
        <v>0</v>
      </c>
      <c r="G103" s="4" t="s">
        <v>107</v>
      </c>
      <c r="H103" s="4" t="s">
        <v>108</v>
      </c>
      <c r="I103" s="4"/>
      <c r="J103" s="4"/>
      <c r="K103" s="4">
        <v>215</v>
      </c>
      <c r="L103" s="4">
        <v>17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>
        <v>0</v>
      </c>
      <c r="X103" s="4">
        <v>1</v>
      </c>
      <c r="Y103" s="4">
        <v>0</v>
      </c>
      <c r="Z103" s="4"/>
      <c r="AA103" s="4"/>
      <c r="AB103" s="4"/>
    </row>
    <row r="104" spans="1:28" x14ac:dyDescent="0.2">
      <c r="A104" s="4">
        <v>50</v>
      </c>
      <c r="B104" s="4">
        <v>0</v>
      </c>
      <c r="C104" s="4">
        <v>0</v>
      </c>
      <c r="D104" s="4">
        <v>1</v>
      </c>
      <c r="E104" s="4">
        <v>217</v>
      </c>
      <c r="F104" s="4">
        <f>ROUND(Source!AU85,O104)</f>
        <v>354749.69</v>
      </c>
      <c r="G104" s="4" t="s">
        <v>109</v>
      </c>
      <c r="H104" s="4" t="s">
        <v>110</v>
      </c>
      <c r="I104" s="4"/>
      <c r="J104" s="4"/>
      <c r="K104" s="4">
        <v>217</v>
      </c>
      <c r="L104" s="4">
        <v>18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>
        <v>354749.69</v>
      </c>
      <c r="X104" s="4">
        <v>1</v>
      </c>
      <c r="Y104" s="4">
        <v>354749.69</v>
      </c>
      <c r="Z104" s="4"/>
      <c r="AA104" s="4"/>
      <c r="AB104" s="4"/>
    </row>
    <row r="105" spans="1:28" x14ac:dyDescent="0.2">
      <c r="A105" s="4">
        <v>50</v>
      </c>
      <c r="B105" s="4">
        <v>0</v>
      </c>
      <c r="C105" s="4">
        <v>0</v>
      </c>
      <c r="D105" s="4">
        <v>1</v>
      </c>
      <c r="E105" s="4">
        <v>230</v>
      </c>
      <c r="F105" s="4">
        <f>ROUND(Source!BA85,O105)</f>
        <v>0</v>
      </c>
      <c r="G105" s="4" t="s">
        <v>111</v>
      </c>
      <c r="H105" s="4" t="s">
        <v>112</v>
      </c>
      <c r="I105" s="4"/>
      <c r="J105" s="4"/>
      <c r="K105" s="4">
        <v>230</v>
      </c>
      <c r="L105" s="4">
        <v>19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>
        <v>0</v>
      </c>
      <c r="X105" s="4">
        <v>1</v>
      </c>
      <c r="Y105" s="4">
        <v>0</v>
      </c>
      <c r="Z105" s="4"/>
      <c r="AA105" s="4"/>
      <c r="AB105" s="4"/>
    </row>
    <row r="106" spans="1:28" x14ac:dyDescent="0.2">
      <c r="A106" s="4">
        <v>50</v>
      </c>
      <c r="B106" s="4">
        <v>0</v>
      </c>
      <c r="C106" s="4">
        <v>0</v>
      </c>
      <c r="D106" s="4">
        <v>1</v>
      </c>
      <c r="E106" s="4">
        <v>206</v>
      </c>
      <c r="F106" s="4">
        <f>ROUND(Source!T85,O106)</f>
        <v>0</v>
      </c>
      <c r="G106" s="4" t="s">
        <v>113</v>
      </c>
      <c r="H106" s="4" t="s">
        <v>114</v>
      </c>
      <c r="I106" s="4"/>
      <c r="J106" s="4"/>
      <c r="K106" s="4">
        <v>206</v>
      </c>
      <c r="L106" s="4">
        <v>20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>
        <v>0</v>
      </c>
      <c r="X106" s="4">
        <v>1</v>
      </c>
      <c r="Y106" s="4">
        <v>0</v>
      </c>
      <c r="Z106" s="4"/>
      <c r="AA106" s="4"/>
      <c r="AB106" s="4"/>
    </row>
    <row r="107" spans="1:28" x14ac:dyDescent="0.2">
      <c r="A107" s="4">
        <v>50</v>
      </c>
      <c r="B107" s="4">
        <v>0</v>
      </c>
      <c r="C107" s="4">
        <v>0</v>
      </c>
      <c r="D107" s="4">
        <v>1</v>
      </c>
      <c r="E107" s="4">
        <v>207</v>
      </c>
      <c r="F107" s="4">
        <f>Source!U85</f>
        <v>172.12694399999998</v>
      </c>
      <c r="G107" s="4" t="s">
        <v>115</v>
      </c>
      <c r="H107" s="4" t="s">
        <v>116</v>
      </c>
      <c r="I107" s="4"/>
      <c r="J107" s="4"/>
      <c r="K107" s="4">
        <v>207</v>
      </c>
      <c r="L107" s="4">
        <v>21</v>
      </c>
      <c r="M107" s="4">
        <v>3</v>
      </c>
      <c r="N107" s="4" t="s">
        <v>3</v>
      </c>
      <c r="O107" s="4">
        <v>-1</v>
      </c>
      <c r="P107" s="4"/>
      <c r="Q107" s="4"/>
      <c r="R107" s="4"/>
      <c r="S107" s="4"/>
      <c r="T107" s="4"/>
      <c r="U107" s="4"/>
      <c r="V107" s="4"/>
      <c r="W107" s="4">
        <v>172.12694399999998</v>
      </c>
      <c r="X107" s="4">
        <v>1</v>
      </c>
      <c r="Y107" s="4">
        <v>172.12694399999998</v>
      </c>
      <c r="Z107" s="4"/>
      <c r="AA107" s="4"/>
      <c r="AB107" s="4"/>
    </row>
    <row r="108" spans="1:28" x14ac:dyDescent="0.2">
      <c r="A108" s="4">
        <v>50</v>
      </c>
      <c r="B108" s="4">
        <v>0</v>
      </c>
      <c r="C108" s="4">
        <v>0</v>
      </c>
      <c r="D108" s="4">
        <v>1</v>
      </c>
      <c r="E108" s="4">
        <v>208</v>
      </c>
      <c r="F108" s="4">
        <f>Source!V85</f>
        <v>0</v>
      </c>
      <c r="G108" s="4" t="s">
        <v>117</v>
      </c>
      <c r="H108" s="4" t="s">
        <v>118</v>
      </c>
      <c r="I108" s="4"/>
      <c r="J108" s="4"/>
      <c r="K108" s="4">
        <v>208</v>
      </c>
      <c r="L108" s="4">
        <v>22</v>
      </c>
      <c r="M108" s="4">
        <v>3</v>
      </c>
      <c r="N108" s="4" t="s">
        <v>3</v>
      </c>
      <c r="O108" s="4">
        <v>-1</v>
      </c>
      <c r="P108" s="4"/>
      <c r="Q108" s="4"/>
      <c r="R108" s="4"/>
      <c r="S108" s="4"/>
      <c r="T108" s="4"/>
      <c r="U108" s="4"/>
      <c r="V108" s="4"/>
      <c r="W108" s="4">
        <v>0</v>
      </c>
      <c r="X108" s="4">
        <v>1</v>
      </c>
      <c r="Y108" s="4">
        <v>0</v>
      </c>
      <c r="Z108" s="4"/>
      <c r="AA108" s="4"/>
      <c r="AB108" s="4"/>
    </row>
    <row r="109" spans="1:28" x14ac:dyDescent="0.2">
      <c r="A109" s="4">
        <v>50</v>
      </c>
      <c r="B109" s="4">
        <v>0</v>
      </c>
      <c r="C109" s="4">
        <v>0</v>
      </c>
      <c r="D109" s="4">
        <v>1</v>
      </c>
      <c r="E109" s="4">
        <v>209</v>
      </c>
      <c r="F109" s="4">
        <f>ROUND(Source!W85,O109)</f>
        <v>0</v>
      </c>
      <c r="G109" s="4" t="s">
        <v>119</v>
      </c>
      <c r="H109" s="4" t="s">
        <v>120</v>
      </c>
      <c r="I109" s="4"/>
      <c r="J109" s="4"/>
      <c r="K109" s="4">
        <v>209</v>
      </c>
      <c r="L109" s="4">
        <v>23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>
        <v>0</v>
      </c>
      <c r="X109" s="4">
        <v>1</v>
      </c>
      <c r="Y109" s="4">
        <v>0</v>
      </c>
      <c r="Z109" s="4"/>
      <c r="AA109" s="4"/>
      <c r="AB109" s="4"/>
    </row>
    <row r="110" spans="1:28" x14ac:dyDescent="0.2">
      <c r="A110" s="4">
        <v>50</v>
      </c>
      <c r="B110" s="4">
        <v>0</v>
      </c>
      <c r="C110" s="4">
        <v>0</v>
      </c>
      <c r="D110" s="4">
        <v>1</v>
      </c>
      <c r="E110" s="4">
        <v>233</v>
      </c>
      <c r="F110" s="4">
        <f>ROUND(Source!BD85,O110)</f>
        <v>0</v>
      </c>
      <c r="G110" s="4" t="s">
        <v>121</v>
      </c>
      <c r="H110" s="4" t="s">
        <v>122</v>
      </c>
      <c r="I110" s="4"/>
      <c r="J110" s="4"/>
      <c r="K110" s="4">
        <v>233</v>
      </c>
      <c r="L110" s="4">
        <v>24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>
        <v>0</v>
      </c>
      <c r="X110" s="4">
        <v>1</v>
      </c>
      <c r="Y110" s="4">
        <v>0</v>
      </c>
      <c r="Z110" s="4"/>
      <c r="AA110" s="4"/>
      <c r="AB110" s="4"/>
    </row>
    <row r="111" spans="1:28" x14ac:dyDescent="0.2">
      <c r="A111" s="4">
        <v>50</v>
      </c>
      <c r="B111" s="4">
        <v>0</v>
      </c>
      <c r="C111" s="4">
        <v>0</v>
      </c>
      <c r="D111" s="4">
        <v>1</v>
      </c>
      <c r="E111" s="4">
        <v>210</v>
      </c>
      <c r="F111" s="4">
        <f>ROUND(Source!X85,O111)</f>
        <v>26650.57</v>
      </c>
      <c r="G111" s="4" t="s">
        <v>123</v>
      </c>
      <c r="H111" s="4" t="s">
        <v>124</v>
      </c>
      <c r="I111" s="4"/>
      <c r="J111" s="4"/>
      <c r="K111" s="4">
        <v>210</v>
      </c>
      <c r="L111" s="4">
        <v>25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>
        <v>26650.57</v>
      </c>
      <c r="X111" s="4">
        <v>1</v>
      </c>
      <c r="Y111" s="4">
        <v>26650.57</v>
      </c>
      <c r="Z111" s="4"/>
      <c r="AA111" s="4"/>
      <c r="AB111" s="4"/>
    </row>
    <row r="112" spans="1:28" x14ac:dyDescent="0.2">
      <c r="A112" s="4">
        <v>50</v>
      </c>
      <c r="B112" s="4">
        <v>0</v>
      </c>
      <c r="C112" s="4">
        <v>0</v>
      </c>
      <c r="D112" s="4">
        <v>1</v>
      </c>
      <c r="E112" s="4">
        <v>211</v>
      </c>
      <c r="F112" s="4">
        <f>ROUND(Source!Y85,O112)</f>
        <v>3807.23</v>
      </c>
      <c r="G112" s="4" t="s">
        <v>125</v>
      </c>
      <c r="H112" s="4" t="s">
        <v>126</v>
      </c>
      <c r="I112" s="4"/>
      <c r="J112" s="4"/>
      <c r="K112" s="4">
        <v>211</v>
      </c>
      <c r="L112" s="4">
        <v>26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>
        <v>3807.23</v>
      </c>
      <c r="X112" s="4">
        <v>1</v>
      </c>
      <c r="Y112" s="4">
        <v>3807.23</v>
      </c>
      <c r="Z112" s="4"/>
      <c r="AA112" s="4"/>
      <c r="AB112" s="4"/>
    </row>
    <row r="113" spans="1:245" x14ac:dyDescent="0.2">
      <c r="A113" s="4">
        <v>50</v>
      </c>
      <c r="B113" s="4">
        <v>0</v>
      </c>
      <c r="C113" s="4">
        <v>0</v>
      </c>
      <c r="D113" s="4">
        <v>1</v>
      </c>
      <c r="E113" s="4">
        <v>224</v>
      </c>
      <c r="F113" s="4">
        <f>ROUND(Source!AR85,O113)</f>
        <v>354749.69</v>
      </c>
      <c r="G113" s="4" t="s">
        <v>127</v>
      </c>
      <c r="H113" s="4" t="s">
        <v>128</v>
      </c>
      <c r="I113" s="4"/>
      <c r="J113" s="4"/>
      <c r="K113" s="4">
        <v>224</v>
      </c>
      <c r="L113" s="4">
        <v>27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>
        <v>354749.69</v>
      </c>
      <c r="X113" s="4">
        <v>1</v>
      </c>
      <c r="Y113" s="4">
        <v>354749.69</v>
      </c>
      <c r="Z113" s="4"/>
      <c r="AA113" s="4"/>
      <c r="AB113" s="4"/>
    </row>
    <row r="115" spans="1:245" x14ac:dyDescent="0.2">
      <c r="A115" s="1">
        <v>4</v>
      </c>
      <c r="B115" s="1">
        <v>1</v>
      </c>
      <c r="C115" s="1"/>
      <c r="D115" s="1">
        <f>ROW(A126)</f>
        <v>126</v>
      </c>
      <c r="E115" s="1"/>
      <c r="F115" s="1" t="s">
        <v>14</v>
      </c>
      <c r="G115" s="1" t="s">
        <v>151</v>
      </c>
      <c r="H115" s="1" t="s">
        <v>3</v>
      </c>
      <c r="I115" s="1">
        <v>0</v>
      </c>
      <c r="J115" s="1"/>
      <c r="K115" s="1">
        <v>-1</v>
      </c>
      <c r="L115" s="1"/>
      <c r="M115" s="1" t="s">
        <v>3</v>
      </c>
      <c r="N115" s="1"/>
      <c r="O115" s="1"/>
      <c r="P115" s="1"/>
      <c r="Q115" s="1"/>
      <c r="R115" s="1"/>
      <c r="S115" s="1">
        <v>0</v>
      </c>
      <c r="T115" s="1"/>
      <c r="U115" s="1" t="s">
        <v>3</v>
      </c>
      <c r="V115" s="1">
        <v>0</v>
      </c>
      <c r="W115" s="1"/>
      <c r="X115" s="1"/>
      <c r="Y115" s="1"/>
      <c r="Z115" s="1"/>
      <c r="AA115" s="1"/>
      <c r="AB115" s="1" t="s">
        <v>3</v>
      </c>
      <c r="AC115" s="1" t="s">
        <v>3</v>
      </c>
      <c r="AD115" s="1" t="s">
        <v>3</v>
      </c>
      <c r="AE115" s="1" t="s">
        <v>3</v>
      </c>
      <c r="AF115" s="1" t="s">
        <v>3</v>
      </c>
      <c r="AG115" s="1" t="s">
        <v>3</v>
      </c>
      <c r="AH115" s="1"/>
      <c r="AI115" s="1"/>
      <c r="AJ115" s="1"/>
      <c r="AK115" s="1"/>
      <c r="AL115" s="1"/>
      <c r="AM115" s="1"/>
      <c r="AN115" s="1"/>
      <c r="AO115" s="1"/>
      <c r="AP115" s="1" t="s">
        <v>3</v>
      </c>
      <c r="AQ115" s="1" t="s">
        <v>3</v>
      </c>
      <c r="AR115" s="1" t="s">
        <v>3</v>
      </c>
      <c r="AS115" s="1"/>
      <c r="AT115" s="1"/>
      <c r="AU115" s="1"/>
      <c r="AV115" s="1"/>
      <c r="AW115" s="1"/>
      <c r="AX115" s="1"/>
      <c r="AY115" s="1"/>
      <c r="AZ115" s="1" t="s">
        <v>3</v>
      </c>
      <c r="BA115" s="1"/>
      <c r="BB115" s="1" t="s">
        <v>3</v>
      </c>
      <c r="BC115" s="1" t="s">
        <v>3</v>
      </c>
      <c r="BD115" s="1" t="s">
        <v>3</v>
      </c>
      <c r="BE115" s="1" t="s">
        <v>3</v>
      </c>
      <c r="BF115" s="1" t="s">
        <v>3</v>
      </c>
      <c r="BG115" s="1" t="s">
        <v>3</v>
      </c>
      <c r="BH115" s="1" t="s">
        <v>3</v>
      </c>
      <c r="BI115" s="1" t="s">
        <v>3</v>
      </c>
      <c r="BJ115" s="1" t="s">
        <v>3</v>
      </c>
      <c r="BK115" s="1" t="s">
        <v>3</v>
      </c>
      <c r="BL115" s="1" t="s">
        <v>3</v>
      </c>
      <c r="BM115" s="1" t="s">
        <v>3</v>
      </c>
      <c r="BN115" s="1" t="s">
        <v>3</v>
      </c>
      <c r="BO115" s="1" t="s">
        <v>3</v>
      </c>
      <c r="BP115" s="1" t="s">
        <v>3</v>
      </c>
      <c r="BQ115" s="1"/>
      <c r="BR115" s="1"/>
      <c r="BS115" s="1"/>
      <c r="BT115" s="1"/>
      <c r="BU115" s="1"/>
      <c r="BV115" s="1"/>
      <c r="BW115" s="1"/>
      <c r="BX115" s="1">
        <v>0</v>
      </c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>
        <v>0</v>
      </c>
    </row>
    <row r="117" spans="1:245" x14ac:dyDescent="0.2">
      <c r="A117" s="2">
        <v>52</v>
      </c>
      <c r="B117" s="2">
        <f t="shared" ref="B117:G117" si="112">B126</f>
        <v>1</v>
      </c>
      <c r="C117" s="2">
        <f t="shared" si="112"/>
        <v>4</v>
      </c>
      <c r="D117" s="2">
        <f t="shared" si="112"/>
        <v>115</v>
      </c>
      <c r="E117" s="2">
        <f t="shared" si="112"/>
        <v>0</v>
      </c>
      <c r="F117" s="2" t="str">
        <f t="shared" si="112"/>
        <v>Новый раздел</v>
      </c>
      <c r="G117" s="2" t="str">
        <f t="shared" si="112"/>
        <v>Прочее</v>
      </c>
      <c r="H117" s="2"/>
      <c r="I117" s="2"/>
      <c r="J117" s="2"/>
      <c r="K117" s="2"/>
      <c r="L117" s="2"/>
      <c r="M117" s="2"/>
      <c r="N117" s="2"/>
      <c r="O117" s="2">
        <f t="shared" ref="O117:AT117" si="113">O126</f>
        <v>546609.04</v>
      </c>
      <c r="P117" s="2">
        <f t="shared" si="113"/>
        <v>0</v>
      </c>
      <c r="Q117" s="2">
        <f t="shared" si="113"/>
        <v>546609.04</v>
      </c>
      <c r="R117" s="2">
        <f t="shared" si="113"/>
        <v>282664.26</v>
      </c>
      <c r="S117" s="2">
        <f t="shared" si="113"/>
        <v>0</v>
      </c>
      <c r="T117" s="2">
        <f t="shared" si="113"/>
        <v>0</v>
      </c>
      <c r="U117" s="2">
        <f t="shared" si="113"/>
        <v>0</v>
      </c>
      <c r="V117" s="2">
        <f t="shared" si="113"/>
        <v>0</v>
      </c>
      <c r="W117" s="2">
        <f t="shared" si="113"/>
        <v>0</v>
      </c>
      <c r="X117" s="2">
        <f t="shared" si="113"/>
        <v>0</v>
      </c>
      <c r="Y117" s="2">
        <f t="shared" si="113"/>
        <v>0</v>
      </c>
      <c r="Z117" s="2">
        <f t="shared" si="113"/>
        <v>0</v>
      </c>
      <c r="AA117" s="2">
        <f t="shared" si="113"/>
        <v>0</v>
      </c>
      <c r="AB117" s="2">
        <f t="shared" si="113"/>
        <v>546609.04</v>
      </c>
      <c r="AC117" s="2">
        <f t="shared" si="113"/>
        <v>0</v>
      </c>
      <c r="AD117" s="2">
        <f t="shared" si="113"/>
        <v>546609.04</v>
      </c>
      <c r="AE117" s="2">
        <f t="shared" si="113"/>
        <v>282664.26</v>
      </c>
      <c r="AF117" s="2">
        <f t="shared" si="113"/>
        <v>0</v>
      </c>
      <c r="AG117" s="2">
        <f t="shared" si="113"/>
        <v>0</v>
      </c>
      <c r="AH117" s="2">
        <f t="shared" si="113"/>
        <v>0</v>
      </c>
      <c r="AI117" s="2">
        <f t="shared" si="113"/>
        <v>0</v>
      </c>
      <c r="AJ117" s="2">
        <f t="shared" si="113"/>
        <v>0</v>
      </c>
      <c r="AK117" s="2">
        <f t="shared" si="113"/>
        <v>0</v>
      </c>
      <c r="AL117" s="2">
        <f t="shared" si="113"/>
        <v>0</v>
      </c>
      <c r="AM117" s="2">
        <f t="shared" si="113"/>
        <v>0</v>
      </c>
      <c r="AN117" s="2">
        <f t="shared" si="113"/>
        <v>0</v>
      </c>
      <c r="AO117" s="2">
        <f t="shared" si="113"/>
        <v>0</v>
      </c>
      <c r="AP117" s="2">
        <f t="shared" si="113"/>
        <v>0</v>
      </c>
      <c r="AQ117" s="2">
        <f t="shared" si="113"/>
        <v>0</v>
      </c>
      <c r="AR117" s="2">
        <f t="shared" si="113"/>
        <v>558215.17000000004</v>
      </c>
      <c r="AS117" s="2">
        <f t="shared" si="113"/>
        <v>0</v>
      </c>
      <c r="AT117" s="2">
        <f t="shared" si="113"/>
        <v>0</v>
      </c>
      <c r="AU117" s="2">
        <f t="shared" ref="AU117:BZ117" si="114">AU126</f>
        <v>558215.17000000004</v>
      </c>
      <c r="AV117" s="2">
        <f t="shared" si="114"/>
        <v>0</v>
      </c>
      <c r="AW117" s="2">
        <f t="shared" si="114"/>
        <v>0</v>
      </c>
      <c r="AX117" s="2">
        <f t="shared" si="114"/>
        <v>0</v>
      </c>
      <c r="AY117" s="2">
        <f t="shared" si="114"/>
        <v>0</v>
      </c>
      <c r="AZ117" s="2">
        <f t="shared" si="114"/>
        <v>0</v>
      </c>
      <c r="BA117" s="2">
        <f t="shared" si="114"/>
        <v>0</v>
      </c>
      <c r="BB117" s="2">
        <f t="shared" si="114"/>
        <v>0</v>
      </c>
      <c r="BC117" s="2">
        <f t="shared" si="114"/>
        <v>0</v>
      </c>
      <c r="BD117" s="2">
        <f t="shared" si="114"/>
        <v>0</v>
      </c>
      <c r="BE117" s="2">
        <f t="shared" si="114"/>
        <v>0</v>
      </c>
      <c r="BF117" s="2">
        <f t="shared" si="114"/>
        <v>0</v>
      </c>
      <c r="BG117" s="2">
        <f t="shared" si="114"/>
        <v>0</v>
      </c>
      <c r="BH117" s="2">
        <f t="shared" si="114"/>
        <v>0</v>
      </c>
      <c r="BI117" s="2">
        <f t="shared" si="114"/>
        <v>0</v>
      </c>
      <c r="BJ117" s="2">
        <f t="shared" si="114"/>
        <v>0</v>
      </c>
      <c r="BK117" s="2">
        <f t="shared" si="114"/>
        <v>0</v>
      </c>
      <c r="BL117" s="2">
        <f t="shared" si="114"/>
        <v>0</v>
      </c>
      <c r="BM117" s="2">
        <f t="shared" si="114"/>
        <v>0</v>
      </c>
      <c r="BN117" s="2">
        <f t="shared" si="114"/>
        <v>0</v>
      </c>
      <c r="BO117" s="2">
        <f t="shared" si="114"/>
        <v>0</v>
      </c>
      <c r="BP117" s="2">
        <f t="shared" si="114"/>
        <v>0</v>
      </c>
      <c r="BQ117" s="2">
        <f t="shared" si="114"/>
        <v>0</v>
      </c>
      <c r="BR117" s="2">
        <f t="shared" si="114"/>
        <v>0</v>
      </c>
      <c r="BS117" s="2">
        <f t="shared" si="114"/>
        <v>0</v>
      </c>
      <c r="BT117" s="2">
        <f t="shared" si="114"/>
        <v>0</v>
      </c>
      <c r="BU117" s="2">
        <f t="shared" si="114"/>
        <v>0</v>
      </c>
      <c r="BV117" s="2">
        <f t="shared" si="114"/>
        <v>0</v>
      </c>
      <c r="BW117" s="2">
        <f t="shared" si="114"/>
        <v>0</v>
      </c>
      <c r="BX117" s="2">
        <f t="shared" si="114"/>
        <v>0</v>
      </c>
      <c r="BY117" s="2">
        <f t="shared" si="114"/>
        <v>0</v>
      </c>
      <c r="BZ117" s="2">
        <f t="shared" si="114"/>
        <v>0</v>
      </c>
      <c r="CA117" s="2">
        <f t="shared" ref="CA117:DF117" si="115">CA126</f>
        <v>558215.17000000004</v>
      </c>
      <c r="CB117" s="2">
        <f t="shared" si="115"/>
        <v>0</v>
      </c>
      <c r="CC117" s="2">
        <f t="shared" si="115"/>
        <v>0</v>
      </c>
      <c r="CD117" s="2">
        <f t="shared" si="115"/>
        <v>558215.17000000004</v>
      </c>
      <c r="CE117" s="2">
        <f t="shared" si="115"/>
        <v>0</v>
      </c>
      <c r="CF117" s="2">
        <f t="shared" si="115"/>
        <v>0</v>
      </c>
      <c r="CG117" s="2">
        <f t="shared" si="115"/>
        <v>0</v>
      </c>
      <c r="CH117" s="2">
        <f t="shared" si="115"/>
        <v>0</v>
      </c>
      <c r="CI117" s="2">
        <f t="shared" si="115"/>
        <v>0</v>
      </c>
      <c r="CJ117" s="2">
        <f t="shared" si="115"/>
        <v>0</v>
      </c>
      <c r="CK117" s="2">
        <f t="shared" si="115"/>
        <v>0</v>
      </c>
      <c r="CL117" s="2">
        <f t="shared" si="115"/>
        <v>0</v>
      </c>
      <c r="CM117" s="2">
        <f t="shared" si="115"/>
        <v>0</v>
      </c>
      <c r="CN117" s="2">
        <f t="shared" si="115"/>
        <v>0</v>
      </c>
      <c r="CO117" s="2">
        <f t="shared" si="115"/>
        <v>0</v>
      </c>
      <c r="CP117" s="2">
        <f t="shared" si="115"/>
        <v>0</v>
      </c>
      <c r="CQ117" s="2">
        <f t="shared" si="115"/>
        <v>0</v>
      </c>
      <c r="CR117" s="2">
        <f t="shared" si="115"/>
        <v>0</v>
      </c>
      <c r="CS117" s="2">
        <f t="shared" si="115"/>
        <v>0</v>
      </c>
      <c r="CT117" s="2">
        <f t="shared" si="115"/>
        <v>0</v>
      </c>
      <c r="CU117" s="2">
        <f t="shared" si="115"/>
        <v>0</v>
      </c>
      <c r="CV117" s="2">
        <f t="shared" si="115"/>
        <v>0</v>
      </c>
      <c r="CW117" s="2">
        <f t="shared" si="115"/>
        <v>0</v>
      </c>
      <c r="CX117" s="2">
        <f t="shared" si="115"/>
        <v>0</v>
      </c>
      <c r="CY117" s="2">
        <f t="shared" si="115"/>
        <v>0</v>
      </c>
      <c r="CZ117" s="2">
        <f t="shared" si="115"/>
        <v>0</v>
      </c>
      <c r="DA117" s="2">
        <f t="shared" si="115"/>
        <v>0</v>
      </c>
      <c r="DB117" s="2">
        <f t="shared" si="115"/>
        <v>0</v>
      </c>
      <c r="DC117" s="2">
        <f t="shared" si="115"/>
        <v>0</v>
      </c>
      <c r="DD117" s="2">
        <f t="shared" si="115"/>
        <v>0</v>
      </c>
      <c r="DE117" s="2">
        <f t="shared" si="115"/>
        <v>0</v>
      </c>
      <c r="DF117" s="2">
        <f t="shared" si="115"/>
        <v>0</v>
      </c>
      <c r="DG117" s="3">
        <f t="shared" ref="DG117:EL117" si="116">DG126</f>
        <v>0</v>
      </c>
      <c r="DH117" s="3">
        <f t="shared" si="116"/>
        <v>0</v>
      </c>
      <c r="DI117" s="3">
        <f t="shared" si="116"/>
        <v>0</v>
      </c>
      <c r="DJ117" s="3">
        <f t="shared" si="116"/>
        <v>0</v>
      </c>
      <c r="DK117" s="3">
        <f t="shared" si="116"/>
        <v>0</v>
      </c>
      <c r="DL117" s="3">
        <f t="shared" si="116"/>
        <v>0</v>
      </c>
      <c r="DM117" s="3">
        <f t="shared" si="116"/>
        <v>0</v>
      </c>
      <c r="DN117" s="3">
        <f t="shared" si="116"/>
        <v>0</v>
      </c>
      <c r="DO117" s="3">
        <f t="shared" si="116"/>
        <v>0</v>
      </c>
      <c r="DP117" s="3">
        <f t="shared" si="116"/>
        <v>0</v>
      </c>
      <c r="DQ117" s="3">
        <f t="shared" si="116"/>
        <v>0</v>
      </c>
      <c r="DR117" s="3">
        <f t="shared" si="116"/>
        <v>0</v>
      </c>
      <c r="DS117" s="3">
        <f t="shared" si="116"/>
        <v>0</v>
      </c>
      <c r="DT117" s="3">
        <f t="shared" si="116"/>
        <v>0</v>
      </c>
      <c r="DU117" s="3">
        <f t="shared" si="116"/>
        <v>0</v>
      </c>
      <c r="DV117" s="3">
        <f t="shared" si="116"/>
        <v>0</v>
      </c>
      <c r="DW117" s="3">
        <f t="shared" si="116"/>
        <v>0</v>
      </c>
      <c r="DX117" s="3">
        <f t="shared" si="116"/>
        <v>0</v>
      </c>
      <c r="DY117" s="3">
        <f t="shared" si="116"/>
        <v>0</v>
      </c>
      <c r="DZ117" s="3">
        <f t="shared" si="116"/>
        <v>0</v>
      </c>
      <c r="EA117" s="3">
        <f t="shared" si="116"/>
        <v>0</v>
      </c>
      <c r="EB117" s="3">
        <f t="shared" si="116"/>
        <v>0</v>
      </c>
      <c r="EC117" s="3">
        <f t="shared" si="116"/>
        <v>0</v>
      </c>
      <c r="ED117" s="3">
        <f t="shared" si="116"/>
        <v>0</v>
      </c>
      <c r="EE117" s="3">
        <f t="shared" si="116"/>
        <v>0</v>
      </c>
      <c r="EF117" s="3">
        <f t="shared" si="116"/>
        <v>0</v>
      </c>
      <c r="EG117" s="3">
        <f t="shared" si="116"/>
        <v>0</v>
      </c>
      <c r="EH117" s="3">
        <f t="shared" si="116"/>
        <v>0</v>
      </c>
      <c r="EI117" s="3">
        <f t="shared" si="116"/>
        <v>0</v>
      </c>
      <c r="EJ117" s="3">
        <f t="shared" si="116"/>
        <v>0</v>
      </c>
      <c r="EK117" s="3">
        <f t="shared" si="116"/>
        <v>0</v>
      </c>
      <c r="EL117" s="3">
        <f t="shared" si="116"/>
        <v>0</v>
      </c>
      <c r="EM117" s="3">
        <f t="shared" ref="EM117:FR117" si="117">EM126</f>
        <v>0</v>
      </c>
      <c r="EN117" s="3">
        <f t="shared" si="117"/>
        <v>0</v>
      </c>
      <c r="EO117" s="3">
        <f t="shared" si="117"/>
        <v>0</v>
      </c>
      <c r="EP117" s="3">
        <f t="shared" si="117"/>
        <v>0</v>
      </c>
      <c r="EQ117" s="3">
        <f t="shared" si="117"/>
        <v>0</v>
      </c>
      <c r="ER117" s="3">
        <f t="shared" si="117"/>
        <v>0</v>
      </c>
      <c r="ES117" s="3">
        <f t="shared" si="117"/>
        <v>0</v>
      </c>
      <c r="ET117" s="3">
        <f t="shared" si="117"/>
        <v>0</v>
      </c>
      <c r="EU117" s="3">
        <f t="shared" si="117"/>
        <v>0</v>
      </c>
      <c r="EV117" s="3">
        <f t="shared" si="117"/>
        <v>0</v>
      </c>
      <c r="EW117" s="3">
        <f t="shared" si="117"/>
        <v>0</v>
      </c>
      <c r="EX117" s="3">
        <f t="shared" si="117"/>
        <v>0</v>
      </c>
      <c r="EY117" s="3">
        <f t="shared" si="117"/>
        <v>0</v>
      </c>
      <c r="EZ117" s="3">
        <f t="shared" si="117"/>
        <v>0</v>
      </c>
      <c r="FA117" s="3">
        <f t="shared" si="117"/>
        <v>0</v>
      </c>
      <c r="FB117" s="3">
        <f t="shared" si="117"/>
        <v>0</v>
      </c>
      <c r="FC117" s="3">
        <f t="shared" si="117"/>
        <v>0</v>
      </c>
      <c r="FD117" s="3">
        <f t="shared" si="117"/>
        <v>0</v>
      </c>
      <c r="FE117" s="3">
        <f t="shared" si="117"/>
        <v>0</v>
      </c>
      <c r="FF117" s="3">
        <f t="shared" si="117"/>
        <v>0</v>
      </c>
      <c r="FG117" s="3">
        <f t="shared" si="117"/>
        <v>0</v>
      </c>
      <c r="FH117" s="3">
        <f t="shared" si="117"/>
        <v>0</v>
      </c>
      <c r="FI117" s="3">
        <f t="shared" si="117"/>
        <v>0</v>
      </c>
      <c r="FJ117" s="3">
        <f t="shared" si="117"/>
        <v>0</v>
      </c>
      <c r="FK117" s="3">
        <f t="shared" si="117"/>
        <v>0</v>
      </c>
      <c r="FL117" s="3">
        <f t="shared" si="117"/>
        <v>0</v>
      </c>
      <c r="FM117" s="3">
        <f t="shared" si="117"/>
        <v>0</v>
      </c>
      <c r="FN117" s="3">
        <f t="shared" si="117"/>
        <v>0</v>
      </c>
      <c r="FO117" s="3">
        <f t="shared" si="117"/>
        <v>0</v>
      </c>
      <c r="FP117" s="3">
        <f t="shared" si="117"/>
        <v>0</v>
      </c>
      <c r="FQ117" s="3">
        <f t="shared" si="117"/>
        <v>0</v>
      </c>
      <c r="FR117" s="3">
        <f t="shared" si="117"/>
        <v>0</v>
      </c>
      <c r="FS117" s="3">
        <f t="shared" ref="FS117:GX117" si="118">FS126</f>
        <v>0</v>
      </c>
      <c r="FT117" s="3">
        <f t="shared" si="118"/>
        <v>0</v>
      </c>
      <c r="FU117" s="3">
        <f t="shared" si="118"/>
        <v>0</v>
      </c>
      <c r="FV117" s="3">
        <f t="shared" si="118"/>
        <v>0</v>
      </c>
      <c r="FW117" s="3">
        <f t="shared" si="118"/>
        <v>0</v>
      </c>
      <c r="FX117" s="3">
        <f t="shared" si="118"/>
        <v>0</v>
      </c>
      <c r="FY117" s="3">
        <f t="shared" si="118"/>
        <v>0</v>
      </c>
      <c r="FZ117" s="3">
        <f t="shared" si="118"/>
        <v>0</v>
      </c>
      <c r="GA117" s="3">
        <f t="shared" si="118"/>
        <v>0</v>
      </c>
      <c r="GB117" s="3">
        <f t="shared" si="118"/>
        <v>0</v>
      </c>
      <c r="GC117" s="3">
        <f t="shared" si="118"/>
        <v>0</v>
      </c>
      <c r="GD117" s="3">
        <f t="shared" si="118"/>
        <v>0</v>
      </c>
      <c r="GE117" s="3">
        <f t="shared" si="118"/>
        <v>0</v>
      </c>
      <c r="GF117" s="3">
        <f t="shared" si="118"/>
        <v>0</v>
      </c>
      <c r="GG117" s="3">
        <f t="shared" si="118"/>
        <v>0</v>
      </c>
      <c r="GH117" s="3">
        <f t="shared" si="118"/>
        <v>0</v>
      </c>
      <c r="GI117" s="3">
        <f t="shared" si="118"/>
        <v>0</v>
      </c>
      <c r="GJ117" s="3">
        <f t="shared" si="118"/>
        <v>0</v>
      </c>
      <c r="GK117" s="3">
        <f t="shared" si="118"/>
        <v>0</v>
      </c>
      <c r="GL117" s="3">
        <f t="shared" si="118"/>
        <v>0</v>
      </c>
      <c r="GM117" s="3">
        <f t="shared" si="118"/>
        <v>0</v>
      </c>
      <c r="GN117" s="3">
        <f t="shared" si="118"/>
        <v>0</v>
      </c>
      <c r="GO117" s="3">
        <f t="shared" si="118"/>
        <v>0</v>
      </c>
      <c r="GP117" s="3">
        <f t="shared" si="118"/>
        <v>0</v>
      </c>
      <c r="GQ117" s="3">
        <f t="shared" si="118"/>
        <v>0</v>
      </c>
      <c r="GR117" s="3">
        <f t="shared" si="118"/>
        <v>0</v>
      </c>
      <c r="GS117" s="3">
        <f t="shared" si="118"/>
        <v>0</v>
      </c>
      <c r="GT117" s="3">
        <f t="shared" si="118"/>
        <v>0</v>
      </c>
      <c r="GU117" s="3">
        <f t="shared" si="118"/>
        <v>0</v>
      </c>
      <c r="GV117" s="3">
        <f t="shared" si="118"/>
        <v>0</v>
      </c>
      <c r="GW117" s="3">
        <f t="shared" si="118"/>
        <v>0</v>
      </c>
      <c r="GX117" s="3">
        <f t="shared" si="118"/>
        <v>0</v>
      </c>
    </row>
    <row r="119" spans="1:245" x14ac:dyDescent="0.2">
      <c r="A119">
        <v>17</v>
      </c>
      <c r="B119">
        <v>1</v>
      </c>
      <c r="C119">
        <f>ROW(SmtRes!A101)</f>
        <v>101</v>
      </c>
      <c r="D119">
        <f>ROW(EtalonRes!A101)</f>
        <v>101</v>
      </c>
      <c r="E119" t="s">
        <v>152</v>
      </c>
      <c r="F119" t="s">
        <v>153</v>
      </c>
      <c r="G119" t="s">
        <v>154</v>
      </c>
      <c r="H119" t="s">
        <v>63</v>
      </c>
      <c r="I119">
        <v>109.6</v>
      </c>
      <c r="J119">
        <v>0</v>
      </c>
      <c r="K119">
        <v>109.6</v>
      </c>
      <c r="O119">
        <f t="shared" ref="O119:O124" si="119">ROUND(CP119,2)</f>
        <v>9729.19</v>
      </c>
      <c r="P119">
        <f t="shared" ref="P119:P124" si="120">ROUND(CQ119*I119,2)</f>
        <v>0</v>
      </c>
      <c r="Q119">
        <f t="shared" ref="Q119:Q124" si="121">ROUND(CR119*I119,2)</f>
        <v>9729.19</v>
      </c>
      <c r="R119">
        <f t="shared" ref="R119:R124" si="122">ROUND(CS119*I119,2)</f>
        <v>3122.5</v>
      </c>
      <c r="S119">
        <f t="shared" ref="S119:S124" si="123">ROUND(CT119*I119,2)</f>
        <v>0</v>
      </c>
      <c r="T119">
        <f t="shared" ref="T119:T124" si="124">ROUND(CU119*I119,2)</f>
        <v>0</v>
      </c>
      <c r="U119">
        <f t="shared" ref="U119:U124" si="125">CV119*I119</f>
        <v>0</v>
      </c>
      <c r="V119">
        <f t="shared" ref="V119:V124" si="126">CW119*I119</f>
        <v>0</v>
      </c>
      <c r="W119">
        <f t="shared" ref="W119:W124" si="127">ROUND(CX119*I119,2)</f>
        <v>0</v>
      </c>
      <c r="X119">
        <f t="shared" ref="X119:Y124" si="128">ROUND(CY119,2)</f>
        <v>0</v>
      </c>
      <c r="Y119">
        <f t="shared" si="128"/>
        <v>0</v>
      </c>
      <c r="AA119">
        <v>36602762</v>
      </c>
      <c r="AB119">
        <f t="shared" ref="AB119:AB124" si="129">ROUND((AC119+AD119+AF119),6)</f>
        <v>88.77</v>
      </c>
      <c r="AC119">
        <f>ROUND((ES119),6)</f>
        <v>0</v>
      </c>
      <c r="AD119">
        <f>ROUND((((ET119)-(EU119))+AE119),6)</f>
        <v>88.77</v>
      </c>
      <c r="AE119">
        <f>ROUND((EU119),6)</f>
        <v>28.49</v>
      </c>
      <c r="AF119">
        <f>ROUND((EV119),6)</f>
        <v>0</v>
      </c>
      <c r="AG119">
        <f t="shared" ref="AG119:AG124" si="130">ROUND((AP119),6)</f>
        <v>0</v>
      </c>
      <c r="AH119">
        <f>(EW119)</f>
        <v>0</v>
      </c>
      <c r="AI119">
        <f>(EX119)</f>
        <v>0</v>
      </c>
      <c r="AJ119">
        <f t="shared" ref="AJ119:AJ124" si="131">(AS119)</f>
        <v>0</v>
      </c>
      <c r="AK119">
        <v>88.77</v>
      </c>
      <c r="AL119">
        <v>0</v>
      </c>
      <c r="AM119">
        <v>88.77</v>
      </c>
      <c r="AN119">
        <v>28.49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70</v>
      </c>
      <c r="AU119">
        <v>10</v>
      </c>
      <c r="AV119">
        <v>1</v>
      </c>
      <c r="AW119">
        <v>1</v>
      </c>
      <c r="AZ119">
        <v>1</v>
      </c>
      <c r="BA119">
        <v>1</v>
      </c>
      <c r="BB119">
        <v>1</v>
      </c>
      <c r="BC119">
        <v>1</v>
      </c>
      <c r="BD119" t="s">
        <v>3</v>
      </c>
      <c r="BE119" t="s">
        <v>3</v>
      </c>
      <c r="BF119" t="s">
        <v>3</v>
      </c>
      <c r="BG119" t="s">
        <v>3</v>
      </c>
      <c r="BH119">
        <v>0</v>
      </c>
      <c r="BI119">
        <v>4</v>
      </c>
      <c r="BJ119" t="s">
        <v>155</v>
      </c>
      <c r="BM119">
        <v>0</v>
      </c>
      <c r="BN119">
        <v>0</v>
      </c>
      <c r="BO119" t="s">
        <v>3</v>
      </c>
      <c r="BP119">
        <v>0</v>
      </c>
      <c r="BQ119">
        <v>1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 t="s">
        <v>3</v>
      </c>
      <c r="BZ119">
        <v>70</v>
      </c>
      <c r="CA119">
        <v>10</v>
      </c>
      <c r="CB119" t="s">
        <v>3</v>
      </c>
      <c r="CE119">
        <v>0</v>
      </c>
      <c r="CF119">
        <v>0</v>
      </c>
      <c r="CG119">
        <v>0</v>
      </c>
      <c r="CM119">
        <v>0</v>
      </c>
      <c r="CN119" t="s">
        <v>3</v>
      </c>
      <c r="CO119">
        <v>0</v>
      </c>
      <c r="CP119">
        <f t="shared" ref="CP119:CP124" si="132">(P119+Q119+S119)</f>
        <v>9729.19</v>
      </c>
      <c r="CQ119">
        <f t="shared" ref="CQ119:CQ124" si="133">(AC119*BC119*AW119)</f>
        <v>0</v>
      </c>
      <c r="CR119">
        <f>((((ET119)*BB119-(EU119)*BS119)+AE119*BS119)*AV119)</f>
        <v>88.77</v>
      </c>
      <c r="CS119">
        <f t="shared" ref="CS119:CS124" si="134">(AE119*BS119*AV119)</f>
        <v>28.49</v>
      </c>
      <c r="CT119">
        <f t="shared" ref="CT119:CT124" si="135">(AF119*BA119*AV119)</f>
        <v>0</v>
      </c>
      <c r="CU119">
        <f t="shared" ref="CU119:CU124" si="136">AG119</f>
        <v>0</v>
      </c>
      <c r="CV119">
        <f t="shared" ref="CV119:CV124" si="137">(AH119*AV119)</f>
        <v>0</v>
      </c>
      <c r="CW119">
        <f t="shared" ref="CW119:CX124" si="138">AI119</f>
        <v>0</v>
      </c>
      <c r="CX119">
        <f t="shared" si="138"/>
        <v>0</v>
      </c>
      <c r="CY119">
        <f t="shared" ref="CY119:CY124" si="139">((S119*BZ119)/100)</f>
        <v>0</v>
      </c>
      <c r="CZ119">
        <f t="shared" ref="CZ119:CZ124" si="140">((S119*CA119)/100)</f>
        <v>0</v>
      </c>
      <c r="DC119" t="s">
        <v>3</v>
      </c>
      <c r="DD119" t="s">
        <v>3</v>
      </c>
      <c r="DE119" t="s">
        <v>3</v>
      </c>
      <c r="DF119" t="s">
        <v>3</v>
      </c>
      <c r="DG119" t="s">
        <v>3</v>
      </c>
      <c r="DH119" t="s">
        <v>3</v>
      </c>
      <c r="DI119" t="s">
        <v>3</v>
      </c>
      <c r="DJ119" t="s">
        <v>3</v>
      </c>
      <c r="DK119" t="s">
        <v>3</v>
      </c>
      <c r="DL119" t="s">
        <v>3</v>
      </c>
      <c r="DM119" t="s">
        <v>3</v>
      </c>
      <c r="DN119">
        <v>0</v>
      </c>
      <c r="DO119">
        <v>0</v>
      </c>
      <c r="DP119">
        <v>1</v>
      </c>
      <c r="DQ119">
        <v>1</v>
      </c>
      <c r="DU119">
        <v>1009</v>
      </c>
      <c r="DV119" t="s">
        <v>63</v>
      </c>
      <c r="DW119" t="s">
        <v>63</v>
      </c>
      <c r="DX119">
        <v>1000</v>
      </c>
      <c r="DZ119" t="s">
        <v>3</v>
      </c>
      <c r="EA119" t="s">
        <v>3</v>
      </c>
      <c r="EB119" t="s">
        <v>3</v>
      </c>
      <c r="EC119" t="s">
        <v>3</v>
      </c>
      <c r="EE119">
        <v>36274424</v>
      </c>
      <c r="EF119">
        <v>1</v>
      </c>
      <c r="EG119" t="s">
        <v>21</v>
      </c>
      <c r="EH119">
        <v>0</v>
      </c>
      <c r="EI119" t="s">
        <v>3</v>
      </c>
      <c r="EJ119">
        <v>4</v>
      </c>
      <c r="EK119">
        <v>0</v>
      </c>
      <c r="EL119" t="s">
        <v>22</v>
      </c>
      <c r="EM119" t="s">
        <v>23</v>
      </c>
      <c r="EO119" t="s">
        <v>3</v>
      </c>
      <c r="EQ119">
        <v>0</v>
      </c>
      <c r="ER119">
        <v>88.77</v>
      </c>
      <c r="ES119">
        <v>0</v>
      </c>
      <c r="ET119">
        <v>88.77</v>
      </c>
      <c r="EU119">
        <v>28.49</v>
      </c>
      <c r="EV119">
        <v>0</v>
      </c>
      <c r="EW119">
        <v>0</v>
      </c>
      <c r="EX119">
        <v>0</v>
      </c>
      <c r="EY119">
        <v>0</v>
      </c>
      <c r="FQ119">
        <v>0</v>
      </c>
      <c r="FR119">
        <f t="shared" ref="FR119:FR124" si="141">ROUND(IF(AND(BH119=3,BI119=3),P119,0),2)</f>
        <v>0</v>
      </c>
      <c r="FS119">
        <v>0</v>
      </c>
      <c r="FX119">
        <v>70</v>
      </c>
      <c r="FY119">
        <v>10</v>
      </c>
      <c r="GA119" t="s">
        <v>3</v>
      </c>
      <c r="GD119">
        <v>0</v>
      </c>
      <c r="GF119">
        <v>-255150537</v>
      </c>
      <c r="GG119">
        <v>2</v>
      </c>
      <c r="GH119">
        <v>1</v>
      </c>
      <c r="GI119">
        <v>-2</v>
      </c>
      <c r="GJ119">
        <v>0</v>
      </c>
      <c r="GK119">
        <f>ROUND(R119*(R12)/100,2)</f>
        <v>3372.3</v>
      </c>
      <c r="GL119">
        <f t="shared" ref="GL119:GL124" si="142">ROUND(IF(AND(BH119=3,BI119=3,FS119&lt;&gt;0),P119,0),2)</f>
        <v>0</v>
      </c>
      <c r="GM119">
        <f>ROUND(O119+X119+Y119+GK119,2)+GX119</f>
        <v>13101.49</v>
      </c>
      <c r="GN119">
        <f>IF(OR(BI119=0,BI119=1),ROUND(O119+X119+Y119+GK119,2),0)</f>
        <v>0</v>
      </c>
      <c r="GO119">
        <f>IF(BI119=2,ROUND(O119+X119+Y119+GK119,2),0)</f>
        <v>0</v>
      </c>
      <c r="GP119">
        <f>IF(BI119=4,ROUND(O119+X119+Y119+GK119,2)+GX119,0)</f>
        <v>13101.49</v>
      </c>
      <c r="GR119">
        <v>0</v>
      </c>
      <c r="GS119">
        <v>3</v>
      </c>
      <c r="GT119">
        <v>0</v>
      </c>
      <c r="GU119" t="s">
        <v>3</v>
      </c>
      <c r="GV119">
        <f t="shared" ref="GV119:GV124" si="143">ROUND((GT119),6)</f>
        <v>0</v>
      </c>
      <c r="GW119">
        <v>1</v>
      </c>
      <c r="GX119">
        <f t="shared" ref="GX119:GX124" si="144">ROUND(HC119*I119,2)</f>
        <v>0</v>
      </c>
      <c r="HA119">
        <v>0</v>
      </c>
      <c r="HB119">
        <v>0</v>
      </c>
      <c r="HC119">
        <f t="shared" ref="HC119:HC124" si="145">GV119*GW119</f>
        <v>0</v>
      </c>
      <c r="HE119" t="s">
        <v>3</v>
      </c>
      <c r="HF119" t="s">
        <v>3</v>
      </c>
      <c r="HM119" t="s">
        <v>3</v>
      </c>
      <c r="HN119" t="s">
        <v>3</v>
      </c>
      <c r="HO119" t="s">
        <v>3</v>
      </c>
      <c r="HP119" t="s">
        <v>3</v>
      </c>
      <c r="HQ119" t="s">
        <v>3</v>
      </c>
      <c r="IK119">
        <v>0</v>
      </c>
    </row>
    <row r="120" spans="1:245" x14ac:dyDescent="0.2">
      <c r="A120">
        <v>17</v>
      </c>
      <c r="B120">
        <v>1</v>
      </c>
      <c r="C120">
        <f>ROW(SmtRes!A102)</f>
        <v>102</v>
      </c>
      <c r="D120">
        <f>ROW(EtalonRes!A102)</f>
        <v>102</v>
      </c>
      <c r="E120" t="s">
        <v>156</v>
      </c>
      <c r="F120" t="s">
        <v>157</v>
      </c>
      <c r="G120" t="s">
        <v>158</v>
      </c>
      <c r="H120" t="s">
        <v>63</v>
      </c>
      <c r="I120">
        <v>109.6</v>
      </c>
      <c r="J120">
        <v>0</v>
      </c>
      <c r="K120">
        <v>109.6</v>
      </c>
      <c r="O120">
        <f t="shared" si="119"/>
        <v>7020.98</v>
      </c>
      <c r="P120">
        <f t="shared" si="120"/>
        <v>0</v>
      </c>
      <c r="Q120">
        <f t="shared" si="121"/>
        <v>7020.98</v>
      </c>
      <c r="R120">
        <f t="shared" si="122"/>
        <v>3700.1</v>
      </c>
      <c r="S120">
        <f t="shared" si="123"/>
        <v>0</v>
      </c>
      <c r="T120">
        <f t="shared" si="124"/>
        <v>0</v>
      </c>
      <c r="U120">
        <f t="shared" si="125"/>
        <v>0</v>
      </c>
      <c r="V120">
        <f t="shared" si="126"/>
        <v>0</v>
      </c>
      <c r="W120">
        <f t="shared" si="127"/>
        <v>0</v>
      </c>
      <c r="X120">
        <f t="shared" si="128"/>
        <v>0</v>
      </c>
      <c r="Y120">
        <f t="shared" si="128"/>
        <v>0</v>
      </c>
      <c r="AA120">
        <v>36602762</v>
      </c>
      <c r="AB120">
        <f t="shared" si="129"/>
        <v>64.06</v>
      </c>
      <c r="AC120">
        <f>ROUND((ES120),6)</f>
        <v>0</v>
      </c>
      <c r="AD120">
        <f>ROUND((((ET120)-(EU120))+AE120),6)</f>
        <v>64.06</v>
      </c>
      <c r="AE120">
        <f>ROUND((EU120),6)</f>
        <v>33.76</v>
      </c>
      <c r="AF120">
        <f>ROUND((EV120),6)</f>
        <v>0</v>
      </c>
      <c r="AG120">
        <f t="shared" si="130"/>
        <v>0</v>
      </c>
      <c r="AH120">
        <f>(EW120)</f>
        <v>0</v>
      </c>
      <c r="AI120">
        <f>(EX120)</f>
        <v>0</v>
      </c>
      <c r="AJ120">
        <f t="shared" si="131"/>
        <v>0</v>
      </c>
      <c r="AK120">
        <v>64.06</v>
      </c>
      <c r="AL120">
        <v>0</v>
      </c>
      <c r="AM120">
        <v>64.06</v>
      </c>
      <c r="AN120">
        <v>33.76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Z120">
        <v>1</v>
      </c>
      <c r="BA120">
        <v>1</v>
      </c>
      <c r="BB120">
        <v>1</v>
      </c>
      <c r="BC120">
        <v>1</v>
      </c>
      <c r="BD120" t="s">
        <v>3</v>
      </c>
      <c r="BE120" t="s">
        <v>3</v>
      </c>
      <c r="BF120" t="s">
        <v>3</v>
      </c>
      <c r="BG120" t="s">
        <v>3</v>
      </c>
      <c r="BH120">
        <v>0</v>
      </c>
      <c r="BI120">
        <v>4</v>
      </c>
      <c r="BJ120" t="s">
        <v>159</v>
      </c>
      <c r="BM120">
        <v>1</v>
      </c>
      <c r="BN120">
        <v>0</v>
      </c>
      <c r="BO120" t="s">
        <v>3</v>
      </c>
      <c r="BP120">
        <v>0</v>
      </c>
      <c r="BQ120">
        <v>1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 t="s">
        <v>3</v>
      </c>
      <c r="BZ120">
        <v>0</v>
      </c>
      <c r="CA120">
        <v>0</v>
      </c>
      <c r="CB120" t="s">
        <v>3</v>
      </c>
      <c r="CE120">
        <v>0</v>
      </c>
      <c r="CF120">
        <v>0</v>
      </c>
      <c r="CG120">
        <v>0</v>
      </c>
      <c r="CM120">
        <v>0</v>
      </c>
      <c r="CN120" t="s">
        <v>3</v>
      </c>
      <c r="CO120">
        <v>0</v>
      </c>
      <c r="CP120">
        <f t="shared" si="132"/>
        <v>7020.98</v>
      </c>
      <c r="CQ120">
        <f t="shared" si="133"/>
        <v>0</v>
      </c>
      <c r="CR120">
        <f>((((ET120)*BB120-(EU120)*BS120)+AE120*BS120)*AV120)</f>
        <v>64.06</v>
      </c>
      <c r="CS120">
        <f t="shared" si="134"/>
        <v>33.76</v>
      </c>
      <c r="CT120">
        <f t="shared" si="135"/>
        <v>0</v>
      </c>
      <c r="CU120">
        <f t="shared" si="136"/>
        <v>0</v>
      </c>
      <c r="CV120">
        <f t="shared" si="137"/>
        <v>0</v>
      </c>
      <c r="CW120">
        <f t="shared" si="138"/>
        <v>0</v>
      </c>
      <c r="CX120">
        <f t="shared" si="138"/>
        <v>0</v>
      </c>
      <c r="CY120">
        <f t="shared" si="139"/>
        <v>0</v>
      </c>
      <c r="CZ120">
        <f t="shared" si="140"/>
        <v>0</v>
      </c>
      <c r="DC120" t="s">
        <v>3</v>
      </c>
      <c r="DD120" t="s">
        <v>3</v>
      </c>
      <c r="DE120" t="s">
        <v>3</v>
      </c>
      <c r="DF120" t="s">
        <v>3</v>
      </c>
      <c r="DG120" t="s">
        <v>3</v>
      </c>
      <c r="DH120" t="s">
        <v>3</v>
      </c>
      <c r="DI120" t="s">
        <v>3</v>
      </c>
      <c r="DJ120" t="s">
        <v>3</v>
      </c>
      <c r="DK120" t="s">
        <v>3</v>
      </c>
      <c r="DL120" t="s">
        <v>3</v>
      </c>
      <c r="DM120" t="s">
        <v>3</v>
      </c>
      <c r="DN120">
        <v>0</v>
      </c>
      <c r="DO120">
        <v>0</v>
      </c>
      <c r="DP120">
        <v>1</v>
      </c>
      <c r="DQ120">
        <v>1</v>
      </c>
      <c r="DU120">
        <v>1009</v>
      </c>
      <c r="DV120" t="s">
        <v>63</v>
      </c>
      <c r="DW120" t="s">
        <v>63</v>
      </c>
      <c r="DX120">
        <v>1000</v>
      </c>
      <c r="DZ120" t="s">
        <v>3</v>
      </c>
      <c r="EA120" t="s">
        <v>3</v>
      </c>
      <c r="EB120" t="s">
        <v>3</v>
      </c>
      <c r="EC120" t="s">
        <v>3</v>
      </c>
      <c r="EE120">
        <v>36274426</v>
      </c>
      <c r="EF120">
        <v>1</v>
      </c>
      <c r="EG120" t="s">
        <v>21</v>
      </c>
      <c r="EH120">
        <v>0</v>
      </c>
      <c r="EI120" t="s">
        <v>3</v>
      </c>
      <c r="EJ120">
        <v>4</v>
      </c>
      <c r="EK120">
        <v>1</v>
      </c>
      <c r="EL120" t="s">
        <v>160</v>
      </c>
      <c r="EM120" t="s">
        <v>23</v>
      </c>
      <c r="EO120" t="s">
        <v>3</v>
      </c>
      <c r="EQ120">
        <v>0</v>
      </c>
      <c r="ER120">
        <v>64.06</v>
      </c>
      <c r="ES120">
        <v>0</v>
      </c>
      <c r="ET120">
        <v>64.06</v>
      </c>
      <c r="EU120">
        <v>33.76</v>
      </c>
      <c r="EV120">
        <v>0</v>
      </c>
      <c r="EW120">
        <v>0</v>
      </c>
      <c r="EX120">
        <v>0</v>
      </c>
      <c r="EY120">
        <v>0</v>
      </c>
      <c r="FQ120">
        <v>0</v>
      </c>
      <c r="FR120">
        <f t="shared" si="141"/>
        <v>0</v>
      </c>
      <c r="FS120">
        <v>0</v>
      </c>
      <c r="FX120">
        <v>0</v>
      </c>
      <c r="FY120">
        <v>0</v>
      </c>
      <c r="GA120" t="s">
        <v>3</v>
      </c>
      <c r="GD120">
        <v>1</v>
      </c>
      <c r="GF120">
        <v>2020245581</v>
      </c>
      <c r="GG120">
        <v>2</v>
      </c>
      <c r="GH120">
        <v>1</v>
      </c>
      <c r="GI120">
        <v>-2</v>
      </c>
      <c r="GJ120">
        <v>0</v>
      </c>
      <c r="GK120">
        <v>0</v>
      </c>
      <c r="GL120">
        <f t="shared" si="142"/>
        <v>0</v>
      </c>
      <c r="GM120">
        <f>ROUND(O120+X120+Y120,2)+GX120</f>
        <v>7020.98</v>
      </c>
      <c r="GN120">
        <f>IF(OR(BI120=0,BI120=1),ROUND(O120+X120+Y120,2),0)</f>
        <v>0</v>
      </c>
      <c r="GO120">
        <f>IF(BI120=2,ROUND(O120+X120+Y120,2),0)</f>
        <v>0</v>
      </c>
      <c r="GP120">
        <f>IF(BI120=4,ROUND(O120+X120+Y120,2)+GX120,0)</f>
        <v>7020.98</v>
      </c>
      <c r="GR120">
        <v>0</v>
      </c>
      <c r="GS120">
        <v>3</v>
      </c>
      <c r="GT120">
        <v>0</v>
      </c>
      <c r="GU120" t="s">
        <v>3</v>
      </c>
      <c r="GV120">
        <f t="shared" si="143"/>
        <v>0</v>
      </c>
      <c r="GW120">
        <v>1</v>
      </c>
      <c r="GX120">
        <f t="shared" si="144"/>
        <v>0</v>
      </c>
      <c r="HA120">
        <v>0</v>
      </c>
      <c r="HB120">
        <v>0</v>
      </c>
      <c r="HC120">
        <f t="shared" si="145"/>
        <v>0</v>
      </c>
      <c r="HE120" t="s">
        <v>3</v>
      </c>
      <c r="HF120" t="s">
        <v>3</v>
      </c>
      <c r="HM120" t="s">
        <v>3</v>
      </c>
      <c r="HN120" t="s">
        <v>3</v>
      </c>
      <c r="HO120" t="s">
        <v>3</v>
      </c>
      <c r="HP120" t="s">
        <v>3</v>
      </c>
      <c r="HQ120" t="s">
        <v>3</v>
      </c>
      <c r="IK120">
        <v>0</v>
      </c>
    </row>
    <row r="121" spans="1:245" x14ac:dyDescent="0.2">
      <c r="A121">
        <v>17</v>
      </c>
      <c r="B121">
        <v>1</v>
      </c>
      <c r="C121">
        <f>ROW(SmtRes!A103)</f>
        <v>103</v>
      </c>
      <c r="D121">
        <f>ROW(EtalonRes!A103)</f>
        <v>103</v>
      </c>
      <c r="E121" t="s">
        <v>161</v>
      </c>
      <c r="F121" t="s">
        <v>162</v>
      </c>
      <c r="G121" t="s">
        <v>163</v>
      </c>
      <c r="H121" t="s">
        <v>63</v>
      </c>
      <c r="I121">
        <v>109.6</v>
      </c>
      <c r="J121">
        <v>0</v>
      </c>
      <c r="K121">
        <v>109.6</v>
      </c>
      <c r="O121">
        <f t="shared" si="119"/>
        <v>91064.45</v>
      </c>
      <c r="P121">
        <f t="shared" si="120"/>
        <v>0</v>
      </c>
      <c r="Q121">
        <f t="shared" si="121"/>
        <v>91064.45</v>
      </c>
      <c r="R121">
        <f t="shared" si="122"/>
        <v>48031.1</v>
      </c>
      <c r="S121">
        <f t="shared" si="123"/>
        <v>0</v>
      </c>
      <c r="T121">
        <f t="shared" si="124"/>
        <v>0</v>
      </c>
      <c r="U121">
        <f t="shared" si="125"/>
        <v>0</v>
      </c>
      <c r="V121">
        <f t="shared" si="126"/>
        <v>0</v>
      </c>
      <c r="W121">
        <f t="shared" si="127"/>
        <v>0</v>
      </c>
      <c r="X121">
        <f t="shared" si="128"/>
        <v>0</v>
      </c>
      <c r="Y121">
        <f t="shared" si="128"/>
        <v>0</v>
      </c>
      <c r="AA121">
        <v>36602762</v>
      </c>
      <c r="AB121">
        <f t="shared" si="129"/>
        <v>830.88</v>
      </c>
      <c r="AC121">
        <f>ROUND(((ES121*48)),6)</f>
        <v>0</v>
      </c>
      <c r="AD121">
        <f>ROUND(((((ET121*48))-((EU121*48)))+AE121),6)</f>
        <v>830.88</v>
      </c>
      <c r="AE121">
        <f>ROUND(((EU121*48)),6)</f>
        <v>438.24</v>
      </c>
      <c r="AF121">
        <f>ROUND(((EV121*48)),6)</f>
        <v>0</v>
      </c>
      <c r="AG121">
        <f t="shared" si="130"/>
        <v>0</v>
      </c>
      <c r="AH121">
        <f>((EW121*48))</f>
        <v>0</v>
      </c>
      <c r="AI121">
        <f>((EX121*48))</f>
        <v>0</v>
      </c>
      <c r="AJ121">
        <f t="shared" si="131"/>
        <v>0</v>
      </c>
      <c r="AK121">
        <v>17.309999999999999</v>
      </c>
      <c r="AL121">
        <v>0</v>
      </c>
      <c r="AM121">
        <v>17.309999999999999</v>
      </c>
      <c r="AN121">
        <v>9.1300000000000008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Z121">
        <v>1</v>
      </c>
      <c r="BA121">
        <v>1</v>
      </c>
      <c r="BB121">
        <v>1</v>
      </c>
      <c r="BC121">
        <v>1</v>
      </c>
      <c r="BD121" t="s">
        <v>3</v>
      </c>
      <c r="BE121" t="s">
        <v>3</v>
      </c>
      <c r="BF121" t="s">
        <v>3</v>
      </c>
      <c r="BG121" t="s">
        <v>3</v>
      </c>
      <c r="BH121">
        <v>0</v>
      </c>
      <c r="BI121">
        <v>4</v>
      </c>
      <c r="BJ121" t="s">
        <v>164</v>
      </c>
      <c r="BM121">
        <v>1</v>
      </c>
      <c r="BN121">
        <v>0</v>
      </c>
      <c r="BO121" t="s">
        <v>3</v>
      </c>
      <c r="BP121">
        <v>0</v>
      </c>
      <c r="BQ121">
        <v>1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 t="s">
        <v>3</v>
      </c>
      <c r="BZ121">
        <v>0</v>
      </c>
      <c r="CA121">
        <v>0</v>
      </c>
      <c r="CB121" t="s">
        <v>3</v>
      </c>
      <c r="CE121">
        <v>0</v>
      </c>
      <c r="CF121">
        <v>0</v>
      </c>
      <c r="CG121">
        <v>0</v>
      </c>
      <c r="CM121">
        <v>0</v>
      </c>
      <c r="CN121" t="s">
        <v>3</v>
      </c>
      <c r="CO121">
        <v>0</v>
      </c>
      <c r="CP121">
        <f t="shared" si="132"/>
        <v>91064.45</v>
      </c>
      <c r="CQ121">
        <f t="shared" si="133"/>
        <v>0</v>
      </c>
      <c r="CR121">
        <f>(((((ET121*48))*BB121-((EU121*48))*BS121)+AE121*BS121)*AV121)</f>
        <v>830.87999999999988</v>
      </c>
      <c r="CS121">
        <f t="shared" si="134"/>
        <v>438.24</v>
      </c>
      <c r="CT121">
        <f t="shared" si="135"/>
        <v>0</v>
      </c>
      <c r="CU121">
        <f t="shared" si="136"/>
        <v>0</v>
      </c>
      <c r="CV121">
        <f t="shared" si="137"/>
        <v>0</v>
      </c>
      <c r="CW121">
        <f t="shared" si="138"/>
        <v>0</v>
      </c>
      <c r="CX121">
        <f t="shared" si="138"/>
        <v>0</v>
      </c>
      <c r="CY121">
        <f t="shared" si="139"/>
        <v>0</v>
      </c>
      <c r="CZ121">
        <f t="shared" si="140"/>
        <v>0</v>
      </c>
      <c r="DC121" t="s">
        <v>3</v>
      </c>
      <c r="DD121" t="s">
        <v>165</v>
      </c>
      <c r="DE121" t="s">
        <v>165</v>
      </c>
      <c r="DF121" t="s">
        <v>165</v>
      </c>
      <c r="DG121" t="s">
        <v>165</v>
      </c>
      <c r="DH121" t="s">
        <v>3</v>
      </c>
      <c r="DI121" t="s">
        <v>165</v>
      </c>
      <c r="DJ121" t="s">
        <v>165</v>
      </c>
      <c r="DK121" t="s">
        <v>3</v>
      </c>
      <c r="DL121" t="s">
        <v>3</v>
      </c>
      <c r="DM121" t="s">
        <v>3</v>
      </c>
      <c r="DN121">
        <v>0</v>
      </c>
      <c r="DO121">
        <v>0</v>
      </c>
      <c r="DP121">
        <v>1</v>
      </c>
      <c r="DQ121">
        <v>1</v>
      </c>
      <c r="DU121">
        <v>1009</v>
      </c>
      <c r="DV121" t="s">
        <v>63</v>
      </c>
      <c r="DW121" t="s">
        <v>63</v>
      </c>
      <c r="DX121">
        <v>1000</v>
      </c>
      <c r="DZ121" t="s">
        <v>3</v>
      </c>
      <c r="EA121" t="s">
        <v>3</v>
      </c>
      <c r="EB121" t="s">
        <v>3</v>
      </c>
      <c r="EC121" t="s">
        <v>3</v>
      </c>
      <c r="EE121">
        <v>36274426</v>
      </c>
      <c r="EF121">
        <v>1</v>
      </c>
      <c r="EG121" t="s">
        <v>21</v>
      </c>
      <c r="EH121">
        <v>0</v>
      </c>
      <c r="EI121" t="s">
        <v>3</v>
      </c>
      <c r="EJ121">
        <v>4</v>
      </c>
      <c r="EK121">
        <v>1</v>
      </c>
      <c r="EL121" t="s">
        <v>160</v>
      </c>
      <c r="EM121" t="s">
        <v>23</v>
      </c>
      <c r="EO121" t="s">
        <v>3</v>
      </c>
      <c r="EQ121">
        <v>0</v>
      </c>
      <c r="ER121">
        <v>17.309999999999999</v>
      </c>
      <c r="ES121">
        <v>0</v>
      </c>
      <c r="ET121">
        <v>17.309999999999999</v>
      </c>
      <c r="EU121">
        <v>9.1300000000000008</v>
      </c>
      <c r="EV121">
        <v>0</v>
      </c>
      <c r="EW121">
        <v>0</v>
      </c>
      <c r="EX121">
        <v>0</v>
      </c>
      <c r="EY121">
        <v>0</v>
      </c>
      <c r="FQ121">
        <v>0</v>
      </c>
      <c r="FR121">
        <f t="shared" si="141"/>
        <v>0</v>
      </c>
      <c r="FS121">
        <v>0</v>
      </c>
      <c r="FX121">
        <v>0</v>
      </c>
      <c r="FY121">
        <v>0</v>
      </c>
      <c r="GA121" t="s">
        <v>3</v>
      </c>
      <c r="GD121">
        <v>1</v>
      </c>
      <c r="GF121">
        <v>-1145975032</v>
      </c>
      <c r="GG121">
        <v>2</v>
      </c>
      <c r="GH121">
        <v>1</v>
      </c>
      <c r="GI121">
        <v>-2</v>
      </c>
      <c r="GJ121">
        <v>0</v>
      </c>
      <c r="GK121">
        <v>0</v>
      </c>
      <c r="GL121">
        <f t="shared" si="142"/>
        <v>0</v>
      </c>
      <c r="GM121">
        <f>ROUND(O121+X121+Y121,2)+GX121</f>
        <v>91064.45</v>
      </c>
      <c r="GN121">
        <f>IF(OR(BI121=0,BI121=1),ROUND(O121+X121+Y121,2),0)</f>
        <v>0</v>
      </c>
      <c r="GO121">
        <f>IF(BI121=2,ROUND(O121+X121+Y121,2),0)</f>
        <v>0</v>
      </c>
      <c r="GP121">
        <f>IF(BI121=4,ROUND(O121+X121+Y121,2)+GX121,0)</f>
        <v>91064.45</v>
      </c>
      <c r="GR121">
        <v>0</v>
      </c>
      <c r="GS121">
        <v>3</v>
      </c>
      <c r="GT121">
        <v>0</v>
      </c>
      <c r="GU121" t="s">
        <v>3</v>
      </c>
      <c r="GV121">
        <f t="shared" si="143"/>
        <v>0</v>
      </c>
      <c r="GW121">
        <v>1</v>
      </c>
      <c r="GX121">
        <f t="shared" si="144"/>
        <v>0</v>
      </c>
      <c r="HA121">
        <v>0</v>
      </c>
      <c r="HB121">
        <v>0</v>
      </c>
      <c r="HC121">
        <f t="shared" si="145"/>
        <v>0</v>
      </c>
      <c r="HE121" t="s">
        <v>3</v>
      </c>
      <c r="HF121" t="s">
        <v>3</v>
      </c>
      <c r="HM121" t="s">
        <v>3</v>
      </c>
      <c r="HN121" t="s">
        <v>3</v>
      </c>
      <c r="HO121" t="s">
        <v>3</v>
      </c>
      <c r="HP121" t="s">
        <v>3</v>
      </c>
      <c r="HQ121" t="s">
        <v>3</v>
      </c>
      <c r="IK121">
        <v>0</v>
      </c>
    </row>
    <row r="122" spans="1:245" x14ac:dyDescent="0.2">
      <c r="A122">
        <v>17</v>
      </c>
      <c r="B122">
        <v>1</v>
      </c>
      <c r="C122">
        <f>ROW(SmtRes!A104)</f>
        <v>104</v>
      </c>
      <c r="D122">
        <f>ROW(EtalonRes!A104)</f>
        <v>104</v>
      </c>
      <c r="E122" t="s">
        <v>166</v>
      </c>
      <c r="F122" t="s">
        <v>153</v>
      </c>
      <c r="G122" t="s">
        <v>154</v>
      </c>
      <c r="H122" t="s">
        <v>63</v>
      </c>
      <c r="I122">
        <v>267.60000000000002</v>
      </c>
      <c r="J122">
        <v>0</v>
      </c>
      <c r="K122">
        <v>267.60000000000002</v>
      </c>
      <c r="O122">
        <f t="shared" si="119"/>
        <v>23754.85</v>
      </c>
      <c r="P122">
        <f t="shared" si="120"/>
        <v>0</v>
      </c>
      <c r="Q122">
        <f t="shared" si="121"/>
        <v>23754.85</v>
      </c>
      <c r="R122">
        <f t="shared" si="122"/>
        <v>7623.92</v>
      </c>
      <c r="S122">
        <f t="shared" si="123"/>
        <v>0</v>
      </c>
      <c r="T122">
        <f t="shared" si="124"/>
        <v>0</v>
      </c>
      <c r="U122">
        <f t="shared" si="125"/>
        <v>0</v>
      </c>
      <c r="V122">
        <f t="shared" si="126"/>
        <v>0</v>
      </c>
      <c r="W122">
        <f t="shared" si="127"/>
        <v>0</v>
      </c>
      <c r="X122">
        <f t="shared" si="128"/>
        <v>0</v>
      </c>
      <c r="Y122">
        <f t="shared" si="128"/>
        <v>0</v>
      </c>
      <c r="AA122">
        <v>36602762</v>
      </c>
      <c r="AB122">
        <f t="shared" si="129"/>
        <v>88.77</v>
      </c>
      <c r="AC122">
        <f>ROUND((ES122),6)</f>
        <v>0</v>
      </c>
      <c r="AD122">
        <f>ROUND((((ET122)-(EU122))+AE122),6)</f>
        <v>88.77</v>
      </c>
      <c r="AE122">
        <f>ROUND((EU122),6)</f>
        <v>28.49</v>
      </c>
      <c r="AF122">
        <f>ROUND((EV122),6)</f>
        <v>0</v>
      </c>
      <c r="AG122">
        <f t="shared" si="130"/>
        <v>0</v>
      </c>
      <c r="AH122">
        <f>(EW122)</f>
        <v>0</v>
      </c>
      <c r="AI122">
        <f>(EX122)</f>
        <v>0</v>
      </c>
      <c r="AJ122">
        <f t="shared" si="131"/>
        <v>0</v>
      </c>
      <c r="AK122">
        <v>88.77</v>
      </c>
      <c r="AL122">
        <v>0</v>
      </c>
      <c r="AM122">
        <v>88.77</v>
      </c>
      <c r="AN122">
        <v>28.49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70</v>
      </c>
      <c r="AU122">
        <v>10</v>
      </c>
      <c r="AV122">
        <v>1</v>
      </c>
      <c r="AW122">
        <v>1</v>
      </c>
      <c r="AZ122">
        <v>1</v>
      </c>
      <c r="BA122">
        <v>1</v>
      </c>
      <c r="BB122">
        <v>1</v>
      </c>
      <c r="BC122">
        <v>1</v>
      </c>
      <c r="BD122" t="s">
        <v>3</v>
      </c>
      <c r="BE122" t="s">
        <v>3</v>
      </c>
      <c r="BF122" t="s">
        <v>3</v>
      </c>
      <c r="BG122" t="s">
        <v>3</v>
      </c>
      <c r="BH122">
        <v>0</v>
      </c>
      <c r="BI122">
        <v>4</v>
      </c>
      <c r="BJ122" t="s">
        <v>155</v>
      </c>
      <c r="BM122">
        <v>0</v>
      </c>
      <c r="BN122">
        <v>0</v>
      </c>
      <c r="BO122" t="s">
        <v>3</v>
      </c>
      <c r="BP122">
        <v>0</v>
      </c>
      <c r="BQ122">
        <v>1</v>
      </c>
      <c r="BR122">
        <v>0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 t="s">
        <v>3</v>
      </c>
      <c r="BZ122">
        <v>70</v>
      </c>
      <c r="CA122">
        <v>10</v>
      </c>
      <c r="CB122" t="s">
        <v>3</v>
      </c>
      <c r="CE122">
        <v>0</v>
      </c>
      <c r="CF122">
        <v>0</v>
      </c>
      <c r="CG122">
        <v>0</v>
      </c>
      <c r="CM122">
        <v>0</v>
      </c>
      <c r="CN122" t="s">
        <v>3</v>
      </c>
      <c r="CO122">
        <v>0</v>
      </c>
      <c r="CP122">
        <f t="shared" si="132"/>
        <v>23754.85</v>
      </c>
      <c r="CQ122">
        <f t="shared" si="133"/>
        <v>0</v>
      </c>
      <c r="CR122">
        <f>((((ET122)*BB122-(EU122)*BS122)+AE122*BS122)*AV122)</f>
        <v>88.77</v>
      </c>
      <c r="CS122">
        <f t="shared" si="134"/>
        <v>28.49</v>
      </c>
      <c r="CT122">
        <f t="shared" si="135"/>
        <v>0</v>
      </c>
      <c r="CU122">
        <f t="shared" si="136"/>
        <v>0</v>
      </c>
      <c r="CV122">
        <f t="shared" si="137"/>
        <v>0</v>
      </c>
      <c r="CW122">
        <f t="shared" si="138"/>
        <v>0</v>
      </c>
      <c r="CX122">
        <f t="shared" si="138"/>
        <v>0</v>
      </c>
      <c r="CY122">
        <f t="shared" si="139"/>
        <v>0</v>
      </c>
      <c r="CZ122">
        <f t="shared" si="140"/>
        <v>0</v>
      </c>
      <c r="DC122" t="s">
        <v>3</v>
      </c>
      <c r="DD122" t="s">
        <v>3</v>
      </c>
      <c r="DE122" t="s">
        <v>3</v>
      </c>
      <c r="DF122" t="s">
        <v>3</v>
      </c>
      <c r="DG122" t="s">
        <v>3</v>
      </c>
      <c r="DH122" t="s">
        <v>3</v>
      </c>
      <c r="DI122" t="s">
        <v>3</v>
      </c>
      <c r="DJ122" t="s">
        <v>3</v>
      </c>
      <c r="DK122" t="s">
        <v>3</v>
      </c>
      <c r="DL122" t="s">
        <v>3</v>
      </c>
      <c r="DM122" t="s">
        <v>3</v>
      </c>
      <c r="DN122">
        <v>0</v>
      </c>
      <c r="DO122">
        <v>0</v>
      </c>
      <c r="DP122">
        <v>1</v>
      </c>
      <c r="DQ122">
        <v>1</v>
      </c>
      <c r="DU122">
        <v>1009</v>
      </c>
      <c r="DV122" t="s">
        <v>63</v>
      </c>
      <c r="DW122" t="s">
        <v>63</v>
      </c>
      <c r="DX122">
        <v>1000</v>
      </c>
      <c r="DZ122" t="s">
        <v>3</v>
      </c>
      <c r="EA122" t="s">
        <v>3</v>
      </c>
      <c r="EB122" t="s">
        <v>3</v>
      </c>
      <c r="EC122" t="s">
        <v>3</v>
      </c>
      <c r="EE122">
        <v>36274424</v>
      </c>
      <c r="EF122">
        <v>1</v>
      </c>
      <c r="EG122" t="s">
        <v>21</v>
      </c>
      <c r="EH122">
        <v>0</v>
      </c>
      <c r="EI122" t="s">
        <v>3</v>
      </c>
      <c r="EJ122">
        <v>4</v>
      </c>
      <c r="EK122">
        <v>0</v>
      </c>
      <c r="EL122" t="s">
        <v>22</v>
      </c>
      <c r="EM122" t="s">
        <v>23</v>
      </c>
      <c r="EO122" t="s">
        <v>3</v>
      </c>
      <c r="EQ122">
        <v>0</v>
      </c>
      <c r="ER122">
        <v>88.77</v>
      </c>
      <c r="ES122">
        <v>0</v>
      </c>
      <c r="ET122">
        <v>88.77</v>
      </c>
      <c r="EU122">
        <v>28.49</v>
      </c>
      <c r="EV122">
        <v>0</v>
      </c>
      <c r="EW122">
        <v>0</v>
      </c>
      <c r="EX122">
        <v>0</v>
      </c>
      <c r="EY122">
        <v>0</v>
      </c>
      <c r="FQ122">
        <v>0</v>
      </c>
      <c r="FR122">
        <f t="shared" si="141"/>
        <v>0</v>
      </c>
      <c r="FS122">
        <v>0</v>
      </c>
      <c r="FX122">
        <v>70</v>
      </c>
      <c r="FY122">
        <v>10</v>
      </c>
      <c r="GA122" t="s">
        <v>3</v>
      </c>
      <c r="GD122">
        <v>0</v>
      </c>
      <c r="GF122">
        <v>-255150537</v>
      </c>
      <c r="GG122">
        <v>2</v>
      </c>
      <c r="GH122">
        <v>1</v>
      </c>
      <c r="GI122">
        <v>-2</v>
      </c>
      <c r="GJ122">
        <v>0</v>
      </c>
      <c r="GK122">
        <f>ROUND(R122*(R12)/100,2)</f>
        <v>8233.83</v>
      </c>
      <c r="GL122">
        <f t="shared" si="142"/>
        <v>0</v>
      </c>
      <c r="GM122">
        <f>ROUND(O122+X122+Y122+GK122,2)+GX122</f>
        <v>31988.68</v>
      </c>
      <c r="GN122">
        <f>IF(OR(BI122=0,BI122=1),ROUND(O122+X122+Y122+GK122,2),0)</f>
        <v>0</v>
      </c>
      <c r="GO122">
        <f>IF(BI122=2,ROUND(O122+X122+Y122+GK122,2),0)</f>
        <v>0</v>
      </c>
      <c r="GP122">
        <f>IF(BI122=4,ROUND(O122+X122+Y122+GK122,2)+GX122,0)</f>
        <v>31988.68</v>
      </c>
      <c r="GR122">
        <v>0</v>
      </c>
      <c r="GS122">
        <v>3</v>
      </c>
      <c r="GT122">
        <v>0</v>
      </c>
      <c r="GU122" t="s">
        <v>3</v>
      </c>
      <c r="GV122">
        <f t="shared" si="143"/>
        <v>0</v>
      </c>
      <c r="GW122">
        <v>1</v>
      </c>
      <c r="GX122">
        <f t="shared" si="144"/>
        <v>0</v>
      </c>
      <c r="HA122">
        <v>0</v>
      </c>
      <c r="HB122">
        <v>0</v>
      </c>
      <c r="HC122">
        <f t="shared" si="145"/>
        <v>0</v>
      </c>
      <c r="HE122" t="s">
        <v>3</v>
      </c>
      <c r="HF122" t="s">
        <v>3</v>
      </c>
      <c r="HM122" t="s">
        <v>3</v>
      </c>
      <c r="HN122" t="s">
        <v>3</v>
      </c>
      <c r="HO122" t="s">
        <v>3</v>
      </c>
      <c r="HP122" t="s">
        <v>3</v>
      </c>
      <c r="HQ122" t="s">
        <v>3</v>
      </c>
      <c r="IK122">
        <v>0</v>
      </c>
    </row>
    <row r="123" spans="1:245" x14ac:dyDescent="0.2">
      <c r="A123">
        <v>17</v>
      </c>
      <c r="B123">
        <v>1</v>
      </c>
      <c r="C123">
        <f>ROW(SmtRes!A106)</f>
        <v>106</v>
      </c>
      <c r="D123">
        <f>ROW(EtalonRes!A106)</f>
        <v>106</v>
      </c>
      <c r="E123" t="s">
        <v>167</v>
      </c>
      <c r="F123" t="s">
        <v>168</v>
      </c>
      <c r="G123" t="s">
        <v>169</v>
      </c>
      <c r="H123" t="s">
        <v>63</v>
      </c>
      <c r="I123">
        <v>267.60000000000002</v>
      </c>
      <c r="J123">
        <v>0</v>
      </c>
      <c r="K123">
        <v>267.60000000000002</v>
      </c>
      <c r="O123">
        <f t="shared" si="119"/>
        <v>17493.009999999998</v>
      </c>
      <c r="P123">
        <f t="shared" si="120"/>
        <v>0</v>
      </c>
      <c r="Q123">
        <f t="shared" si="121"/>
        <v>17493.009999999998</v>
      </c>
      <c r="R123">
        <f t="shared" si="122"/>
        <v>9275.02</v>
      </c>
      <c r="S123">
        <f t="shared" si="123"/>
        <v>0</v>
      </c>
      <c r="T123">
        <f t="shared" si="124"/>
        <v>0</v>
      </c>
      <c r="U123">
        <f t="shared" si="125"/>
        <v>0</v>
      </c>
      <c r="V123">
        <f t="shared" si="126"/>
        <v>0</v>
      </c>
      <c r="W123">
        <f t="shared" si="127"/>
        <v>0</v>
      </c>
      <c r="X123">
        <f t="shared" si="128"/>
        <v>0</v>
      </c>
      <c r="Y123">
        <f t="shared" si="128"/>
        <v>0</v>
      </c>
      <c r="AA123">
        <v>36602762</v>
      </c>
      <c r="AB123">
        <f t="shared" si="129"/>
        <v>65.37</v>
      </c>
      <c r="AC123">
        <f>ROUND((ES123),6)</f>
        <v>0</v>
      </c>
      <c r="AD123">
        <f>ROUND((((ET123)-(EU123))+AE123),6)</f>
        <v>65.37</v>
      </c>
      <c r="AE123">
        <f>ROUND((EU123),6)</f>
        <v>34.659999999999997</v>
      </c>
      <c r="AF123">
        <f>ROUND((EV123),6)</f>
        <v>0</v>
      </c>
      <c r="AG123">
        <f t="shared" si="130"/>
        <v>0</v>
      </c>
      <c r="AH123">
        <f>(EW123)</f>
        <v>0</v>
      </c>
      <c r="AI123">
        <f>(EX123)</f>
        <v>0</v>
      </c>
      <c r="AJ123">
        <f t="shared" si="131"/>
        <v>0</v>
      </c>
      <c r="AK123">
        <v>65.37</v>
      </c>
      <c r="AL123">
        <v>0</v>
      </c>
      <c r="AM123">
        <v>65.37</v>
      </c>
      <c r="AN123">
        <v>34.659999999999997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Z123">
        <v>1</v>
      </c>
      <c r="BA123">
        <v>1</v>
      </c>
      <c r="BB123">
        <v>1</v>
      </c>
      <c r="BC123">
        <v>1</v>
      </c>
      <c r="BD123" t="s">
        <v>3</v>
      </c>
      <c r="BE123" t="s">
        <v>3</v>
      </c>
      <c r="BF123" t="s">
        <v>3</v>
      </c>
      <c r="BG123" t="s">
        <v>3</v>
      </c>
      <c r="BH123">
        <v>0</v>
      </c>
      <c r="BI123">
        <v>4</v>
      </c>
      <c r="BJ123" t="s">
        <v>170</v>
      </c>
      <c r="BM123">
        <v>1</v>
      </c>
      <c r="BN123">
        <v>0</v>
      </c>
      <c r="BO123" t="s">
        <v>3</v>
      </c>
      <c r="BP123">
        <v>0</v>
      </c>
      <c r="BQ123">
        <v>1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 t="s">
        <v>3</v>
      </c>
      <c r="BZ123">
        <v>0</v>
      </c>
      <c r="CA123">
        <v>0</v>
      </c>
      <c r="CB123" t="s">
        <v>3</v>
      </c>
      <c r="CE123">
        <v>0</v>
      </c>
      <c r="CF123">
        <v>0</v>
      </c>
      <c r="CG123">
        <v>0</v>
      </c>
      <c r="CM123">
        <v>0</v>
      </c>
      <c r="CN123" t="s">
        <v>3</v>
      </c>
      <c r="CO123">
        <v>0</v>
      </c>
      <c r="CP123">
        <f t="shared" si="132"/>
        <v>17493.009999999998</v>
      </c>
      <c r="CQ123">
        <f t="shared" si="133"/>
        <v>0</v>
      </c>
      <c r="CR123">
        <f>((((ET123)*BB123-(EU123)*BS123)+AE123*BS123)*AV123)</f>
        <v>65.37</v>
      </c>
      <c r="CS123">
        <f t="shared" si="134"/>
        <v>34.659999999999997</v>
      </c>
      <c r="CT123">
        <f t="shared" si="135"/>
        <v>0</v>
      </c>
      <c r="CU123">
        <f t="shared" si="136"/>
        <v>0</v>
      </c>
      <c r="CV123">
        <f t="shared" si="137"/>
        <v>0</v>
      </c>
      <c r="CW123">
        <f t="shared" si="138"/>
        <v>0</v>
      </c>
      <c r="CX123">
        <f t="shared" si="138"/>
        <v>0</v>
      </c>
      <c r="CY123">
        <f t="shared" si="139"/>
        <v>0</v>
      </c>
      <c r="CZ123">
        <f t="shared" si="140"/>
        <v>0</v>
      </c>
      <c r="DC123" t="s">
        <v>3</v>
      </c>
      <c r="DD123" t="s">
        <v>3</v>
      </c>
      <c r="DE123" t="s">
        <v>3</v>
      </c>
      <c r="DF123" t="s">
        <v>3</v>
      </c>
      <c r="DG123" t="s">
        <v>3</v>
      </c>
      <c r="DH123" t="s">
        <v>3</v>
      </c>
      <c r="DI123" t="s">
        <v>3</v>
      </c>
      <c r="DJ123" t="s">
        <v>3</v>
      </c>
      <c r="DK123" t="s">
        <v>3</v>
      </c>
      <c r="DL123" t="s">
        <v>3</v>
      </c>
      <c r="DM123" t="s">
        <v>3</v>
      </c>
      <c r="DN123">
        <v>0</v>
      </c>
      <c r="DO123">
        <v>0</v>
      </c>
      <c r="DP123">
        <v>1</v>
      </c>
      <c r="DQ123">
        <v>1</v>
      </c>
      <c r="DU123">
        <v>1009</v>
      </c>
      <c r="DV123" t="s">
        <v>63</v>
      </c>
      <c r="DW123" t="s">
        <v>63</v>
      </c>
      <c r="DX123">
        <v>1000</v>
      </c>
      <c r="DZ123" t="s">
        <v>3</v>
      </c>
      <c r="EA123" t="s">
        <v>3</v>
      </c>
      <c r="EB123" t="s">
        <v>3</v>
      </c>
      <c r="EC123" t="s">
        <v>3</v>
      </c>
      <c r="EE123">
        <v>36274426</v>
      </c>
      <c r="EF123">
        <v>1</v>
      </c>
      <c r="EG123" t="s">
        <v>21</v>
      </c>
      <c r="EH123">
        <v>0</v>
      </c>
      <c r="EI123" t="s">
        <v>3</v>
      </c>
      <c r="EJ123">
        <v>4</v>
      </c>
      <c r="EK123">
        <v>1</v>
      </c>
      <c r="EL123" t="s">
        <v>160</v>
      </c>
      <c r="EM123" t="s">
        <v>23</v>
      </c>
      <c r="EO123" t="s">
        <v>3</v>
      </c>
      <c r="EQ123">
        <v>0</v>
      </c>
      <c r="ER123">
        <v>65.37</v>
      </c>
      <c r="ES123">
        <v>0</v>
      </c>
      <c r="ET123">
        <v>65.37</v>
      </c>
      <c r="EU123">
        <v>34.659999999999997</v>
      </c>
      <c r="EV123">
        <v>0</v>
      </c>
      <c r="EW123">
        <v>0</v>
      </c>
      <c r="EX123">
        <v>0</v>
      </c>
      <c r="EY123">
        <v>0</v>
      </c>
      <c r="FQ123">
        <v>0</v>
      </c>
      <c r="FR123">
        <f t="shared" si="141"/>
        <v>0</v>
      </c>
      <c r="FS123">
        <v>0</v>
      </c>
      <c r="FX123">
        <v>0</v>
      </c>
      <c r="FY123">
        <v>0</v>
      </c>
      <c r="GA123" t="s">
        <v>3</v>
      </c>
      <c r="GD123">
        <v>1</v>
      </c>
      <c r="GF123">
        <v>-1251420481</v>
      </c>
      <c r="GG123">
        <v>2</v>
      </c>
      <c r="GH123">
        <v>1</v>
      </c>
      <c r="GI123">
        <v>-2</v>
      </c>
      <c r="GJ123">
        <v>0</v>
      </c>
      <c r="GK123">
        <v>0</v>
      </c>
      <c r="GL123">
        <f t="shared" si="142"/>
        <v>0</v>
      </c>
      <c r="GM123">
        <f>ROUND(O123+X123+Y123,2)+GX123</f>
        <v>17493.009999999998</v>
      </c>
      <c r="GN123">
        <f>IF(OR(BI123=0,BI123=1),ROUND(O123+X123+Y123,2),0)</f>
        <v>0</v>
      </c>
      <c r="GO123">
        <f>IF(BI123=2,ROUND(O123+X123+Y123,2),0)</f>
        <v>0</v>
      </c>
      <c r="GP123">
        <f>IF(BI123=4,ROUND(O123+X123+Y123,2)+GX123,0)</f>
        <v>17493.009999999998</v>
      </c>
      <c r="GR123">
        <v>0</v>
      </c>
      <c r="GS123">
        <v>3</v>
      </c>
      <c r="GT123">
        <v>0</v>
      </c>
      <c r="GU123" t="s">
        <v>3</v>
      </c>
      <c r="GV123">
        <f t="shared" si="143"/>
        <v>0</v>
      </c>
      <c r="GW123">
        <v>1</v>
      </c>
      <c r="GX123">
        <f t="shared" si="144"/>
        <v>0</v>
      </c>
      <c r="HA123">
        <v>0</v>
      </c>
      <c r="HB123">
        <v>0</v>
      </c>
      <c r="HC123">
        <f t="shared" si="145"/>
        <v>0</v>
      </c>
      <c r="HE123" t="s">
        <v>3</v>
      </c>
      <c r="HF123" t="s">
        <v>3</v>
      </c>
      <c r="HM123" t="s">
        <v>3</v>
      </c>
      <c r="HN123" t="s">
        <v>3</v>
      </c>
      <c r="HO123" t="s">
        <v>3</v>
      </c>
      <c r="HP123" t="s">
        <v>3</v>
      </c>
      <c r="HQ123" t="s">
        <v>3</v>
      </c>
      <c r="IK123">
        <v>0</v>
      </c>
    </row>
    <row r="124" spans="1:245" x14ac:dyDescent="0.2">
      <c r="A124">
        <v>17</v>
      </c>
      <c r="B124">
        <v>1</v>
      </c>
      <c r="C124">
        <f>ROW(SmtRes!A108)</f>
        <v>108</v>
      </c>
      <c r="D124">
        <f>ROW(EtalonRes!A108)</f>
        <v>108</v>
      </c>
      <c r="E124" t="s">
        <v>171</v>
      </c>
      <c r="F124" t="s">
        <v>172</v>
      </c>
      <c r="G124" t="s">
        <v>173</v>
      </c>
      <c r="H124" t="s">
        <v>63</v>
      </c>
      <c r="I124">
        <v>267.60000000000002</v>
      </c>
      <c r="J124">
        <v>0</v>
      </c>
      <c r="K124">
        <v>267.60000000000002</v>
      </c>
      <c r="O124">
        <f t="shared" si="119"/>
        <v>397546.56</v>
      </c>
      <c r="P124">
        <f t="shared" si="120"/>
        <v>0</v>
      </c>
      <c r="Q124">
        <f t="shared" si="121"/>
        <v>397546.56</v>
      </c>
      <c r="R124">
        <f t="shared" si="122"/>
        <v>210911.62</v>
      </c>
      <c r="S124">
        <f t="shared" si="123"/>
        <v>0</v>
      </c>
      <c r="T124">
        <f t="shared" si="124"/>
        <v>0</v>
      </c>
      <c r="U124">
        <f t="shared" si="125"/>
        <v>0</v>
      </c>
      <c r="V124">
        <f t="shared" si="126"/>
        <v>0</v>
      </c>
      <c r="W124">
        <f t="shared" si="127"/>
        <v>0</v>
      </c>
      <c r="X124">
        <f t="shared" si="128"/>
        <v>0</v>
      </c>
      <c r="Y124">
        <f t="shared" si="128"/>
        <v>0</v>
      </c>
      <c r="AA124">
        <v>36602762</v>
      </c>
      <c r="AB124">
        <f t="shared" si="129"/>
        <v>1485.6</v>
      </c>
      <c r="AC124">
        <f>ROUND(((ES124*48)),6)</f>
        <v>0</v>
      </c>
      <c r="AD124">
        <f>ROUND(((((ET124*48))-((EU124*48)))+AE124),6)</f>
        <v>1485.6</v>
      </c>
      <c r="AE124">
        <f>ROUND(((EU124*48)),6)</f>
        <v>788.16</v>
      </c>
      <c r="AF124">
        <f>ROUND(((EV124*48)),6)</f>
        <v>0</v>
      </c>
      <c r="AG124">
        <f t="shared" si="130"/>
        <v>0</v>
      </c>
      <c r="AH124">
        <f>((EW124*48))</f>
        <v>0</v>
      </c>
      <c r="AI124">
        <f>((EX124*48))</f>
        <v>0</v>
      </c>
      <c r="AJ124">
        <f t="shared" si="131"/>
        <v>0</v>
      </c>
      <c r="AK124">
        <v>30.95</v>
      </c>
      <c r="AL124">
        <v>0</v>
      </c>
      <c r="AM124">
        <v>30.95</v>
      </c>
      <c r="AN124">
        <v>16.420000000000002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Z124">
        <v>1</v>
      </c>
      <c r="BA124">
        <v>1</v>
      </c>
      <c r="BB124">
        <v>1</v>
      </c>
      <c r="BC124">
        <v>1</v>
      </c>
      <c r="BD124" t="s">
        <v>3</v>
      </c>
      <c r="BE124" t="s">
        <v>3</v>
      </c>
      <c r="BF124" t="s">
        <v>3</v>
      </c>
      <c r="BG124" t="s">
        <v>3</v>
      </c>
      <c r="BH124">
        <v>0</v>
      </c>
      <c r="BI124">
        <v>4</v>
      </c>
      <c r="BJ124" t="s">
        <v>174</v>
      </c>
      <c r="BM124">
        <v>1</v>
      </c>
      <c r="BN124">
        <v>0</v>
      </c>
      <c r="BO124" t="s">
        <v>3</v>
      </c>
      <c r="BP124">
        <v>0</v>
      </c>
      <c r="BQ124">
        <v>1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t="s">
        <v>3</v>
      </c>
      <c r="BZ124">
        <v>0</v>
      </c>
      <c r="CA124">
        <v>0</v>
      </c>
      <c r="CB124" t="s">
        <v>3</v>
      </c>
      <c r="CE124">
        <v>0</v>
      </c>
      <c r="CF124">
        <v>0</v>
      </c>
      <c r="CG124">
        <v>0</v>
      </c>
      <c r="CM124">
        <v>0</v>
      </c>
      <c r="CN124" t="s">
        <v>3</v>
      </c>
      <c r="CO124">
        <v>0</v>
      </c>
      <c r="CP124">
        <f t="shared" si="132"/>
        <v>397546.56</v>
      </c>
      <c r="CQ124">
        <f t="shared" si="133"/>
        <v>0</v>
      </c>
      <c r="CR124">
        <f>(((((ET124*48))*BB124-((EU124*48))*BS124)+AE124*BS124)*AV124)</f>
        <v>1485.6</v>
      </c>
      <c r="CS124">
        <f t="shared" si="134"/>
        <v>788.16</v>
      </c>
      <c r="CT124">
        <f t="shared" si="135"/>
        <v>0</v>
      </c>
      <c r="CU124">
        <f t="shared" si="136"/>
        <v>0</v>
      </c>
      <c r="CV124">
        <f t="shared" si="137"/>
        <v>0</v>
      </c>
      <c r="CW124">
        <f t="shared" si="138"/>
        <v>0</v>
      </c>
      <c r="CX124">
        <f t="shared" si="138"/>
        <v>0</v>
      </c>
      <c r="CY124">
        <f t="shared" si="139"/>
        <v>0</v>
      </c>
      <c r="CZ124">
        <f t="shared" si="140"/>
        <v>0</v>
      </c>
      <c r="DC124" t="s">
        <v>3</v>
      </c>
      <c r="DD124" t="s">
        <v>165</v>
      </c>
      <c r="DE124" t="s">
        <v>165</v>
      </c>
      <c r="DF124" t="s">
        <v>165</v>
      </c>
      <c r="DG124" t="s">
        <v>165</v>
      </c>
      <c r="DH124" t="s">
        <v>3</v>
      </c>
      <c r="DI124" t="s">
        <v>165</v>
      </c>
      <c r="DJ124" t="s">
        <v>165</v>
      </c>
      <c r="DK124" t="s">
        <v>3</v>
      </c>
      <c r="DL124" t="s">
        <v>3</v>
      </c>
      <c r="DM124" t="s">
        <v>3</v>
      </c>
      <c r="DN124">
        <v>0</v>
      </c>
      <c r="DO124">
        <v>0</v>
      </c>
      <c r="DP124">
        <v>1</v>
      </c>
      <c r="DQ124">
        <v>1</v>
      </c>
      <c r="DU124">
        <v>1009</v>
      </c>
      <c r="DV124" t="s">
        <v>63</v>
      </c>
      <c r="DW124" t="s">
        <v>63</v>
      </c>
      <c r="DX124">
        <v>1000</v>
      </c>
      <c r="DZ124" t="s">
        <v>3</v>
      </c>
      <c r="EA124" t="s">
        <v>3</v>
      </c>
      <c r="EB124" t="s">
        <v>3</v>
      </c>
      <c r="EC124" t="s">
        <v>3</v>
      </c>
      <c r="EE124">
        <v>36274426</v>
      </c>
      <c r="EF124">
        <v>1</v>
      </c>
      <c r="EG124" t="s">
        <v>21</v>
      </c>
      <c r="EH124">
        <v>0</v>
      </c>
      <c r="EI124" t="s">
        <v>3</v>
      </c>
      <c r="EJ124">
        <v>4</v>
      </c>
      <c r="EK124">
        <v>1</v>
      </c>
      <c r="EL124" t="s">
        <v>160</v>
      </c>
      <c r="EM124" t="s">
        <v>23</v>
      </c>
      <c r="EO124" t="s">
        <v>3</v>
      </c>
      <c r="EQ124">
        <v>0</v>
      </c>
      <c r="ER124">
        <v>30.95</v>
      </c>
      <c r="ES124">
        <v>0</v>
      </c>
      <c r="ET124">
        <v>30.95</v>
      </c>
      <c r="EU124">
        <v>16.420000000000002</v>
      </c>
      <c r="EV124">
        <v>0</v>
      </c>
      <c r="EW124">
        <v>0</v>
      </c>
      <c r="EX124">
        <v>0</v>
      </c>
      <c r="EY124">
        <v>0</v>
      </c>
      <c r="FQ124">
        <v>0</v>
      </c>
      <c r="FR124">
        <f t="shared" si="141"/>
        <v>0</v>
      </c>
      <c r="FS124">
        <v>0</v>
      </c>
      <c r="FX124">
        <v>0</v>
      </c>
      <c r="FY124">
        <v>0</v>
      </c>
      <c r="GA124" t="s">
        <v>3</v>
      </c>
      <c r="GD124">
        <v>1</v>
      </c>
      <c r="GF124">
        <v>-1660558869</v>
      </c>
      <c r="GG124">
        <v>2</v>
      </c>
      <c r="GH124">
        <v>1</v>
      </c>
      <c r="GI124">
        <v>-2</v>
      </c>
      <c r="GJ124">
        <v>0</v>
      </c>
      <c r="GK124">
        <v>0</v>
      </c>
      <c r="GL124">
        <f t="shared" si="142"/>
        <v>0</v>
      </c>
      <c r="GM124">
        <f>ROUND(O124+X124+Y124,2)+GX124</f>
        <v>397546.56</v>
      </c>
      <c r="GN124">
        <f>IF(OR(BI124=0,BI124=1),ROUND(O124+X124+Y124,2),0)</f>
        <v>0</v>
      </c>
      <c r="GO124">
        <f>IF(BI124=2,ROUND(O124+X124+Y124,2),0)</f>
        <v>0</v>
      </c>
      <c r="GP124">
        <f>IF(BI124=4,ROUND(O124+X124+Y124,2)+GX124,0)</f>
        <v>397546.56</v>
      </c>
      <c r="GR124">
        <v>0</v>
      </c>
      <c r="GS124">
        <v>3</v>
      </c>
      <c r="GT124">
        <v>0</v>
      </c>
      <c r="GU124" t="s">
        <v>3</v>
      </c>
      <c r="GV124">
        <f t="shared" si="143"/>
        <v>0</v>
      </c>
      <c r="GW124">
        <v>1</v>
      </c>
      <c r="GX124">
        <f t="shared" si="144"/>
        <v>0</v>
      </c>
      <c r="HA124">
        <v>0</v>
      </c>
      <c r="HB124">
        <v>0</v>
      </c>
      <c r="HC124">
        <f t="shared" si="145"/>
        <v>0</v>
      </c>
      <c r="HE124" t="s">
        <v>3</v>
      </c>
      <c r="HF124" t="s">
        <v>3</v>
      </c>
      <c r="HM124" t="s">
        <v>3</v>
      </c>
      <c r="HN124" t="s">
        <v>3</v>
      </c>
      <c r="HO124" t="s">
        <v>3</v>
      </c>
      <c r="HP124" t="s">
        <v>3</v>
      </c>
      <c r="HQ124" t="s">
        <v>3</v>
      </c>
      <c r="IK124">
        <v>0</v>
      </c>
    </row>
    <row r="126" spans="1:245" x14ac:dyDescent="0.2">
      <c r="A126" s="2">
        <v>51</v>
      </c>
      <c r="B126" s="2">
        <f>B115</f>
        <v>1</v>
      </c>
      <c r="C126" s="2">
        <f>A115</f>
        <v>4</v>
      </c>
      <c r="D126" s="2">
        <f>ROW(A115)</f>
        <v>115</v>
      </c>
      <c r="E126" s="2"/>
      <c r="F126" s="2" t="str">
        <f>IF(F115&lt;&gt;"",F115,"")</f>
        <v>Новый раздел</v>
      </c>
      <c r="G126" s="2" t="str">
        <f>IF(G115&lt;&gt;"",G115,"")</f>
        <v>Прочее</v>
      </c>
      <c r="H126" s="2">
        <v>0</v>
      </c>
      <c r="I126" s="2"/>
      <c r="J126" s="2"/>
      <c r="K126" s="2"/>
      <c r="L126" s="2"/>
      <c r="M126" s="2"/>
      <c r="N126" s="2"/>
      <c r="O126" s="2">
        <f t="shared" ref="O126:T126" si="146">ROUND(AB126,2)</f>
        <v>546609.04</v>
      </c>
      <c r="P126" s="2">
        <f t="shared" si="146"/>
        <v>0</v>
      </c>
      <c r="Q126" s="2">
        <f t="shared" si="146"/>
        <v>546609.04</v>
      </c>
      <c r="R126" s="2">
        <f t="shared" si="146"/>
        <v>282664.26</v>
      </c>
      <c r="S126" s="2">
        <f t="shared" si="146"/>
        <v>0</v>
      </c>
      <c r="T126" s="2">
        <f t="shared" si="146"/>
        <v>0</v>
      </c>
      <c r="U126" s="2">
        <f>AH126</f>
        <v>0</v>
      </c>
      <c r="V126" s="2">
        <f>AI126</f>
        <v>0</v>
      </c>
      <c r="W126" s="2">
        <f>ROUND(AJ126,2)</f>
        <v>0</v>
      </c>
      <c r="X126" s="2">
        <f>ROUND(AK126,2)</f>
        <v>0</v>
      </c>
      <c r="Y126" s="2">
        <f>ROUND(AL126,2)</f>
        <v>0</v>
      </c>
      <c r="Z126" s="2"/>
      <c r="AA126" s="2"/>
      <c r="AB126" s="2">
        <f>ROUND(SUMIF(AA119:AA124,"=36602762",O119:O124),2)</f>
        <v>546609.04</v>
      </c>
      <c r="AC126" s="2">
        <f>ROUND(SUMIF(AA119:AA124,"=36602762",P119:P124),2)</f>
        <v>0</v>
      </c>
      <c r="AD126" s="2">
        <f>ROUND(SUMIF(AA119:AA124,"=36602762",Q119:Q124),2)</f>
        <v>546609.04</v>
      </c>
      <c r="AE126" s="2">
        <f>ROUND(SUMIF(AA119:AA124,"=36602762",R119:R124),2)</f>
        <v>282664.26</v>
      </c>
      <c r="AF126" s="2">
        <f>ROUND(SUMIF(AA119:AA124,"=36602762",S119:S124),2)</f>
        <v>0</v>
      </c>
      <c r="AG126" s="2">
        <f>ROUND(SUMIF(AA119:AA124,"=36602762",T119:T124),2)</f>
        <v>0</v>
      </c>
      <c r="AH126" s="2">
        <f>SUMIF(AA119:AA124,"=36602762",U119:U124)</f>
        <v>0</v>
      </c>
      <c r="AI126" s="2">
        <f>SUMIF(AA119:AA124,"=36602762",V119:V124)</f>
        <v>0</v>
      </c>
      <c r="AJ126" s="2">
        <f>ROUND(SUMIF(AA119:AA124,"=36602762",W119:W124),2)</f>
        <v>0</v>
      </c>
      <c r="AK126" s="2">
        <f>ROUND(SUMIF(AA119:AA124,"=36602762",X119:X124),2)</f>
        <v>0</v>
      </c>
      <c r="AL126" s="2">
        <f>ROUND(SUMIF(AA119:AA124,"=36602762",Y119:Y124),2)</f>
        <v>0</v>
      </c>
      <c r="AM126" s="2"/>
      <c r="AN126" s="2"/>
      <c r="AO126" s="2">
        <f t="shared" ref="AO126:BD126" si="147">ROUND(BX126,2)</f>
        <v>0</v>
      </c>
      <c r="AP126" s="2">
        <f t="shared" si="147"/>
        <v>0</v>
      </c>
      <c r="AQ126" s="2">
        <f t="shared" si="147"/>
        <v>0</v>
      </c>
      <c r="AR126" s="2">
        <f t="shared" si="147"/>
        <v>558215.17000000004</v>
      </c>
      <c r="AS126" s="2">
        <f t="shared" si="147"/>
        <v>0</v>
      </c>
      <c r="AT126" s="2">
        <f t="shared" si="147"/>
        <v>0</v>
      </c>
      <c r="AU126" s="2">
        <f t="shared" si="147"/>
        <v>558215.17000000004</v>
      </c>
      <c r="AV126" s="2">
        <f t="shared" si="147"/>
        <v>0</v>
      </c>
      <c r="AW126" s="2">
        <f t="shared" si="147"/>
        <v>0</v>
      </c>
      <c r="AX126" s="2">
        <f t="shared" si="147"/>
        <v>0</v>
      </c>
      <c r="AY126" s="2">
        <f t="shared" si="147"/>
        <v>0</v>
      </c>
      <c r="AZ126" s="2">
        <f t="shared" si="147"/>
        <v>0</v>
      </c>
      <c r="BA126" s="2">
        <f t="shared" si="147"/>
        <v>0</v>
      </c>
      <c r="BB126" s="2">
        <f t="shared" si="147"/>
        <v>0</v>
      </c>
      <c r="BC126" s="2">
        <f t="shared" si="147"/>
        <v>0</v>
      </c>
      <c r="BD126" s="2">
        <f t="shared" si="147"/>
        <v>0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>
        <f>ROUND(SUMIF(AA119:AA124,"=36602762",FQ119:FQ124),2)</f>
        <v>0</v>
      </c>
      <c r="BY126" s="2">
        <f>ROUND(SUMIF(AA119:AA124,"=36602762",FR119:FR124),2)</f>
        <v>0</v>
      </c>
      <c r="BZ126" s="2">
        <f>ROUND(SUMIF(AA119:AA124,"=36602762",GL119:GL124),2)</f>
        <v>0</v>
      </c>
      <c r="CA126" s="2">
        <f>ROUND(SUMIF(AA119:AA124,"=36602762",GM119:GM124),2)</f>
        <v>558215.17000000004</v>
      </c>
      <c r="CB126" s="2">
        <f>ROUND(SUMIF(AA119:AA124,"=36602762",GN119:GN124),2)</f>
        <v>0</v>
      </c>
      <c r="CC126" s="2">
        <f>ROUND(SUMIF(AA119:AA124,"=36602762",GO119:GO124),2)</f>
        <v>0</v>
      </c>
      <c r="CD126" s="2">
        <f>ROUND(SUMIF(AA119:AA124,"=36602762",GP119:GP124),2)</f>
        <v>558215.17000000004</v>
      </c>
      <c r="CE126" s="2">
        <f>AC126-BX126</f>
        <v>0</v>
      </c>
      <c r="CF126" s="2">
        <f>AC126-BY126</f>
        <v>0</v>
      </c>
      <c r="CG126" s="2">
        <f>BX126-BZ126</f>
        <v>0</v>
      </c>
      <c r="CH126" s="2">
        <f>AC126-BX126-BY126+BZ126</f>
        <v>0</v>
      </c>
      <c r="CI126" s="2">
        <f>BY126-BZ126</f>
        <v>0</v>
      </c>
      <c r="CJ126" s="2">
        <f>ROUND(SUMIF(AA119:AA124,"=36602762",GX119:GX124),2)</f>
        <v>0</v>
      </c>
      <c r="CK126" s="2">
        <f>ROUND(SUMIF(AA119:AA124,"=36602762",GY119:GY124),2)</f>
        <v>0</v>
      </c>
      <c r="CL126" s="2">
        <f>ROUND(SUMIF(AA119:AA124,"=36602762",GZ119:GZ124),2)</f>
        <v>0</v>
      </c>
      <c r="CM126" s="2">
        <f>ROUND(SUMIF(AA119:AA124,"=36602762",HD119:HD124),2)</f>
        <v>0</v>
      </c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>
        <v>0</v>
      </c>
    </row>
    <row r="128" spans="1:245" x14ac:dyDescent="0.2">
      <c r="A128" s="4">
        <v>50</v>
      </c>
      <c r="B128" s="4">
        <v>0</v>
      </c>
      <c r="C128" s="4">
        <v>0</v>
      </c>
      <c r="D128" s="4">
        <v>1</v>
      </c>
      <c r="E128" s="4">
        <v>201</v>
      </c>
      <c r="F128" s="4">
        <f>ROUND(Source!O126,O128)</f>
        <v>546609.04</v>
      </c>
      <c r="G128" s="4" t="s">
        <v>75</v>
      </c>
      <c r="H128" s="4" t="s">
        <v>76</v>
      </c>
      <c r="I128" s="4"/>
      <c r="J128" s="4"/>
      <c r="K128" s="4">
        <v>201</v>
      </c>
      <c r="L128" s="4">
        <v>1</v>
      </c>
      <c r="M128" s="4">
        <v>3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>
        <v>546609.04</v>
      </c>
      <c r="X128" s="4">
        <v>1</v>
      </c>
      <c r="Y128" s="4">
        <v>546609.04</v>
      </c>
      <c r="Z128" s="4"/>
      <c r="AA128" s="4"/>
      <c r="AB128" s="4"/>
    </row>
    <row r="129" spans="1:28" x14ac:dyDescent="0.2">
      <c r="A129" s="4">
        <v>50</v>
      </c>
      <c r="B129" s="4">
        <v>0</v>
      </c>
      <c r="C129" s="4">
        <v>0</v>
      </c>
      <c r="D129" s="4">
        <v>1</v>
      </c>
      <c r="E129" s="4">
        <v>202</v>
      </c>
      <c r="F129" s="4">
        <f>ROUND(Source!P126,O129)</f>
        <v>0</v>
      </c>
      <c r="G129" s="4" t="s">
        <v>77</v>
      </c>
      <c r="H129" s="4" t="s">
        <v>78</v>
      </c>
      <c r="I129" s="4"/>
      <c r="J129" s="4"/>
      <c r="K129" s="4">
        <v>202</v>
      </c>
      <c r="L129" s="4">
        <v>2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>
        <v>0</v>
      </c>
      <c r="X129" s="4">
        <v>1</v>
      </c>
      <c r="Y129" s="4">
        <v>0</v>
      </c>
      <c r="Z129" s="4"/>
      <c r="AA129" s="4"/>
      <c r="AB129" s="4"/>
    </row>
    <row r="130" spans="1:28" x14ac:dyDescent="0.2">
      <c r="A130" s="4">
        <v>50</v>
      </c>
      <c r="B130" s="4">
        <v>0</v>
      </c>
      <c r="C130" s="4">
        <v>0</v>
      </c>
      <c r="D130" s="4">
        <v>1</v>
      </c>
      <c r="E130" s="4">
        <v>222</v>
      </c>
      <c r="F130" s="4">
        <f>ROUND(Source!AO126,O130)</f>
        <v>0</v>
      </c>
      <c r="G130" s="4" t="s">
        <v>79</v>
      </c>
      <c r="H130" s="4" t="s">
        <v>80</v>
      </c>
      <c r="I130" s="4"/>
      <c r="J130" s="4"/>
      <c r="K130" s="4">
        <v>222</v>
      </c>
      <c r="L130" s="4">
        <v>3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>
        <v>0</v>
      </c>
      <c r="X130" s="4">
        <v>1</v>
      </c>
      <c r="Y130" s="4">
        <v>0</v>
      </c>
      <c r="Z130" s="4"/>
      <c r="AA130" s="4"/>
      <c r="AB130" s="4"/>
    </row>
    <row r="131" spans="1:28" x14ac:dyDescent="0.2">
      <c r="A131" s="4">
        <v>50</v>
      </c>
      <c r="B131" s="4">
        <v>0</v>
      </c>
      <c r="C131" s="4">
        <v>0</v>
      </c>
      <c r="D131" s="4">
        <v>1</v>
      </c>
      <c r="E131" s="4">
        <v>225</v>
      </c>
      <c r="F131" s="4">
        <f>ROUND(Source!AV126,O131)</f>
        <v>0</v>
      </c>
      <c r="G131" s="4" t="s">
        <v>81</v>
      </c>
      <c r="H131" s="4" t="s">
        <v>82</v>
      </c>
      <c r="I131" s="4"/>
      <c r="J131" s="4"/>
      <c r="K131" s="4">
        <v>225</v>
      </c>
      <c r="L131" s="4">
        <v>4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>
        <v>0</v>
      </c>
      <c r="X131" s="4">
        <v>1</v>
      </c>
      <c r="Y131" s="4">
        <v>0</v>
      </c>
      <c r="Z131" s="4"/>
      <c r="AA131" s="4"/>
      <c r="AB131" s="4"/>
    </row>
    <row r="132" spans="1:28" x14ac:dyDescent="0.2">
      <c r="A132" s="4">
        <v>50</v>
      </c>
      <c r="B132" s="4">
        <v>0</v>
      </c>
      <c r="C132" s="4">
        <v>0</v>
      </c>
      <c r="D132" s="4">
        <v>1</v>
      </c>
      <c r="E132" s="4">
        <v>226</v>
      </c>
      <c r="F132" s="4">
        <f>ROUND(Source!AW126,O132)</f>
        <v>0</v>
      </c>
      <c r="G132" s="4" t="s">
        <v>83</v>
      </c>
      <c r="H132" s="4" t="s">
        <v>84</v>
      </c>
      <c r="I132" s="4"/>
      <c r="J132" s="4"/>
      <c r="K132" s="4">
        <v>226</v>
      </c>
      <c r="L132" s="4">
        <v>5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>
        <v>0</v>
      </c>
      <c r="X132" s="4">
        <v>1</v>
      </c>
      <c r="Y132" s="4">
        <v>0</v>
      </c>
      <c r="Z132" s="4"/>
      <c r="AA132" s="4"/>
      <c r="AB132" s="4"/>
    </row>
    <row r="133" spans="1:28" x14ac:dyDescent="0.2">
      <c r="A133" s="4">
        <v>50</v>
      </c>
      <c r="B133" s="4">
        <v>0</v>
      </c>
      <c r="C133" s="4">
        <v>0</v>
      </c>
      <c r="D133" s="4">
        <v>1</v>
      </c>
      <c r="E133" s="4">
        <v>227</v>
      </c>
      <c r="F133" s="4">
        <f>ROUND(Source!AX126,O133)</f>
        <v>0</v>
      </c>
      <c r="G133" s="4" t="s">
        <v>85</v>
      </c>
      <c r="H133" s="4" t="s">
        <v>86</v>
      </c>
      <c r="I133" s="4"/>
      <c r="J133" s="4"/>
      <c r="K133" s="4">
        <v>227</v>
      </c>
      <c r="L133" s="4">
        <v>6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>
        <v>0</v>
      </c>
      <c r="X133" s="4">
        <v>1</v>
      </c>
      <c r="Y133" s="4">
        <v>0</v>
      </c>
      <c r="Z133" s="4"/>
      <c r="AA133" s="4"/>
      <c r="AB133" s="4"/>
    </row>
    <row r="134" spans="1:28" x14ac:dyDescent="0.2">
      <c r="A134" s="4">
        <v>50</v>
      </c>
      <c r="B134" s="4">
        <v>0</v>
      </c>
      <c r="C134" s="4">
        <v>0</v>
      </c>
      <c r="D134" s="4">
        <v>1</v>
      </c>
      <c r="E134" s="4">
        <v>228</v>
      </c>
      <c r="F134" s="4">
        <f>ROUND(Source!AY126,O134)</f>
        <v>0</v>
      </c>
      <c r="G134" s="4" t="s">
        <v>87</v>
      </c>
      <c r="H134" s="4" t="s">
        <v>88</v>
      </c>
      <c r="I134" s="4"/>
      <c r="J134" s="4"/>
      <c r="K134" s="4">
        <v>228</v>
      </c>
      <c r="L134" s="4">
        <v>7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>
        <v>0</v>
      </c>
      <c r="X134" s="4">
        <v>1</v>
      </c>
      <c r="Y134" s="4">
        <v>0</v>
      </c>
      <c r="Z134" s="4"/>
      <c r="AA134" s="4"/>
      <c r="AB134" s="4"/>
    </row>
    <row r="135" spans="1:28" x14ac:dyDescent="0.2">
      <c r="A135" s="4">
        <v>50</v>
      </c>
      <c r="B135" s="4">
        <v>0</v>
      </c>
      <c r="C135" s="4">
        <v>0</v>
      </c>
      <c r="D135" s="4">
        <v>1</v>
      </c>
      <c r="E135" s="4">
        <v>216</v>
      </c>
      <c r="F135" s="4">
        <f>ROUND(Source!AP126,O135)</f>
        <v>0</v>
      </c>
      <c r="G135" s="4" t="s">
        <v>89</v>
      </c>
      <c r="H135" s="4" t="s">
        <v>90</v>
      </c>
      <c r="I135" s="4"/>
      <c r="J135" s="4"/>
      <c r="K135" s="4">
        <v>216</v>
      </c>
      <c r="L135" s="4">
        <v>8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>
        <v>0</v>
      </c>
      <c r="X135" s="4">
        <v>1</v>
      </c>
      <c r="Y135" s="4">
        <v>0</v>
      </c>
      <c r="Z135" s="4"/>
      <c r="AA135" s="4"/>
      <c r="AB135" s="4"/>
    </row>
    <row r="136" spans="1:28" x14ac:dyDescent="0.2">
      <c r="A136" s="4">
        <v>50</v>
      </c>
      <c r="B136" s="4">
        <v>0</v>
      </c>
      <c r="C136" s="4">
        <v>0</v>
      </c>
      <c r="D136" s="4">
        <v>1</v>
      </c>
      <c r="E136" s="4">
        <v>223</v>
      </c>
      <c r="F136" s="4">
        <f>ROUND(Source!AQ126,O136)</f>
        <v>0</v>
      </c>
      <c r="G136" s="4" t="s">
        <v>91</v>
      </c>
      <c r="H136" s="4" t="s">
        <v>92</v>
      </c>
      <c r="I136" s="4"/>
      <c r="J136" s="4"/>
      <c r="K136" s="4">
        <v>223</v>
      </c>
      <c r="L136" s="4">
        <v>9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>
        <v>0</v>
      </c>
      <c r="X136" s="4">
        <v>1</v>
      </c>
      <c r="Y136" s="4">
        <v>0</v>
      </c>
      <c r="Z136" s="4"/>
      <c r="AA136" s="4"/>
      <c r="AB136" s="4"/>
    </row>
    <row r="137" spans="1:28" x14ac:dyDescent="0.2">
      <c r="A137" s="4">
        <v>50</v>
      </c>
      <c r="B137" s="4">
        <v>0</v>
      </c>
      <c r="C137" s="4">
        <v>0</v>
      </c>
      <c r="D137" s="4">
        <v>1</v>
      </c>
      <c r="E137" s="4">
        <v>229</v>
      </c>
      <c r="F137" s="4">
        <f>ROUND(Source!AZ126,O137)</f>
        <v>0</v>
      </c>
      <c r="G137" s="4" t="s">
        <v>93</v>
      </c>
      <c r="H137" s="4" t="s">
        <v>94</v>
      </c>
      <c r="I137" s="4"/>
      <c r="J137" s="4"/>
      <c r="K137" s="4">
        <v>229</v>
      </c>
      <c r="L137" s="4">
        <v>10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>
        <v>0</v>
      </c>
      <c r="X137" s="4">
        <v>1</v>
      </c>
      <c r="Y137" s="4">
        <v>0</v>
      </c>
      <c r="Z137" s="4"/>
      <c r="AA137" s="4"/>
      <c r="AB137" s="4"/>
    </row>
    <row r="138" spans="1:28" x14ac:dyDescent="0.2">
      <c r="A138" s="4">
        <v>50</v>
      </c>
      <c r="B138" s="4">
        <v>0</v>
      </c>
      <c r="C138" s="4">
        <v>0</v>
      </c>
      <c r="D138" s="4">
        <v>1</v>
      </c>
      <c r="E138" s="4">
        <v>203</v>
      </c>
      <c r="F138" s="4">
        <f>ROUND(Source!Q126,O138)</f>
        <v>546609.04</v>
      </c>
      <c r="G138" s="4" t="s">
        <v>95</v>
      </c>
      <c r="H138" s="4" t="s">
        <v>96</v>
      </c>
      <c r="I138" s="4"/>
      <c r="J138" s="4"/>
      <c r="K138" s="4">
        <v>203</v>
      </c>
      <c r="L138" s="4">
        <v>11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>
        <v>546609.04</v>
      </c>
      <c r="X138" s="4">
        <v>1</v>
      </c>
      <c r="Y138" s="4">
        <v>546609.04</v>
      </c>
      <c r="Z138" s="4"/>
      <c r="AA138" s="4"/>
      <c r="AB138" s="4"/>
    </row>
    <row r="139" spans="1:28" x14ac:dyDescent="0.2">
      <c r="A139" s="4">
        <v>50</v>
      </c>
      <c r="B139" s="4">
        <v>0</v>
      </c>
      <c r="C139" s="4">
        <v>0</v>
      </c>
      <c r="D139" s="4">
        <v>1</v>
      </c>
      <c r="E139" s="4">
        <v>231</v>
      </c>
      <c r="F139" s="4">
        <f>ROUND(Source!BB126,O139)</f>
        <v>0</v>
      </c>
      <c r="G139" s="4" t="s">
        <v>97</v>
      </c>
      <c r="H139" s="4" t="s">
        <v>98</v>
      </c>
      <c r="I139" s="4"/>
      <c r="J139" s="4"/>
      <c r="K139" s="4">
        <v>231</v>
      </c>
      <c r="L139" s="4">
        <v>12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>
        <v>0</v>
      </c>
      <c r="X139" s="4">
        <v>1</v>
      </c>
      <c r="Y139" s="4">
        <v>0</v>
      </c>
      <c r="Z139" s="4"/>
      <c r="AA139" s="4"/>
      <c r="AB139" s="4"/>
    </row>
    <row r="140" spans="1:28" x14ac:dyDescent="0.2">
      <c r="A140" s="4">
        <v>50</v>
      </c>
      <c r="B140" s="4">
        <v>0</v>
      </c>
      <c r="C140" s="4">
        <v>0</v>
      </c>
      <c r="D140" s="4">
        <v>1</v>
      </c>
      <c r="E140" s="4">
        <v>204</v>
      </c>
      <c r="F140" s="4">
        <f>ROUND(Source!R126,O140)</f>
        <v>282664.26</v>
      </c>
      <c r="G140" s="4" t="s">
        <v>99</v>
      </c>
      <c r="H140" s="4" t="s">
        <v>100</v>
      </c>
      <c r="I140" s="4"/>
      <c r="J140" s="4"/>
      <c r="K140" s="4">
        <v>204</v>
      </c>
      <c r="L140" s="4">
        <v>13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>
        <v>282664.26</v>
      </c>
      <c r="X140" s="4">
        <v>1</v>
      </c>
      <c r="Y140" s="4">
        <v>282664.26</v>
      </c>
      <c r="Z140" s="4"/>
      <c r="AA140" s="4"/>
      <c r="AB140" s="4"/>
    </row>
    <row r="141" spans="1:28" x14ac:dyDescent="0.2">
      <c r="A141" s="4">
        <v>50</v>
      </c>
      <c r="B141" s="4">
        <v>0</v>
      </c>
      <c r="C141" s="4">
        <v>0</v>
      </c>
      <c r="D141" s="4">
        <v>1</v>
      </c>
      <c r="E141" s="4">
        <v>205</v>
      </c>
      <c r="F141" s="4">
        <f>ROUND(Source!S126,O141)</f>
        <v>0</v>
      </c>
      <c r="G141" s="4" t="s">
        <v>101</v>
      </c>
      <c r="H141" s="4" t="s">
        <v>102</v>
      </c>
      <c r="I141" s="4"/>
      <c r="J141" s="4"/>
      <c r="K141" s="4">
        <v>205</v>
      </c>
      <c r="L141" s="4">
        <v>14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>
        <v>0</v>
      </c>
      <c r="X141" s="4">
        <v>1</v>
      </c>
      <c r="Y141" s="4">
        <v>0</v>
      </c>
      <c r="Z141" s="4"/>
      <c r="AA141" s="4"/>
      <c r="AB141" s="4"/>
    </row>
    <row r="142" spans="1:28" x14ac:dyDescent="0.2">
      <c r="A142" s="4">
        <v>50</v>
      </c>
      <c r="B142" s="4">
        <v>0</v>
      </c>
      <c r="C142" s="4">
        <v>0</v>
      </c>
      <c r="D142" s="4">
        <v>1</v>
      </c>
      <c r="E142" s="4">
        <v>232</v>
      </c>
      <c r="F142" s="4">
        <f>ROUND(Source!BC126,O142)</f>
        <v>0</v>
      </c>
      <c r="G142" s="4" t="s">
        <v>103</v>
      </c>
      <c r="H142" s="4" t="s">
        <v>104</v>
      </c>
      <c r="I142" s="4"/>
      <c r="J142" s="4"/>
      <c r="K142" s="4">
        <v>232</v>
      </c>
      <c r="L142" s="4">
        <v>15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>
        <v>0</v>
      </c>
      <c r="X142" s="4">
        <v>1</v>
      </c>
      <c r="Y142" s="4">
        <v>0</v>
      </c>
      <c r="Z142" s="4"/>
      <c r="AA142" s="4"/>
      <c r="AB142" s="4"/>
    </row>
    <row r="143" spans="1:28" x14ac:dyDescent="0.2">
      <c r="A143" s="4">
        <v>50</v>
      </c>
      <c r="B143" s="4">
        <v>0</v>
      </c>
      <c r="C143" s="4">
        <v>0</v>
      </c>
      <c r="D143" s="4">
        <v>1</v>
      </c>
      <c r="E143" s="4">
        <v>214</v>
      </c>
      <c r="F143" s="4">
        <f>ROUND(Source!AS126,O143)</f>
        <v>0</v>
      </c>
      <c r="G143" s="4" t="s">
        <v>105</v>
      </c>
      <c r="H143" s="4" t="s">
        <v>106</v>
      </c>
      <c r="I143" s="4"/>
      <c r="J143" s="4"/>
      <c r="K143" s="4">
        <v>214</v>
      </c>
      <c r="L143" s="4">
        <v>16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>
        <v>0</v>
      </c>
      <c r="X143" s="4">
        <v>1</v>
      </c>
      <c r="Y143" s="4">
        <v>0</v>
      </c>
      <c r="Z143" s="4"/>
      <c r="AA143" s="4"/>
      <c r="AB143" s="4"/>
    </row>
    <row r="144" spans="1:28" x14ac:dyDescent="0.2">
      <c r="A144" s="4">
        <v>50</v>
      </c>
      <c r="B144" s="4">
        <v>0</v>
      </c>
      <c r="C144" s="4">
        <v>0</v>
      </c>
      <c r="D144" s="4">
        <v>1</v>
      </c>
      <c r="E144" s="4">
        <v>215</v>
      </c>
      <c r="F144" s="4">
        <f>ROUND(Source!AT126,O144)</f>
        <v>0</v>
      </c>
      <c r="G144" s="4" t="s">
        <v>107</v>
      </c>
      <c r="H144" s="4" t="s">
        <v>108</v>
      </c>
      <c r="I144" s="4"/>
      <c r="J144" s="4"/>
      <c r="K144" s="4">
        <v>215</v>
      </c>
      <c r="L144" s="4">
        <v>17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>
        <v>0</v>
      </c>
      <c r="X144" s="4">
        <v>1</v>
      </c>
      <c r="Y144" s="4">
        <v>0</v>
      </c>
      <c r="Z144" s="4"/>
      <c r="AA144" s="4"/>
      <c r="AB144" s="4"/>
    </row>
    <row r="145" spans="1:245" x14ac:dyDescent="0.2">
      <c r="A145" s="4">
        <v>50</v>
      </c>
      <c r="B145" s="4">
        <v>0</v>
      </c>
      <c r="C145" s="4">
        <v>0</v>
      </c>
      <c r="D145" s="4">
        <v>1</v>
      </c>
      <c r="E145" s="4">
        <v>217</v>
      </c>
      <c r="F145" s="4">
        <f>ROUND(Source!AU126,O145)</f>
        <v>558215.17000000004</v>
      </c>
      <c r="G145" s="4" t="s">
        <v>109</v>
      </c>
      <c r="H145" s="4" t="s">
        <v>110</v>
      </c>
      <c r="I145" s="4"/>
      <c r="J145" s="4"/>
      <c r="K145" s="4">
        <v>217</v>
      </c>
      <c r="L145" s="4">
        <v>18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>
        <v>558215.17000000004</v>
      </c>
      <c r="X145" s="4">
        <v>1</v>
      </c>
      <c r="Y145" s="4">
        <v>558215.17000000004</v>
      </c>
      <c r="Z145" s="4"/>
      <c r="AA145" s="4"/>
      <c r="AB145" s="4"/>
    </row>
    <row r="146" spans="1:245" x14ac:dyDescent="0.2">
      <c r="A146" s="4">
        <v>50</v>
      </c>
      <c r="B146" s="4">
        <v>0</v>
      </c>
      <c r="C146" s="4">
        <v>0</v>
      </c>
      <c r="D146" s="4">
        <v>1</v>
      </c>
      <c r="E146" s="4">
        <v>230</v>
      </c>
      <c r="F146" s="4">
        <f>ROUND(Source!BA126,O146)</f>
        <v>0</v>
      </c>
      <c r="G146" s="4" t="s">
        <v>111</v>
      </c>
      <c r="H146" s="4" t="s">
        <v>112</v>
      </c>
      <c r="I146" s="4"/>
      <c r="J146" s="4"/>
      <c r="K146" s="4">
        <v>230</v>
      </c>
      <c r="L146" s="4">
        <v>19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>
        <v>0</v>
      </c>
      <c r="X146" s="4">
        <v>1</v>
      </c>
      <c r="Y146" s="4">
        <v>0</v>
      </c>
      <c r="Z146" s="4"/>
      <c r="AA146" s="4"/>
      <c r="AB146" s="4"/>
    </row>
    <row r="147" spans="1:245" x14ac:dyDescent="0.2">
      <c r="A147" s="4">
        <v>50</v>
      </c>
      <c r="B147" s="4">
        <v>0</v>
      </c>
      <c r="C147" s="4">
        <v>0</v>
      </c>
      <c r="D147" s="4">
        <v>1</v>
      </c>
      <c r="E147" s="4">
        <v>206</v>
      </c>
      <c r="F147" s="4">
        <f>ROUND(Source!T126,O147)</f>
        <v>0</v>
      </c>
      <c r="G147" s="4" t="s">
        <v>113</v>
      </c>
      <c r="H147" s="4" t="s">
        <v>114</v>
      </c>
      <c r="I147" s="4"/>
      <c r="J147" s="4"/>
      <c r="K147" s="4">
        <v>206</v>
      </c>
      <c r="L147" s="4">
        <v>20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>
        <v>0</v>
      </c>
      <c r="X147" s="4">
        <v>1</v>
      </c>
      <c r="Y147" s="4">
        <v>0</v>
      </c>
      <c r="Z147" s="4"/>
      <c r="AA147" s="4"/>
      <c r="AB147" s="4"/>
    </row>
    <row r="148" spans="1:245" x14ac:dyDescent="0.2">
      <c r="A148" s="4">
        <v>50</v>
      </c>
      <c r="B148" s="4">
        <v>0</v>
      </c>
      <c r="C148" s="4">
        <v>0</v>
      </c>
      <c r="D148" s="4">
        <v>1</v>
      </c>
      <c r="E148" s="4">
        <v>207</v>
      </c>
      <c r="F148" s="4">
        <f>Source!U126</f>
        <v>0</v>
      </c>
      <c r="G148" s="4" t="s">
        <v>115</v>
      </c>
      <c r="H148" s="4" t="s">
        <v>116</v>
      </c>
      <c r="I148" s="4"/>
      <c r="J148" s="4"/>
      <c r="K148" s="4">
        <v>207</v>
      </c>
      <c r="L148" s="4">
        <v>21</v>
      </c>
      <c r="M148" s="4">
        <v>3</v>
      </c>
      <c r="N148" s="4" t="s">
        <v>3</v>
      </c>
      <c r="O148" s="4">
        <v>-1</v>
      </c>
      <c r="P148" s="4"/>
      <c r="Q148" s="4"/>
      <c r="R148" s="4"/>
      <c r="S148" s="4"/>
      <c r="T148" s="4"/>
      <c r="U148" s="4"/>
      <c r="V148" s="4"/>
      <c r="W148" s="4">
        <v>0</v>
      </c>
      <c r="X148" s="4">
        <v>1</v>
      </c>
      <c r="Y148" s="4">
        <v>0</v>
      </c>
      <c r="Z148" s="4"/>
      <c r="AA148" s="4"/>
      <c r="AB148" s="4"/>
    </row>
    <row r="149" spans="1:245" x14ac:dyDescent="0.2">
      <c r="A149" s="4">
        <v>50</v>
      </c>
      <c r="B149" s="4">
        <v>0</v>
      </c>
      <c r="C149" s="4">
        <v>0</v>
      </c>
      <c r="D149" s="4">
        <v>1</v>
      </c>
      <c r="E149" s="4">
        <v>208</v>
      </c>
      <c r="F149" s="4">
        <f>Source!V126</f>
        <v>0</v>
      </c>
      <c r="G149" s="4" t="s">
        <v>117</v>
      </c>
      <c r="H149" s="4" t="s">
        <v>118</v>
      </c>
      <c r="I149" s="4"/>
      <c r="J149" s="4"/>
      <c r="K149" s="4">
        <v>208</v>
      </c>
      <c r="L149" s="4">
        <v>22</v>
      </c>
      <c r="M149" s="4">
        <v>3</v>
      </c>
      <c r="N149" s="4" t="s">
        <v>3</v>
      </c>
      <c r="O149" s="4">
        <v>-1</v>
      </c>
      <c r="P149" s="4"/>
      <c r="Q149" s="4"/>
      <c r="R149" s="4"/>
      <c r="S149" s="4"/>
      <c r="T149" s="4"/>
      <c r="U149" s="4"/>
      <c r="V149" s="4"/>
      <c r="W149" s="4">
        <v>0</v>
      </c>
      <c r="X149" s="4">
        <v>1</v>
      </c>
      <c r="Y149" s="4">
        <v>0</v>
      </c>
      <c r="Z149" s="4"/>
      <c r="AA149" s="4"/>
      <c r="AB149" s="4"/>
    </row>
    <row r="150" spans="1:245" x14ac:dyDescent="0.2">
      <c r="A150" s="4">
        <v>50</v>
      </c>
      <c r="B150" s="4">
        <v>0</v>
      </c>
      <c r="C150" s="4">
        <v>0</v>
      </c>
      <c r="D150" s="4">
        <v>1</v>
      </c>
      <c r="E150" s="4">
        <v>209</v>
      </c>
      <c r="F150" s="4">
        <f>ROUND(Source!W126,O150)</f>
        <v>0</v>
      </c>
      <c r="G150" s="4" t="s">
        <v>119</v>
      </c>
      <c r="H150" s="4" t="s">
        <v>120</v>
      </c>
      <c r="I150" s="4"/>
      <c r="J150" s="4"/>
      <c r="K150" s="4">
        <v>209</v>
      </c>
      <c r="L150" s="4">
        <v>23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>
        <v>0</v>
      </c>
      <c r="X150" s="4">
        <v>1</v>
      </c>
      <c r="Y150" s="4">
        <v>0</v>
      </c>
      <c r="Z150" s="4"/>
      <c r="AA150" s="4"/>
      <c r="AB150" s="4"/>
    </row>
    <row r="151" spans="1:245" x14ac:dyDescent="0.2">
      <c r="A151" s="4">
        <v>50</v>
      </c>
      <c r="B151" s="4">
        <v>0</v>
      </c>
      <c r="C151" s="4">
        <v>0</v>
      </c>
      <c r="D151" s="4">
        <v>1</v>
      </c>
      <c r="E151" s="4">
        <v>233</v>
      </c>
      <c r="F151" s="4">
        <f>ROUND(Source!BD126,O151)</f>
        <v>0</v>
      </c>
      <c r="G151" s="4" t="s">
        <v>121</v>
      </c>
      <c r="H151" s="4" t="s">
        <v>122</v>
      </c>
      <c r="I151" s="4"/>
      <c r="J151" s="4"/>
      <c r="K151" s="4">
        <v>233</v>
      </c>
      <c r="L151" s="4">
        <v>24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>
        <v>0</v>
      </c>
      <c r="X151" s="4">
        <v>1</v>
      </c>
      <c r="Y151" s="4">
        <v>0</v>
      </c>
      <c r="Z151" s="4"/>
      <c r="AA151" s="4"/>
      <c r="AB151" s="4"/>
    </row>
    <row r="152" spans="1:245" x14ac:dyDescent="0.2">
      <c r="A152" s="4">
        <v>50</v>
      </c>
      <c r="B152" s="4">
        <v>0</v>
      </c>
      <c r="C152" s="4">
        <v>0</v>
      </c>
      <c r="D152" s="4">
        <v>1</v>
      </c>
      <c r="E152" s="4">
        <v>210</v>
      </c>
      <c r="F152" s="4">
        <f>ROUND(Source!X126,O152)</f>
        <v>0</v>
      </c>
      <c r="G152" s="4" t="s">
        <v>123</v>
      </c>
      <c r="H152" s="4" t="s">
        <v>124</v>
      </c>
      <c r="I152" s="4"/>
      <c r="J152" s="4"/>
      <c r="K152" s="4">
        <v>210</v>
      </c>
      <c r="L152" s="4">
        <v>25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>
        <v>0</v>
      </c>
      <c r="X152" s="4">
        <v>1</v>
      </c>
      <c r="Y152" s="4">
        <v>0</v>
      </c>
      <c r="Z152" s="4"/>
      <c r="AA152" s="4"/>
      <c r="AB152" s="4"/>
    </row>
    <row r="153" spans="1:245" x14ac:dyDescent="0.2">
      <c r="A153" s="4">
        <v>50</v>
      </c>
      <c r="B153" s="4">
        <v>0</v>
      </c>
      <c r="C153" s="4">
        <v>0</v>
      </c>
      <c r="D153" s="4">
        <v>1</v>
      </c>
      <c r="E153" s="4">
        <v>211</v>
      </c>
      <c r="F153" s="4">
        <f>ROUND(Source!Y126,O153)</f>
        <v>0</v>
      </c>
      <c r="G153" s="4" t="s">
        <v>125</v>
      </c>
      <c r="H153" s="4" t="s">
        <v>126</v>
      </c>
      <c r="I153" s="4"/>
      <c r="J153" s="4"/>
      <c r="K153" s="4">
        <v>211</v>
      </c>
      <c r="L153" s="4">
        <v>26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>
        <v>0</v>
      </c>
      <c r="X153" s="4">
        <v>1</v>
      </c>
      <c r="Y153" s="4">
        <v>0</v>
      </c>
      <c r="Z153" s="4"/>
      <c r="AA153" s="4"/>
      <c r="AB153" s="4"/>
    </row>
    <row r="154" spans="1:245" x14ac:dyDescent="0.2">
      <c r="A154" s="4">
        <v>50</v>
      </c>
      <c r="B154" s="4">
        <v>0</v>
      </c>
      <c r="C154" s="4">
        <v>0</v>
      </c>
      <c r="D154" s="4">
        <v>1</v>
      </c>
      <c r="E154" s="4">
        <v>224</v>
      </c>
      <c r="F154" s="4">
        <f>ROUND(Source!AR126,O154)</f>
        <v>558215.17000000004</v>
      </c>
      <c r="G154" s="4" t="s">
        <v>127</v>
      </c>
      <c r="H154" s="4" t="s">
        <v>128</v>
      </c>
      <c r="I154" s="4"/>
      <c r="J154" s="4"/>
      <c r="K154" s="4">
        <v>224</v>
      </c>
      <c r="L154" s="4">
        <v>27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>
        <v>558215.17000000004</v>
      </c>
      <c r="X154" s="4">
        <v>1</v>
      </c>
      <c r="Y154" s="4">
        <v>558215.17000000004</v>
      </c>
      <c r="Z154" s="4"/>
      <c r="AA154" s="4"/>
      <c r="AB154" s="4"/>
    </row>
    <row r="156" spans="1:245" x14ac:dyDescent="0.2">
      <c r="A156" s="1">
        <v>4</v>
      </c>
      <c r="B156" s="1">
        <v>1</v>
      </c>
      <c r="C156" s="1"/>
      <c r="D156" s="1">
        <f>ROW(A163)</f>
        <v>163</v>
      </c>
      <c r="E156" s="1"/>
      <c r="F156" s="1" t="s">
        <v>14</v>
      </c>
      <c r="G156" s="1" t="s">
        <v>175</v>
      </c>
      <c r="H156" s="1" t="s">
        <v>3</v>
      </c>
      <c r="I156" s="1">
        <v>0</v>
      </c>
      <c r="J156" s="1"/>
      <c r="K156" s="1">
        <v>-1</v>
      </c>
      <c r="L156" s="1"/>
      <c r="M156" s="1" t="s">
        <v>3</v>
      </c>
      <c r="N156" s="1"/>
      <c r="O156" s="1"/>
      <c r="P156" s="1"/>
      <c r="Q156" s="1"/>
      <c r="R156" s="1"/>
      <c r="S156" s="1">
        <v>0</v>
      </c>
      <c r="T156" s="1"/>
      <c r="U156" s="1" t="s">
        <v>3</v>
      </c>
      <c r="V156" s="1">
        <v>0</v>
      </c>
      <c r="W156" s="1"/>
      <c r="X156" s="1"/>
      <c r="Y156" s="1"/>
      <c r="Z156" s="1"/>
      <c r="AA156" s="1"/>
      <c r="AB156" s="1" t="s">
        <v>3</v>
      </c>
      <c r="AC156" s="1" t="s">
        <v>3</v>
      </c>
      <c r="AD156" s="1" t="s">
        <v>3</v>
      </c>
      <c r="AE156" s="1" t="s">
        <v>3</v>
      </c>
      <c r="AF156" s="1" t="s">
        <v>3</v>
      </c>
      <c r="AG156" s="1" t="s">
        <v>3</v>
      </c>
      <c r="AH156" s="1"/>
      <c r="AI156" s="1"/>
      <c r="AJ156" s="1"/>
      <c r="AK156" s="1"/>
      <c r="AL156" s="1"/>
      <c r="AM156" s="1"/>
      <c r="AN156" s="1"/>
      <c r="AO156" s="1"/>
      <c r="AP156" s="1" t="s">
        <v>3</v>
      </c>
      <c r="AQ156" s="1" t="s">
        <v>3</v>
      </c>
      <c r="AR156" s="1" t="s">
        <v>3</v>
      </c>
      <c r="AS156" s="1"/>
      <c r="AT156" s="1"/>
      <c r="AU156" s="1"/>
      <c r="AV156" s="1"/>
      <c r="AW156" s="1"/>
      <c r="AX156" s="1"/>
      <c r="AY156" s="1"/>
      <c r="AZ156" s="1" t="s">
        <v>3</v>
      </c>
      <c r="BA156" s="1"/>
      <c r="BB156" s="1" t="s">
        <v>3</v>
      </c>
      <c r="BC156" s="1" t="s">
        <v>3</v>
      </c>
      <c r="BD156" s="1" t="s">
        <v>3</v>
      </c>
      <c r="BE156" s="1" t="s">
        <v>3</v>
      </c>
      <c r="BF156" s="1" t="s">
        <v>3</v>
      </c>
      <c r="BG156" s="1" t="s">
        <v>3</v>
      </c>
      <c r="BH156" s="1" t="s">
        <v>3</v>
      </c>
      <c r="BI156" s="1" t="s">
        <v>3</v>
      </c>
      <c r="BJ156" s="1" t="s">
        <v>3</v>
      </c>
      <c r="BK156" s="1" t="s">
        <v>3</v>
      </c>
      <c r="BL156" s="1" t="s">
        <v>3</v>
      </c>
      <c r="BM156" s="1" t="s">
        <v>3</v>
      </c>
      <c r="BN156" s="1" t="s">
        <v>3</v>
      </c>
      <c r="BO156" s="1" t="s">
        <v>3</v>
      </c>
      <c r="BP156" s="1" t="s">
        <v>3</v>
      </c>
      <c r="BQ156" s="1"/>
      <c r="BR156" s="1"/>
      <c r="BS156" s="1"/>
      <c r="BT156" s="1"/>
      <c r="BU156" s="1"/>
      <c r="BV156" s="1"/>
      <c r="BW156" s="1"/>
      <c r="BX156" s="1">
        <v>0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>
        <v>0</v>
      </c>
    </row>
    <row r="158" spans="1:245" x14ac:dyDescent="0.2">
      <c r="A158" s="2">
        <v>52</v>
      </c>
      <c r="B158" s="2">
        <f t="shared" ref="B158:G158" si="148">B163</f>
        <v>1</v>
      </c>
      <c r="C158" s="2">
        <f t="shared" si="148"/>
        <v>4</v>
      </c>
      <c r="D158" s="2">
        <f t="shared" si="148"/>
        <v>156</v>
      </c>
      <c r="E158" s="2">
        <f t="shared" si="148"/>
        <v>0</v>
      </c>
      <c r="F158" s="2" t="str">
        <f t="shared" si="148"/>
        <v>Новый раздел</v>
      </c>
      <c r="G158" s="2" t="str">
        <f t="shared" si="148"/>
        <v>Вывоз грунта</v>
      </c>
      <c r="H158" s="2"/>
      <c r="I158" s="2"/>
      <c r="J158" s="2"/>
      <c r="K158" s="2"/>
      <c r="L158" s="2"/>
      <c r="M158" s="2"/>
      <c r="N158" s="2"/>
      <c r="O158" s="2">
        <f t="shared" ref="O158:AT158" si="149">O163</f>
        <v>12737.52</v>
      </c>
      <c r="P158" s="2">
        <f t="shared" si="149"/>
        <v>0</v>
      </c>
      <c r="Q158" s="2">
        <f t="shared" si="149"/>
        <v>12737.52</v>
      </c>
      <c r="R158" s="2">
        <f t="shared" si="149"/>
        <v>6718.04</v>
      </c>
      <c r="S158" s="2">
        <f t="shared" si="149"/>
        <v>0</v>
      </c>
      <c r="T158" s="2">
        <f t="shared" si="149"/>
        <v>0</v>
      </c>
      <c r="U158" s="2">
        <f t="shared" si="149"/>
        <v>0</v>
      </c>
      <c r="V158" s="2">
        <f t="shared" si="149"/>
        <v>0</v>
      </c>
      <c r="W158" s="2">
        <f t="shared" si="149"/>
        <v>0</v>
      </c>
      <c r="X158" s="2">
        <f t="shared" si="149"/>
        <v>0</v>
      </c>
      <c r="Y158" s="2">
        <f t="shared" si="149"/>
        <v>0</v>
      </c>
      <c r="Z158" s="2">
        <f t="shared" si="149"/>
        <v>0</v>
      </c>
      <c r="AA158" s="2">
        <f t="shared" si="149"/>
        <v>0</v>
      </c>
      <c r="AB158" s="2">
        <f t="shared" si="149"/>
        <v>12737.52</v>
      </c>
      <c r="AC158" s="2">
        <f t="shared" si="149"/>
        <v>0</v>
      </c>
      <c r="AD158" s="2">
        <f t="shared" si="149"/>
        <v>12737.52</v>
      </c>
      <c r="AE158" s="2">
        <f t="shared" si="149"/>
        <v>6718.04</v>
      </c>
      <c r="AF158" s="2">
        <f t="shared" si="149"/>
        <v>0</v>
      </c>
      <c r="AG158" s="2">
        <f t="shared" si="149"/>
        <v>0</v>
      </c>
      <c r="AH158" s="2">
        <f t="shared" si="149"/>
        <v>0</v>
      </c>
      <c r="AI158" s="2">
        <f t="shared" si="149"/>
        <v>0</v>
      </c>
      <c r="AJ158" s="2">
        <f t="shared" si="149"/>
        <v>0</v>
      </c>
      <c r="AK158" s="2">
        <f t="shared" si="149"/>
        <v>0</v>
      </c>
      <c r="AL158" s="2">
        <f t="shared" si="149"/>
        <v>0</v>
      </c>
      <c r="AM158" s="2">
        <f t="shared" si="149"/>
        <v>0</v>
      </c>
      <c r="AN158" s="2">
        <f t="shared" si="149"/>
        <v>0</v>
      </c>
      <c r="AO158" s="2">
        <f t="shared" si="149"/>
        <v>0</v>
      </c>
      <c r="AP158" s="2">
        <f t="shared" si="149"/>
        <v>0</v>
      </c>
      <c r="AQ158" s="2">
        <f t="shared" si="149"/>
        <v>0</v>
      </c>
      <c r="AR158" s="2">
        <f t="shared" si="149"/>
        <v>12737.52</v>
      </c>
      <c r="AS158" s="2">
        <f t="shared" si="149"/>
        <v>0</v>
      </c>
      <c r="AT158" s="2">
        <f t="shared" si="149"/>
        <v>0</v>
      </c>
      <c r="AU158" s="2">
        <f t="shared" ref="AU158:BZ158" si="150">AU163</f>
        <v>12737.52</v>
      </c>
      <c r="AV158" s="2">
        <f t="shared" si="150"/>
        <v>0</v>
      </c>
      <c r="AW158" s="2">
        <f t="shared" si="150"/>
        <v>0</v>
      </c>
      <c r="AX158" s="2">
        <f t="shared" si="150"/>
        <v>0</v>
      </c>
      <c r="AY158" s="2">
        <f t="shared" si="150"/>
        <v>0</v>
      </c>
      <c r="AZ158" s="2">
        <f t="shared" si="150"/>
        <v>0</v>
      </c>
      <c r="BA158" s="2">
        <f t="shared" si="150"/>
        <v>0</v>
      </c>
      <c r="BB158" s="2">
        <f t="shared" si="150"/>
        <v>0</v>
      </c>
      <c r="BC158" s="2">
        <f t="shared" si="150"/>
        <v>0</v>
      </c>
      <c r="BD158" s="2">
        <f t="shared" si="150"/>
        <v>0</v>
      </c>
      <c r="BE158" s="2">
        <f t="shared" si="150"/>
        <v>0</v>
      </c>
      <c r="BF158" s="2">
        <f t="shared" si="150"/>
        <v>0</v>
      </c>
      <c r="BG158" s="2">
        <f t="shared" si="150"/>
        <v>0</v>
      </c>
      <c r="BH158" s="2">
        <f t="shared" si="150"/>
        <v>0</v>
      </c>
      <c r="BI158" s="2">
        <f t="shared" si="150"/>
        <v>0</v>
      </c>
      <c r="BJ158" s="2">
        <f t="shared" si="150"/>
        <v>0</v>
      </c>
      <c r="BK158" s="2">
        <f t="shared" si="150"/>
        <v>0</v>
      </c>
      <c r="BL158" s="2">
        <f t="shared" si="150"/>
        <v>0</v>
      </c>
      <c r="BM158" s="2">
        <f t="shared" si="150"/>
        <v>0</v>
      </c>
      <c r="BN158" s="2">
        <f t="shared" si="150"/>
        <v>0</v>
      </c>
      <c r="BO158" s="2">
        <f t="shared" si="150"/>
        <v>0</v>
      </c>
      <c r="BP158" s="2">
        <f t="shared" si="150"/>
        <v>0</v>
      </c>
      <c r="BQ158" s="2">
        <f t="shared" si="150"/>
        <v>0</v>
      </c>
      <c r="BR158" s="2">
        <f t="shared" si="150"/>
        <v>0</v>
      </c>
      <c r="BS158" s="2">
        <f t="shared" si="150"/>
        <v>0</v>
      </c>
      <c r="BT158" s="2">
        <f t="shared" si="150"/>
        <v>0</v>
      </c>
      <c r="BU158" s="2">
        <f t="shared" si="150"/>
        <v>0</v>
      </c>
      <c r="BV158" s="2">
        <f t="shared" si="150"/>
        <v>0</v>
      </c>
      <c r="BW158" s="2">
        <f t="shared" si="150"/>
        <v>0</v>
      </c>
      <c r="BX158" s="2">
        <f t="shared" si="150"/>
        <v>0</v>
      </c>
      <c r="BY158" s="2">
        <f t="shared" si="150"/>
        <v>0</v>
      </c>
      <c r="BZ158" s="2">
        <f t="shared" si="150"/>
        <v>0</v>
      </c>
      <c r="CA158" s="2">
        <f t="shared" ref="CA158:DF158" si="151">CA163</f>
        <v>12737.52</v>
      </c>
      <c r="CB158" s="2">
        <f t="shared" si="151"/>
        <v>0</v>
      </c>
      <c r="CC158" s="2">
        <f t="shared" si="151"/>
        <v>0</v>
      </c>
      <c r="CD158" s="2">
        <f t="shared" si="151"/>
        <v>12737.52</v>
      </c>
      <c r="CE158" s="2">
        <f t="shared" si="151"/>
        <v>0</v>
      </c>
      <c r="CF158" s="2">
        <f t="shared" si="151"/>
        <v>0</v>
      </c>
      <c r="CG158" s="2">
        <f t="shared" si="151"/>
        <v>0</v>
      </c>
      <c r="CH158" s="2">
        <f t="shared" si="151"/>
        <v>0</v>
      </c>
      <c r="CI158" s="2">
        <f t="shared" si="151"/>
        <v>0</v>
      </c>
      <c r="CJ158" s="2">
        <f t="shared" si="151"/>
        <v>0</v>
      </c>
      <c r="CK158" s="2">
        <f t="shared" si="151"/>
        <v>0</v>
      </c>
      <c r="CL158" s="2">
        <f t="shared" si="151"/>
        <v>0</v>
      </c>
      <c r="CM158" s="2">
        <f t="shared" si="151"/>
        <v>0</v>
      </c>
      <c r="CN158" s="2">
        <f t="shared" si="151"/>
        <v>0</v>
      </c>
      <c r="CO158" s="2">
        <f t="shared" si="151"/>
        <v>0</v>
      </c>
      <c r="CP158" s="2">
        <f t="shared" si="151"/>
        <v>0</v>
      </c>
      <c r="CQ158" s="2">
        <f t="shared" si="151"/>
        <v>0</v>
      </c>
      <c r="CR158" s="2">
        <f t="shared" si="151"/>
        <v>0</v>
      </c>
      <c r="CS158" s="2">
        <f t="shared" si="151"/>
        <v>0</v>
      </c>
      <c r="CT158" s="2">
        <f t="shared" si="151"/>
        <v>0</v>
      </c>
      <c r="CU158" s="2">
        <f t="shared" si="151"/>
        <v>0</v>
      </c>
      <c r="CV158" s="2">
        <f t="shared" si="151"/>
        <v>0</v>
      </c>
      <c r="CW158" s="2">
        <f t="shared" si="151"/>
        <v>0</v>
      </c>
      <c r="CX158" s="2">
        <f t="shared" si="151"/>
        <v>0</v>
      </c>
      <c r="CY158" s="2">
        <f t="shared" si="151"/>
        <v>0</v>
      </c>
      <c r="CZ158" s="2">
        <f t="shared" si="151"/>
        <v>0</v>
      </c>
      <c r="DA158" s="2">
        <f t="shared" si="151"/>
        <v>0</v>
      </c>
      <c r="DB158" s="2">
        <f t="shared" si="151"/>
        <v>0</v>
      </c>
      <c r="DC158" s="2">
        <f t="shared" si="151"/>
        <v>0</v>
      </c>
      <c r="DD158" s="2">
        <f t="shared" si="151"/>
        <v>0</v>
      </c>
      <c r="DE158" s="2">
        <f t="shared" si="151"/>
        <v>0</v>
      </c>
      <c r="DF158" s="2">
        <f t="shared" si="151"/>
        <v>0</v>
      </c>
      <c r="DG158" s="3">
        <f t="shared" ref="DG158:EL158" si="152">DG163</f>
        <v>0</v>
      </c>
      <c r="DH158" s="3">
        <f t="shared" si="152"/>
        <v>0</v>
      </c>
      <c r="DI158" s="3">
        <f t="shared" si="152"/>
        <v>0</v>
      </c>
      <c r="DJ158" s="3">
        <f t="shared" si="152"/>
        <v>0</v>
      </c>
      <c r="DK158" s="3">
        <f t="shared" si="152"/>
        <v>0</v>
      </c>
      <c r="DL158" s="3">
        <f t="shared" si="152"/>
        <v>0</v>
      </c>
      <c r="DM158" s="3">
        <f t="shared" si="152"/>
        <v>0</v>
      </c>
      <c r="DN158" s="3">
        <f t="shared" si="152"/>
        <v>0</v>
      </c>
      <c r="DO158" s="3">
        <f t="shared" si="152"/>
        <v>0</v>
      </c>
      <c r="DP158" s="3">
        <f t="shared" si="152"/>
        <v>0</v>
      </c>
      <c r="DQ158" s="3">
        <f t="shared" si="152"/>
        <v>0</v>
      </c>
      <c r="DR158" s="3">
        <f t="shared" si="152"/>
        <v>0</v>
      </c>
      <c r="DS158" s="3">
        <f t="shared" si="152"/>
        <v>0</v>
      </c>
      <c r="DT158" s="3">
        <f t="shared" si="152"/>
        <v>0</v>
      </c>
      <c r="DU158" s="3">
        <f t="shared" si="152"/>
        <v>0</v>
      </c>
      <c r="DV158" s="3">
        <f t="shared" si="152"/>
        <v>0</v>
      </c>
      <c r="DW158" s="3">
        <f t="shared" si="152"/>
        <v>0</v>
      </c>
      <c r="DX158" s="3">
        <f t="shared" si="152"/>
        <v>0</v>
      </c>
      <c r="DY158" s="3">
        <f t="shared" si="152"/>
        <v>0</v>
      </c>
      <c r="DZ158" s="3">
        <f t="shared" si="152"/>
        <v>0</v>
      </c>
      <c r="EA158" s="3">
        <f t="shared" si="152"/>
        <v>0</v>
      </c>
      <c r="EB158" s="3">
        <f t="shared" si="152"/>
        <v>0</v>
      </c>
      <c r="EC158" s="3">
        <f t="shared" si="152"/>
        <v>0</v>
      </c>
      <c r="ED158" s="3">
        <f t="shared" si="152"/>
        <v>0</v>
      </c>
      <c r="EE158" s="3">
        <f t="shared" si="152"/>
        <v>0</v>
      </c>
      <c r="EF158" s="3">
        <f t="shared" si="152"/>
        <v>0</v>
      </c>
      <c r="EG158" s="3">
        <f t="shared" si="152"/>
        <v>0</v>
      </c>
      <c r="EH158" s="3">
        <f t="shared" si="152"/>
        <v>0</v>
      </c>
      <c r="EI158" s="3">
        <f t="shared" si="152"/>
        <v>0</v>
      </c>
      <c r="EJ158" s="3">
        <f t="shared" si="152"/>
        <v>0</v>
      </c>
      <c r="EK158" s="3">
        <f t="shared" si="152"/>
        <v>0</v>
      </c>
      <c r="EL158" s="3">
        <f t="shared" si="152"/>
        <v>0</v>
      </c>
      <c r="EM158" s="3">
        <f t="shared" ref="EM158:FR158" si="153">EM163</f>
        <v>0</v>
      </c>
      <c r="EN158" s="3">
        <f t="shared" si="153"/>
        <v>0</v>
      </c>
      <c r="EO158" s="3">
        <f t="shared" si="153"/>
        <v>0</v>
      </c>
      <c r="EP158" s="3">
        <f t="shared" si="153"/>
        <v>0</v>
      </c>
      <c r="EQ158" s="3">
        <f t="shared" si="153"/>
        <v>0</v>
      </c>
      <c r="ER158" s="3">
        <f t="shared" si="153"/>
        <v>0</v>
      </c>
      <c r="ES158" s="3">
        <f t="shared" si="153"/>
        <v>0</v>
      </c>
      <c r="ET158" s="3">
        <f t="shared" si="153"/>
        <v>0</v>
      </c>
      <c r="EU158" s="3">
        <f t="shared" si="153"/>
        <v>0</v>
      </c>
      <c r="EV158" s="3">
        <f t="shared" si="153"/>
        <v>0</v>
      </c>
      <c r="EW158" s="3">
        <f t="shared" si="153"/>
        <v>0</v>
      </c>
      <c r="EX158" s="3">
        <f t="shared" si="153"/>
        <v>0</v>
      </c>
      <c r="EY158" s="3">
        <f t="shared" si="153"/>
        <v>0</v>
      </c>
      <c r="EZ158" s="3">
        <f t="shared" si="153"/>
        <v>0</v>
      </c>
      <c r="FA158" s="3">
        <f t="shared" si="153"/>
        <v>0</v>
      </c>
      <c r="FB158" s="3">
        <f t="shared" si="153"/>
        <v>0</v>
      </c>
      <c r="FC158" s="3">
        <f t="shared" si="153"/>
        <v>0</v>
      </c>
      <c r="FD158" s="3">
        <f t="shared" si="153"/>
        <v>0</v>
      </c>
      <c r="FE158" s="3">
        <f t="shared" si="153"/>
        <v>0</v>
      </c>
      <c r="FF158" s="3">
        <f t="shared" si="153"/>
        <v>0</v>
      </c>
      <c r="FG158" s="3">
        <f t="shared" si="153"/>
        <v>0</v>
      </c>
      <c r="FH158" s="3">
        <f t="shared" si="153"/>
        <v>0</v>
      </c>
      <c r="FI158" s="3">
        <f t="shared" si="153"/>
        <v>0</v>
      </c>
      <c r="FJ158" s="3">
        <f t="shared" si="153"/>
        <v>0</v>
      </c>
      <c r="FK158" s="3">
        <f t="shared" si="153"/>
        <v>0</v>
      </c>
      <c r="FL158" s="3">
        <f t="shared" si="153"/>
        <v>0</v>
      </c>
      <c r="FM158" s="3">
        <f t="shared" si="153"/>
        <v>0</v>
      </c>
      <c r="FN158" s="3">
        <f t="shared" si="153"/>
        <v>0</v>
      </c>
      <c r="FO158" s="3">
        <f t="shared" si="153"/>
        <v>0</v>
      </c>
      <c r="FP158" s="3">
        <f t="shared" si="153"/>
        <v>0</v>
      </c>
      <c r="FQ158" s="3">
        <f t="shared" si="153"/>
        <v>0</v>
      </c>
      <c r="FR158" s="3">
        <f t="shared" si="153"/>
        <v>0</v>
      </c>
      <c r="FS158" s="3">
        <f t="shared" ref="FS158:GX158" si="154">FS163</f>
        <v>0</v>
      </c>
      <c r="FT158" s="3">
        <f t="shared" si="154"/>
        <v>0</v>
      </c>
      <c r="FU158" s="3">
        <f t="shared" si="154"/>
        <v>0</v>
      </c>
      <c r="FV158" s="3">
        <f t="shared" si="154"/>
        <v>0</v>
      </c>
      <c r="FW158" s="3">
        <f t="shared" si="154"/>
        <v>0</v>
      </c>
      <c r="FX158" s="3">
        <f t="shared" si="154"/>
        <v>0</v>
      </c>
      <c r="FY158" s="3">
        <f t="shared" si="154"/>
        <v>0</v>
      </c>
      <c r="FZ158" s="3">
        <f t="shared" si="154"/>
        <v>0</v>
      </c>
      <c r="GA158" s="3">
        <f t="shared" si="154"/>
        <v>0</v>
      </c>
      <c r="GB158" s="3">
        <f t="shared" si="154"/>
        <v>0</v>
      </c>
      <c r="GC158" s="3">
        <f t="shared" si="154"/>
        <v>0</v>
      </c>
      <c r="GD158" s="3">
        <f t="shared" si="154"/>
        <v>0</v>
      </c>
      <c r="GE158" s="3">
        <f t="shared" si="154"/>
        <v>0</v>
      </c>
      <c r="GF158" s="3">
        <f t="shared" si="154"/>
        <v>0</v>
      </c>
      <c r="GG158" s="3">
        <f t="shared" si="154"/>
        <v>0</v>
      </c>
      <c r="GH158" s="3">
        <f t="shared" si="154"/>
        <v>0</v>
      </c>
      <c r="GI158" s="3">
        <f t="shared" si="154"/>
        <v>0</v>
      </c>
      <c r="GJ158" s="3">
        <f t="shared" si="154"/>
        <v>0</v>
      </c>
      <c r="GK158" s="3">
        <f t="shared" si="154"/>
        <v>0</v>
      </c>
      <c r="GL158" s="3">
        <f t="shared" si="154"/>
        <v>0</v>
      </c>
      <c r="GM158" s="3">
        <f t="shared" si="154"/>
        <v>0</v>
      </c>
      <c r="GN158" s="3">
        <f t="shared" si="154"/>
        <v>0</v>
      </c>
      <c r="GO158" s="3">
        <f t="shared" si="154"/>
        <v>0</v>
      </c>
      <c r="GP158" s="3">
        <f t="shared" si="154"/>
        <v>0</v>
      </c>
      <c r="GQ158" s="3">
        <f t="shared" si="154"/>
        <v>0</v>
      </c>
      <c r="GR158" s="3">
        <f t="shared" si="154"/>
        <v>0</v>
      </c>
      <c r="GS158" s="3">
        <f t="shared" si="154"/>
        <v>0</v>
      </c>
      <c r="GT158" s="3">
        <f t="shared" si="154"/>
        <v>0</v>
      </c>
      <c r="GU158" s="3">
        <f t="shared" si="154"/>
        <v>0</v>
      </c>
      <c r="GV158" s="3">
        <f t="shared" si="154"/>
        <v>0</v>
      </c>
      <c r="GW158" s="3">
        <f t="shared" si="154"/>
        <v>0</v>
      </c>
      <c r="GX158" s="3">
        <f t="shared" si="154"/>
        <v>0</v>
      </c>
    </row>
    <row r="160" spans="1:245" x14ac:dyDescent="0.2">
      <c r="A160">
        <v>17</v>
      </c>
      <c r="B160">
        <v>1</v>
      </c>
      <c r="C160">
        <f>ROW(SmtRes!A109)</f>
        <v>109</v>
      </c>
      <c r="D160">
        <f>ROW(EtalonRes!A109)</f>
        <v>109</v>
      </c>
      <c r="E160" t="s">
        <v>176</v>
      </c>
      <c r="F160" t="s">
        <v>177</v>
      </c>
      <c r="G160" t="s">
        <v>178</v>
      </c>
      <c r="H160" t="s">
        <v>179</v>
      </c>
      <c r="I160">
        <v>14.4</v>
      </c>
      <c r="J160">
        <v>0</v>
      </c>
      <c r="K160">
        <v>14.4</v>
      </c>
      <c r="O160">
        <f>ROUND(CP160,2)</f>
        <v>772.85</v>
      </c>
      <c r="P160">
        <f>ROUND(CQ160*I160,2)</f>
        <v>0</v>
      </c>
      <c r="Q160">
        <f>ROUND(CR160*I160,2)</f>
        <v>772.85</v>
      </c>
      <c r="R160">
        <f>ROUND(CS160*I160,2)</f>
        <v>407.38</v>
      </c>
      <c r="S160">
        <f>ROUND(CT160*I160,2)</f>
        <v>0</v>
      </c>
      <c r="T160">
        <f>ROUND(CU160*I160,2)</f>
        <v>0</v>
      </c>
      <c r="U160">
        <f>CV160*I160</f>
        <v>0</v>
      </c>
      <c r="V160">
        <f>CW160*I160</f>
        <v>0</v>
      </c>
      <c r="W160">
        <f>ROUND(CX160*I160,2)</f>
        <v>0</v>
      </c>
      <c r="X160">
        <f>ROUND(CY160,2)</f>
        <v>0</v>
      </c>
      <c r="Y160">
        <f>ROUND(CZ160,2)</f>
        <v>0</v>
      </c>
      <c r="AA160">
        <v>36602762</v>
      </c>
      <c r="AB160">
        <f>ROUND((AC160+AD160+AF160),6)</f>
        <v>53.67</v>
      </c>
      <c r="AC160">
        <f>ROUND((ES160),6)</f>
        <v>0</v>
      </c>
      <c r="AD160">
        <f>ROUND((((ET160)-(EU160))+AE160),6)</f>
        <v>53.67</v>
      </c>
      <c r="AE160">
        <f>ROUND((EU160),6)</f>
        <v>28.29</v>
      </c>
      <c r="AF160">
        <f>ROUND((EV160),6)</f>
        <v>0</v>
      </c>
      <c r="AG160">
        <f>ROUND((AP160),6)</f>
        <v>0</v>
      </c>
      <c r="AH160">
        <f>(EW160)</f>
        <v>0</v>
      </c>
      <c r="AI160">
        <f>(EX160)</f>
        <v>0</v>
      </c>
      <c r="AJ160">
        <f>(AS160)</f>
        <v>0</v>
      </c>
      <c r="AK160">
        <v>53.67</v>
      </c>
      <c r="AL160">
        <v>0</v>
      </c>
      <c r="AM160">
        <v>53.67</v>
      </c>
      <c r="AN160">
        <v>28.29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Z160">
        <v>1</v>
      </c>
      <c r="BA160">
        <v>1</v>
      </c>
      <c r="BB160">
        <v>1</v>
      </c>
      <c r="BC160">
        <v>1</v>
      </c>
      <c r="BD160" t="s">
        <v>3</v>
      </c>
      <c r="BE160" t="s">
        <v>3</v>
      </c>
      <c r="BF160" t="s">
        <v>3</v>
      </c>
      <c r="BG160" t="s">
        <v>3</v>
      </c>
      <c r="BH160">
        <v>0</v>
      </c>
      <c r="BI160">
        <v>4</v>
      </c>
      <c r="BJ160" t="s">
        <v>180</v>
      </c>
      <c r="BM160">
        <v>1</v>
      </c>
      <c r="BN160">
        <v>0</v>
      </c>
      <c r="BO160" t="s">
        <v>3</v>
      </c>
      <c r="BP160">
        <v>0</v>
      </c>
      <c r="BQ160">
        <v>1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 t="s">
        <v>3</v>
      </c>
      <c r="BZ160">
        <v>0</v>
      </c>
      <c r="CA160">
        <v>0</v>
      </c>
      <c r="CB160" t="s">
        <v>3</v>
      </c>
      <c r="CE160">
        <v>0</v>
      </c>
      <c r="CF160">
        <v>0</v>
      </c>
      <c r="CG160">
        <v>0</v>
      </c>
      <c r="CM160">
        <v>0</v>
      </c>
      <c r="CN160" t="s">
        <v>3</v>
      </c>
      <c r="CO160">
        <v>0</v>
      </c>
      <c r="CP160">
        <f>(P160+Q160+S160)</f>
        <v>772.85</v>
      </c>
      <c r="CQ160">
        <f>(AC160*BC160*AW160)</f>
        <v>0</v>
      </c>
      <c r="CR160">
        <f>((((ET160)*BB160-(EU160)*BS160)+AE160*BS160)*AV160)</f>
        <v>53.67</v>
      </c>
      <c r="CS160">
        <f>(AE160*BS160*AV160)</f>
        <v>28.29</v>
      </c>
      <c r="CT160">
        <f>(AF160*BA160*AV160)</f>
        <v>0</v>
      </c>
      <c r="CU160">
        <f>AG160</f>
        <v>0</v>
      </c>
      <c r="CV160">
        <f>(AH160*AV160)</f>
        <v>0</v>
      </c>
      <c r="CW160">
        <f>AI160</f>
        <v>0</v>
      </c>
      <c r="CX160">
        <f>AJ160</f>
        <v>0</v>
      </c>
      <c r="CY160">
        <f>((S160*BZ160)/100)</f>
        <v>0</v>
      </c>
      <c r="CZ160">
        <f>((S160*CA160)/100)</f>
        <v>0</v>
      </c>
      <c r="DC160" t="s">
        <v>3</v>
      </c>
      <c r="DD160" t="s">
        <v>3</v>
      </c>
      <c r="DE160" t="s">
        <v>3</v>
      </c>
      <c r="DF160" t="s">
        <v>3</v>
      </c>
      <c r="DG160" t="s">
        <v>3</v>
      </c>
      <c r="DH160" t="s">
        <v>3</v>
      </c>
      <c r="DI160" t="s">
        <v>3</v>
      </c>
      <c r="DJ160" t="s">
        <v>3</v>
      </c>
      <c r="DK160" t="s">
        <v>3</v>
      </c>
      <c r="DL160" t="s">
        <v>3</v>
      </c>
      <c r="DM160" t="s">
        <v>3</v>
      </c>
      <c r="DN160">
        <v>0</v>
      </c>
      <c r="DO160">
        <v>0</v>
      </c>
      <c r="DP160">
        <v>1</v>
      </c>
      <c r="DQ160">
        <v>1</v>
      </c>
      <c r="DU160">
        <v>1007</v>
      </c>
      <c r="DV160" t="s">
        <v>179</v>
      </c>
      <c r="DW160" t="s">
        <v>179</v>
      </c>
      <c r="DX160">
        <v>1</v>
      </c>
      <c r="DZ160" t="s">
        <v>3</v>
      </c>
      <c r="EA160" t="s">
        <v>3</v>
      </c>
      <c r="EB160" t="s">
        <v>3</v>
      </c>
      <c r="EC160" t="s">
        <v>3</v>
      </c>
      <c r="EE160">
        <v>36274426</v>
      </c>
      <c r="EF160">
        <v>1</v>
      </c>
      <c r="EG160" t="s">
        <v>21</v>
      </c>
      <c r="EH160">
        <v>0</v>
      </c>
      <c r="EI160" t="s">
        <v>3</v>
      </c>
      <c r="EJ160">
        <v>4</v>
      </c>
      <c r="EK160">
        <v>1</v>
      </c>
      <c r="EL160" t="s">
        <v>160</v>
      </c>
      <c r="EM160" t="s">
        <v>23</v>
      </c>
      <c r="EO160" t="s">
        <v>3</v>
      </c>
      <c r="EQ160">
        <v>0</v>
      </c>
      <c r="ER160">
        <v>53.67</v>
      </c>
      <c r="ES160">
        <v>0</v>
      </c>
      <c r="ET160">
        <v>53.67</v>
      </c>
      <c r="EU160">
        <v>28.29</v>
      </c>
      <c r="EV160">
        <v>0</v>
      </c>
      <c r="EW160">
        <v>0</v>
      </c>
      <c r="EX160">
        <v>0</v>
      </c>
      <c r="EY160">
        <v>0</v>
      </c>
      <c r="FQ160">
        <v>0</v>
      </c>
      <c r="FR160">
        <f>ROUND(IF(AND(BH160=3,BI160=3),P160,0),2)</f>
        <v>0</v>
      </c>
      <c r="FS160">
        <v>0</v>
      </c>
      <c r="FX160">
        <v>0</v>
      </c>
      <c r="FY160">
        <v>0</v>
      </c>
      <c r="GA160" t="s">
        <v>3</v>
      </c>
      <c r="GD160">
        <v>1</v>
      </c>
      <c r="GF160">
        <v>2027776687</v>
      </c>
      <c r="GG160">
        <v>2</v>
      </c>
      <c r="GH160">
        <v>1</v>
      </c>
      <c r="GI160">
        <v>-2</v>
      </c>
      <c r="GJ160">
        <v>0</v>
      </c>
      <c r="GK160">
        <v>0</v>
      </c>
      <c r="GL160">
        <f>ROUND(IF(AND(BH160=3,BI160=3,FS160&lt;&gt;0),P160,0),2)</f>
        <v>0</v>
      </c>
      <c r="GM160">
        <f>ROUND(O160+X160+Y160,2)+GX160</f>
        <v>772.85</v>
      </c>
      <c r="GN160">
        <f>IF(OR(BI160=0,BI160=1),ROUND(O160+X160+Y160,2),0)</f>
        <v>0</v>
      </c>
      <c r="GO160">
        <f>IF(BI160=2,ROUND(O160+X160+Y160,2),0)</f>
        <v>0</v>
      </c>
      <c r="GP160">
        <f>IF(BI160=4,ROUND(O160+X160+Y160,2)+GX160,0)</f>
        <v>772.85</v>
      </c>
      <c r="GR160">
        <v>0</v>
      </c>
      <c r="GS160">
        <v>0</v>
      </c>
      <c r="GT160">
        <v>0</v>
      </c>
      <c r="GU160" t="s">
        <v>3</v>
      </c>
      <c r="GV160">
        <f>ROUND((GT160),6)</f>
        <v>0</v>
      </c>
      <c r="GW160">
        <v>1</v>
      </c>
      <c r="GX160">
        <f>ROUND(HC160*I160,2)</f>
        <v>0</v>
      </c>
      <c r="HA160">
        <v>0</v>
      </c>
      <c r="HB160">
        <v>0</v>
      </c>
      <c r="HC160">
        <f>GV160*GW160</f>
        <v>0</v>
      </c>
      <c r="HE160" t="s">
        <v>3</v>
      </c>
      <c r="HF160" t="s">
        <v>3</v>
      </c>
      <c r="HM160" t="s">
        <v>3</v>
      </c>
      <c r="HN160" t="s">
        <v>3</v>
      </c>
      <c r="HO160" t="s">
        <v>3</v>
      </c>
      <c r="HP160" t="s">
        <v>3</v>
      </c>
      <c r="HQ160" t="s">
        <v>3</v>
      </c>
      <c r="IK160">
        <v>0</v>
      </c>
    </row>
    <row r="161" spans="1:245" x14ac:dyDescent="0.2">
      <c r="A161">
        <v>17</v>
      </c>
      <c r="B161">
        <v>1</v>
      </c>
      <c r="C161">
        <f>ROW(SmtRes!A110)</f>
        <v>110</v>
      </c>
      <c r="D161">
        <f>ROW(EtalonRes!A110)</f>
        <v>110</v>
      </c>
      <c r="E161" t="s">
        <v>181</v>
      </c>
      <c r="F161" t="s">
        <v>182</v>
      </c>
      <c r="G161" t="s">
        <v>183</v>
      </c>
      <c r="H161" t="s">
        <v>179</v>
      </c>
      <c r="I161">
        <v>14.4</v>
      </c>
      <c r="J161">
        <v>0</v>
      </c>
      <c r="K161">
        <v>14.4</v>
      </c>
      <c r="O161">
        <f>ROUND(CP161,2)</f>
        <v>11964.67</v>
      </c>
      <c r="P161">
        <f>ROUND(CQ161*I161,2)</f>
        <v>0</v>
      </c>
      <c r="Q161">
        <f>ROUND(CR161*I161,2)</f>
        <v>11964.67</v>
      </c>
      <c r="R161">
        <f>ROUND(CS161*I161,2)</f>
        <v>6310.66</v>
      </c>
      <c r="S161">
        <f>ROUND(CT161*I161,2)</f>
        <v>0</v>
      </c>
      <c r="T161">
        <f>ROUND(CU161*I161,2)</f>
        <v>0</v>
      </c>
      <c r="U161">
        <f>CV161*I161</f>
        <v>0</v>
      </c>
      <c r="V161">
        <f>CW161*I161</f>
        <v>0</v>
      </c>
      <c r="W161">
        <f>ROUND(CX161*I161,2)</f>
        <v>0</v>
      </c>
      <c r="X161">
        <f>ROUND(CY161,2)</f>
        <v>0</v>
      </c>
      <c r="Y161">
        <f>ROUND(CZ161,2)</f>
        <v>0</v>
      </c>
      <c r="AA161">
        <v>36602762</v>
      </c>
      <c r="AB161">
        <f>ROUND((AC161+AD161+AF161),6)</f>
        <v>830.88</v>
      </c>
      <c r="AC161">
        <f>ROUND(((ES161*48)),6)</f>
        <v>0</v>
      </c>
      <c r="AD161">
        <f>ROUND(((((ET161*48))-((EU161*48)))+AE161),6)</f>
        <v>830.88</v>
      </c>
      <c r="AE161">
        <f>ROUND(((EU161*48)),6)</f>
        <v>438.24</v>
      </c>
      <c r="AF161">
        <f>ROUND(((EV161*48)),6)</f>
        <v>0</v>
      </c>
      <c r="AG161">
        <f>ROUND((AP161),6)</f>
        <v>0</v>
      </c>
      <c r="AH161">
        <f>((EW161*48))</f>
        <v>0</v>
      </c>
      <c r="AI161">
        <f>((EX161*48))</f>
        <v>0</v>
      </c>
      <c r="AJ161">
        <f>(AS161)</f>
        <v>0</v>
      </c>
      <c r="AK161">
        <v>17.309999999999999</v>
      </c>
      <c r="AL161">
        <v>0</v>
      </c>
      <c r="AM161">
        <v>17.309999999999999</v>
      </c>
      <c r="AN161">
        <v>9.1300000000000008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Z161">
        <v>1</v>
      </c>
      <c r="BA161">
        <v>1</v>
      </c>
      <c r="BB161">
        <v>1</v>
      </c>
      <c r="BC161">
        <v>1</v>
      </c>
      <c r="BD161" t="s">
        <v>3</v>
      </c>
      <c r="BE161" t="s">
        <v>3</v>
      </c>
      <c r="BF161" t="s">
        <v>3</v>
      </c>
      <c r="BG161" t="s">
        <v>3</v>
      </c>
      <c r="BH161">
        <v>0</v>
      </c>
      <c r="BI161">
        <v>4</v>
      </c>
      <c r="BJ161" t="s">
        <v>184</v>
      </c>
      <c r="BM161">
        <v>1</v>
      </c>
      <c r="BN161">
        <v>0</v>
      </c>
      <c r="BO161" t="s">
        <v>3</v>
      </c>
      <c r="BP161">
        <v>0</v>
      </c>
      <c r="BQ161">
        <v>1</v>
      </c>
      <c r="BR161">
        <v>0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 t="s">
        <v>3</v>
      </c>
      <c r="BZ161">
        <v>0</v>
      </c>
      <c r="CA161">
        <v>0</v>
      </c>
      <c r="CB161" t="s">
        <v>3</v>
      </c>
      <c r="CE161">
        <v>0</v>
      </c>
      <c r="CF161">
        <v>0</v>
      </c>
      <c r="CG161">
        <v>0</v>
      </c>
      <c r="CM161">
        <v>0</v>
      </c>
      <c r="CN161" t="s">
        <v>3</v>
      </c>
      <c r="CO161">
        <v>0</v>
      </c>
      <c r="CP161">
        <f>(P161+Q161+S161)</f>
        <v>11964.67</v>
      </c>
      <c r="CQ161">
        <f>(AC161*BC161*AW161)</f>
        <v>0</v>
      </c>
      <c r="CR161">
        <f>(((((ET161*48))*BB161-((EU161*48))*BS161)+AE161*BS161)*AV161)</f>
        <v>830.87999999999988</v>
      </c>
      <c r="CS161">
        <f>(AE161*BS161*AV161)</f>
        <v>438.24</v>
      </c>
      <c r="CT161">
        <f>(AF161*BA161*AV161)</f>
        <v>0</v>
      </c>
      <c r="CU161">
        <f>AG161</f>
        <v>0</v>
      </c>
      <c r="CV161">
        <f>(AH161*AV161)</f>
        <v>0</v>
      </c>
      <c r="CW161">
        <f>AI161</f>
        <v>0</v>
      </c>
      <c r="CX161">
        <f>AJ161</f>
        <v>0</v>
      </c>
      <c r="CY161">
        <f>((S161*BZ161)/100)</f>
        <v>0</v>
      </c>
      <c r="CZ161">
        <f>((S161*CA161)/100)</f>
        <v>0</v>
      </c>
      <c r="DC161" t="s">
        <v>3</v>
      </c>
      <c r="DD161" t="s">
        <v>165</v>
      </c>
      <c r="DE161" t="s">
        <v>165</v>
      </c>
      <c r="DF161" t="s">
        <v>165</v>
      </c>
      <c r="DG161" t="s">
        <v>165</v>
      </c>
      <c r="DH161" t="s">
        <v>3</v>
      </c>
      <c r="DI161" t="s">
        <v>165</v>
      </c>
      <c r="DJ161" t="s">
        <v>165</v>
      </c>
      <c r="DK161" t="s">
        <v>3</v>
      </c>
      <c r="DL161" t="s">
        <v>3</v>
      </c>
      <c r="DM161" t="s">
        <v>3</v>
      </c>
      <c r="DN161">
        <v>0</v>
      </c>
      <c r="DO161">
        <v>0</v>
      </c>
      <c r="DP161">
        <v>1</v>
      </c>
      <c r="DQ161">
        <v>1</v>
      </c>
      <c r="DU161">
        <v>1007</v>
      </c>
      <c r="DV161" t="s">
        <v>179</v>
      </c>
      <c r="DW161" t="s">
        <v>179</v>
      </c>
      <c r="DX161">
        <v>1</v>
      </c>
      <c r="DZ161" t="s">
        <v>3</v>
      </c>
      <c r="EA161" t="s">
        <v>3</v>
      </c>
      <c r="EB161" t="s">
        <v>3</v>
      </c>
      <c r="EC161" t="s">
        <v>3</v>
      </c>
      <c r="EE161">
        <v>36274426</v>
      </c>
      <c r="EF161">
        <v>1</v>
      </c>
      <c r="EG161" t="s">
        <v>21</v>
      </c>
      <c r="EH161">
        <v>0</v>
      </c>
      <c r="EI161" t="s">
        <v>3</v>
      </c>
      <c r="EJ161">
        <v>4</v>
      </c>
      <c r="EK161">
        <v>1</v>
      </c>
      <c r="EL161" t="s">
        <v>160</v>
      </c>
      <c r="EM161" t="s">
        <v>23</v>
      </c>
      <c r="EO161" t="s">
        <v>3</v>
      </c>
      <c r="EQ161">
        <v>0</v>
      </c>
      <c r="ER161">
        <v>17.309999999999999</v>
      </c>
      <c r="ES161">
        <v>0</v>
      </c>
      <c r="ET161">
        <v>17.309999999999999</v>
      </c>
      <c r="EU161">
        <v>9.1300000000000008</v>
      </c>
      <c r="EV161">
        <v>0</v>
      </c>
      <c r="EW161">
        <v>0</v>
      </c>
      <c r="EX161">
        <v>0</v>
      </c>
      <c r="EY161">
        <v>0</v>
      </c>
      <c r="FQ161">
        <v>0</v>
      </c>
      <c r="FR161">
        <f>ROUND(IF(AND(BH161=3,BI161=3),P161,0),2)</f>
        <v>0</v>
      </c>
      <c r="FS161">
        <v>0</v>
      </c>
      <c r="FX161">
        <v>0</v>
      </c>
      <c r="FY161">
        <v>0</v>
      </c>
      <c r="GA161" t="s">
        <v>3</v>
      </c>
      <c r="GD161">
        <v>1</v>
      </c>
      <c r="GF161">
        <v>-657136503</v>
      </c>
      <c r="GG161">
        <v>2</v>
      </c>
      <c r="GH161">
        <v>1</v>
      </c>
      <c r="GI161">
        <v>-2</v>
      </c>
      <c r="GJ161">
        <v>0</v>
      </c>
      <c r="GK161">
        <v>0</v>
      </c>
      <c r="GL161">
        <f>ROUND(IF(AND(BH161=3,BI161=3,FS161&lt;&gt;0),P161,0),2)</f>
        <v>0</v>
      </c>
      <c r="GM161">
        <f>ROUND(O161+X161+Y161,2)+GX161</f>
        <v>11964.67</v>
      </c>
      <c r="GN161">
        <f>IF(OR(BI161=0,BI161=1),ROUND(O161+X161+Y161,2),0)</f>
        <v>0</v>
      </c>
      <c r="GO161">
        <f>IF(BI161=2,ROUND(O161+X161+Y161,2),0)</f>
        <v>0</v>
      </c>
      <c r="GP161">
        <f>IF(BI161=4,ROUND(O161+X161+Y161,2)+GX161,0)</f>
        <v>11964.67</v>
      </c>
      <c r="GR161">
        <v>0</v>
      </c>
      <c r="GS161">
        <v>0</v>
      </c>
      <c r="GT161">
        <v>0</v>
      </c>
      <c r="GU161" t="s">
        <v>3</v>
      </c>
      <c r="GV161">
        <f>ROUND((GT161),6)</f>
        <v>0</v>
      </c>
      <c r="GW161">
        <v>1</v>
      </c>
      <c r="GX161">
        <f>ROUND(HC161*I161,2)</f>
        <v>0</v>
      </c>
      <c r="HA161">
        <v>0</v>
      </c>
      <c r="HB161">
        <v>0</v>
      </c>
      <c r="HC161">
        <f>GV161*GW161</f>
        <v>0</v>
      </c>
      <c r="HE161" t="s">
        <v>3</v>
      </c>
      <c r="HF161" t="s">
        <v>3</v>
      </c>
      <c r="HM161" t="s">
        <v>3</v>
      </c>
      <c r="HN161" t="s">
        <v>3</v>
      </c>
      <c r="HO161" t="s">
        <v>3</v>
      </c>
      <c r="HP161" t="s">
        <v>3</v>
      </c>
      <c r="HQ161" t="s">
        <v>3</v>
      </c>
      <c r="IK161">
        <v>0</v>
      </c>
    </row>
    <row r="163" spans="1:245" x14ac:dyDescent="0.2">
      <c r="A163" s="2">
        <v>51</v>
      </c>
      <c r="B163" s="2">
        <f>B156</f>
        <v>1</v>
      </c>
      <c r="C163" s="2">
        <f>A156</f>
        <v>4</v>
      </c>
      <c r="D163" s="2">
        <f>ROW(A156)</f>
        <v>156</v>
      </c>
      <c r="E163" s="2"/>
      <c r="F163" s="2" t="str">
        <f>IF(F156&lt;&gt;"",F156,"")</f>
        <v>Новый раздел</v>
      </c>
      <c r="G163" s="2" t="str">
        <f>IF(G156&lt;&gt;"",G156,"")</f>
        <v>Вывоз грунта</v>
      </c>
      <c r="H163" s="2">
        <v>0</v>
      </c>
      <c r="I163" s="2"/>
      <c r="J163" s="2"/>
      <c r="K163" s="2"/>
      <c r="L163" s="2"/>
      <c r="M163" s="2"/>
      <c r="N163" s="2"/>
      <c r="O163" s="2">
        <f t="shared" ref="O163:T163" si="155">ROUND(AB163,2)</f>
        <v>12737.52</v>
      </c>
      <c r="P163" s="2">
        <f t="shared" si="155"/>
        <v>0</v>
      </c>
      <c r="Q163" s="2">
        <f t="shared" si="155"/>
        <v>12737.52</v>
      </c>
      <c r="R163" s="2">
        <f t="shared" si="155"/>
        <v>6718.04</v>
      </c>
      <c r="S163" s="2">
        <f t="shared" si="155"/>
        <v>0</v>
      </c>
      <c r="T163" s="2">
        <f t="shared" si="155"/>
        <v>0</v>
      </c>
      <c r="U163" s="2">
        <f>AH163</f>
        <v>0</v>
      </c>
      <c r="V163" s="2">
        <f>AI163</f>
        <v>0</v>
      </c>
      <c r="W163" s="2">
        <f>ROUND(AJ163,2)</f>
        <v>0</v>
      </c>
      <c r="X163" s="2">
        <f>ROUND(AK163,2)</f>
        <v>0</v>
      </c>
      <c r="Y163" s="2">
        <f>ROUND(AL163,2)</f>
        <v>0</v>
      </c>
      <c r="Z163" s="2"/>
      <c r="AA163" s="2"/>
      <c r="AB163" s="2">
        <f>ROUND(SUMIF(AA160:AA161,"=36602762",O160:O161),2)</f>
        <v>12737.52</v>
      </c>
      <c r="AC163" s="2">
        <f>ROUND(SUMIF(AA160:AA161,"=36602762",P160:P161),2)</f>
        <v>0</v>
      </c>
      <c r="AD163" s="2">
        <f>ROUND(SUMIF(AA160:AA161,"=36602762",Q160:Q161),2)</f>
        <v>12737.52</v>
      </c>
      <c r="AE163" s="2">
        <f>ROUND(SUMIF(AA160:AA161,"=36602762",R160:R161),2)</f>
        <v>6718.04</v>
      </c>
      <c r="AF163" s="2">
        <f>ROUND(SUMIF(AA160:AA161,"=36602762",S160:S161),2)</f>
        <v>0</v>
      </c>
      <c r="AG163" s="2">
        <f>ROUND(SUMIF(AA160:AA161,"=36602762",T160:T161),2)</f>
        <v>0</v>
      </c>
      <c r="AH163" s="2">
        <f>SUMIF(AA160:AA161,"=36602762",U160:U161)</f>
        <v>0</v>
      </c>
      <c r="AI163" s="2">
        <f>SUMIF(AA160:AA161,"=36602762",V160:V161)</f>
        <v>0</v>
      </c>
      <c r="AJ163" s="2">
        <f>ROUND(SUMIF(AA160:AA161,"=36602762",W160:W161),2)</f>
        <v>0</v>
      </c>
      <c r="AK163" s="2">
        <f>ROUND(SUMIF(AA160:AA161,"=36602762",X160:X161),2)</f>
        <v>0</v>
      </c>
      <c r="AL163" s="2">
        <f>ROUND(SUMIF(AA160:AA161,"=36602762",Y160:Y161),2)</f>
        <v>0</v>
      </c>
      <c r="AM163" s="2"/>
      <c r="AN163" s="2"/>
      <c r="AO163" s="2">
        <f t="shared" ref="AO163:BD163" si="156">ROUND(BX163,2)</f>
        <v>0</v>
      </c>
      <c r="AP163" s="2">
        <f t="shared" si="156"/>
        <v>0</v>
      </c>
      <c r="AQ163" s="2">
        <f t="shared" si="156"/>
        <v>0</v>
      </c>
      <c r="AR163" s="2">
        <f t="shared" si="156"/>
        <v>12737.52</v>
      </c>
      <c r="AS163" s="2">
        <f t="shared" si="156"/>
        <v>0</v>
      </c>
      <c r="AT163" s="2">
        <f t="shared" si="156"/>
        <v>0</v>
      </c>
      <c r="AU163" s="2">
        <f t="shared" si="156"/>
        <v>12737.52</v>
      </c>
      <c r="AV163" s="2">
        <f t="shared" si="156"/>
        <v>0</v>
      </c>
      <c r="AW163" s="2">
        <f t="shared" si="156"/>
        <v>0</v>
      </c>
      <c r="AX163" s="2">
        <f t="shared" si="156"/>
        <v>0</v>
      </c>
      <c r="AY163" s="2">
        <f t="shared" si="156"/>
        <v>0</v>
      </c>
      <c r="AZ163" s="2">
        <f t="shared" si="156"/>
        <v>0</v>
      </c>
      <c r="BA163" s="2">
        <f t="shared" si="156"/>
        <v>0</v>
      </c>
      <c r="BB163" s="2">
        <f t="shared" si="156"/>
        <v>0</v>
      </c>
      <c r="BC163" s="2">
        <f t="shared" si="156"/>
        <v>0</v>
      </c>
      <c r="BD163" s="2">
        <f t="shared" si="156"/>
        <v>0</v>
      </c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>
        <f>ROUND(SUMIF(AA160:AA161,"=36602762",FQ160:FQ161),2)</f>
        <v>0</v>
      </c>
      <c r="BY163" s="2">
        <f>ROUND(SUMIF(AA160:AA161,"=36602762",FR160:FR161),2)</f>
        <v>0</v>
      </c>
      <c r="BZ163" s="2">
        <f>ROUND(SUMIF(AA160:AA161,"=36602762",GL160:GL161),2)</f>
        <v>0</v>
      </c>
      <c r="CA163" s="2">
        <f>ROUND(SUMIF(AA160:AA161,"=36602762",GM160:GM161),2)</f>
        <v>12737.52</v>
      </c>
      <c r="CB163" s="2">
        <f>ROUND(SUMIF(AA160:AA161,"=36602762",GN160:GN161),2)</f>
        <v>0</v>
      </c>
      <c r="CC163" s="2">
        <f>ROUND(SUMIF(AA160:AA161,"=36602762",GO160:GO161),2)</f>
        <v>0</v>
      </c>
      <c r="CD163" s="2">
        <f>ROUND(SUMIF(AA160:AA161,"=36602762",GP160:GP161),2)</f>
        <v>12737.52</v>
      </c>
      <c r="CE163" s="2">
        <f>AC163-BX163</f>
        <v>0</v>
      </c>
      <c r="CF163" s="2">
        <f>AC163-BY163</f>
        <v>0</v>
      </c>
      <c r="CG163" s="2">
        <f>BX163-BZ163</f>
        <v>0</v>
      </c>
      <c r="CH163" s="2">
        <f>AC163-BX163-BY163+BZ163</f>
        <v>0</v>
      </c>
      <c r="CI163" s="2">
        <f>BY163-BZ163</f>
        <v>0</v>
      </c>
      <c r="CJ163" s="2">
        <f>ROUND(SUMIF(AA160:AA161,"=36602762",GX160:GX161),2)</f>
        <v>0</v>
      </c>
      <c r="CK163" s="2">
        <f>ROUND(SUMIF(AA160:AA161,"=36602762",GY160:GY161),2)</f>
        <v>0</v>
      </c>
      <c r="CL163" s="2">
        <f>ROUND(SUMIF(AA160:AA161,"=36602762",GZ160:GZ161),2)</f>
        <v>0</v>
      </c>
      <c r="CM163" s="2">
        <f>ROUND(SUMIF(AA160:AA161,"=36602762",HD160:HD161),2)</f>
        <v>0</v>
      </c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>
        <v>0</v>
      </c>
    </row>
    <row r="165" spans="1:245" x14ac:dyDescent="0.2">
      <c r="A165" s="4">
        <v>50</v>
      </c>
      <c r="B165" s="4">
        <v>0</v>
      </c>
      <c r="C165" s="4">
        <v>0</v>
      </c>
      <c r="D165" s="4">
        <v>1</v>
      </c>
      <c r="E165" s="4">
        <v>201</v>
      </c>
      <c r="F165" s="4">
        <f>ROUND(Source!O163,O165)</f>
        <v>12737.52</v>
      </c>
      <c r="G165" s="4" t="s">
        <v>75</v>
      </c>
      <c r="H165" s="4" t="s">
        <v>76</v>
      </c>
      <c r="I165" s="4"/>
      <c r="J165" s="4"/>
      <c r="K165" s="4">
        <v>201</v>
      </c>
      <c r="L165" s="4">
        <v>1</v>
      </c>
      <c r="M165" s="4">
        <v>3</v>
      </c>
      <c r="N165" s="4" t="s">
        <v>3</v>
      </c>
      <c r="O165" s="4">
        <v>2</v>
      </c>
      <c r="P165" s="4"/>
      <c r="Q165" s="4"/>
      <c r="R165" s="4"/>
      <c r="S165" s="4"/>
      <c r="T165" s="4"/>
      <c r="U165" s="4"/>
      <c r="V165" s="4"/>
      <c r="W165" s="4">
        <v>12737.52</v>
      </c>
      <c r="X165" s="4">
        <v>1</v>
      </c>
      <c r="Y165" s="4">
        <v>12737.52</v>
      </c>
      <c r="Z165" s="4"/>
      <c r="AA165" s="4"/>
      <c r="AB165" s="4"/>
    </row>
    <row r="166" spans="1:245" x14ac:dyDescent="0.2">
      <c r="A166" s="4">
        <v>50</v>
      </c>
      <c r="B166" s="4">
        <v>0</v>
      </c>
      <c r="C166" s="4">
        <v>0</v>
      </c>
      <c r="D166" s="4">
        <v>1</v>
      </c>
      <c r="E166" s="4">
        <v>202</v>
      </c>
      <c r="F166" s="4">
        <f>ROUND(Source!P163,O166)</f>
        <v>0</v>
      </c>
      <c r="G166" s="4" t="s">
        <v>77</v>
      </c>
      <c r="H166" s="4" t="s">
        <v>78</v>
      </c>
      <c r="I166" s="4"/>
      <c r="J166" s="4"/>
      <c r="K166" s="4">
        <v>202</v>
      </c>
      <c r="L166" s="4">
        <v>2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>
        <v>0</v>
      </c>
      <c r="X166" s="4">
        <v>1</v>
      </c>
      <c r="Y166" s="4">
        <v>0</v>
      </c>
      <c r="Z166" s="4"/>
      <c r="AA166" s="4"/>
      <c r="AB166" s="4"/>
    </row>
    <row r="167" spans="1:245" x14ac:dyDescent="0.2">
      <c r="A167" s="4">
        <v>50</v>
      </c>
      <c r="B167" s="4">
        <v>0</v>
      </c>
      <c r="C167" s="4">
        <v>0</v>
      </c>
      <c r="D167" s="4">
        <v>1</v>
      </c>
      <c r="E167" s="4">
        <v>222</v>
      </c>
      <c r="F167" s="4">
        <f>ROUND(Source!AO163,O167)</f>
        <v>0</v>
      </c>
      <c r="G167" s="4" t="s">
        <v>79</v>
      </c>
      <c r="H167" s="4" t="s">
        <v>80</v>
      </c>
      <c r="I167" s="4"/>
      <c r="J167" s="4"/>
      <c r="K167" s="4">
        <v>222</v>
      </c>
      <c r="L167" s="4">
        <v>3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>
        <v>0</v>
      </c>
      <c r="X167" s="4">
        <v>1</v>
      </c>
      <c r="Y167" s="4">
        <v>0</v>
      </c>
      <c r="Z167" s="4"/>
      <c r="AA167" s="4"/>
      <c r="AB167" s="4"/>
    </row>
    <row r="168" spans="1:245" x14ac:dyDescent="0.2">
      <c r="A168" s="4">
        <v>50</v>
      </c>
      <c r="B168" s="4">
        <v>0</v>
      </c>
      <c r="C168" s="4">
        <v>0</v>
      </c>
      <c r="D168" s="4">
        <v>1</v>
      </c>
      <c r="E168" s="4">
        <v>225</v>
      </c>
      <c r="F168" s="4">
        <f>ROUND(Source!AV163,O168)</f>
        <v>0</v>
      </c>
      <c r="G168" s="4" t="s">
        <v>81</v>
      </c>
      <c r="H168" s="4" t="s">
        <v>82</v>
      </c>
      <c r="I168" s="4"/>
      <c r="J168" s="4"/>
      <c r="K168" s="4">
        <v>225</v>
      </c>
      <c r="L168" s="4">
        <v>4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>
        <v>0</v>
      </c>
      <c r="X168" s="4">
        <v>1</v>
      </c>
      <c r="Y168" s="4">
        <v>0</v>
      </c>
      <c r="Z168" s="4"/>
      <c r="AA168" s="4"/>
      <c r="AB168" s="4"/>
    </row>
    <row r="169" spans="1:245" x14ac:dyDescent="0.2">
      <c r="A169" s="4">
        <v>50</v>
      </c>
      <c r="B169" s="4">
        <v>0</v>
      </c>
      <c r="C169" s="4">
        <v>0</v>
      </c>
      <c r="D169" s="4">
        <v>1</v>
      </c>
      <c r="E169" s="4">
        <v>226</v>
      </c>
      <c r="F169" s="4">
        <f>ROUND(Source!AW163,O169)</f>
        <v>0</v>
      </c>
      <c r="G169" s="4" t="s">
        <v>83</v>
      </c>
      <c r="H169" s="4" t="s">
        <v>84</v>
      </c>
      <c r="I169" s="4"/>
      <c r="J169" s="4"/>
      <c r="K169" s="4">
        <v>226</v>
      </c>
      <c r="L169" s="4">
        <v>5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>
        <v>0</v>
      </c>
      <c r="X169" s="4">
        <v>1</v>
      </c>
      <c r="Y169" s="4">
        <v>0</v>
      </c>
      <c r="Z169" s="4"/>
      <c r="AA169" s="4"/>
      <c r="AB169" s="4"/>
    </row>
    <row r="170" spans="1:245" x14ac:dyDescent="0.2">
      <c r="A170" s="4">
        <v>50</v>
      </c>
      <c r="B170" s="4">
        <v>0</v>
      </c>
      <c r="C170" s="4">
        <v>0</v>
      </c>
      <c r="D170" s="4">
        <v>1</v>
      </c>
      <c r="E170" s="4">
        <v>227</v>
      </c>
      <c r="F170" s="4">
        <f>ROUND(Source!AX163,O170)</f>
        <v>0</v>
      </c>
      <c r="G170" s="4" t="s">
        <v>85</v>
      </c>
      <c r="H170" s="4" t="s">
        <v>86</v>
      </c>
      <c r="I170" s="4"/>
      <c r="J170" s="4"/>
      <c r="K170" s="4">
        <v>227</v>
      </c>
      <c r="L170" s="4">
        <v>6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>
        <v>0</v>
      </c>
      <c r="X170" s="4">
        <v>1</v>
      </c>
      <c r="Y170" s="4">
        <v>0</v>
      </c>
      <c r="Z170" s="4"/>
      <c r="AA170" s="4"/>
      <c r="AB170" s="4"/>
    </row>
    <row r="171" spans="1:245" x14ac:dyDescent="0.2">
      <c r="A171" s="4">
        <v>50</v>
      </c>
      <c r="B171" s="4">
        <v>0</v>
      </c>
      <c r="C171" s="4">
        <v>0</v>
      </c>
      <c r="D171" s="4">
        <v>1</v>
      </c>
      <c r="E171" s="4">
        <v>228</v>
      </c>
      <c r="F171" s="4">
        <f>ROUND(Source!AY163,O171)</f>
        <v>0</v>
      </c>
      <c r="G171" s="4" t="s">
        <v>87</v>
      </c>
      <c r="H171" s="4" t="s">
        <v>88</v>
      </c>
      <c r="I171" s="4"/>
      <c r="J171" s="4"/>
      <c r="K171" s="4">
        <v>228</v>
      </c>
      <c r="L171" s="4">
        <v>7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>
        <v>0</v>
      </c>
      <c r="X171" s="4">
        <v>1</v>
      </c>
      <c r="Y171" s="4">
        <v>0</v>
      </c>
      <c r="Z171" s="4"/>
      <c r="AA171" s="4"/>
      <c r="AB171" s="4"/>
    </row>
    <row r="172" spans="1:245" x14ac:dyDescent="0.2">
      <c r="A172" s="4">
        <v>50</v>
      </c>
      <c r="B172" s="4">
        <v>0</v>
      </c>
      <c r="C172" s="4">
        <v>0</v>
      </c>
      <c r="D172" s="4">
        <v>1</v>
      </c>
      <c r="E172" s="4">
        <v>216</v>
      </c>
      <c r="F172" s="4">
        <f>ROUND(Source!AP163,O172)</f>
        <v>0</v>
      </c>
      <c r="G172" s="4" t="s">
        <v>89</v>
      </c>
      <c r="H172" s="4" t="s">
        <v>90</v>
      </c>
      <c r="I172" s="4"/>
      <c r="J172" s="4"/>
      <c r="K172" s="4">
        <v>216</v>
      </c>
      <c r="L172" s="4">
        <v>8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>
        <v>0</v>
      </c>
      <c r="X172" s="4">
        <v>1</v>
      </c>
      <c r="Y172" s="4">
        <v>0</v>
      </c>
      <c r="Z172" s="4"/>
      <c r="AA172" s="4"/>
      <c r="AB172" s="4"/>
    </row>
    <row r="173" spans="1:245" x14ac:dyDescent="0.2">
      <c r="A173" s="4">
        <v>50</v>
      </c>
      <c r="B173" s="4">
        <v>0</v>
      </c>
      <c r="C173" s="4">
        <v>0</v>
      </c>
      <c r="D173" s="4">
        <v>1</v>
      </c>
      <c r="E173" s="4">
        <v>223</v>
      </c>
      <c r="F173" s="4">
        <f>ROUND(Source!AQ163,O173)</f>
        <v>0</v>
      </c>
      <c r="G173" s="4" t="s">
        <v>91</v>
      </c>
      <c r="H173" s="4" t="s">
        <v>92</v>
      </c>
      <c r="I173" s="4"/>
      <c r="J173" s="4"/>
      <c r="K173" s="4">
        <v>223</v>
      </c>
      <c r="L173" s="4">
        <v>9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>
        <v>0</v>
      </c>
      <c r="X173" s="4">
        <v>1</v>
      </c>
      <c r="Y173" s="4">
        <v>0</v>
      </c>
      <c r="Z173" s="4"/>
      <c r="AA173" s="4"/>
      <c r="AB173" s="4"/>
    </row>
    <row r="174" spans="1:245" x14ac:dyDescent="0.2">
      <c r="A174" s="4">
        <v>50</v>
      </c>
      <c r="B174" s="4">
        <v>0</v>
      </c>
      <c r="C174" s="4">
        <v>0</v>
      </c>
      <c r="D174" s="4">
        <v>1</v>
      </c>
      <c r="E174" s="4">
        <v>229</v>
      </c>
      <c r="F174" s="4">
        <f>ROUND(Source!AZ163,O174)</f>
        <v>0</v>
      </c>
      <c r="G174" s="4" t="s">
        <v>93</v>
      </c>
      <c r="H174" s="4" t="s">
        <v>94</v>
      </c>
      <c r="I174" s="4"/>
      <c r="J174" s="4"/>
      <c r="K174" s="4">
        <v>229</v>
      </c>
      <c r="L174" s="4">
        <v>10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>
        <v>0</v>
      </c>
      <c r="X174" s="4">
        <v>1</v>
      </c>
      <c r="Y174" s="4">
        <v>0</v>
      </c>
      <c r="Z174" s="4"/>
      <c r="AA174" s="4"/>
      <c r="AB174" s="4"/>
    </row>
    <row r="175" spans="1:245" x14ac:dyDescent="0.2">
      <c r="A175" s="4">
        <v>50</v>
      </c>
      <c r="B175" s="4">
        <v>0</v>
      </c>
      <c r="C175" s="4">
        <v>0</v>
      </c>
      <c r="D175" s="4">
        <v>1</v>
      </c>
      <c r="E175" s="4">
        <v>203</v>
      </c>
      <c r="F175" s="4">
        <f>ROUND(Source!Q163,O175)</f>
        <v>12737.52</v>
      </c>
      <c r="G175" s="4" t="s">
        <v>95</v>
      </c>
      <c r="H175" s="4" t="s">
        <v>96</v>
      </c>
      <c r="I175" s="4"/>
      <c r="J175" s="4"/>
      <c r="K175" s="4">
        <v>203</v>
      </c>
      <c r="L175" s="4">
        <v>11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>
        <v>12737.52</v>
      </c>
      <c r="X175" s="4">
        <v>1</v>
      </c>
      <c r="Y175" s="4">
        <v>12737.52</v>
      </c>
      <c r="Z175" s="4"/>
      <c r="AA175" s="4"/>
      <c r="AB175" s="4"/>
    </row>
    <row r="176" spans="1:245" x14ac:dyDescent="0.2">
      <c r="A176" s="4">
        <v>50</v>
      </c>
      <c r="B176" s="4">
        <v>0</v>
      </c>
      <c r="C176" s="4">
        <v>0</v>
      </c>
      <c r="D176" s="4">
        <v>1</v>
      </c>
      <c r="E176" s="4">
        <v>231</v>
      </c>
      <c r="F176" s="4">
        <f>ROUND(Source!BB163,O176)</f>
        <v>0</v>
      </c>
      <c r="G176" s="4" t="s">
        <v>97</v>
      </c>
      <c r="H176" s="4" t="s">
        <v>98</v>
      </c>
      <c r="I176" s="4"/>
      <c r="J176" s="4"/>
      <c r="K176" s="4">
        <v>231</v>
      </c>
      <c r="L176" s="4">
        <v>12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>
        <v>0</v>
      </c>
      <c r="X176" s="4">
        <v>1</v>
      </c>
      <c r="Y176" s="4">
        <v>0</v>
      </c>
      <c r="Z176" s="4"/>
      <c r="AA176" s="4"/>
      <c r="AB176" s="4"/>
    </row>
    <row r="177" spans="1:28" x14ac:dyDescent="0.2">
      <c r="A177" s="4">
        <v>50</v>
      </c>
      <c r="B177" s="4">
        <v>0</v>
      </c>
      <c r="C177" s="4">
        <v>0</v>
      </c>
      <c r="D177" s="4">
        <v>1</v>
      </c>
      <c r="E177" s="4">
        <v>204</v>
      </c>
      <c r="F177" s="4">
        <f>ROUND(Source!R163,O177)</f>
        <v>6718.04</v>
      </c>
      <c r="G177" s="4" t="s">
        <v>99</v>
      </c>
      <c r="H177" s="4" t="s">
        <v>100</v>
      </c>
      <c r="I177" s="4"/>
      <c r="J177" s="4"/>
      <c r="K177" s="4">
        <v>204</v>
      </c>
      <c r="L177" s="4">
        <v>13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>
        <v>6718.04</v>
      </c>
      <c r="X177" s="4">
        <v>1</v>
      </c>
      <c r="Y177" s="4">
        <v>6718.04</v>
      </c>
      <c r="Z177" s="4"/>
      <c r="AA177" s="4"/>
      <c r="AB177" s="4"/>
    </row>
    <row r="178" spans="1:28" x14ac:dyDescent="0.2">
      <c r="A178" s="4">
        <v>50</v>
      </c>
      <c r="B178" s="4">
        <v>0</v>
      </c>
      <c r="C178" s="4">
        <v>0</v>
      </c>
      <c r="D178" s="4">
        <v>1</v>
      </c>
      <c r="E178" s="4">
        <v>205</v>
      </c>
      <c r="F178" s="4">
        <f>ROUND(Source!S163,O178)</f>
        <v>0</v>
      </c>
      <c r="G178" s="4" t="s">
        <v>101</v>
      </c>
      <c r="H178" s="4" t="s">
        <v>102</v>
      </c>
      <c r="I178" s="4"/>
      <c r="J178" s="4"/>
      <c r="K178" s="4">
        <v>205</v>
      </c>
      <c r="L178" s="4">
        <v>14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>
        <v>0</v>
      </c>
      <c r="X178" s="4">
        <v>1</v>
      </c>
      <c r="Y178" s="4">
        <v>0</v>
      </c>
      <c r="Z178" s="4"/>
      <c r="AA178" s="4"/>
      <c r="AB178" s="4"/>
    </row>
    <row r="179" spans="1:28" x14ac:dyDescent="0.2">
      <c r="A179" s="4">
        <v>50</v>
      </c>
      <c r="B179" s="4">
        <v>0</v>
      </c>
      <c r="C179" s="4">
        <v>0</v>
      </c>
      <c r="D179" s="4">
        <v>1</v>
      </c>
      <c r="E179" s="4">
        <v>232</v>
      </c>
      <c r="F179" s="4">
        <f>ROUND(Source!BC163,O179)</f>
        <v>0</v>
      </c>
      <c r="G179" s="4" t="s">
        <v>103</v>
      </c>
      <c r="H179" s="4" t="s">
        <v>104</v>
      </c>
      <c r="I179" s="4"/>
      <c r="J179" s="4"/>
      <c r="K179" s="4">
        <v>232</v>
      </c>
      <c r="L179" s="4">
        <v>15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>
        <v>0</v>
      </c>
      <c r="X179" s="4">
        <v>1</v>
      </c>
      <c r="Y179" s="4">
        <v>0</v>
      </c>
      <c r="Z179" s="4"/>
      <c r="AA179" s="4"/>
      <c r="AB179" s="4"/>
    </row>
    <row r="180" spans="1:28" x14ac:dyDescent="0.2">
      <c r="A180" s="4">
        <v>50</v>
      </c>
      <c r="B180" s="4">
        <v>0</v>
      </c>
      <c r="C180" s="4">
        <v>0</v>
      </c>
      <c r="D180" s="4">
        <v>1</v>
      </c>
      <c r="E180" s="4">
        <v>214</v>
      </c>
      <c r="F180" s="4">
        <f>ROUND(Source!AS163,O180)</f>
        <v>0</v>
      </c>
      <c r="G180" s="4" t="s">
        <v>105</v>
      </c>
      <c r="H180" s="4" t="s">
        <v>106</v>
      </c>
      <c r="I180" s="4"/>
      <c r="J180" s="4"/>
      <c r="K180" s="4">
        <v>214</v>
      </c>
      <c r="L180" s="4">
        <v>16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>
        <v>0</v>
      </c>
      <c r="X180" s="4">
        <v>1</v>
      </c>
      <c r="Y180" s="4">
        <v>0</v>
      </c>
      <c r="Z180" s="4"/>
      <c r="AA180" s="4"/>
      <c r="AB180" s="4"/>
    </row>
    <row r="181" spans="1:28" x14ac:dyDescent="0.2">
      <c r="A181" s="4">
        <v>50</v>
      </c>
      <c r="B181" s="4">
        <v>0</v>
      </c>
      <c r="C181" s="4">
        <v>0</v>
      </c>
      <c r="D181" s="4">
        <v>1</v>
      </c>
      <c r="E181" s="4">
        <v>215</v>
      </c>
      <c r="F181" s="4">
        <f>ROUND(Source!AT163,O181)</f>
        <v>0</v>
      </c>
      <c r="G181" s="4" t="s">
        <v>107</v>
      </c>
      <c r="H181" s="4" t="s">
        <v>108</v>
      </c>
      <c r="I181" s="4"/>
      <c r="J181" s="4"/>
      <c r="K181" s="4">
        <v>215</v>
      </c>
      <c r="L181" s="4">
        <v>17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>
        <v>0</v>
      </c>
      <c r="X181" s="4">
        <v>1</v>
      </c>
      <c r="Y181" s="4">
        <v>0</v>
      </c>
      <c r="Z181" s="4"/>
      <c r="AA181" s="4"/>
      <c r="AB181" s="4"/>
    </row>
    <row r="182" spans="1:28" x14ac:dyDescent="0.2">
      <c r="A182" s="4">
        <v>50</v>
      </c>
      <c r="B182" s="4">
        <v>0</v>
      </c>
      <c r="C182" s="4">
        <v>0</v>
      </c>
      <c r="D182" s="4">
        <v>1</v>
      </c>
      <c r="E182" s="4">
        <v>217</v>
      </c>
      <c r="F182" s="4">
        <f>ROUND(Source!AU163,O182)</f>
        <v>12737.52</v>
      </c>
      <c r="G182" s="4" t="s">
        <v>109</v>
      </c>
      <c r="H182" s="4" t="s">
        <v>110</v>
      </c>
      <c r="I182" s="4"/>
      <c r="J182" s="4"/>
      <c r="K182" s="4">
        <v>217</v>
      </c>
      <c r="L182" s="4">
        <v>18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>
        <v>12737.52</v>
      </c>
      <c r="X182" s="4">
        <v>1</v>
      </c>
      <c r="Y182" s="4">
        <v>12737.52</v>
      </c>
      <c r="Z182" s="4"/>
      <c r="AA182" s="4"/>
      <c r="AB182" s="4"/>
    </row>
    <row r="183" spans="1:28" x14ac:dyDescent="0.2">
      <c r="A183" s="4">
        <v>50</v>
      </c>
      <c r="B183" s="4">
        <v>0</v>
      </c>
      <c r="C183" s="4">
        <v>0</v>
      </c>
      <c r="D183" s="4">
        <v>1</v>
      </c>
      <c r="E183" s="4">
        <v>230</v>
      </c>
      <c r="F183" s="4">
        <f>ROUND(Source!BA163,O183)</f>
        <v>0</v>
      </c>
      <c r="G183" s="4" t="s">
        <v>111</v>
      </c>
      <c r="H183" s="4" t="s">
        <v>112</v>
      </c>
      <c r="I183" s="4"/>
      <c r="J183" s="4"/>
      <c r="K183" s="4">
        <v>230</v>
      </c>
      <c r="L183" s="4">
        <v>19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>
        <v>0</v>
      </c>
      <c r="X183" s="4">
        <v>1</v>
      </c>
      <c r="Y183" s="4">
        <v>0</v>
      </c>
      <c r="Z183" s="4"/>
      <c r="AA183" s="4"/>
      <c r="AB183" s="4"/>
    </row>
    <row r="184" spans="1:28" x14ac:dyDescent="0.2">
      <c r="A184" s="4">
        <v>50</v>
      </c>
      <c r="B184" s="4">
        <v>0</v>
      </c>
      <c r="C184" s="4">
        <v>0</v>
      </c>
      <c r="D184" s="4">
        <v>1</v>
      </c>
      <c r="E184" s="4">
        <v>206</v>
      </c>
      <c r="F184" s="4">
        <f>ROUND(Source!T163,O184)</f>
        <v>0</v>
      </c>
      <c r="G184" s="4" t="s">
        <v>113</v>
      </c>
      <c r="H184" s="4" t="s">
        <v>114</v>
      </c>
      <c r="I184" s="4"/>
      <c r="J184" s="4"/>
      <c r="K184" s="4">
        <v>206</v>
      </c>
      <c r="L184" s="4">
        <v>20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>
        <v>0</v>
      </c>
      <c r="X184" s="4">
        <v>1</v>
      </c>
      <c r="Y184" s="4">
        <v>0</v>
      </c>
      <c r="Z184" s="4"/>
      <c r="AA184" s="4"/>
      <c r="AB184" s="4"/>
    </row>
    <row r="185" spans="1:28" x14ac:dyDescent="0.2">
      <c r="A185" s="4">
        <v>50</v>
      </c>
      <c r="B185" s="4">
        <v>0</v>
      </c>
      <c r="C185" s="4">
        <v>0</v>
      </c>
      <c r="D185" s="4">
        <v>1</v>
      </c>
      <c r="E185" s="4">
        <v>207</v>
      </c>
      <c r="F185" s="4">
        <f>Source!U163</f>
        <v>0</v>
      </c>
      <c r="G185" s="4" t="s">
        <v>115</v>
      </c>
      <c r="H185" s="4" t="s">
        <v>116</v>
      </c>
      <c r="I185" s="4"/>
      <c r="J185" s="4"/>
      <c r="K185" s="4">
        <v>207</v>
      </c>
      <c r="L185" s="4">
        <v>21</v>
      </c>
      <c r="M185" s="4">
        <v>3</v>
      </c>
      <c r="N185" s="4" t="s">
        <v>3</v>
      </c>
      <c r="O185" s="4">
        <v>-1</v>
      </c>
      <c r="P185" s="4"/>
      <c r="Q185" s="4"/>
      <c r="R185" s="4"/>
      <c r="S185" s="4"/>
      <c r="T185" s="4"/>
      <c r="U185" s="4"/>
      <c r="V185" s="4"/>
      <c r="W185" s="4">
        <v>0</v>
      </c>
      <c r="X185" s="4">
        <v>1</v>
      </c>
      <c r="Y185" s="4">
        <v>0</v>
      </c>
      <c r="Z185" s="4"/>
      <c r="AA185" s="4"/>
      <c r="AB185" s="4"/>
    </row>
    <row r="186" spans="1:28" x14ac:dyDescent="0.2">
      <c r="A186" s="4">
        <v>50</v>
      </c>
      <c r="B186" s="4">
        <v>0</v>
      </c>
      <c r="C186" s="4">
        <v>0</v>
      </c>
      <c r="D186" s="4">
        <v>1</v>
      </c>
      <c r="E186" s="4">
        <v>208</v>
      </c>
      <c r="F186" s="4">
        <f>Source!V163</f>
        <v>0</v>
      </c>
      <c r="G186" s="4" t="s">
        <v>117</v>
      </c>
      <c r="H186" s="4" t="s">
        <v>118</v>
      </c>
      <c r="I186" s="4"/>
      <c r="J186" s="4"/>
      <c r="K186" s="4">
        <v>208</v>
      </c>
      <c r="L186" s="4">
        <v>22</v>
      </c>
      <c r="M186" s="4">
        <v>3</v>
      </c>
      <c r="N186" s="4" t="s">
        <v>3</v>
      </c>
      <c r="O186" s="4">
        <v>-1</v>
      </c>
      <c r="P186" s="4"/>
      <c r="Q186" s="4"/>
      <c r="R186" s="4"/>
      <c r="S186" s="4"/>
      <c r="T186" s="4"/>
      <c r="U186" s="4"/>
      <c r="V186" s="4"/>
      <c r="W186" s="4">
        <v>0</v>
      </c>
      <c r="X186" s="4">
        <v>1</v>
      </c>
      <c r="Y186" s="4">
        <v>0</v>
      </c>
      <c r="Z186" s="4"/>
      <c r="AA186" s="4"/>
      <c r="AB186" s="4"/>
    </row>
    <row r="187" spans="1:28" x14ac:dyDescent="0.2">
      <c r="A187" s="4">
        <v>50</v>
      </c>
      <c r="B187" s="4">
        <v>0</v>
      </c>
      <c r="C187" s="4">
        <v>0</v>
      </c>
      <c r="D187" s="4">
        <v>1</v>
      </c>
      <c r="E187" s="4">
        <v>209</v>
      </c>
      <c r="F187" s="4">
        <f>ROUND(Source!W163,O187)</f>
        <v>0</v>
      </c>
      <c r="G187" s="4" t="s">
        <v>119</v>
      </c>
      <c r="H187" s="4" t="s">
        <v>120</v>
      </c>
      <c r="I187" s="4"/>
      <c r="J187" s="4"/>
      <c r="K187" s="4">
        <v>209</v>
      </c>
      <c r="L187" s="4">
        <v>23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1</v>
      </c>
      <c r="Y187" s="4">
        <v>0</v>
      </c>
      <c r="Z187" s="4"/>
      <c r="AA187" s="4"/>
      <c r="AB187" s="4"/>
    </row>
    <row r="188" spans="1:28" x14ac:dyDescent="0.2">
      <c r="A188" s="4">
        <v>50</v>
      </c>
      <c r="B188" s="4">
        <v>0</v>
      </c>
      <c r="C188" s="4">
        <v>0</v>
      </c>
      <c r="D188" s="4">
        <v>1</v>
      </c>
      <c r="E188" s="4">
        <v>233</v>
      </c>
      <c r="F188" s="4">
        <f>ROUND(Source!BD163,O188)</f>
        <v>0</v>
      </c>
      <c r="G188" s="4" t="s">
        <v>121</v>
      </c>
      <c r="H188" s="4" t="s">
        <v>122</v>
      </c>
      <c r="I188" s="4"/>
      <c r="J188" s="4"/>
      <c r="K188" s="4">
        <v>233</v>
      </c>
      <c r="L188" s="4">
        <v>24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1</v>
      </c>
      <c r="Y188" s="4">
        <v>0</v>
      </c>
      <c r="Z188" s="4"/>
      <c r="AA188" s="4"/>
      <c r="AB188" s="4"/>
    </row>
    <row r="189" spans="1:28" x14ac:dyDescent="0.2">
      <c r="A189" s="4">
        <v>50</v>
      </c>
      <c r="B189" s="4">
        <v>0</v>
      </c>
      <c r="C189" s="4">
        <v>0</v>
      </c>
      <c r="D189" s="4">
        <v>1</v>
      </c>
      <c r="E189" s="4">
        <v>210</v>
      </c>
      <c r="F189" s="4">
        <f>ROUND(Source!X163,O189)</f>
        <v>0</v>
      </c>
      <c r="G189" s="4" t="s">
        <v>123</v>
      </c>
      <c r="H189" s="4" t="s">
        <v>124</v>
      </c>
      <c r="I189" s="4"/>
      <c r="J189" s="4"/>
      <c r="K189" s="4">
        <v>210</v>
      </c>
      <c r="L189" s="4">
        <v>25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>
        <v>0</v>
      </c>
      <c r="X189" s="4">
        <v>1</v>
      </c>
      <c r="Y189" s="4">
        <v>0</v>
      </c>
      <c r="Z189" s="4"/>
      <c r="AA189" s="4"/>
      <c r="AB189" s="4"/>
    </row>
    <row r="190" spans="1:28" x14ac:dyDescent="0.2">
      <c r="A190" s="4">
        <v>50</v>
      </c>
      <c r="B190" s="4">
        <v>0</v>
      </c>
      <c r="C190" s="4">
        <v>0</v>
      </c>
      <c r="D190" s="4">
        <v>1</v>
      </c>
      <c r="E190" s="4">
        <v>211</v>
      </c>
      <c r="F190" s="4">
        <f>ROUND(Source!Y163,O190)</f>
        <v>0</v>
      </c>
      <c r="G190" s="4" t="s">
        <v>125</v>
      </c>
      <c r="H190" s="4" t="s">
        <v>126</v>
      </c>
      <c r="I190" s="4"/>
      <c r="J190" s="4"/>
      <c r="K190" s="4">
        <v>211</v>
      </c>
      <c r="L190" s="4">
        <v>26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</v>
      </c>
      <c r="Y190" s="4">
        <v>0</v>
      </c>
      <c r="Z190" s="4"/>
      <c r="AA190" s="4"/>
      <c r="AB190" s="4"/>
    </row>
    <row r="191" spans="1:28" x14ac:dyDescent="0.2">
      <c r="A191" s="4">
        <v>50</v>
      </c>
      <c r="B191" s="4">
        <v>0</v>
      </c>
      <c r="C191" s="4">
        <v>0</v>
      </c>
      <c r="D191" s="4">
        <v>1</v>
      </c>
      <c r="E191" s="4">
        <v>224</v>
      </c>
      <c r="F191" s="4">
        <f>ROUND(Source!AR163,O191)</f>
        <v>12737.52</v>
      </c>
      <c r="G191" s="4" t="s">
        <v>127</v>
      </c>
      <c r="H191" s="4" t="s">
        <v>128</v>
      </c>
      <c r="I191" s="4"/>
      <c r="J191" s="4"/>
      <c r="K191" s="4">
        <v>224</v>
      </c>
      <c r="L191" s="4">
        <v>27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>
        <v>12737.52</v>
      </c>
      <c r="X191" s="4">
        <v>1</v>
      </c>
      <c r="Y191" s="4">
        <v>12737.52</v>
      </c>
      <c r="Z191" s="4"/>
      <c r="AA191" s="4"/>
      <c r="AB191" s="4"/>
    </row>
    <row r="193" spans="1:245" x14ac:dyDescent="0.2">
      <c r="A193" s="1">
        <v>4</v>
      </c>
      <c r="B193" s="1">
        <v>1</v>
      </c>
      <c r="C193" s="1"/>
      <c r="D193" s="1">
        <f>ROW(A201)</f>
        <v>201</v>
      </c>
      <c r="E193" s="1"/>
      <c r="F193" s="1" t="s">
        <v>14</v>
      </c>
      <c r="G193" s="1" t="s">
        <v>185</v>
      </c>
      <c r="H193" s="1" t="s">
        <v>3</v>
      </c>
      <c r="I193" s="1">
        <v>0</v>
      </c>
      <c r="J193" s="1"/>
      <c r="K193" s="1">
        <v>0</v>
      </c>
      <c r="L193" s="1"/>
      <c r="M193" s="1" t="s">
        <v>3</v>
      </c>
      <c r="N193" s="1"/>
      <c r="O193" s="1"/>
      <c r="P193" s="1"/>
      <c r="Q193" s="1"/>
      <c r="R193" s="1"/>
      <c r="S193" s="1">
        <v>0</v>
      </c>
      <c r="T193" s="1"/>
      <c r="U193" s="1" t="s">
        <v>3</v>
      </c>
      <c r="V193" s="1">
        <v>0</v>
      </c>
      <c r="W193" s="1"/>
      <c r="X193" s="1"/>
      <c r="Y193" s="1"/>
      <c r="Z193" s="1"/>
      <c r="AA193" s="1"/>
      <c r="AB193" s="1" t="s">
        <v>3</v>
      </c>
      <c r="AC193" s="1" t="s">
        <v>3</v>
      </c>
      <c r="AD193" s="1" t="s">
        <v>3</v>
      </c>
      <c r="AE193" s="1" t="s">
        <v>3</v>
      </c>
      <c r="AF193" s="1" t="s">
        <v>3</v>
      </c>
      <c r="AG193" s="1" t="s">
        <v>3</v>
      </c>
      <c r="AH193" s="1"/>
      <c r="AI193" s="1"/>
      <c r="AJ193" s="1"/>
      <c r="AK193" s="1"/>
      <c r="AL193" s="1"/>
      <c r="AM193" s="1"/>
      <c r="AN193" s="1"/>
      <c r="AO193" s="1"/>
      <c r="AP193" s="1" t="s">
        <v>3</v>
      </c>
      <c r="AQ193" s="1" t="s">
        <v>3</v>
      </c>
      <c r="AR193" s="1" t="s">
        <v>3</v>
      </c>
      <c r="AS193" s="1"/>
      <c r="AT193" s="1"/>
      <c r="AU193" s="1"/>
      <c r="AV193" s="1"/>
      <c r="AW193" s="1"/>
      <c r="AX193" s="1"/>
      <c r="AY193" s="1"/>
      <c r="AZ193" s="1" t="s">
        <v>3</v>
      </c>
      <c r="BA193" s="1"/>
      <c r="BB193" s="1" t="s">
        <v>3</v>
      </c>
      <c r="BC193" s="1" t="s">
        <v>3</v>
      </c>
      <c r="BD193" s="1" t="s">
        <v>3</v>
      </c>
      <c r="BE193" s="1" t="s">
        <v>3</v>
      </c>
      <c r="BF193" s="1" t="s">
        <v>3</v>
      </c>
      <c r="BG193" s="1" t="s">
        <v>3</v>
      </c>
      <c r="BH193" s="1" t="s">
        <v>3</v>
      </c>
      <c r="BI193" s="1" t="s">
        <v>3</v>
      </c>
      <c r="BJ193" s="1" t="s">
        <v>3</v>
      </c>
      <c r="BK193" s="1" t="s">
        <v>3</v>
      </c>
      <c r="BL193" s="1" t="s">
        <v>3</v>
      </c>
      <c r="BM193" s="1" t="s">
        <v>3</v>
      </c>
      <c r="BN193" s="1" t="s">
        <v>3</v>
      </c>
      <c r="BO193" s="1" t="s">
        <v>3</v>
      </c>
      <c r="BP193" s="1" t="s">
        <v>3</v>
      </c>
      <c r="BQ193" s="1"/>
      <c r="BR193" s="1"/>
      <c r="BS193" s="1"/>
      <c r="BT193" s="1"/>
      <c r="BU193" s="1"/>
      <c r="BV193" s="1"/>
      <c r="BW193" s="1"/>
      <c r="BX193" s="1">
        <v>0</v>
      </c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>
        <v>0</v>
      </c>
    </row>
    <row r="195" spans="1:245" x14ac:dyDescent="0.2">
      <c r="A195" s="2">
        <v>52</v>
      </c>
      <c r="B195" s="2">
        <f t="shared" ref="B195:G195" si="157">B201</f>
        <v>1</v>
      </c>
      <c r="C195" s="2">
        <f t="shared" si="157"/>
        <v>4</v>
      </c>
      <c r="D195" s="2">
        <f t="shared" si="157"/>
        <v>193</v>
      </c>
      <c r="E195" s="2">
        <f t="shared" si="157"/>
        <v>0</v>
      </c>
      <c r="F195" s="2" t="str">
        <f t="shared" si="157"/>
        <v>Новый раздел</v>
      </c>
      <c r="G195" s="2" t="str">
        <f t="shared" si="157"/>
        <v>Мусор</v>
      </c>
      <c r="H195" s="2"/>
      <c r="I195" s="2"/>
      <c r="J195" s="2"/>
      <c r="K195" s="2"/>
      <c r="L195" s="2"/>
      <c r="M195" s="2"/>
      <c r="N195" s="2"/>
      <c r="O195" s="2">
        <f t="shared" ref="O195:AT195" si="158">O201</f>
        <v>67620.22</v>
      </c>
      <c r="P195" s="2">
        <f t="shared" si="158"/>
        <v>0</v>
      </c>
      <c r="Q195" s="2">
        <f t="shared" si="158"/>
        <v>67620.22</v>
      </c>
      <c r="R195" s="2">
        <f t="shared" si="158"/>
        <v>34403.68</v>
      </c>
      <c r="S195" s="2">
        <f t="shared" si="158"/>
        <v>0</v>
      </c>
      <c r="T195" s="2">
        <f t="shared" si="158"/>
        <v>0</v>
      </c>
      <c r="U195" s="2">
        <f t="shared" si="158"/>
        <v>0</v>
      </c>
      <c r="V195" s="2">
        <f t="shared" si="158"/>
        <v>0</v>
      </c>
      <c r="W195" s="2">
        <f t="shared" si="158"/>
        <v>0</v>
      </c>
      <c r="X195" s="2">
        <f t="shared" si="158"/>
        <v>0</v>
      </c>
      <c r="Y195" s="2">
        <f t="shared" si="158"/>
        <v>0</v>
      </c>
      <c r="Z195" s="2">
        <f t="shared" si="158"/>
        <v>0</v>
      </c>
      <c r="AA195" s="2">
        <f t="shared" si="158"/>
        <v>0</v>
      </c>
      <c r="AB195" s="2">
        <f t="shared" si="158"/>
        <v>67620.22</v>
      </c>
      <c r="AC195" s="2">
        <f t="shared" si="158"/>
        <v>0</v>
      </c>
      <c r="AD195" s="2">
        <f t="shared" si="158"/>
        <v>67620.22</v>
      </c>
      <c r="AE195" s="2">
        <f t="shared" si="158"/>
        <v>34403.68</v>
      </c>
      <c r="AF195" s="2">
        <f t="shared" si="158"/>
        <v>0</v>
      </c>
      <c r="AG195" s="2">
        <f t="shared" si="158"/>
        <v>0</v>
      </c>
      <c r="AH195" s="2">
        <f t="shared" si="158"/>
        <v>0</v>
      </c>
      <c r="AI195" s="2">
        <f t="shared" si="158"/>
        <v>0</v>
      </c>
      <c r="AJ195" s="2">
        <f t="shared" si="158"/>
        <v>0</v>
      </c>
      <c r="AK195" s="2">
        <f t="shared" si="158"/>
        <v>0</v>
      </c>
      <c r="AL195" s="2">
        <f t="shared" si="158"/>
        <v>0</v>
      </c>
      <c r="AM195" s="2">
        <f t="shared" si="158"/>
        <v>0</v>
      </c>
      <c r="AN195" s="2">
        <f t="shared" si="158"/>
        <v>0</v>
      </c>
      <c r="AO195" s="2">
        <f t="shared" si="158"/>
        <v>0</v>
      </c>
      <c r="AP195" s="2">
        <f t="shared" si="158"/>
        <v>0</v>
      </c>
      <c r="AQ195" s="2">
        <f t="shared" si="158"/>
        <v>0</v>
      </c>
      <c r="AR195" s="2">
        <f t="shared" si="158"/>
        <v>69735.289999999994</v>
      </c>
      <c r="AS195" s="2">
        <f t="shared" si="158"/>
        <v>0</v>
      </c>
      <c r="AT195" s="2">
        <f t="shared" si="158"/>
        <v>0</v>
      </c>
      <c r="AU195" s="2">
        <f t="shared" ref="AU195:BZ195" si="159">AU201</f>
        <v>69735.289999999994</v>
      </c>
      <c r="AV195" s="2">
        <f t="shared" si="159"/>
        <v>0</v>
      </c>
      <c r="AW195" s="2">
        <f t="shared" si="159"/>
        <v>0</v>
      </c>
      <c r="AX195" s="2">
        <f t="shared" si="159"/>
        <v>0</v>
      </c>
      <c r="AY195" s="2">
        <f t="shared" si="159"/>
        <v>0</v>
      </c>
      <c r="AZ195" s="2">
        <f t="shared" si="159"/>
        <v>0</v>
      </c>
      <c r="BA195" s="2">
        <f t="shared" si="159"/>
        <v>0</v>
      </c>
      <c r="BB195" s="2">
        <f t="shared" si="159"/>
        <v>0</v>
      </c>
      <c r="BC195" s="2">
        <f t="shared" si="159"/>
        <v>0</v>
      </c>
      <c r="BD195" s="2">
        <f t="shared" si="159"/>
        <v>0</v>
      </c>
      <c r="BE195" s="2">
        <f t="shared" si="159"/>
        <v>0</v>
      </c>
      <c r="BF195" s="2">
        <f t="shared" si="159"/>
        <v>0</v>
      </c>
      <c r="BG195" s="2">
        <f t="shared" si="159"/>
        <v>0</v>
      </c>
      <c r="BH195" s="2">
        <f t="shared" si="159"/>
        <v>0</v>
      </c>
      <c r="BI195" s="2">
        <f t="shared" si="159"/>
        <v>0</v>
      </c>
      <c r="BJ195" s="2">
        <f t="shared" si="159"/>
        <v>0</v>
      </c>
      <c r="BK195" s="2">
        <f t="shared" si="159"/>
        <v>0</v>
      </c>
      <c r="BL195" s="2">
        <f t="shared" si="159"/>
        <v>0</v>
      </c>
      <c r="BM195" s="2">
        <f t="shared" si="159"/>
        <v>0</v>
      </c>
      <c r="BN195" s="2">
        <f t="shared" si="159"/>
        <v>0</v>
      </c>
      <c r="BO195" s="2">
        <f t="shared" si="159"/>
        <v>0</v>
      </c>
      <c r="BP195" s="2">
        <f t="shared" si="159"/>
        <v>0</v>
      </c>
      <c r="BQ195" s="2">
        <f t="shared" si="159"/>
        <v>0</v>
      </c>
      <c r="BR195" s="2">
        <f t="shared" si="159"/>
        <v>0</v>
      </c>
      <c r="BS195" s="2">
        <f t="shared" si="159"/>
        <v>0</v>
      </c>
      <c r="BT195" s="2">
        <f t="shared" si="159"/>
        <v>0</v>
      </c>
      <c r="BU195" s="2">
        <f t="shared" si="159"/>
        <v>0</v>
      </c>
      <c r="BV195" s="2">
        <f t="shared" si="159"/>
        <v>0</v>
      </c>
      <c r="BW195" s="2">
        <f t="shared" si="159"/>
        <v>0</v>
      </c>
      <c r="BX195" s="2">
        <f t="shared" si="159"/>
        <v>0</v>
      </c>
      <c r="BY195" s="2">
        <f t="shared" si="159"/>
        <v>0</v>
      </c>
      <c r="BZ195" s="2">
        <f t="shared" si="159"/>
        <v>0</v>
      </c>
      <c r="CA195" s="2">
        <f t="shared" ref="CA195:DF195" si="160">CA201</f>
        <v>69735.289999999994</v>
      </c>
      <c r="CB195" s="2">
        <f t="shared" si="160"/>
        <v>0</v>
      </c>
      <c r="CC195" s="2">
        <f t="shared" si="160"/>
        <v>0</v>
      </c>
      <c r="CD195" s="2">
        <f t="shared" si="160"/>
        <v>69735.289999999994</v>
      </c>
      <c r="CE195" s="2">
        <f t="shared" si="160"/>
        <v>0</v>
      </c>
      <c r="CF195" s="2">
        <f t="shared" si="160"/>
        <v>0</v>
      </c>
      <c r="CG195" s="2">
        <f t="shared" si="160"/>
        <v>0</v>
      </c>
      <c r="CH195" s="2">
        <f t="shared" si="160"/>
        <v>0</v>
      </c>
      <c r="CI195" s="2">
        <f t="shared" si="160"/>
        <v>0</v>
      </c>
      <c r="CJ195" s="2">
        <f t="shared" si="160"/>
        <v>0</v>
      </c>
      <c r="CK195" s="2">
        <f t="shared" si="160"/>
        <v>0</v>
      </c>
      <c r="CL195" s="2">
        <f t="shared" si="160"/>
        <v>0</v>
      </c>
      <c r="CM195" s="2">
        <f t="shared" si="160"/>
        <v>0</v>
      </c>
      <c r="CN195" s="2">
        <f t="shared" si="160"/>
        <v>0</v>
      </c>
      <c r="CO195" s="2">
        <f t="shared" si="160"/>
        <v>0</v>
      </c>
      <c r="CP195" s="2">
        <f t="shared" si="160"/>
        <v>0</v>
      </c>
      <c r="CQ195" s="2">
        <f t="shared" si="160"/>
        <v>0</v>
      </c>
      <c r="CR195" s="2">
        <f t="shared" si="160"/>
        <v>0</v>
      </c>
      <c r="CS195" s="2">
        <f t="shared" si="160"/>
        <v>0</v>
      </c>
      <c r="CT195" s="2">
        <f t="shared" si="160"/>
        <v>0</v>
      </c>
      <c r="CU195" s="2">
        <f t="shared" si="160"/>
        <v>0</v>
      </c>
      <c r="CV195" s="2">
        <f t="shared" si="160"/>
        <v>0</v>
      </c>
      <c r="CW195" s="2">
        <f t="shared" si="160"/>
        <v>0</v>
      </c>
      <c r="CX195" s="2">
        <f t="shared" si="160"/>
        <v>0</v>
      </c>
      <c r="CY195" s="2">
        <f t="shared" si="160"/>
        <v>0</v>
      </c>
      <c r="CZ195" s="2">
        <f t="shared" si="160"/>
        <v>0</v>
      </c>
      <c r="DA195" s="2">
        <f t="shared" si="160"/>
        <v>0</v>
      </c>
      <c r="DB195" s="2">
        <f t="shared" si="160"/>
        <v>0</v>
      </c>
      <c r="DC195" s="2">
        <f t="shared" si="160"/>
        <v>0</v>
      </c>
      <c r="DD195" s="2">
        <f t="shared" si="160"/>
        <v>0</v>
      </c>
      <c r="DE195" s="2">
        <f t="shared" si="160"/>
        <v>0</v>
      </c>
      <c r="DF195" s="2">
        <f t="shared" si="160"/>
        <v>0</v>
      </c>
      <c r="DG195" s="3">
        <f t="shared" ref="DG195:EL195" si="161">DG201</f>
        <v>0</v>
      </c>
      <c r="DH195" s="3">
        <f t="shared" si="161"/>
        <v>0</v>
      </c>
      <c r="DI195" s="3">
        <f t="shared" si="161"/>
        <v>0</v>
      </c>
      <c r="DJ195" s="3">
        <f t="shared" si="161"/>
        <v>0</v>
      </c>
      <c r="DK195" s="3">
        <f t="shared" si="161"/>
        <v>0</v>
      </c>
      <c r="DL195" s="3">
        <f t="shared" si="161"/>
        <v>0</v>
      </c>
      <c r="DM195" s="3">
        <f t="shared" si="161"/>
        <v>0</v>
      </c>
      <c r="DN195" s="3">
        <f t="shared" si="161"/>
        <v>0</v>
      </c>
      <c r="DO195" s="3">
        <f t="shared" si="161"/>
        <v>0</v>
      </c>
      <c r="DP195" s="3">
        <f t="shared" si="161"/>
        <v>0</v>
      </c>
      <c r="DQ195" s="3">
        <f t="shared" si="161"/>
        <v>0</v>
      </c>
      <c r="DR195" s="3">
        <f t="shared" si="161"/>
        <v>0</v>
      </c>
      <c r="DS195" s="3">
        <f t="shared" si="161"/>
        <v>0</v>
      </c>
      <c r="DT195" s="3">
        <f t="shared" si="161"/>
        <v>0</v>
      </c>
      <c r="DU195" s="3">
        <f t="shared" si="161"/>
        <v>0</v>
      </c>
      <c r="DV195" s="3">
        <f t="shared" si="161"/>
        <v>0</v>
      </c>
      <c r="DW195" s="3">
        <f t="shared" si="161"/>
        <v>0</v>
      </c>
      <c r="DX195" s="3">
        <f t="shared" si="161"/>
        <v>0</v>
      </c>
      <c r="DY195" s="3">
        <f t="shared" si="161"/>
        <v>0</v>
      </c>
      <c r="DZ195" s="3">
        <f t="shared" si="161"/>
        <v>0</v>
      </c>
      <c r="EA195" s="3">
        <f t="shared" si="161"/>
        <v>0</v>
      </c>
      <c r="EB195" s="3">
        <f t="shared" si="161"/>
        <v>0</v>
      </c>
      <c r="EC195" s="3">
        <f t="shared" si="161"/>
        <v>0</v>
      </c>
      <c r="ED195" s="3">
        <f t="shared" si="161"/>
        <v>0</v>
      </c>
      <c r="EE195" s="3">
        <f t="shared" si="161"/>
        <v>0</v>
      </c>
      <c r="EF195" s="3">
        <f t="shared" si="161"/>
        <v>0</v>
      </c>
      <c r="EG195" s="3">
        <f t="shared" si="161"/>
        <v>0</v>
      </c>
      <c r="EH195" s="3">
        <f t="shared" si="161"/>
        <v>0</v>
      </c>
      <c r="EI195" s="3">
        <f t="shared" si="161"/>
        <v>0</v>
      </c>
      <c r="EJ195" s="3">
        <f t="shared" si="161"/>
        <v>0</v>
      </c>
      <c r="EK195" s="3">
        <f t="shared" si="161"/>
        <v>0</v>
      </c>
      <c r="EL195" s="3">
        <f t="shared" si="161"/>
        <v>0</v>
      </c>
      <c r="EM195" s="3">
        <f t="shared" ref="EM195:FR195" si="162">EM201</f>
        <v>0</v>
      </c>
      <c r="EN195" s="3">
        <f t="shared" si="162"/>
        <v>0</v>
      </c>
      <c r="EO195" s="3">
        <f t="shared" si="162"/>
        <v>0</v>
      </c>
      <c r="EP195" s="3">
        <f t="shared" si="162"/>
        <v>0</v>
      </c>
      <c r="EQ195" s="3">
        <f t="shared" si="162"/>
        <v>0</v>
      </c>
      <c r="ER195" s="3">
        <f t="shared" si="162"/>
        <v>0</v>
      </c>
      <c r="ES195" s="3">
        <f t="shared" si="162"/>
        <v>0</v>
      </c>
      <c r="ET195" s="3">
        <f t="shared" si="162"/>
        <v>0</v>
      </c>
      <c r="EU195" s="3">
        <f t="shared" si="162"/>
        <v>0</v>
      </c>
      <c r="EV195" s="3">
        <f t="shared" si="162"/>
        <v>0</v>
      </c>
      <c r="EW195" s="3">
        <f t="shared" si="162"/>
        <v>0</v>
      </c>
      <c r="EX195" s="3">
        <f t="shared" si="162"/>
        <v>0</v>
      </c>
      <c r="EY195" s="3">
        <f t="shared" si="162"/>
        <v>0</v>
      </c>
      <c r="EZ195" s="3">
        <f t="shared" si="162"/>
        <v>0</v>
      </c>
      <c r="FA195" s="3">
        <f t="shared" si="162"/>
        <v>0</v>
      </c>
      <c r="FB195" s="3">
        <f t="shared" si="162"/>
        <v>0</v>
      </c>
      <c r="FC195" s="3">
        <f t="shared" si="162"/>
        <v>0</v>
      </c>
      <c r="FD195" s="3">
        <f t="shared" si="162"/>
        <v>0</v>
      </c>
      <c r="FE195" s="3">
        <f t="shared" si="162"/>
        <v>0</v>
      </c>
      <c r="FF195" s="3">
        <f t="shared" si="162"/>
        <v>0</v>
      </c>
      <c r="FG195" s="3">
        <f t="shared" si="162"/>
        <v>0</v>
      </c>
      <c r="FH195" s="3">
        <f t="shared" si="162"/>
        <v>0</v>
      </c>
      <c r="FI195" s="3">
        <f t="shared" si="162"/>
        <v>0</v>
      </c>
      <c r="FJ195" s="3">
        <f t="shared" si="162"/>
        <v>0</v>
      </c>
      <c r="FK195" s="3">
        <f t="shared" si="162"/>
        <v>0</v>
      </c>
      <c r="FL195" s="3">
        <f t="shared" si="162"/>
        <v>0</v>
      </c>
      <c r="FM195" s="3">
        <f t="shared" si="162"/>
        <v>0</v>
      </c>
      <c r="FN195" s="3">
        <f t="shared" si="162"/>
        <v>0</v>
      </c>
      <c r="FO195" s="3">
        <f t="shared" si="162"/>
        <v>0</v>
      </c>
      <c r="FP195" s="3">
        <f t="shared" si="162"/>
        <v>0</v>
      </c>
      <c r="FQ195" s="3">
        <f t="shared" si="162"/>
        <v>0</v>
      </c>
      <c r="FR195" s="3">
        <f t="shared" si="162"/>
        <v>0</v>
      </c>
      <c r="FS195" s="3">
        <f t="shared" ref="FS195:GX195" si="163">FS201</f>
        <v>0</v>
      </c>
      <c r="FT195" s="3">
        <f t="shared" si="163"/>
        <v>0</v>
      </c>
      <c r="FU195" s="3">
        <f t="shared" si="163"/>
        <v>0</v>
      </c>
      <c r="FV195" s="3">
        <f t="shared" si="163"/>
        <v>0</v>
      </c>
      <c r="FW195" s="3">
        <f t="shared" si="163"/>
        <v>0</v>
      </c>
      <c r="FX195" s="3">
        <f t="shared" si="163"/>
        <v>0</v>
      </c>
      <c r="FY195" s="3">
        <f t="shared" si="163"/>
        <v>0</v>
      </c>
      <c r="FZ195" s="3">
        <f t="shared" si="163"/>
        <v>0</v>
      </c>
      <c r="GA195" s="3">
        <f t="shared" si="163"/>
        <v>0</v>
      </c>
      <c r="GB195" s="3">
        <f t="shared" si="163"/>
        <v>0</v>
      </c>
      <c r="GC195" s="3">
        <f t="shared" si="163"/>
        <v>0</v>
      </c>
      <c r="GD195" s="3">
        <f t="shared" si="163"/>
        <v>0</v>
      </c>
      <c r="GE195" s="3">
        <f t="shared" si="163"/>
        <v>0</v>
      </c>
      <c r="GF195" s="3">
        <f t="shared" si="163"/>
        <v>0</v>
      </c>
      <c r="GG195" s="3">
        <f t="shared" si="163"/>
        <v>0</v>
      </c>
      <c r="GH195" s="3">
        <f t="shared" si="163"/>
        <v>0</v>
      </c>
      <c r="GI195" s="3">
        <f t="shared" si="163"/>
        <v>0</v>
      </c>
      <c r="GJ195" s="3">
        <f t="shared" si="163"/>
        <v>0</v>
      </c>
      <c r="GK195" s="3">
        <f t="shared" si="163"/>
        <v>0</v>
      </c>
      <c r="GL195" s="3">
        <f t="shared" si="163"/>
        <v>0</v>
      </c>
      <c r="GM195" s="3">
        <f t="shared" si="163"/>
        <v>0</v>
      </c>
      <c r="GN195" s="3">
        <f t="shared" si="163"/>
        <v>0</v>
      </c>
      <c r="GO195" s="3">
        <f t="shared" si="163"/>
        <v>0</v>
      </c>
      <c r="GP195" s="3">
        <f t="shared" si="163"/>
        <v>0</v>
      </c>
      <c r="GQ195" s="3">
        <f t="shared" si="163"/>
        <v>0</v>
      </c>
      <c r="GR195" s="3">
        <f t="shared" si="163"/>
        <v>0</v>
      </c>
      <c r="GS195" s="3">
        <f t="shared" si="163"/>
        <v>0</v>
      </c>
      <c r="GT195" s="3">
        <f t="shared" si="163"/>
        <v>0</v>
      </c>
      <c r="GU195" s="3">
        <f t="shared" si="163"/>
        <v>0</v>
      </c>
      <c r="GV195" s="3">
        <f t="shared" si="163"/>
        <v>0</v>
      </c>
      <c r="GW195" s="3">
        <f t="shared" si="163"/>
        <v>0</v>
      </c>
      <c r="GX195" s="3">
        <f t="shared" si="163"/>
        <v>0</v>
      </c>
    </row>
    <row r="197" spans="1:245" x14ac:dyDescent="0.2">
      <c r="A197">
        <v>17</v>
      </c>
      <c r="B197">
        <v>1</v>
      </c>
      <c r="C197">
        <f>ROW(SmtRes!A111)</f>
        <v>111</v>
      </c>
      <c r="D197">
        <f>ROW(EtalonRes!A111)</f>
        <v>111</v>
      </c>
      <c r="E197" t="s">
        <v>186</v>
      </c>
      <c r="F197" t="s">
        <v>153</v>
      </c>
      <c r="G197" t="s">
        <v>154</v>
      </c>
      <c r="H197" t="s">
        <v>63</v>
      </c>
      <c r="I197">
        <v>68.739999999999995</v>
      </c>
      <c r="J197">
        <v>0</v>
      </c>
      <c r="K197">
        <v>68.739999999999995</v>
      </c>
      <c r="O197">
        <f>ROUND(CP197,2)</f>
        <v>6102.05</v>
      </c>
      <c r="P197">
        <f>ROUND(CQ197*I197,2)</f>
        <v>0</v>
      </c>
      <c r="Q197">
        <f>ROUND(CR197*I197,2)</f>
        <v>6102.05</v>
      </c>
      <c r="R197">
        <f>ROUND(CS197*I197,2)</f>
        <v>1958.4</v>
      </c>
      <c r="S197">
        <f>ROUND(CT197*I197,2)</f>
        <v>0</v>
      </c>
      <c r="T197">
        <f>ROUND(CU197*I197,2)</f>
        <v>0</v>
      </c>
      <c r="U197">
        <f>CV197*I197</f>
        <v>0</v>
      </c>
      <c r="V197">
        <f>CW197*I197</f>
        <v>0</v>
      </c>
      <c r="W197">
        <f>ROUND(CX197*I197,2)</f>
        <v>0</v>
      </c>
      <c r="X197">
        <f t="shared" ref="X197:Y199" si="164">ROUND(CY197,2)</f>
        <v>0</v>
      </c>
      <c r="Y197">
        <f t="shared" si="164"/>
        <v>0</v>
      </c>
      <c r="AA197">
        <v>36602762</v>
      </c>
      <c r="AB197">
        <f>ROUND((AC197+AD197+AF197),6)</f>
        <v>88.77</v>
      </c>
      <c r="AC197">
        <f>ROUND((ES197),6)</f>
        <v>0</v>
      </c>
      <c r="AD197">
        <f>ROUND((((ET197)-(EU197))+AE197),6)</f>
        <v>88.77</v>
      </c>
      <c r="AE197">
        <f>ROUND((EU197),6)</f>
        <v>28.49</v>
      </c>
      <c r="AF197">
        <f>ROUND((EV197),6)</f>
        <v>0</v>
      </c>
      <c r="AG197">
        <f>ROUND((AP197),6)</f>
        <v>0</v>
      </c>
      <c r="AH197">
        <f>(EW197)</f>
        <v>0</v>
      </c>
      <c r="AI197">
        <f>(EX197)</f>
        <v>0</v>
      </c>
      <c r="AJ197">
        <f>(AS197)</f>
        <v>0</v>
      </c>
      <c r="AK197">
        <v>88.77</v>
      </c>
      <c r="AL197">
        <v>0</v>
      </c>
      <c r="AM197">
        <v>88.77</v>
      </c>
      <c r="AN197">
        <v>28.49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70</v>
      </c>
      <c r="AU197">
        <v>10</v>
      </c>
      <c r="AV197">
        <v>1</v>
      </c>
      <c r="AW197">
        <v>1</v>
      </c>
      <c r="AZ197">
        <v>1</v>
      </c>
      <c r="BA197">
        <v>1</v>
      </c>
      <c r="BB197">
        <v>1</v>
      </c>
      <c r="BC197">
        <v>1</v>
      </c>
      <c r="BD197" t="s">
        <v>3</v>
      </c>
      <c r="BE197" t="s">
        <v>3</v>
      </c>
      <c r="BF197" t="s">
        <v>3</v>
      </c>
      <c r="BG197" t="s">
        <v>3</v>
      </c>
      <c r="BH197">
        <v>0</v>
      </c>
      <c r="BI197">
        <v>4</v>
      </c>
      <c r="BJ197" t="s">
        <v>155</v>
      </c>
      <c r="BM197">
        <v>0</v>
      </c>
      <c r="BN197">
        <v>0</v>
      </c>
      <c r="BO197" t="s">
        <v>3</v>
      </c>
      <c r="BP197">
        <v>0</v>
      </c>
      <c r="BQ197">
        <v>1</v>
      </c>
      <c r="BR197">
        <v>0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 t="s">
        <v>3</v>
      </c>
      <c r="BZ197">
        <v>70</v>
      </c>
      <c r="CA197">
        <v>10</v>
      </c>
      <c r="CB197" t="s">
        <v>3</v>
      </c>
      <c r="CE197">
        <v>0</v>
      </c>
      <c r="CF197">
        <v>0</v>
      </c>
      <c r="CG197">
        <v>0</v>
      </c>
      <c r="CM197">
        <v>0</v>
      </c>
      <c r="CN197" t="s">
        <v>3</v>
      </c>
      <c r="CO197">
        <v>0</v>
      </c>
      <c r="CP197">
        <f>(P197+Q197+S197)</f>
        <v>6102.05</v>
      </c>
      <c r="CQ197">
        <f>(AC197*BC197*AW197)</f>
        <v>0</v>
      </c>
      <c r="CR197">
        <f>((((ET197)*BB197-(EU197)*BS197)+AE197*BS197)*AV197)</f>
        <v>88.77</v>
      </c>
      <c r="CS197">
        <f>(AE197*BS197*AV197)</f>
        <v>28.49</v>
      </c>
      <c r="CT197">
        <f>(AF197*BA197*AV197)</f>
        <v>0</v>
      </c>
      <c r="CU197">
        <f>AG197</f>
        <v>0</v>
      </c>
      <c r="CV197">
        <f>(AH197*AV197)</f>
        <v>0</v>
      </c>
      <c r="CW197">
        <f t="shared" ref="CW197:CX199" si="165">AI197</f>
        <v>0</v>
      </c>
      <c r="CX197">
        <f t="shared" si="165"/>
        <v>0</v>
      </c>
      <c r="CY197">
        <f>((S197*BZ197)/100)</f>
        <v>0</v>
      </c>
      <c r="CZ197">
        <f>((S197*CA197)/100)</f>
        <v>0</v>
      </c>
      <c r="DC197" t="s">
        <v>3</v>
      </c>
      <c r="DD197" t="s">
        <v>3</v>
      </c>
      <c r="DE197" t="s">
        <v>3</v>
      </c>
      <c r="DF197" t="s">
        <v>3</v>
      </c>
      <c r="DG197" t="s">
        <v>3</v>
      </c>
      <c r="DH197" t="s">
        <v>3</v>
      </c>
      <c r="DI197" t="s">
        <v>3</v>
      </c>
      <c r="DJ197" t="s">
        <v>3</v>
      </c>
      <c r="DK197" t="s">
        <v>3</v>
      </c>
      <c r="DL197" t="s">
        <v>3</v>
      </c>
      <c r="DM197" t="s">
        <v>3</v>
      </c>
      <c r="DN197">
        <v>0</v>
      </c>
      <c r="DO197">
        <v>0</v>
      </c>
      <c r="DP197">
        <v>1</v>
      </c>
      <c r="DQ197">
        <v>1</v>
      </c>
      <c r="DU197">
        <v>1009</v>
      </c>
      <c r="DV197" t="s">
        <v>63</v>
      </c>
      <c r="DW197" t="s">
        <v>63</v>
      </c>
      <c r="DX197">
        <v>1000</v>
      </c>
      <c r="DZ197" t="s">
        <v>3</v>
      </c>
      <c r="EA197" t="s">
        <v>3</v>
      </c>
      <c r="EB197" t="s">
        <v>3</v>
      </c>
      <c r="EC197" t="s">
        <v>3</v>
      </c>
      <c r="EE197">
        <v>36274424</v>
      </c>
      <c r="EF197">
        <v>1</v>
      </c>
      <c r="EG197" t="s">
        <v>21</v>
      </c>
      <c r="EH197">
        <v>0</v>
      </c>
      <c r="EI197" t="s">
        <v>3</v>
      </c>
      <c r="EJ197">
        <v>4</v>
      </c>
      <c r="EK197">
        <v>0</v>
      </c>
      <c r="EL197" t="s">
        <v>22</v>
      </c>
      <c r="EM197" t="s">
        <v>23</v>
      </c>
      <c r="EO197" t="s">
        <v>3</v>
      </c>
      <c r="EQ197">
        <v>0</v>
      </c>
      <c r="ER197">
        <v>88.77</v>
      </c>
      <c r="ES197">
        <v>0</v>
      </c>
      <c r="ET197">
        <v>88.77</v>
      </c>
      <c r="EU197">
        <v>28.49</v>
      </c>
      <c r="EV197">
        <v>0</v>
      </c>
      <c r="EW197">
        <v>0</v>
      </c>
      <c r="EX197">
        <v>0</v>
      </c>
      <c r="EY197">
        <v>0</v>
      </c>
      <c r="FQ197">
        <v>0</v>
      </c>
      <c r="FR197">
        <f>ROUND(IF(AND(BH197=3,BI197=3),P197,0),2)</f>
        <v>0</v>
      </c>
      <c r="FS197">
        <v>0</v>
      </c>
      <c r="FX197">
        <v>70</v>
      </c>
      <c r="FY197">
        <v>10</v>
      </c>
      <c r="GA197" t="s">
        <v>3</v>
      </c>
      <c r="GD197">
        <v>0</v>
      </c>
      <c r="GF197">
        <v>-1849178111</v>
      </c>
      <c r="GG197">
        <v>2</v>
      </c>
      <c r="GH197">
        <v>1</v>
      </c>
      <c r="GI197">
        <v>-2</v>
      </c>
      <c r="GJ197">
        <v>0</v>
      </c>
      <c r="GK197">
        <f>ROUND(R197*(R12)/100,2)</f>
        <v>2115.0700000000002</v>
      </c>
      <c r="GL197">
        <f>ROUND(IF(AND(BH197=3,BI197=3,FS197&lt;&gt;0),P197,0),2)</f>
        <v>0</v>
      </c>
      <c r="GM197">
        <f>ROUND(O197+X197+Y197+GK197,2)+GX197</f>
        <v>8217.1200000000008</v>
      </c>
      <c r="GN197">
        <f>IF(OR(BI197=0,BI197=1),ROUND(O197+X197+Y197+GK197,2),0)</f>
        <v>0</v>
      </c>
      <c r="GO197">
        <f>IF(BI197=2,ROUND(O197+X197+Y197+GK197,2),0)</f>
        <v>0</v>
      </c>
      <c r="GP197">
        <f>IF(BI197=4,ROUND(O197+X197+Y197+GK197,2)+GX197,0)</f>
        <v>8217.1200000000008</v>
      </c>
      <c r="GR197">
        <v>0</v>
      </c>
      <c r="GS197">
        <v>3</v>
      </c>
      <c r="GT197">
        <v>0</v>
      </c>
      <c r="GU197" t="s">
        <v>3</v>
      </c>
      <c r="GV197">
        <f>ROUND((GT197),6)</f>
        <v>0</v>
      </c>
      <c r="GW197">
        <v>1</v>
      </c>
      <c r="GX197">
        <f>ROUND(HC197*I197,2)</f>
        <v>0</v>
      </c>
      <c r="HA197">
        <v>0</v>
      </c>
      <c r="HB197">
        <v>0</v>
      </c>
      <c r="HC197">
        <f>GV197*GW197</f>
        <v>0</v>
      </c>
      <c r="HE197" t="s">
        <v>3</v>
      </c>
      <c r="HF197" t="s">
        <v>3</v>
      </c>
      <c r="HM197" t="s">
        <v>3</v>
      </c>
      <c r="HN197" t="s">
        <v>3</v>
      </c>
      <c r="HO197" t="s">
        <v>3</v>
      </c>
      <c r="HP197" t="s">
        <v>3</v>
      </c>
      <c r="HQ197" t="s">
        <v>3</v>
      </c>
      <c r="IK197">
        <v>0</v>
      </c>
    </row>
    <row r="198" spans="1:245" x14ac:dyDescent="0.2">
      <c r="A198">
        <v>17</v>
      </c>
      <c r="B198">
        <v>1</v>
      </c>
      <c r="C198">
        <f>ROW(SmtRes!A112)</f>
        <v>112</v>
      </c>
      <c r="D198">
        <f>ROW(EtalonRes!A112)</f>
        <v>112</v>
      </c>
      <c r="E198" t="s">
        <v>187</v>
      </c>
      <c r="F198" t="s">
        <v>157</v>
      </c>
      <c r="G198" t="s">
        <v>158</v>
      </c>
      <c r="H198" t="s">
        <v>63</v>
      </c>
      <c r="I198">
        <v>68.739999999999995</v>
      </c>
      <c r="J198">
        <v>0</v>
      </c>
      <c r="K198">
        <v>68.739999999999995</v>
      </c>
      <c r="O198">
        <f>ROUND(CP198,2)</f>
        <v>4403.4799999999996</v>
      </c>
      <c r="P198">
        <f>ROUND(CQ198*I198,2)</f>
        <v>0</v>
      </c>
      <c r="Q198">
        <f>ROUND(CR198*I198,2)</f>
        <v>4403.4799999999996</v>
      </c>
      <c r="R198">
        <f>ROUND(CS198*I198,2)</f>
        <v>2320.66</v>
      </c>
      <c r="S198">
        <f>ROUND(CT198*I198,2)</f>
        <v>0</v>
      </c>
      <c r="T198">
        <f>ROUND(CU198*I198,2)</f>
        <v>0</v>
      </c>
      <c r="U198">
        <f>CV198*I198</f>
        <v>0</v>
      </c>
      <c r="V198">
        <f>CW198*I198</f>
        <v>0</v>
      </c>
      <c r="W198">
        <f>ROUND(CX198*I198,2)</f>
        <v>0</v>
      </c>
      <c r="X198">
        <f t="shared" si="164"/>
        <v>0</v>
      </c>
      <c r="Y198">
        <f t="shared" si="164"/>
        <v>0</v>
      </c>
      <c r="AA198">
        <v>36602762</v>
      </c>
      <c r="AB198">
        <f>ROUND((AC198+AD198+AF198),6)</f>
        <v>64.06</v>
      </c>
      <c r="AC198">
        <f>ROUND((ES198),6)</f>
        <v>0</v>
      </c>
      <c r="AD198">
        <f>ROUND((((ET198)-(EU198))+AE198),6)</f>
        <v>64.06</v>
      </c>
      <c r="AE198">
        <f>ROUND((EU198),6)</f>
        <v>33.76</v>
      </c>
      <c r="AF198">
        <f>ROUND((EV198),6)</f>
        <v>0</v>
      </c>
      <c r="AG198">
        <f>ROUND((AP198),6)</f>
        <v>0</v>
      </c>
      <c r="AH198">
        <f>(EW198)</f>
        <v>0</v>
      </c>
      <c r="AI198">
        <f>(EX198)</f>
        <v>0</v>
      </c>
      <c r="AJ198">
        <f>(AS198)</f>
        <v>0</v>
      </c>
      <c r="AK198">
        <v>64.06</v>
      </c>
      <c r="AL198">
        <v>0</v>
      </c>
      <c r="AM198">
        <v>64.06</v>
      </c>
      <c r="AN198">
        <v>33.76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Z198">
        <v>1</v>
      </c>
      <c r="BA198">
        <v>1</v>
      </c>
      <c r="BB198">
        <v>1</v>
      </c>
      <c r="BC198">
        <v>1</v>
      </c>
      <c r="BD198" t="s">
        <v>3</v>
      </c>
      <c r="BE198" t="s">
        <v>3</v>
      </c>
      <c r="BF198" t="s">
        <v>3</v>
      </c>
      <c r="BG198" t="s">
        <v>3</v>
      </c>
      <c r="BH198">
        <v>0</v>
      </c>
      <c r="BI198">
        <v>4</v>
      </c>
      <c r="BJ198" t="s">
        <v>159</v>
      </c>
      <c r="BM198">
        <v>1</v>
      </c>
      <c r="BN198">
        <v>0</v>
      </c>
      <c r="BO198" t="s">
        <v>3</v>
      </c>
      <c r="BP198">
        <v>0</v>
      </c>
      <c r="BQ198">
        <v>1</v>
      </c>
      <c r="BR198">
        <v>0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 t="s">
        <v>3</v>
      </c>
      <c r="BZ198">
        <v>0</v>
      </c>
      <c r="CA198">
        <v>0</v>
      </c>
      <c r="CB198" t="s">
        <v>3</v>
      </c>
      <c r="CE198">
        <v>0</v>
      </c>
      <c r="CF198">
        <v>0</v>
      </c>
      <c r="CG198">
        <v>0</v>
      </c>
      <c r="CM198">
        <v>0</v>
      </c>
      <c r="CN198" t="s">
        <v>3</v>
      </c>
      <c r="CO198">
        <v>0</v>
      </c>
      <c r="CP198">
        <f>(P198+Q198+S198)</f>
        <v>4403.4799999999996</v>
      </c>
      <c r="CQ198">
        <f>(AC198*BC198*AW198)</f>
        <v>0</v>
      </c>
      <c r="CR198">
        <f>((((ET198)*BB198-(EU198)*BS198)+AE198*BS198)*AV198)</f>
        <v>64.06</v>
      </c>
      <c r="CS198">
        <f>(AE198*BS198*AV198)</f>
        <v>33.76</v>
      </c>
      <c r="CT198">
        <f>(AF198*BA198*AV198)</f>
        <v>0</v>
      </c>
      <c r="CU198">
        <f>AG198</f>
        <v>0</v>
      </c>
      <c r="CV198">
        <f>(AH198*AV198)</f>
        <v>0</v>
      </c>
      <c r="CW198">
        <f t="shared" si="165"/>
        <v>0</v>
      </c>
      <c r="CX198">
        <f t="shared" si="165"/>
        <v>0</v>
      </c>
      <c r="CY198">
        <f>((S198*BZ198)/100)</f>
        <v>0</v>
      </c>
      <c r="CZ198">
        <f>((S198*CA198)/100)</f>
        <v>0</v>
      </c>
      <c r="DC198" t="s">
        <v>3</v>
      </c>
      <c r="DD198" t="s">
        <v>3</v>
      </c>
      <c r="DE198" t="s">
        <v>3</v>
      </c>
      <c r="DF198" t="s">
        <v>3</v>
      </c>
      <c r="DG198" t="s">
        <v>3</v>
      </c>
      <c r="DH198" t="s">
        <v>3</v>
      </c>
      <c r="DI198" t="s">
        <v>3</v>
      </c>
      <c r="DJ198" t="s">
        <v>3</v>
      </c>
      <c r="DK198" t="s">
        <v>3</v>
      </c>
      <c r="DL198" t="s">
        <v>3</v>
      </c>
      <c r="DM198" t="s">
        <v>3</v>
      </c>
      <c r="DN198">
        <v>0</v>
      </c>
      <c r="DO198">
        <v>0</v>
      </c>
      <c r="DP198">
        <v>1</v>
      </c>
      <c r="DQ198">
        <v>1</v>
      </c>
      <c r="DU198">
        <v>1009</v>
      </c>
      <c r="DV198" t="s">
        <v>63</v>
      </c>
      <c r="DW198" t="s">
        <v>63</v>
      </c>
      <c r="DX198">
        <v>1000</v>
      </c>
      <c r="DZ198" t="s">
        <v>3</v>
      </c>
      <c r="EA198" t="s">
        <v>3</v>
      </c>
      <c r="EB198" t="s">
        <v>3</v>
      </c>
      <c r="EC198" t="s">
        <v>3</v>
      </c>
      <c r="EE198">
        <v>36274426</v>
      </c>
      <c r="EF198">
        <v>1</v>
      </c>
      <c r="EG198" t="s">
        <v>21</v>
      </c>
      <c r="EH198">
        <v>0</v>
      </c>
      <c r="EI198" t="s">
        <v>3</v>
      </c>
      <c r="EJ198">
        <v>4</v>
      </c>
      <c r="EK198">
        <v>1</v>
      </c>
      <c r="EL198" t="s">
        <v>160</v>
      </c>
      <c r="EM198" t="s">
        <v>23</v>
      </c>
      <c r="EO198" t="s">
        <v>3</v>
      </c>
      <c r="EQ198">
        <v>0</v>
      </c>
      <c r="ER198">
        <v>64.06</v>
      </c>
      <c r="ES198">
        <v>0</v>
      </c>
      <c r="ET198">
        <v>64.06</v>
      </c>
      <c r="EU198">
        <v>33.76</v>
      </c>
      <c r="EV198">
        <v>0</v>
      </c>
      <c r="EW198">
        <v>0</v>
      </c>
      <c r="EX198">
        <v>0</v>
      </c>
      <c r="EY198">
        <v>0</v>
      </c>
      <c r="FQ198">
        <v>0</v>
      </c>
      <c r="FR198">
        <f>ROUND(IF(AND(BH198=3,BI198=3),P198,0),2)</f>
        <v>0</v>
      </c>
      <c r="FS198">
        <v>0</v>
      </c>
      <c r="FX198">
        <v>0</v>
      </c>
      <c r="FY198">
        <v>0</v>
      </c>
      <c r="GA198" t="s">
        <v>3</v>
      </c>
      <c r="GD198">
        <v>1</v>
      </c>
      <c r="GF198">
        <v>211716422</v>
      </c>
      <c r="GG198">
        <v>2</v>
      </c>
      <c r="GH198">
        <v>1</v>
      </c>
      <c r="GI198">
        <v>-2</v>
      </c>
      <c r="GJ198">
        <v>0</v>
      </c>
      <c r="GK198">
        <v>0</v>
      </c>
      <c r="GL198">
        <f>ROUND(IF(AND(BH198=3,BI198=3,FS198&lt;&gt;0),P198,0),2)</f>
        <v>0</v>
      </c>
      <c r="GM198">
        <f>ROUND(O198+X198+Y198,2)+GX198</f>
        <v>4403.4799999999996</v>
      </c>
      <c r="GN198">
        <f>IF(OR(BI198=0,BI198=1),ROUND(O198+X198+Y198,2),0)</f>
        <v>0</v>
      </c>
      <c r="GO198">
        <f>IF(BI198=2,ROUND(O198+X198+Y198,2),0)</f>
        <v>0</v>
      </c>
      <c r="GP198">
        <f>IF(BI198=4,ROUND(O198+X198+Y198,2)+GX198,0)</f>
        <v>4403.4799999999996</v>
      </c>
      <c r="GR198">
        <v>0</v>
      </c>
      <c r="GS198">
        <v>3</v>
      </c>
      <c r="GT198">
        <v>0</v>
      </c>
      <c r="GU198" t="s">
        <v>3</v>
      </c>
      <c r="GV198">
        <f>ROUND((GT198),6)</f>
        <v>0</v>
      </c>
      <c r="GW198">
        <v>1</v>
      </c>
      <c r="GX198">
        <f>ROUND(HC198*I198,2)</f>
        <v>0</v>
      </c>
      <c r="HA198">
        <v>0</v>
      </c>
      <c r="HB198">
        <v>0</v>
      </c>
      <c r="HC198">
        <f>GV198*GW198</f>
        <v>0</v>
      </c>
      <c r="HE198" t="s">
        <v>3</v>
      </c>
      <c r="HF198" t="s">
        <v>3</v>
      </c>
      <c r="HM198" t="s">
        <v>3</v>
      </c>
      <c r="HN198" t="s">
        <v>3</v>
      </c>
      <c r="HO198" t="s">
        <v>3</v>
      </c>
      <c r="HP198" t="s">
        <v>3</v>
      </c>
      <c r="HQ198" t="s">
        <v>3</v>
      </c>
      <c r="IK198">
        <v>0</v>
      </c>
    </row>
    <row r="199" spans="1:245" x14ac:dyDescent="0.2">
      <c r="A199">
        <v>17</v>
      </c>
      <c r="B199">
        <v>1</v>
      </c>
      <c r="C199">
        <f>ROW(SmtRes!A113)</f>
        <v>113</v>
      </c>
      <c r="D199">
        <f>ROW(EtalonRes!A113)</f>
        <v>113</v>
      </c>
      <c r="E199" t="s">
        <v>188</v>
      </c>
      <c r="F199" t="s">
        <v>162</v>
      </c>
      <c r="G199" t="s">
        <v>163</v>
      </c>
      <c r="H199" t="s">
        <v>63</v>
      </c>
      <c r="I199">
        <v>68.739999999999995</v>
      </c>
      <c r="J199">
        <v>0</v>
      </c>
      <c r="K199">
        <v>68.739999999999995</v>
      </c>
      <c r="O199">
        <f>ROUND(CP199,2)</f>
        <v>57114.69</v>
      </c>
      <c r="P199">
        <f>ROUND(CQ199*I199,2)</f>
        <v>0</v>
      </c>
      <c r="Q199">
        <f>ROUND(CR199*I199,2)</f>
        <v>57114.69</v>
      </c>
      <c r="R199">
        <f>ROUND(CS199*I199,2)</f>
        <v>30124.62</v>
      </c>
      <c r="S199">
        <f>ROUND(CT199*I199,2)</f>
        <v>0</v>
      </c>
      <c r="T199">
        <f>ROUND(CU199*I199,2)</f>
        <v>0</v>
      </c>
      <c r="U199">
        <f>CV199*I199</f>
        <v>0</v>
      </c>
      <c r="V199">
        <f>CW199*I199</f>
        <v>0</v>
      </c>
      <c r="W199">
        <f>ROUND(CX199*I199,2)</f>
        <v>0</v>
      </c>
      <c r="X199">
        <f t="shared" si="164"/>
        <v>0</v>
      </c>
      <c r="Y199">
        <f t="shared" si="164"/>
        <v>0</v>
      </c>
      <c r="AA199">
        <v>36602762</v>
      </c>
      <c r="AB199">
        <f>ROUND((AC199+AD199+AF199),6)</f>
        <v>830.88</v>
      </c>
      <c r="AC199">
        <f>ROUND(((ES199*48)),6)</f>
        <v>0</v>
      </c>
      <c r="AD199">
        <f>ROUND(((((ET199*48))-((EU199*48)))+AE199),6)</f>
        <v>830.88</v>
      </c>
      <c r="AE199">
        <f>ROUND(((EU199*48)),6)</f>
        <v>438.24</v>
      </c>
      <c r="AF199">
        <f>ROUND(((EV199*48)),6)</f>
        <v>0</v>
      </c>
      <c r="AG199">
        <f>ROUND((AP199),6)</f>
        <v>0</v>
      </c>
      <c r="AH199">
        <f>((EW199*48))</f>
        <v>0</v>
      </c>
      <c r="AI199">
        <f>((EX199*48))</f>
        <v>0</v>
      </c>
      <c r="AJ199">
        <f>(AS199)</f>
        <v>0</v>
      </c>
      <c r="AK199">
        <v>17.309999999999999</v>
      </c>
      <c r="AL199">
        <v>0</v>
      </c>
      <c r="AM199">
        <v>17.309999999999999</v>
      </c>
      <c r="AN199">
        <v>9.1300000000000008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Z199">
        <v>1</v>
      </c>
      <c r="BA199">
        <v>1</v>
      </c>
      <c r="BB199">
        <v>1</v>
      </c>
      <c r="BC199">
        <v>1</v>
      </c>
      <c r="BD199" t="s">
        <v>3</v>
      </c>
      <c r="BE199" t="s">
        <v>3</v>
      </c>
      <c r="BF199" t="s">
        <v>3</v>
      </c>
      <c r="BG199" t="s">
        <v>3</v>
      </c>
      <c r="BH199">
        <v>0</v>
      </c>
      <c r="BI199">
        <v>4</v>
      </c>
      <c r="BJ199" t="s">
        <v>164</v>
      </c>
      <c r="BM199">
        <v>1</v>
      </c>
      <c r="BN199">
        <v>0</v>
      </c>
      <c r="BO199" t="s">
        <v>3</v>
      </c>
      <c r="BP199">
        <v>0</v>
      </c>
      <c r="BQ199">
        <v>1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 t="s">
        <v>3</v>
      </c>
      <c r="BZ199">
        <v>0</v>
      </c>
      <c r="CA199">
        <v>0</v>
      </c>
      <c r="CB199" t="s">
        <v>3</v>
      </c>
      <c r="CE199">
        <v>0</v>
      </c>
      <c r="CF199">
        <v>0</v>
      </c>
      <c r="CG199">
        <v>0</v>
      </c>
      <c r="CM199">
        <v>0</v>
      </c>
      <c r="CN199" t="s">
        <v>3</v>
      </c>
      <c r="CO199">
        <v>0</v>
      </c>
      <c r="CP199">
        <f>(P199+Q199+S199)</f>
        <v>57114.69</v>
      </c>
      <c r="CQ199">
        <f>(AC199*BC199*AW199)</f>
        <v>0</v>
      </c>
      <c r="CR199">
        <f>(((((ET199*48))*BB199-((EU199*48))*BS199)+AE199*BS199)*AV199)</f>
        <v>830.87999999999988</v>
      </c>
      <c r="CS199">
        <f>(AE199*BS199*AV199)</f>
        <v>438.24</v>
      </c>
      <c r="CT199">
        <f>(AF199*BA199*AV199)</f>
        <v>0</v>
      </c>
      <c r="CU199">
        <f>AG199</f>
        <v>0</v>
      </c>
      <c r="CV199">
        <f>(AH199*AV199)</f>
        <v>0</v>
      </c>
      <c r="CW199">
        <f t="shared" si="165"/>
        <v>0</v>
      </c>
      <c r="CX199">
        <f t="shared" si="165"/>
        <v>0</v>
      </c>
      <c r="CY199">
        <f>((S199*BZ199)/100)</f>
        <v>0</v>
      </c>
      <c r="CZ199">
        <f>((S199*CA199)/100)</f>
        <v>0</v>
      </c>
      <c r="DC199" t="s">
        <v>3</v>
      </c>
      <c r="DD199" t="s">
        <v>165</v>
      </c>
      <c r="DE199" t="s">
        <v>165</v>
      </c>
      <c r="DF199" t="s">
        <v>165</v>
      </c>
      <c r="DG199" t="s">
        <v>165</v>
      </c>
      <c r="DH199" t="s">
        <v>3</v>
      </c>
      <c r="DI199" t="s">
        <v>165</v>
      </c>
      <c r="DJ199" t="s">
        <v>165</v>
      </c>
      <c r="DK199" t="s">
        <v>3</v>
      </c>
      <c r="DL199" t="s">
        <v>3</v>
      </c>
      <c r="DM199" t="s">
        <v>3</v>
      </c>
      <c r="DN199">
        <v>0</v>
      </c>
      <c r="DO199">
        <v>0</v>
      </c>
      <c r="DP199">
        <v>1</v>
      </c>
      <c r="DQ199">
        <v>1</v>
      </c>
      <c r="DU199">
        <v>1009</v>
      </c>
      <c r="DV199" t="s">
        <v>63</v>
      </c>
      <c r="DW199" t="s">
        <v>63</v>
      </c>
      <c r="DX199">
        <v>1000</v>
      </c>
      <c r="DZ199" t="s">
        <v>3</v>
      </c>
      <c r="EA199" t="s">
        <v>3</v>
      </c>
      <c r="EB199" t="s">
        <v>3</v>
      </c>
      <c r="EC199" t="s">
        <v>3</v>
      </c>
      <c r="EE199">
        <v>36274426</v>
      </c>
      <c r="EF199">
        <v>1</v>
      </c>
      <c r="EG199" t="s">
        <v>21</v>
      </c>
      <c r="EH199">
        <v>0</v>
      </c>
      <c r="EI199" t="s">
        <v>3</v>
      </c>
      <c r="EJ199">
        <v>4</v>
      </c>
      <c r="EK199">
        <v>1</v>
      </c>
      <c r="EL199" t="s">
        <v>160</v>
      </c>
      <c r="EM199" t="s">
        <v>23</v>
      </c>
      <c r="EO199" t="s">
        <v>3</v>
      </c>
      <c r="EQ199">
        <v>0</v>
      </c>
      <c r="ER199">
        <v>17.309999999999999</v>
      </c>
      <c r="ES199">
        <v>0</v>
      </c>
      <c r="ET199">
        <v>17.309999999999999</v>
      </c>
      <c r="EU199">
        <v>9.1300000000000008</v>
      </c>
      <c r="EV199">
        <v>0</v>
      </c>
      <c r="EW199">
        <v>0</v>
      </c>
      <c r="EX199">
        <v>0</v>
      </c>
      <c r="EY199">
        <v>0</v>
      </c>
      <c r="FQ199">
        <v>0</v>
      </c>
      <c r="FR199">
        <f>ROUND(IF(AND(BH199=3,BI199=3),P199,0),2)</f>
        <v>0</v>
      </c>
      <c r="FS199">
        <v>0</v>
      </c>
      <c r="FX199">
        <v>0</v>
      </c>
      <c r="FY199">
        <v>0</v>
      </c>
      <c r="GA199" t="s">
        <v>3</v>
      </c>
      <c r="GD199">
        <v>1</v>
      </c>
      <c r="GF199">
        <v>-817510909</v>
      </c>
      <c r="GG199">
        <v>2</v>
      </c>
      <c r="GH199">
        <v>1</v>
      </c>
      <c r="GI199">
        <v>-2</v>
      </c>
      <c r="GJ199">
        <v>0</v>
      </c>
      <c r="GK199">
        <v>0</v>
      </c>
      <c r="GL199">
        <f>ROUND(IF(AND(BH199=3,BI199=3,FS199&lt;&gt;0),P199,0),2)</f>
        <v>0</v>
      </c>
      <c r="GM199">
        <f>ROUND(O199+X199+Y199,2)+GX199</f>
        <v>57114.69</v>
      </c>
      <c r="GN199">
        <f>IF(OR(BI199=0,BI199=1),ROUND(O199+X199+Y199,2),0)</f>
        <v>0</v>
      </c>
      <c r="GO199">
        <f>IF(BI199=2,ROUND(O199+X199+Y199,2),0)</f>
        <v>0</v>
      </c>
      <c r="GP199">
        <f>IF(BI199=4,ROUND(O199+X199+Y199,2)+GX199,0)</f>
        <v>57114.69</v>
      </c>
      <c r="GR199">
        <v>0</v>
      </c>
      <c r="GS199">
        <v>3</v>
      </c>
      <c r="GT199">
        <v>0</v>
      </c>
      <c r="GU199" t="s">
        <v>3</v>
      </c>
      <c r="GV199">
        <f>ROUND((GT199),6)</f>
        <v>0</v>
      </c>
      <c r="GW199">
        <v>1</v>
      </c>
      <c r="GX199">
        <f>ROUND(HC199*I199,2)</f>
        <v>0</v>
      </c>
      <c r="HA199">
        <v>0</v>
      </c>
      <c r="HB199">
        <v>0</v>
      </c>
      <c r="HC199">
        <f>GV199*GW199</f>
        <v>0</v>
      </c>
      <c r="HE199" t="s">
        <v>3</v>
      </c>
      <c r="HF199" t="s">
        <v>3</v>
      </c>
      <c r="HM199" t="s">
        <v>3</v>
      </c>
      <c r="HN199" t="s">
        <v>3</v>
      </c>
      <c r="HO199" t="s">
        <v>3</v>
      </c>
      <c r="HP199" t="s">
        <v>3</v>
      </c>
      <c r="HQ199" t="s">
        <v>3</v>
      </c>
      <c r="IK199">
        <v>0</v>
      </c>
    </row>
    <row r="201" spans="1:245" x14ac:dyDescent="0.2">
      <c r="A201" s="2">
        <v>51</v>
      </c>
      <c r="B201" s="2">
        <f>B193</f>
        <v>1</v>
      </c>
      <c r="C201" s="2">
        <f>A193</f>
        <v>4</v>
      </c>
      <c r="D201" s="2">
        <f>ROW(A193)</f>
        <v>193</v>
      </c>
      <c r="E201" s="2"/>
      <c r="F201" s="2" t="str">
        <f>IF(F193&lt;&gt;"",F193,"")</f>
        <v>Новый раздел</v>
      </c>
      <c r="G201" s="2" t="str">
        <f>IF(G193&lt;&gt;"",G193,"")</f>
        <v>Мусор</v>
      </c>
      <c r="H201" s="2">
        <v>0</v>
      </c>
      <c r="I201" s="2"/>
      <c r="J201" s="2"/>
      <c r="K201" s="2"/>
      <c r="L201" s="2"/>
      <c r="M201" s="2"/>
      <c r="N201" s="2"/>
      <c r="O201" s="2">
        <f t="shared" ref="O201:T201" si="166">ROUND(AB201,2)</f>
        <v>67620.22</v>
      </c>
      <c r="P201" s="2">
        <f t="shared" si="166"/>
        <v>0</v>
      </c>
      <c r="Q201" s="2">
        <f t="shared" si="166"/>
        <v>67620.22</v>
      </c>
      <c r="R201" s="2">
        <f t="shared" si="166"/>
        <v>34403.68</v>
      </c>
      <c r="S201" s="2">
        <f t="shared" si="166"/>
        <v>0</v>
      </c>
      <c r="T201" s="2">
        <f t="shared" si="166"/>
        <v>0</v>
      </c>
      <c r="U201" s="2">
        <f>AH201</f>
        <v>0</v>
      </c>
      <c r="V201" s="2">
        <f>AI201</f>
        <v>0</v>
      </c>
      <c r="W201" s="2">
        <f>ROUND(AJ201,2)</f>
        <v>0</v>
      </c>
      <c r="X201" s="2">
        <f>ROUND(AK201,2)</f>
        <v>0</v>
      </c>
      <c r="Y201" s="2">
        <f>ROUND(AL201,2)</f>
        <v>0</v>
      </c>
      <c r="Z201" s="2"/>
      <c r="AA201" s="2"/>
      <c r="AB201" s="2">
        <f>ROUND(SUMIF(AA197:AA199,"=36602762",O197:O199),2)</f>
        <v>67620.22</v>
      </c>
      <c r="AC201" s="2">
        <f>ROUND(SUMIF(AA197:AA199,"=36602762",P197:P199),2)</f>
        <v>0</v>
      </c>
      <c r="AD201" s="2">
        <f>ROUND(SUMIF(AA197:AA199,"=36602762",Q197:Q199),2)</f>
        <v>67620.22</v>
      </c>
      <c r="AE201" s="2">
        <f>ROUND(SUMIF(AA197:AA199,"=36602762",R197:R199),2)</f>
        <v>34403.68</v>
      </c>
      <c r="AF201" s="2">
        <f>ROUND(SUMIF(AA197:AA199,"=36602762",S197:S199),2)</f>
        <v>0</v>
      </c>
      <c r="AG201" s="2">
        <f>ROUND(SUMIF(AA197:AA199,"=36602762",T197:T199),2)</f>
        <v>0</v>
      </c>
      <c r="AH201" s="2">
        <f>SUMIF(AA197:AA199,"=36602762",U197:U199)</f>
        <v>0</v>
      </c>
      <c r="AI201" s="2">
        <f>SUMIF(AA197:AA199,"=36602762",V197:V199)</f>
        <v>0</v>
      </c>
      <c r="AJ201" s="2">
        <f>ROUND(SUMIF(AA197:AA199,"=36602762",W197:W199),2)</f>
        <v>0</v>
      </c>
      <c r="AK201" s="2">
        <f>ROUND(SUMIF(AA197:AA199,"=36602762",X197:X199),2)</f>
        <v>0</v>
      </c>
      <c r="AL201" s="2">
        <f>ROUND(SUMIF(AA197:AA199,"=36602762",Y197:Y199),2)</f>
        <v>0</v>
      </c>
      <c r="AM201" s="2"/>
      <c r="AN201" s="2"/>
      <c r="AO201" s="2">
        <f t="shared" ref="AO201:BD201" si="167">ROUND(BX201,2)</f>
        <v>0</v>
      </c>
      <c r="AP201" s="2">
        <f t="shared" si="167"/>
        <v>0</v>
      </c>
      <c r="AQ201" s="2">
        <f t="shared" si="167"/>
        <v>0</v>
      </c>
      <c r="AR201" s="2">
        <f t="shared" si="167"/>
        <v>69735.289999999994</v>
      </c>
      <c r="AS201" s="2">
        <f t="shared" si="167"/>
        <v>0</v>
      </c>
      <c r="AT201" s="2">
        <f t="shared" si="167"/>
        <v>0</v>
      </c>
      <c r="AU201" s="2">
        <f t="shared" si="167"/>
        <v>69735.289999999994</v>
      </c>
      <c r="AV201" s="2">
        <f t="shared" si="167"/>
        <v>0</v>
      </c>
      <c r="AW201" s="2">
        <f t="shared" si="167"/>
        <v>0</v>
      </c>
      <c r="AX201" s="2">
        <f t="shared" si="167"/>
        <v>0</v>
      </c>
      <c r="AY201" s="2">
        <f t="shared" si="167"/>
        <v>0</v>
      </c>
      <c r="AZ201" s="2">
        <f t="shared" si="167"/>
        <v>0</v>
      </c>
      <c r="BA201" s="2">
        <f t="shared" si="167"/>
        <v>0</v>
      </c>
      <c r="BB201" s="2">
        <f t="shared" si="167"/>
        <v>0</v>
      </c>
      <c r="BC201" s="2">
        <f t="shared" si="167"/>
        <v>0</v>
      </c>
      <c r="BD201" s="2">
        <f t="shared" si="167"/>
        <v>0</v>
      </c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>
        <f>ROUND(SUMIF(AA197:AA199,"=36602762",FQ197:FQ199),2)</f>
        <v>0</v>
      </c>
      <c r="BY201" s="2">
        <f>ROUND(SUMIF(AA197:AA199,"=36602762",FR197:FR199),2)</f>
        <v>0</v>
      </c>
      <c r="BZ201" s="2">
        <f>ROUND(SUMIF(AA197:AA199,"=36602762",GL197:GL199),2)</f>
        <v>0</v>
      </c>
      <c r="CA201" s="2">
        <f>ROUND(SUMIF(AA197:AA199,"=36602762",GM197:GM199),2)</f>
        <v>69735.289999999994</v>
      </c>
      <c r="CB201" s="2">
        <f>ROUND(SUMIF(AA197:AA199,"=36602762",GN197:GN199),2)</f>
        <v>0</v>
      </c>
      <c r="CC201" s="2">
        <f>ROUND(SUMIF(AA197:AA199,"=36602762",GO197:GO199),2)</f>
        <v>0</v>
      </c>
      <c r="CD201" s="2">
        <f>ROUND(SUMIF(AA197:AA199,"=36602762",GP197:GP199),2)</f>
        <v>69735.289999999994</v>
      </c>
      <c r="CE201" s="2">
        <f>AC201-BX201</f>
        <v>0</v>
      </c>
      <c r="CF201" s="2">
        <f>AC201-BY201</f>
        <v>0</v>
      </c>
      <c r="CG201" s="2">
        <f>BX201-BZ201</f>
        <v>0</v>
      </c>
      <c r="CH201" s="2">
        <f>AC201-BX201-BY201+BZ201</f>
        <v>0</v>
      </c>
      <c r="CI201" s="2">
        <f>BY201-BZ201</f>
        <v>0</v>
      </c>
      <c r="CJ201" s="2">
        <f>ROUND(SUMIF(AA197:AA199,"=36602762",GX197:GX199),2)</f>
        <v>0</v>
      </c>
      <c r="CK201" s="2">
        <f>ROUND(SUMIF(AA197:AA199,"=36602762",GY197:GY199),2)</f>
        <v>0</v>
      </c>
      <c r="CL201" s="2">
        <f>ROUND(SUMIF(AA197:AA199,"=36602762",GZ197:GZ199),2)</f>
        <v>0</v>
      </c>
      <c r="CM201" s="2">
        <f>ROUND(SUMIF(AA197:AA199,"=36602762",HD197:HD199),2)</f>
        <v>0</v>
      </c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>
        <v>0</v>
      </c>
    </row>
    <row r="203" spans="1:245" x14ac:dyDescent="0.2">
      <c r="A203" s="4">
        <v>50</v>
      </c>
      <c r="B203" s="4">
        <v>0</v>
      </c>
      <c r="C203" s="4">
        <v>0</v>
      </c>
      <c r="D203" s="4">
        <v>1</v>
      </c>
      <c r="E203" s="4">
        <v>201</v>
      </c>
      <c r="F203" s="4">
        <f>ROUND(Source!O201,O203)</f>
        <v>67620.22</v>
      </c>
      <c r="G203" s="4" t="s">
        <v>75</v>
      </c>
      <c r="H203" s="4" t="s">
        <v>76</v>
      </c>
      <c r="I203" s="4"/>
      <c r="J203" s="4"/>
      <c r="K203" s="4">
        <v>201</v>
      </c>
      <c r="L203" s="4">
        <v>1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>
        <v>67620.22</v>
      </c>
      <c r="X203" s="4">
        <v>1</v>
      </c>
      <c r="Y203" s="4">
        <v>67620.22</v>
      </c>
      <c r="Z203" s="4"/>
      <c r="AA203" s="4"/>
      <c r="AB203" s="4"/>
    </row>
    <row r="204" spans="1:245" x14ac:dyDescent="0.2">
      <c r="A204" s="4">
        <v>50</v>
      </c>
      <c r="B204" s="4">
        <v>0</v>
      </c>
      <c r="C204" s="4">
        <v>0</v>
      </c>
      <c r="D204" s="4">
        <v>1</v>
      </c>
      <c r="E204" s="4">
        <v>202</v>
      </c>
      <c r="F204" s="4">
        <f>ROUND(Source!P201,O204)</f>
        <v>0</v>
      </c>
      <c r="G204" s="4" t="s">
        <v>77</v>
      </c>
      <c r="H204" s="4" t="s">
        <v>78</v>
      </c>
      <c r="I204" s="4"/>
      <c r="J204" s="4"/>
      <c r="K204" s="4">
        <v>202</v>
      </c>
      <c r="L204" s="4">
        <v>2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>
        <v>0</v>
      </c>
      <c r="X204" s="4">
        <v>1</v>
      </c>
      <c r="Y204" s="4">
        <v>0</v>
      </c>
      <c r="Z204" s="4"/>
      <c r="AA204" s="4"/>
      <c r="AB204" s="4"/>
    </row>
    <row r="205" spans="1:245" x14ac:dyDescent="0.2">
      <c r="A205" s="4">
        <v>50</v>
      </c>
      <c r="B205" s="4">
        <v>0</v>
      </c>
      <c r="C205" s="4">
        <v>0</v>
      </c>
      <c r="D205" s="4">
        <v>1</v>
      </c>
      <c r="E205" s="4">
        <v>222</v>
      </c>
      <c r="F205" s="4">
        <f>ROUND(Source!AO201,O205)</f>
        <v>0</v>
      </c>
      <c r="G205" s="4" t="s">
        <v>79</v>
      </c>
      <c r="H205" s="4" t="s">
        <v>80</v>
      </c>
      <c r="I205" s="4"/>
      <c r="J205" s="4"/>
      <c r="K205" s="4">
        <v>222</v>
      </c>
      <c r="L205" s="4">
        <v>3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>
        <v>0</v>
      </c>
      <c r="X205" s="4">
        <v>1</v>
      </c>
      <c r="Y205" s="4">
        <v>0</v>
      </c>
      <c r="Z205" s="4"/>
      <c r="AA205" s="4"/>
      <c r="AB205" s="4"/>
    </row>
    <row r="206" spans="1:245" x14ac:dyDescent="0.2">
      <c r="A206" s="4">
        <v>50</v>
      </c>
      <c r="B206" s="4">
        <v>0</v>
      </c>
      <c r="C206" s="4">
        <v>0</v>
      </c>
      <c r="D206" s="4">
        <v>1</v>
      </c>
      <c r="E206" s="4">
        <v>225</v>
      </c>
      <c r="F206" s="4">
        <f>ROUND(Source!AV201,O206)</f>
        <v>0</v>
      </c>
      <c r="G206" s="4" t="s">
        <v>81</v>
      </c>
      <c r="H206" s="4" t="s">
        <v>82</v>
      </c>
      <c r="I206" s="4"/>
      <c r="J206" s="4"/>
      <c r="K206" s="4">
        <v>225</v>
      </c>
      <c r="L206" s="4">
        <v>4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>
        <v>0</v>
      </c>
      <c r="X206" s="4">
        <v>1</v>
      </c>
      <c r="Y206" s="4">
        <v>0</v>
      </c>
      <c r="Z206" s="4"/>
      <c r="AA206" s="4"/>
      <c r="AB206" s="4"/>
    </row>
    <row r="207" spans="1:245" x14ac:dyDescent="0.2">
      <c r="A207" s="4">
        <v>50</v>
      </c>
      <c r="B207" s="4">
        <v>0</v>
      </c>
      <c r="C207" s="4">
        <v>0</v>
      </c>
      <c r="D207" s="4">
        <v>1</v>
      </c>
      <c r="E207" s="4">
        <v>226</v>
      </c>
      <c r="F207" s="4">
        <f>ROUND(Source!AW201,O207)</f>
        <v>0</v>
      </c>
      <c r="G207" s="4" t="s">
        <v>83</v>
      </c>
      <c r="H207" s="4" t="s">
        <v>84</v>
      </c>
      <c r="I207" s="4"/>
      <c r="J207" s="4"/>
      <c r="K207" s="4">
        <v>226</v>
      </c>
      <c r="L207" s="4">
        <v>5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>
        <v>0</v>
      </c>
      <c r="X207" s="4">
        <v>1</v>
      </c>
      <c r="Y207" s="4">
        <v>0</v>
      </c>
      <c r="Z207" s="4"/>
      <c r="AA207" s="4"/>
      <c r="AB207" s="4"/>
    </row>
    <row r="208" spans="1:245" x14ac:dyDescent="0.2">
      <c r="A208" s="4">
        <v>50</v>
      </c>
      <c r="B208" s="4">
        <v>0</v>
      </c>
      <c r="C208" s="4">
        <v>0</v>
      </c>
      <c r="D208" s="4">
        <v>1</v>
      </c>
      <c r="E208" s="4">
        <v>227</v>
      </c>
      <c r="F208" s="4">
        <f>ROUND(Source!AX201,O208)</f>
        <v>0</v>
      </c>
      <c r="G208" s="4" t="s">
        <v>85</v>
      </c>
      <c r="H208" s="4" t="s">
        <v>86</v>
      </c>
      <c r="I208" s="4"/>
      <c r="J208" s="4"/>
      <c r="K208" s="4">
        <v>227</v>
      </c>
      <c r="L208" s="4">
        <v>6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>
        <v>0</v>
      </c>
      <c r="X208" s="4">
        <v>1</v>
      </c>
      <c r="Y208" s="4">
        <v>0</v>
      </c>
      <c r="Z208" s="4"/>
      <c r="AA208" s="4"/>
      <c r="AB208" s="4"/>
    </row>
    <row r="209" spans="1:28" x14ac:dyDescent="0.2">
      <c r="A209" s="4">
        <v>50</v>
      </c>
      <c r="B209" s="4">
        <v>0</v>
      </c>
      <c r="C209" s="4">
        <v>0</v>
      </c>
      <c r="D209" s="4">
        <v>1</v>
      </c>
      <c r="E209" s="4">
        <v>228</v>
      </c>
      <c r="F209" s="4">
        <f>ROUND(Source!AY201,O209)</f>
        <v>0</v>
      </c>
      <c r="G209" s="4" t="s">
        <v>87</v>
      </c>
      <c r="H209" s="4" t="s">
        <v>88</v>
      </c>
      <c r="I209" s="4"/>
      <c r="J209" s="4"/>
      <c r="K209" s="4">
        <v>228</v>
      </c>
      <c r="L209" s="4">
        <v>7</v>
      </c>
      <c r="M209" s="4">
        <v>3</v>
      </c>
      <c r="N209" s="4" t="s">
        <v>3</v>
      </c>
      <c r="O209" s="4">
        <v>2</v>
      </c>
      <c r="P209" s="4"/>
      <c r="Q209" s="4"/>
      <c r="R209" s="4"/>
      <c r="S209" s="4"/>
      <c r="T209" s="4"/>
      <c r="U209" s="4"/>
      <c r="V209" s="4"/>
      <c r="W209" s="4">
        <v>0</v>
      </c>
      <c r="X209" s="4">
        <v>1</v>
      </c>
      <c r="Y209" s="4">
        <v>0</v>
      </c>
      <c r="Z209" s="4"/>
      <c r="AA209" s="4"/>
      <c r="AB209" s="4"/>
    </row>
    <row r="210" spans="1:28" x14ac:dyDescent="0.2">
      <c r="A210" s="4">
        <v>50</v>
      </c>
      <c r="B210" s="4">
        <v>0</v>
      </c>
      <c r="C210" s="4">
        <v>0</v>
      </c>
      <c r="D210" s="4">
        <v>1</v>
      </c>
      <c r="E210" s="4">
        <v>216</v>
      </c>
      <c r="F210" s="4">
        <f>ROUND(Source!AP201,O210)</f>
        <v>0</v>
      </c>
      <c r="G210" s="4" t="s">
        <v>89</v>
      </c>
      <c r="H210" s="4" t="s">
        <v>90</v>
      </c>
      <c r="I210" s="4"/>
      <c r="J210" s="4"/>
      <c r="K210" s="4">
        <v>216</v>
      </c>
      <c r="L210" s="4">
        <v>8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>
        <v>0</v>
      </c>
      <c r="X210" s="4">
        <v>1</v>
      </c>
      <c r="Y210" s="4">
        <v>0</v>
      </c>
      <c r="Z210" s="4"/>
      <c r="AA210" s="4"/>
      <c r="AB210" s="4"/>
    </row>
    <row r="211" spans="1:28" x14ac:dyDescent="0.2">
      <c r="A211" s="4">
        <v>50</v>
      </c>
      <c r="B211" s="4">
        <v>0</v>
      </c>
      <c r="C211" s="4">
        <v>0</v>
      </c>
      <c r="D211" s="4">
        <v>1</v>
      </c>
      <c r="E211" s="4">
        <v>223</v>
      </c>
      <c r="F211" s="4">
        <f>ROUND(Source!AQ201,O211)</f>
        <v>0</v>
      </c>
      <c r="G211" s="4" t="s">
        <v>91</v>
      </c>
      <c r="H211" s="4" t="s">
        <v>92</v>
      </c>
      <c r="I211" s="4"/>
      <c r="J211" s="4"/>
      <c r="K211" s="4">
        <v>223</v>
      </c>
      <c r="L211" s="4">
        <v>9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>
        <v>0</v>
      </c>
      <c r="X211" s="4">
        <v>1</v>
      </c>
      <c r="Y211" s="4">
        <v>0</v>
      </c>
      <c r="Z211" s="4"/>
      <c r="AA211" s="4"/>
      <c r="AB211" s="4"/>
    </row>
    <row r="212" spans="1:28" x14ac:dyDescent="0.2">
      <c r="A212" s="4">
        <v>50</v>
      </c>
      <c r="B212" s="4">
        <v>0</v>
      </c>
      <c r="C212" s="4">
        <v>0</v>
      </c>
      <c r="D212" s="4">
        <v>1</v>
      </c>
      <c r="E212" s="4">
        <v>229</v>
      </c>
      <c r="F212" s="4">
        <f>ROUND(Source!AZ201,O212)</f>
        <v>0</v>
      </c>
      <c r="G212" s="4" t="s">
        <v>93</v>
      </c>
      <c r="H212" s="4" t="s">
        <v>94</v>
      </c>
      <c r="I212" s="4"/>
      <c r="J212" s="4"/>
      <c r="K212" s="4">
        <v>229</v>
      </c>
      <c r="L212" s="4">
        <v>10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>
        <v>0</v>
      </c>
      <c r="X212" s="4">
        <v>1</v>
      </c>
      <c r="Y212" s="4">
        <v>0</v>
      </c>
      <c r="Z212" s="4"/>
      <c r="AA212" s="4"/>
      <c r="AB212" s="4"/>
    </row>
    <row r="213" spans="1:28" x14ac:dyDescent="0.2">
      <c r="A213" s="4">
        <v>50</v>
      </c>
      <c r="B213" s="4">
        <v>0</v>
      </c>
      <c r="C213" s="4">
        <v>0</v>
      </c>
      <c r="D213" s="4">
        <v>1</v>
      </c>
      <c r="E213" s="4">
        <v>203</v>
      </c>
      <c r="F213" s="4">
        <f>ROUND(Source!Q201,O213)</f>
        <v>67620.22</v>
      </c>
      <c r="G213" s="4" t="s">
        <v>95</v>
      </c>
      <c r="H213" s="4" t="s">
        <v>96</v>
      </c>
      <c r="I213" s="4"/>
      <c r="J213" s="4"/>
      <c r="K213" s="4">
        <v>203</v>
      </c>
      <c r="L213" s="4">
        <v>11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>
        <v>67620.22</v>
      </c>
      <c r="X213" s="4">
        <v>1</v>
      </c>
      <c r="Y213" s="4">
        <v>67620.22</v>
      </c>
      <c r="Z213" s="4"/>
      <c r="AA213" s="4"/>
      <c r="AB213" s="4"/>
    </row>
    <row r="214" spans="1:28" x14ac:dyDescent="0.2">
      <c r="A214" s="4">
        <v>50</v>
      </c>
      <c r="B214" s="4">
        <v>0</v>
      </c>
      <c r="C214" s="4">
        <v>0</v>
      </c>
      <c r="D214" s="4">
        <v>1</v>
      </c>
      <c r="E214" s="4">
        <v>231</v>
      </c>
      <c r="F214" s="4">
        <f>ROUND(Source!BB201,O214)</f>
        <v>0</v>
      </c>
      <c r="G214" s="4" t="s">
        <v>97</v>
      </c>
      <c r="H214" s="4" t="s">
        <v>98</v>
      </c>
      <c r="I214" s="4"/>
      <c r="J214" s="4"/>
      <c r="K214" s="4">
        <v>231</v>
      </c>
      <c r="L214" s="4">
        <v>12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>
        <v>0</v>
      </c>
      <c r="X214" s="4">
        <v>1</v>
      </c>
      <c r="Y214" s="4">
        <v>0</v>
      </c>
      <c r="Z214" s="4"/>
      <c r="AA214" s="4"/>
      <c r="AB214" s="4"/>
    </row>
    <row r="215" spans="1:28" x14ac:dyDescent="0.2">
      <c r="A215" s="4">
        <v>50</v>
      </c>
      <c r="B215" s="4">
        <v>0</v>
      </c>
      <c r="C215" s="4">
        <v>0</v>
      </c>
      <c r="D215" s="4">
        <v>1</v>
      </c>
      <c r="E215" s="4">
        <v>204</v>
      </c>
      <c r="F215" s="4">
        <f>ROUND(Source!R201,O215)</f>
        <v>34403.68</v>
      </c>
      <c r="G215" s="4" t="s">
        <v>99</v>
      </c>
      <c r="H215" s="4" t="s">
        <v>100</v>
      </c>
      <c r="I215" s="4"/>
      <c r="J215" s="4"/>
      <c r="K215" s="4">
        <v>204</v>
      </c>
      <c r="L215" s="4">
        <v>13</v>
      </c>
      <c r="M215" s="4">
        <v>3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>
        <v>34403.68</v>
      </c>
      <c r="X215" s="4">
        <v>1</v>
      </c>
      <c r="Y215" s="4">
        <v>34403.68</v>
      </c>
      <c r="Z215" s="4"/>
      <c r="AA215" s="4"/>
      <c r="AB215" s="4"/>
    </row>
    <row r="216" spans="1:28" x14ac:dyDescent="0.2">
      <c r="A216" s="4">
        <v>50</v>
      </c>
      <c r="B216" s="4">
        <v>0</v>
      </c>
      <c r="C216" s="4">
        <v>0</v>
      </c>
      <c r="D216" s="4">
        <v>1</v>
      </c>
      <c r="E216" s="4">
        <v>205</v>
      </c>
      <c r="F216" s="4">
        <f>ROUND(Source!S201,O216)</f>
        <v>0</v>
      </c>
      <c r="G216" s="4" t="s">
        <v>101</v>
      </c>
      <c r="H216" s="4" t="s">
        <v>102</v>
      </c>
      <c r="I216" s="4"/>
      <c r="J216" s="4"/>
      <c r="K216" s="4">
        <v>205</v>
      </c>
      <c r="L216" s="4">
        <v>14</v>
      </c>
      <c r="M216" s="4">
        <v>3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>
        <v>0</v>
      </c>
      <c r="X216" s="4">
        <v>1</v>
      </c>
      <c r="Y216" s="4">
        <v>0</v>
      </c>
      <c r="Z216" s="4"/>
      <c r="AA216" s="4"/>
      <c r="AB216" s="4"/>
    </row>
    <row r="217" spans="1:28" x14ac:dyDescent="0.2">
      <c r="A217" s="4">
        <v>50</v>
      </c>
      <c r="B217" s="4">
        <v>0</v>
      </c>
      <c r="C217" s="4">
        <v>0</v>
      </c>
      <c r="D217" s="4">
        <v>1</v>
      </c>
      <c r="E217" s="4">
        <v>232</v>
      </c>
      <c r="F217" s="4">
        <f>ROUND(Source!BC201,O217)</f>
        <v>0</v>
      </c>
      <c r="G217" s="4" t="s">
        <v>103</v>
      </c>
      <c r="H217" s="4" t="s">
        <v>104</v>
      </c>
      <c r="I217" s="4"/>
      <c r="J217" s="4"/>
      <c r="K217" s="4">
        <v>232</v>
      </c>
      <c r="L217" s="4">
        <v>15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>
        <v>0</v>
      </c>
      <c r="X217" s="4">
        <v>1</v>
      </c>
      <c r="Y217" s="4">
        <v>0</v>
      </c>
      <c r="Z217" s="4"/>
      <c r="AA217" s="4"/>
      <c r="AB217" s="4"/>
    </row>
    <row r="218" spans="1:28" x14ac:dyDescent="0.2">
      <c r="A218" s="4">
        <v>50</v>
      </c>
      <c r="B218" s="4">
        <v>0</v>
      </c>
      <c r="C218" s="4">
        <v>0</v>
      </c>
      <c r="D218" s="4">
        <v>1</v>
      </c>
      <c r="E218" s="4">
        <v>214</v>
      </c>
      <c r="F218" s="4">
        <f>ROUND(Source!AS201,O218)</f>
        <v>0</v>
      </c>
      <c r="G218" s="4" t="s">
        <v>105</v>
      </c>
      <c r="H218" s="4" t="s">
        <v>106</v>
      </c>
      <c r="I218" s="4"/>
      <c r="J218" s="4"/>
      <c r="K218" s="4">
        <v>214</v>
      </c>
      <c r="L218" s="4">
        <v>16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>
        <v>0</v>
      </c>
      <c r="X218" s="4">
        <v>1</v>
      </c>
      <c r="Y218" s="4">
        <v>0</v>
      </c>
      <c r="Z218" s="4"/>
      <c r="AA218" s="4"/>
      <c r="AB218" s="4"/>
    </row>
    <row r="219" spans="1:28" x14ac:dyDescent="0.2">
      <c r="A219" s="4">
        <v>50</v>
      </c>
      <c r="B219" s="4">
        <v>0</v>
      </c>
      <c r="C219" s="4">
        <v>0</v>
      </c>
      <c r="D219" s="4">
        <v>1</v>
      </c>
      <c r="E219" s="4">
        <v>215</v>
      </c>
      <c r="F219" s="4">
        <f>ROUND(Source!AT201,O219)</f>
        <v>0</v>
      </c>
      <c r="G219" s="4" t="s">
        <v>107</v>
      </c>
      <c r="H219" s="4" t="s">
        <v>108</v>
      </c>
      <c r="I219" s="4"/>
      <c r="J219" s="4"/>
      <c r="K219" s="4">
        <v>215</v>
      </c>
      <c r="L219" s="4">
        <v>17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>
        <v>0</v>
      </c>
      <c r="X219" s="4">
        <v>1</v>
      </c>
      <c r="Y219" s="4">
        <v>0</v>
      </c>
      <c r="Z219" s="4"/>
      <c r="AA219" s="4"/>
      <c r="AB219" s="4"/>
    </row>
    <row r="220" spans="1:28" x14ac:dyDescent="0.2">
      <c r="A220" s="4">
        <v>50</v>
      </c>
      <c r="B220" s="4">
        <v>0</v>
      </c>
      <c r="C220" s="4">
        <v>0</v>
      </c>
      <c r="D220" s="4">
        <v>1</v>
      </c>
      <c r="E220" s="4">
        <v>217</v>
      </c>
      <c r="F220" s="4">
        <f>ROUND(Source!AU201,O220)</f>
        <v>69735.289999999994</v>
      </c>
      <c r="G220" s="4" t="s">
        <v>109</v>
      </c>
      <c r="H220" s="4" t="s">
        <v>110</v>
      </c>
      <c r="I220" s="4"/>
      <c r="J220" s="4"/>
      <c r="K220" s="4">
        <v>217</v>
      </c>
      <c r="L220" s="4">
        <v>18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>
        <v>69735.289999999994</v>
      </c>
      <c r="X220" s="4">
        <v>1</v>
      </c>
      <c r="Y220" s="4">
        <v>69735.289999999994</v>
      </c>
      <c r="Z220" s="4"/>
      <c r="AA220" s="4"/>
      <c r="AB220" s="4"/>
    </row>
    <row r="221" spans="1:28" x14ac:dyDescent="0.2">
      <c r="A221" s="4">
        <v>50</v>
      </c>
      <c r="B221" s="4">
        <v>0</v>
      </c>
      <c r="C221" s="4">
        <v>0</v>
      </c>
      <c r="D221" s="4">
        <v>1</v>
      </c>
      <c r="E221" s="4">
        <v>230</v>
      </c>
      <c r="F221" s="4">
        <f>ROUND(Source!BA201,O221)</f>
        <v>0</v>
      </c>
      <c r="G221" s="4" t="s">
        <v>111</v>
      </c>
      <c r="H221" s="4" t="s">
        <v>112</v>
      </c>
      <c r="I221" s="4"/>
      <c r="J221" s="4"/>
      <c r="K221" s="4">
        <v>230</v>
      </c>
      <c r="L221" s="4">
        <v>19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>
        <v>0</v>
      </c>
      <c r="X221" s="4">
        <v>1</v>
      </c>
      <c r="Y221" s="4">
        <v>0</v>
      </c>
      <c r="Z221" s="4"/>
      <c r="AA221" s="4"/>
      <c r="AB221" s="4"/>
    </row>
    <row r="222" spans="1:28" x14ac:dyDescent="0.2">
      <c r="A222" s="4">
        <v>50</v>
      </c>
      <c r="B222" s="4">
        <v>0</v>
      </c>
      <c r="C222" s="4">
        <v>0</v>
      </c>
      <c r="D222" s="4">
        <v>1</v>
      </c>
      <c r="E222" s="4">
        <v>206</v>
      </c>
      <c r="F222" s="4">
        <f>ROUND(Source!T201,O222)</f>
        <v>0</v>
      </c>
      <c r="G222" s="4" t="s">
        <v>113</v>
      </c>
      <c r="H222" s="4" t="s">
        <v>114</v>
      </c>
      <c r="I222" s="4"/>
      <c r="J222" s="4"/>
      <c r="K222" s="4">
        <v>206</v>
      </c>
      <c r="L222" s="4">
        <v>20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>
        <v>0</v>
      </c>
      <c r="X222" s="4">
        <v>1</v>
      </c>
      <c r="Y222" s="4">
        <v>0</v>
      </c>
      <c r="Z222" s="4"/>
      <c r="AA222" s="4"/>
      <c r="AB222" s="4"/>
    </row>
    <row r="223" spans="1:28" x14ac:dyDescent="0.2">
      <c r="A223" s="4">
        <v>50</v>
      </c>
      <c r="B223" s="4">
        <v>0</v>
      </c>
      <c r="C223" s="4">
        <v>0</v>
      </c>
      <c r="D223" s="4">
        <v>1</v>
      </c>
      <c r="E223" s="4">
        <v>207</v>
      </c>
      <c r="F223" s="4">
        <f>Source!U201</f>
        <v>0</v>
      </c>
      <c r="G223" s="4" t="s">
        <v>115</v>
      </c>
      <c r="H223" s="4" t="s">
        <v>116</v>
      </c>
      <c r="I223" s="4"/>
      <c r="J223" s="4"/>
      <c r="K223" s="4">
        <v>207</v>
      </c>
      <c r="L223" s="4">
        <v>21</v>
      </c>
      <c r="M223" s="4">
        <v>3</v>
      </c>
      <c r="N223" s="4" t="s">
        <v>3</v>
      </c>
      <c r="O223" s="4">
        <v>-1</v>
      </c>
      <c r="P223" s="4"/>
      <c r="Q223" s="4"/>
      <c r="R223" s="4"/>
      <c r="S223" s="4"/>
      <c r="T223" s="4"/>
      <c r="U223" s="4"/>
      <c r="V223" s="4"/>
      <c r="W223" s="4">
        <v>0</v>
      </c>
      <c r="X223" s="4">
        <v>1</v>
      </c>
      <c r="Y223" s="4">
        <v>0</v>
      </c>
      <c r="Z223" s="4"/>
      <c r="AA223" s="4"/>
      <c r="AB223" s="4"/>
    </row>
    <row r="224" spans="1:28" x14ac:dyDescent="0.2">
      <c r="A224" s="4">
        <v>50</v>
      </c>
      <c r="B224" s="4">
        <v>0</v>
      </c>
      <c r="C224" s="4">
        <v>0</v>
      </c>
      <c r="D224" s="4">
        <v>1</v>
      </c>
      <c r="E224" s="4">
        <v>208</v>
      </c>
      <c r="F224" s="4">
        <f>Source!V201</f>
        <v>0</v>
      </c>
      <c r="G224" s="4" t="s">
        <v>117</v>
      </c>
      <c r="H224" s="4" t="s">
        <v>118</v>
      </c>
      <c r="I224" s="4"/>
      <c r="J224" s="4"/>
      <c r="K224" s="4">
        <v>208</v>
      </c>
      <c r="L224" s="4">
        <v>22</v>
      </c>
      <c r="M224" s="4">
        <v>3</v>
      </c>
      <c r="N224" s="4" t="s">
        <v>3</v>
      </c>
      <c r="O224" s="4">
        <v>-1</v>
      </c>
      <c r="P224" s="4"/>
      <c r="Q224" s="4"/>
      <c r="R224" s="4"/>
      <c r="S224" s="4"/>
      <c r="T224" s="4"/>
      <c r="U224" s="4"/>
      <c r="V224" s="4"/>
      <c r="W224" s="4">
        <v>0</v>
      </c>
      <c r="X224" s="4">
        <v>1</v>
      </c>
      <c r="Y224" s="4">
        <v>0</v>
      </c>
      <c r="Z224" s="4"/>
      <c r="AA224" s="4"/>
      <c r="AB224" s="4"/>
    </row>
    <row r="225" spans="1:206" x14ac:dyDescent="0.2">
      <c r="A225" s="4">
        <v>50</v>
      </c>
      <c r="B225" s="4">
        <v>0</v>
      </c>
      <c r="C225" s="4">
        <v>0</v>
      </c>
      <c r="D225" s="4">
        <v>1</v>
      </c>
      <c r="E225" s="4">
        <v>209</v>
      </c>
      <c r="F225" s="4">
        <f>ROUND(Source!W201,O225)</f>
        <v>0</v>
      </c>
      <c r="G225" s="4" t="s">
        <v>119</v>
      </c>
      <c r="H225" s="4" t="s">
        <v>120</v>
      </c>
      <c r="I225" s="4"/>
      <c r="J225" s="4"/>
      <c r="K225" s="4">
        <v>209</v>
      </c>
      <c r="L225" s="4">
        <v>23</v>
      </c>
      <c r="M225" s="4">
        <v>3</v>
      </c>
      <c r="N225" s="4" t="s">
        <v>3</v>
      </c>
      <c r="O225" s="4">
        <v>2</v>
      </c>
      <c r="P225" s="4"/>
      <c r="Q225" s="4"/>
      <c r="R225" s="4"/>
      <c r="S225" s="4"/>
      <c r="T225" s="4"/>
      <c r="U225" s="4"/>
      <c r="V225" s="4"/>
      <c r="W225" s="4">
        <v>0</v>
      </c>
      <c r="X225" s="4">
        <v>1</v>
      </c>
      <c r="Y225" s="4">
        <v>0</v>
      </c>
      <c r="Z225" s="4"/>
      <c r="AA225" s="4"/>
      <c r="AB225" s="4"/>
    </row>
    <row r="226" spans="1:206" x14ac:dyDescent="0.2">
      <c r="A226" s="4">
        <v>50</v>
      </c>
      <c r="B226" s="4">
        <v>0</v>
      </c>
      <c r="C226" s="4">
        <v>0</v>
      </c>
      <c r="D226" s="4">
        <v>1</v>
      </c>
      <c r="E226" s="4">
        <v>233</v>
      </c>
      <c r="F226" s="4">
        <f>ROUND(Source!BD201,O226)</f>
        <v>0</v>
      </c>
      <c r="G226" s="4" t="s">
        <v>121</v>
      </c>
      <c r="H226" s="4" t="s">
        <v>122</v>
      </c>
      <c r="I226" s="4"/>
      <c r="J226" s="4"/>
      <c r="K226" s="4">
        <v>233</v>
      </c>
      <c r="L226" s="4">
        <v>24</v>
      </c>
      <c r="M226" s="4">
        <v>3</v>
      </c>
      <c r="N226" s="4" t="s">
        <v>3</v>
      </c>
      <c r="O226" s="4">
        <v>2</v>
      </c>
      <c r="P226" s="4"/>
      <c r="Q226" s="4"/>
      <c r="R226" s="4"/>
      <c r="S226" s="4"/>
      <c r="T226" s="4"/>
      <c r="U226" s="4"/>
      <c r="V226" s="4"/>
      <c r="W226" s="4">
        <v>0</v>
      </c>
      <c r="X226" s="4">
        <v>1</v>
      </c>
      <c r="Y226" s="4">
        <v>0</v>
      </c>
      <c r="Z226" s="4"/>
      <c r="AA226" s="4"/>
      <c r="AB226" s="4"/>
    </row>
    <row r="227" spans="1:206" x14ac:dyDescent="0.2">
      <c r="A227" s="4">
        <v>50</v>
      </c>
      <c r="B227" s="4">
        <v>0</v>
      </c>
      <c r="C227" s="4">
        <v>0</v>
      </c>
      <c r="D227" s="4">
        <v>1</v>
      </c>
      <c r="E227" s="4">
        <v>210</v>
      </c>
      <c r="F227" s="4">
        <f>ROUND(Source!X201,O227)</f>
        <v>0</v>
      </c>
      <c r="G227" s="4" t="s">
        <v>123</v>
      </c>
      <c r="H227" s="4" t="s">
        <v>124</v>
      </c>
      <c r="I227" s="4"/>
      <c r="J227" s="4"/>
      <c r="K227" s="4">
        <v>210</v>
      </c>
      <c r="L227" s="4">
        <v>25</v>
      </c>
      <c r="M227" s="4">
        <v>3</v>
      </c>
      <c r="N227" s="4" t="s">
        <v>3</v>
      </c>
      <c r="O227" s="4">
        <v>2</v>
      </c>
      <c r="P227" s="4"/>
      <c r="Q227" s="4"/>
      <c r="R227" s="4"/>
      <c r="S227" s="4"/>
      <c r="T227" s="4"/>
      <c r="U227" s="4"/>
      <c r="V227" s="4"/>
      <c r="W227" s="4">
        <v>0</v>
      </c>
      <c r="X227" s="4">
        <v>1</v>
      </c>
      <c r="Y227" s="4">
        <v>0</v>
      </c>
      <c r="Z227" s="4"/>
      <c r="AA227" s="4"/>
      <c r="AB227" s="4"/>
    </row>
    <row r="228" spans="1:206" x14ac:dyDescent="0.2">
      <c r="A228" s="4">
        <v>50</v>
      </c>
      <c r="B228" s="4">
        <v>0</v>
      </c>
      <c r="C228" s="4">
        <v>0</v>
      </c>
      <c r="D228" s="4">
        <v>1</v>
      </c>
      <c r="E228" s="4">
        <v>211</v>
      </c>
      <c r="F228" s="4">
        <f>ROUND(Source!Y201,O228)</f>
        <v>0</v>
      </c>
      <c r="G228" s="4" t="s">
        <v>125</v>
      </c>
      <c r="H228" s="4" t="s">
        <v>126</v>
      </c>
      <c r="I228" s="4"/>
      <c r="J228" s="4"/>
      <c r="K228" s="4">
        <v>211</v>
      </c>
      <c r="L228" s="4">
        <v>26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>
        <v>0</v>
      </c>
      <c r="X228" s="4">
        <v>1</v>
      </c>
      <c r="Y228" s="4">
        <v>0</v>
      </c>
      <c r="Z228" s="4"/>
      <c r="AA228" s="4"/>
      <c r="AB228" s="4"/>
    </row>
    <row r="229" spans="1:206" x14ac:dyDescent="0.2">
      <c r="A229" s="4">
        <v>50</v>
      </c>
      <c r="B229" s="4">
        <v>0</v>
      </c>
      <c r="C229" s="4">
        <v>0</v>
      </c>
      <c r="D229" s="4">
        <v>1</v>
      </c>
      <c r="E229" s="4">
        <v>224</v>
      </c>
      <c r="F229" s="4">
        <f>ROUND(Source!AR201,O229)</f>
        <v>69735.289999999994</v>
      </c>
      <c r="G229" s="4" t="s">
        <v>127</v>
      </c>
      <c r="H229" s="4" t="s">
        <v>128</v>
      </c>
      <c r="I229" s="4"/>
      <c r="J229" s="4"/>
      <c r="K229" s="4">
        <v>224</v>
      </c>
      <c r="L229" s="4">
        <v>27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>
        <v>69735.289999999994</v>
      </c>
      <c r="X229" s="4">
        <v>1</v>
      </c>
      <c r="Y229" s="4">
        <v>69735.289999999994</v>
      </c>
      <c r="Z229" s="4"/>
      <c r="AA229" s="4"/>
      <c r="AB229" s="4"/>
    </row>
    <row r="231" spans="1:206" x14ac:dyDescent="0.2">
      <c r="A231" s="2">
        <v>51</v>
      </c>
      <c r="B231" s="2">
        <f>B20</f>
        <v>1</v>
      </c>
      <c r="C231" s="2">
        <f>A20</f>
        <v>3</v>
      </c>
      <c r="D231" s="2">
        <f>ROW(A20)</f>
        <v>20</v>
      </c>
      <c r="E231" s="2"/>
      <c r="F231" s="2" t="str">
        <f>IF(F20&lt;&gt;"",F20,"")</f>
        <v>Новая локальная смета</v>
      </c>
      <c r="G231" s="2" t="str">
        <f>IF(G20&lt;&gt;"",G20,"")</f>
        <v>ГБОУ Школа №1542</v>
      </c>
      <c r="H231" s="2">
        <v>0</v>
      </c>
      <c r="I231" s="2"/>
      <c r="J231" s="2"/>
      <c r="K231" s="2"/>
      <c r="L231" s="2"/>
      <c r="M231" s="2"/>
      <c r="N231" s="2"/>
      <c r="O231" s="2">
        <f t="shared" ref="O231:T231" si="168">ROUND(O41+O85+O126+O163+O201+AB231,2)</f>
        <v>3532595.36</v>
      </c>
      <c r="P231" s="2">
        <f t="shared" si="168"/>
        <v>2201392.73</v>
      </c>
      <c r="Q231" s="2">
        <f t="shared" si="168"/>
        <v>1043833.68</v>
      </c>
      <c r="R231" s="2">
        <f t="shared" si="168"/>
        <v>513363.08</v>
      </c>
      <c r="S231" s="2">
        <f t="shared" si="168"/>
        <v>287368.95</v>
      </c>
      <c r="T231" s="2">
        <f t="shared" si="168"/>
        <v>0</v>
      </c>
      <c r="U231" s="2">
        <f>U41+U85+U126+U163+U201+AH231</f>
        <v>1239.7780640000001</v>
      </c>
      <c r="V231" s="2">
        <f>V41+V85+V126+V163+V201+AI231</f>
        <v>0</v>
      </c>
      <c r="W231" s="2">
        <f>ROUND(W41+W85+W126+W163+W201+AJ231,2)</f>
        <v>0</v>
      </c>
      <c r="X231" s="2">
        <f>ROUND(X41+X85+X126+X163+X201+AK231,2)</f>
        <v>201158.28</v>
      </c>
      <c r="Y231" s="2">
        <f>ROUND(Y41+Y85+Y126+Y163+Y201+AL231,2)</f>
        <v>28736.9</v>
      </c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>
        <f t="shared" ref="AO231:BD231" si="169">ROUND(AO41+AO85+AO126+AO163+AO201+BX231,2)</f>
        <v>0</v>
      </c>
      <c r="AP231" s="2">
        <f t="shared" si="169"/>
        <v>0</v>
      </c>
      <c r="AQ231" s="2">
        <f t="shared" si="169"/>
        <v>0</v>
      </c>
      <c r="AR231" s="2">
        <f t="shared" si="169"/>
        <v>3980955.02</v>
      </c>
      <c r="AS231" s="2">
        <f t="shared" si="169"/>
        <v>0</v>
      </c>
      <c r="AT231" s="2">
        <f t="shared" si="169"/>
        <v>0</v>
      </c>
      <c r="AU231" s="2">
        <f t="shared" si="169"/>
        <v>3980955.02</v>
      </c>
      <c r="AV231" s="2">
        <f t="shared" si="169"/>
        <v>2201392.73</v>
      </c>
      <c r="AW231" s="2">
        <f t="shared" si="169"/>
        <v>2201392.73</v>
      </c>
      <c r="AX231" s="2">
        <f t="shared" si="169"/>
        <v>0</v>
      </c>
      <c r="AY231" s="2">
        <f t="shared" si="169"/>
        <v>2201392.73</v>
      </c>
      <c r="AZ231" s="2">
        <f t="shared" si="169"/>
        <v>0</v>
      </c>
      <c r="BA231" s="2">
        <f t="shared" si="169"/>
        <v>0</v>
      </c>
      <c r="BB231" s="2">
        <f t="shared" si="169"/>
        <v>0</v>
      </c>
      <c r="BC231" s="2">
        <f t="shared" si="169"/>
        <v>0</v>
      </c>
      <c r="BD231" s="2">
        <f t="shared" si="169"/>
        <v>0</v>
      </c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>
        <v>0</v>
      </c>
    </row>
    <row r="233" spans="1:206" x14ac:dyDescent="0.2">
      <c r="A233" s="4">
        <v>50</v>
      </c>
      <c r="B233" s="4">
        <v>0</v>
      </c>
      <c r="C233" s="4">
        <v>0</v>
      </c>
      <c r="D233" s="4">
        <v>1</v>
      </c>
      <c r="E233" s="4">
        <v>201</v>
      </c>
      <c r="F233" s="4">
        <f>ROUND(Source!O231,O233)</f>
        <v>3532595.36</v>
      </c>
      <c r="G233" s="4" t="s">
        <v>75</v>
      </c>
      <c r="H233" s="4" t="s">
        <v>76</v>
      </c>
      <c r="I233" s="4"/>
      <c r="J233" s="4"/>
      <c r="K233" s="4">
        <v>201</v>
      </c>
      <c r="L233" s="4">
        <v>1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>
        <v>3532595.36</v>
      </c>
      <c r="X233" s="4">
        <v>1</v>
      </c>
      <c r="Y233" s="4">
        <v>3532595.36</v>
      </c>
      <c r="Z233" s="4"/>
      <c r="AA233" s="4"/>
      <c r="AB233" s="4"/>
    </row>
    <row r="234" spans="1:206" x14ac:dyDescent="0.2">
      <c r="A234" s="4">
        <v>50</v>
      </c>
      <c r="B234" s="4">
        <v>0</v>
      </c>
      <c r="C234" s="4">
        <v>0</v>
      </c>
      <c r="D234" s="4">
        <v>1</v>
      </c>
      <c r="E234" s="4">
        <v>202</v>
      </c>
      <c r="F234" s="4">
        <f>ROUND(Source!P231,O234)</f>
        <v>2201392.73</v>
      </c>
      <c r="G234" s="4" t="s">
        <v>77</v>
      </c>
      <c r="H234" s="4" t="s">
        <v>78</v>
      </c>
      <c r="I234" s="4"/>
      <c r="J234" s="4"/>
      <c r="K234" s="4">
        <v>202</v>
      </c>
      <c r="L234" s="4">
        <v>2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>
        <v>2201392.73</v>
      </c>
      <c r="X234" s="4">
        <v>1</v>
      </c>
      <c r="Y234" s="4">
        <v>2201392.73</v>
      </c>
      <c r="Z234" s="4"/>
      <c r="AA234" s="4"/>
      <c r="AB234" s="4"/>
    </row>
    <row r="235" spans="1:206" x14ac:dyDescent="0.2">
      <c r="A235" s="4">
        <v>50</v>
      </c>
      <c r="B235" s="4">
        <v>0</v>
      </c>
      <c r="C235" s="4">
        <v>0</v>
      </c>
      <c r="D235" s="4">
        <v>1</v>
      </c>
      <c r="E235" s="4">
        <v>222</v>
      </c>
      <c r="F235" s="4">
        <f>ROUND(Source!AO231,O235)</f>
        <v>0</v>
      </c>
      <c r="G235" s="4" t="s">
        <v>79</v>
      </c>
      <c r="H235" s="4" t="s">
        <v>80</v>
      </c>
      <c r="I235" s="4"/>
      <c r="J235" s="4"/>
      <c r="K235" s="4">
        <v>222</v>
      </c>
      <c r="L235" s="4">
        <v>3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>
        <v>0</v>
      </c>
      <c r="X235" s="4">
        <v>1</v>
      </c>
      <c r="Y235" s="4">
        <v>0</v>
      </c>
      <c r="Z235" s="4"/>
      <c r="AA235" s="4"/>
      <c r="AB235" s="4"/>
    </row>
    <row r="236" spans="1:206" x14ac:dyDescent="0.2">
      <c r="A236" s="4">
        <v>50</v>
      </c>
      <c r="B236" s="4">
        <v>0</v>
      </c>
      <c r="C236" s="4">
        <v>0</v>
      </c>
      <c r="D236" s="4">
        <v>1</v>
      </c>
      <c r="E236" s="4">
        <v>225</v>
      </c>
      <c r="F236" s="4">
        <f>ROUND(Source!AV231,O236)</f>
        <v>2201392.73</v>
      </c>
      <c r="G236" s="4" t="s">
        <v>81</v>
      </c>
      <c r="H236" s="4" t="s">
        <v>82</v>
      </c>
      <c r="I236" s="4"/>
      <c r="J236" s="4"/>
      <c r="K236" s="4">
        <v>225</v>
      </c>
      <c r="L236" s="4">
        <v>4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>
        <v>2201392.73</v>
      </c>
      <c r="X236" s="4">
        <v>1</v>
      </c>
      <c r="Y236" s="4">
        <v>2201392.73</v>
      </c>
      <c r="Z236" s="4"/>
      <c r="AA236" s="4"/>
      <c r="AB236" s="4"/>
    </row>
    <row r="237" spans="1:206" x14ac:dyDescent="0.2">
      <c r="A237" s="4">
        <v>50</v>
      </c>
      <c r="B237" s="4">
        <v>0</v>
      </c>
      <c r="C237" s="4">
        <v>0</v>
      </c>
      <c r="D237" s="4">
        <v>1</v>
      </c>
      <c r="E237" s="4">
        <v>226</v>
      </c>
      <c r="F237" s="4">
        <f>ROUND(Source!AW231,O237)</f>
        <v>2201392.73</v>
      </c>
      <c r="G237" s="4" t="s">
        <v>83</v>
      </c>
      <c r="H237" s="4" t="s">
        <v>84</v>
      </c>
      <c r="I237" s="4"/>
      <c r="J237" s="4"/>
      <c r="K237" s="4">
        <v>226</v>
      </c>
      <c r="L237" s="4">
        <v>5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>
        <v>2201392.73</v>
      </c>
      <c r="X237" s="4">
        <v>1</v>
      </c>
      <c r="Y237" s="4">
        <v>2201392.73</v>
      </c>
      <c r="Z237" s="4"/>
      <c r="AA237" s="4"/>
      <c r="AB237" s="4"/>
    </row>
    <row r="238" spans="1:206" x14ac:dyDescent="0.2">
      <c r="A238" s="4">
        <v>50</v>
      </c>
      <c r="B238" s="4">
        <v>0</v>
      </c>
      <c r="C238" s="4">
        <v>0</v>
      </c>
      <c r="D238" s="4">
        <v>1</v>
      </c>
      <c r="E238" s="4">
        <v>227</v>
      </c>
      <c r="F238" s="4">
        <f>ROUND(Source!AX231,O238)</f>
        <v>0</v>
      </c>
      <c r="G238" s="4" t="s">
        <v>85</v>
      </c>
      <c r="H238" s="4" t="s">
        <v>86</v>
      </c>
      <c r="I238" s="4"/>
      <c r="J238" s="4"/>
      <c r="K238" s="4">
        <v>227</v>
      </c>
      <c r="L238" s="4">
        <v>6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>
        <v>0</v>
      </c>
      <c r="X238" s="4">
        <v>1</v>
      </c>
      <c r="Y238" s="4">
        <v>0</v>
      </c>
      <c r="Z238" s="4"/>
      <c r="AA238" s="4"/>
      <c r="AB238" s="4"/>
    </row>
    <row r="239" spans="1:206" x14ac:dyDescent="0.2">
      <c r="A239" s="4">
        <v>50</v>
      </c>
      <c r="B239" s="4">
        <v>0</v>
      </c>
      <c r="C239" s="4">
        <v>0</v>
      </c>
      <c r="D239" s="4">
        <v>1</v>
      </c>
      <c r="E239" s="4">
        <v>228</v>
      </c>
      <c r="F239" s="4">
        <f>ROUND(Source!AY231,O239)</f>
        <v>2201392.73</v>
      </c>
      <c r="G239" s="4" t="s">
        <v>87</v>
      </c>
      <c r="H239" s="4" t="s">
        <v>88</v>
      </c>
      <c r="I239" s="4"/>
      <c r="J239" s="4"/>
      <c r="K239" s="4">
        <v>228</v>
      </c>
      <c r="L239" s="4">
        <v>7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>
        <v>2201392.73</v>
      </c>
      <c r="X239" s="4">
        <v>1</v>
      </c>
      <c r="Y239" s="4">
        <v>2201392.73</v>
      </c>
      <c r="Z239" s="4"/>
      <c r="AA239" s="4"/>
      <c r="AB239" s="4"/>
    </row>
    <row r="240" spans="1:206" x14ac:dyDescent="0.2">
      <c r="A240" s="4">
        <v>50</v>
      </c>
      <c r="B240" s="4">
        <v>0</v>
      </c>
      <c r="C240" s="4">
        <v>0</v>
      </c>
      <c r="D240" s="4">
        <v>1</v>
      </c>
      <c r="E240" s="4">
        <v>216</v>
      </c>
      <c r="F240" s="4">
        <f>ROUND(Source!AP231,O240)</f>
        <v>0</v>
      </c>
      <c r="G240" s="4" t="s">
        <v>89</v>
      </c>
      <c r="H240" s="4" t="s">
        <v>90</v>
      </c>
      <c r="I240" s="4"/>
      <c r="J240" s="4"/>
      <c r="K240" s="4">
        <v>216</v>
      </c>
      <c r="L240" s="4">
        <v>8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>
        <v>0</v>
      </c>
      <c r="X240" s="4">
        <v>1</v>
      </c>
      <c r="Y240" s="4">
        <v>0</v>
      </c>
      <c r="Z240" s="4"/>
      <c r="AA240" s="4"/>
      <c r="AB240" s="4"/>
    </row>
    <row r="241" spans="1:28" x14ac:dyDescent="0.2">
      <c r="A241" s="4">
        <v>50</v>
      </c>
      <c r="B241" s="4">
        <v>0</v>
      </c>
      <c r="C241" s="4">
        <v>0</v>
      </c>
      <c r="D241" s="4">
        <v>1</v>
      </c>
      <c r="E241" s="4">
        <v>223</v>
      </c>
      <c r="F241" s="4">
        <f>ROUND(Source!AQ231,O241)</f>
        <v>0</v>
      </c>
      <c r="G241" s="4" t="s">
        <v>91</v>
      </c>
      <c r="H241" s="4" t="s">
        <v>92</v>
      </c>
      <c r="I241" s="4"/>
      <c r="J241" s="4"/>
      <c r="K241" s="4">
        <v>223</v>
      </c>
      <c r="L241" s="4">
        <v>9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>
        <v>0</v>
      </c>
      <c r="X241" s="4">
        <v>1</v>
      </c>
      <c r="Y241" s="4">
        <v>0</v>
      </c>
      <c r="Z241" s="4"/>
      <c r="AA241" s="4"/>
      <c r="AB241" s="4"/>
    </row>
    <row r="242" spans="1:28" x14ac:dyDescent="0.2">
      <c r="A242" s="4">
        <v>50</v>
      </c>
      <c r="B242" s="4">
        <v>0</v>
      </c>
      <c r="C242" s="4">
        <v>0</v>
      </c>
      <c r="D242" s="4">
        <v>1</v>
      </c>
      <c r="E242" s="4">
        <v>229</v>
      </c>
      <c r="F242" s="4">
        <f>ROUND(Source!AZ231,O242)</f>
        <v>0</v>
      </c>
      <c r="G242" s="4" t="s">
        <v>93</v>
      </c>
      <c r="H242" s="4" t="s">
        <v>94</v>
      </c>
      <c r="I242" s="4"/>
      <c r="J242" s="4"/>
      <c r="K242" s="4">
        <v>229</v>
      </c>
      <c r="L242" s="4">
        <v>10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>
        <v>0</v>
      </c>
      <c r="X242" s="4">
        <v>1</v>
      </c>
      <c r="Y242" s="4">
        <v>0</v>
      </c>
      <c r="Z242" s="4"/>
      <c r="AA242" s="4"/>
      <c r="AB242" s="4"/>
    </row>
    <row r="243" spans="1:28" x14ac:dyDescent="0.2">
      <c r="A243" s="4">
        <v>50</v>
      </c>
      <c r="B243" s="4">
        <v>0</v>
      </c>
      <c r="C243" s="4">
        <v>0</v>
      </c>
      <c r="D243" s="4">
        <v>1</v>
      </c>
      <c r="E243" s="4">
        <v>203</v>
      </c>
      <c r="F243" s="4">
        <f>ROUND(Source!Q231,O243)</f>
        <v>1043833.68</v>
      </c>
      <c r="G243" s="4" t="s">
        <v>95</v>
      </c>
      <c r="H243" s="4" t="s">
        <v>96</v>
      </c>
      <c r="I243" s="4"/>
      <c r="J243" s="4"/>
      <c r="K243" s="4">
        <v>203</v>
      </c>
      <c r="L243" s="4">
        <v>11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>
        <v>1043833.68</v>
      </c>
      <c r="X243" s="4">
        <v>1</v>
      </c>
      <c r="Y243" s="4">
        <v>1043833.68</v>
      </c>
      <c r="Z243" s="4"/>
      <c r="AA243" s="4"/>
      <c r="AB243" s="4"/>
    </row>
    <row r="244" spans="1:28" x14ac:dyDescent="0.2">
      <c r="A244" s="4">
        <v>50</v>
      </c>
      <c r="B244" s="4">
        <v>0</v>
      </c>
      <c r="C244" s="4">
        <v>0</v>
      </c>
      <c r="D244" s="4">
        <v>1</v>
      </c>
      <c r="E244" s="4">
        <v>231</v>
      </c>
      <c r="F244" s="4">
        <f>ROUND(Source!BB231,O244)</f>
        <v>0</v>
      </c>
      <c r="G244" s="4" t="s">
        <v>97</v>
      </c>
      <c r="H244" s="4" t="s">
        <v>98</v>
      </c>
      <c r="I244" s="4"/>
      <c r="J244" s="4"/>
      <c r="K244" s="4">
        <v>231</v>
      </c>
      <c r="L244" s="4">
        <v>12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>
        <v>0</v>
      </c>
      <c r="X244" s="4">
        <v>1</v>
      </c>
      <c r="Y244" s="4">
        <v>0</v>
      </c>
      <c r="Z244" s="4"/>
      <c r="AA244" s="4"/>
      <c r="AB244" s="4"/>
    </row>
    <row r="245" spans="1:28" x14ac:dyDescent="0.2">
      <c r="A245" s="4">
        <v>50</v>
      </c>
      <c r="B245" s="4">
        <v>0</v>
      </c>
      <c r="C245" s="4">
        <v>0</v>
      </c>
      <c r="D245" s="4">
        <v>1</v>
      </c>
      <c r="E245" s="4">
        <v>204</v>
      </c>
      <c r="F245" s="4">
        <f>ROUND(Source!R231,O245)</f>
        <v>513363.08</v>
      </c>
      <c r="G245" s="4" t="s">
        <v>99</v>
      </c>
      <c r="H245" s="4" t="s">
        <v>100</v>
      </c>
      <c r="I245" s="4"/>
      <c r="J245" s="4"/>
      <c r="K245" s="4">
        <v>204</v>
      </c>
      <c r="L245" s="4">
        <v>13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>
        <v>513363.08</v>
      </c>
      <c r="X245" s="4">
        <v>1</v>
      </c>
      <c r="Y245" s="4">
        <v>513363.08</v>
      </c>
      <c r="Z245" s="4"/>
      <c r="AA245" s="4"/>
      <c r="AB245" s="4"/>
    </row>
    <row r="246" spans="1:28" x14ac:dyDescent="0.2">
      <c r="A246" s="4">
        <v>50</v>
      </c>
      <c r="B246" s="4">
        <v>0</v>
      </c>
      <c r="C246" s="4">
        <v>0</v>
      </c>
      <c r="D246" s="4">
        <v>1</v>
      </c>
      <c r="E246" s="4">
        <v>205</v>
      </c>
      <c r="F246" s="4">
        <f>ROUND(Source!S231,O246)</f>
        <v>287368.95</v>
      </c>
      <c r="G246" s="4" t="s">
        <v>101</v>
      </c>
      <c r="H246" s="4" t="s">
        <v>102</v>
      </c>
      <c r="I246" s="4"/>
      <c r="J246" s="4"/>
      <c r="K246" s="4">
        <v>205</v>
      </c>
      <c r="L246" s="4">
        <v>14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>
        <v>287368.95</v>
      </c>
      <c r="X246" s="4">
        <v>1</v>
      </c>
      <c r="Y246" s="4">
        <v>287368.95</v>
      </c>
      <c r="Z246" s="4"/>
      <c r="AA246" s="4"/>
      <c r="AB246" s="4"/>
    </row>
    <row r="247" spans="1:28" x14ac:dyDescent="0.2">
      <c r="A247" s="4">
        <v>50</v>
      </c>
      <c r="B247" s="4">
        <v>0</v>
      </c>
      <c r="C247" s="4">
        <v>0</v>
      </c>
      <c r="D247" s="4">
        <v>1</v>
      </c>
      <c r="E247" s="4">
        <v>232</v>
      </c>
      <c r="F247" s="4">
        <f>ROUND(Source!BC231,O247)</f>
        <v>0</v>
      </c>
      <c r="G247" s="4" t="s">
        <v>103</v>
      </c>
      <c r="H247" s="4" t="s">
        <v>104</v>
      </c>
      <c r="I247" s="4"/>
      <c r="J247" s="4"/>
      <c r="K247" s="4">
        <v>232</v>
      </c>
      <c r="L247" s="4">
        <v>15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>
        <v>0</v>
      </c>
      <c r="X247" s="4">
        <v>1</v>
      </c>
      <c r="Y247" s="4">
        <v>0</v>
      </c>
      <c r="Z247" s="4"/>
      <c r="AA247" s="4"/>
      <c r="AB247" s="4"/>
    </row>
    <row r="248" spans="1:28" x14ac:dyDescent="0.2">
      <c r="A248" s="4">
        <v>50</v>
      </c>
      <c r="B248" s="4">
        <v>0</v>
      </c>
      <c r="C248" s="4">
        <v>0</v>
      </c>
      <c r="D248" s="4">
        <v>1</v>
      </c>
      <c r="E248" s="4">
        <v>214</v>
      </c>
      <c r="F248" s="4">
        <f>ROUND(Source!AS231,O248)</f>
        <v>0</v>
      </c>
      <c r="G248" s="4" t="s">
        <v>105</v>
      </c>
      <c r="H248" s="4" t="s">
        <v>106</v>
      </c>
      <c r="I248" s="4"/>
      <c r="J248" s="4"/>
      <c r="K248" s="4">
        <v>214</v>
      </c>
      <c r="L248" s="4">
        <v>16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>
        <v>0</v>
      </c>
      <c r="X248" s="4">
        <v>1</v>
      </c>
      <c r="Y248" s="4">
        <v>0</v>
      </c>
      <c r="Z248" s="4"/>
      <c r="AA248" s="4"/>
      <c r="AB248" s="4"/>
    </row>
    <row r="249" spans="1:28" x14ac:dyDescent="0.2">
      <c r="A249" s="4">
        <v>50</v>
      </c>
      <c r="B249" s="4">
        <v>0</v>
      </c>
      <c r="C249" s="4">
        <v>0</v>
      </c>
      <c r="D249" s="4">
        <v>1</v>
      </c>
      <c r="E249" s="4">
        <v>215</v>
      </c>
      <c r="F249" s="4">
        <f>ROUND(Source!AT231,O249)</f>
        <v>0</v>
      </c>
      <c r="G249" s="4" t="s">
        <v>107</v>
      </c>
      <c r="H249" s="4" t="s">
        <v>108</v>
      </c>
      <c r="I249" s="4"/>
      <c r="J249" s="4"/>
      <c r="K249" s="4">
        <v>215</v>
      </c>
      <c r="L249" s="4">
        <v>17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>
        <v>0</v>
      </c>
      <c r="X249" s="4">
        <v>1</v>
      </c>
      <c r="Y249" s="4">
        <v>0</v>
      </c>
      <c r="Z249" s="4"/>
      <c r="AA249" s="4"/>
      <c r="AB249" s="4"/>
    </row>
    <row r="250" spans="1:28" x14ac:dyDescent="0.2">
      <c r="A250" s="4">
        <v>50</v>
      </c>
      <c r="B250" s="4">
        <v>0</v>
      </c>
      <c r="C250" s="4">
        <v>0</v>
      </c>
      <c r="D250" s="4">
        <v>1</v>
      </c>
      <c r="E250" s="4">
        <v>217</v>
      </c>
      <c r="F250" s="4">
        <f>ROUND(Source!AU231,O250)</f>
        <v>3980955.02</v>
      </c>
      <c r="G250" s="4" t="s">
        <v>109</v>
      </c>
      <c r="H250" s="4" t="s">
        <v>110</v>
      </c>
      <c r="I250" s="4"/>
      <c r="J250" s="4"/>
      <c r="K250" s="4">
        <v>217</v>
      </c>
      <c r="L250" s="4">
        <v>18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>
        <v>3980955.02</v>
      </c>
      <c r="X250" s="4">
        <v>1</v>
      </c>
      <c r="Y250" s="4">
        <v>3980955.02</v>
      </c>
      <c r="Z250" s="4"/>
      <c r="AA250" s="4"/>
      <c r="AB250" s="4"/>
    </row>
    <row r="251" spans="1:28" x14ac:dyDescent="0.2">
      <c r="A251" s="4">
        <v>50</v>
      </c>
      <c r="B251" s="4">
        <v>0</v>
      </c>
      <c r="C251" s="4">
        <v>0</v>
      </c>
      <c r="D251" s="4">
        <v>1</v>
      </c>
      <c r="E251" s="4">
        <v>230</v>
      </c>
      <c r="F251" s="4">
        <f>ROUND(Source!BA231,O251)</f>
        <v>0</v>
      </c>
      <c r="G251" s="4" t="s">
        <v>111</v>
      </c>
      <c r="H251" s="4" t="s">
        <v>112</v>
      </c>
      <c r="I251" s="4"/>
      <c r="J251" s="4"/>
      <c r="K251" s="4">
        <v>230</v>
      </c>
      <c r="L251" s="4">
        <v>19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>
        <v>0</v>
      </c>
      <c r="X251" s="4">
        <v>1</v>
      </c>
      <c r="Y251" s="4">
        <v>0</v>
      </c>
      <c r="Z251" s="4"/>
      <c r="AA251" s="4"/>
      <c r="AB251" s="4"/>
    </row>
    <row r="252" spans="1:28" x14ac:dyDescent="0.2">
      <c r="A252" s="4">
        <v>50</v>
      </c>
      <c r="B252" s="4">
        <v>0</v>
      </c>
      <c r="C252" s="4">
        <v>0</v>
      </c>
      <c r="D252" s="4">
        <v>1</v>
      </c>
      <c r="E252" s="4">
        <v>206</v>
      </c>
      <c r="F252" s="4">
        <f>ROUND(Source!T231,O252)</f>
        <v>0</v>
      </c>
      <c r="G252" s="4" t="s">
        <v>113</v>
      </c>
      <c r="H252" s="4" t="s">
        <v>114</v>
      </c>
      <c r="I252" s="4"/>
      <c r="J252" s="4"/>
      <c r="K252" s="4">
        <v>206</v>
      </c>
      <c r="L252" s="4">
        <v>20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>
        <v>0</v>
      </c>
      <c r="X252" s="4">
        <v>1</v>
      </c>
      <c r="Y252" s="4">
        <v>0</v>
      </c>
      <c r="Z252" s="4"/>
      <c r="AA252" s="4"/>
      <c r="AB252" s="4"/>
    </row>
    <row r="253" spans="1:28" x14ac:dyDescent="0.2">
      <c r="A253" s="4">
        <v>50</v>
      </c>
      <c r="B253" s="4">
        <v>0</v>
      </c>
      <c r="C253" s="4">
        <v>0</v>
      </c>
      <c r="D253" s="4">
        <v>1</v>
      </c>
      <c r="E253" s="4">
        <v>207</v>
      </c>
      <c r="F253" s="4">
        <f>Source!U231</f>
        <v>1239.7780640000001</v>
      </c>
      <c r="G253" s="4" t="s">
        <v>115</v>
      </c>
      <c r="H253" s="4" t="s">
        <v>116</v>
      </c>
      <c r="I253" s="4"/>
      <c r="J253" s="4"/>
      <c r="K253" s="4">
        <v>207</v>
      </c>
      <c r="L253" s="4">
        <v>21</v>
      </c>
      <c r="M253" s="4">
        <v>3</v>
      </c>
      <c r="N253" s="4" t="s">
        <v>3</v>
      </c>
      <c r="O253" s="4">
        <v>-1</v>
      </c>
      <c r="P253" s="4"/>
      <c r="Q253" s="4"/>
      <c r="R253" s="4"/>
      <c r="S253" s="4"/>
      <c r="T253" s="4"/>
      <c r="U253" s="4"/>
      <c r="V253" s="4"/>
      <c r="W253" s="4">
        <v>1239.7780640000001</v>
      </c>
      <c r="X253" s="4">
        <v>1</v>
      </c>
      <c r="Y253" s="4">
        <v>1239.7780640000001</v>
      </c>
      <c r="Z253" s="4"/>
      <c r="AA253" s="4"/>
      <c r="AB253" s="4"/>
    </row>
    <row r="254" spans="1:28" x14ac:dyDescent="0.2">
      <c r="A254" s="4">
        <v>50</v>
      </c>
      <c r="B254" s="4">
        <v>0</v>
      </c>
      <c r="C254" s="4">
        <v>0</v>
      </c>
      <c r="D254" s="4">
        <v>1</v>
      </c>
      <c r="E254" s="4">
        <v>208</v>
      </c>
      <c r="F254" s="4">
        <f>Source!V231</f>
        <v>0</v>
      </c>
      <c r="G254" s="4" t="s">
        <v>117</v>
      </c>
      <c r="H254" s="4" t="s">
        <v>118</v>
      </c>
      <c r="I254" s="4"/>
      <c r="J254" s="4"/>
      <c r="K254" s="4">
        <v>208</v>
      </c>
      <c r="L254" s="4">
        <v>22</v>
      </c>
      <c r="M254" s="4">
        <v>3</v>
      </c>
      <c r="N254" s="4" t="s">
        <v>3</v>
      </c>
      <c r="O254" s="4">
        <v>-1</v>
      </c>
      <c r="P254" s="4"/>
      <c r="Q254" s="4"/>
      <c r="R254" s="4"/>
      <c r="S254" s="4"/>
      <c r="T254" s="4"/>
      <c r="U254" s="4"/>
      <c r="V254" s="4"/>
      <c r="W254" s="4">
        <v>0</v>
      </c>
      <c r="X254" s="4">
        <v>1</v>
      </c>
      <c r="Y254" s="4">
        <v>0</v>
      </c>
      <c r="Z254" s="4"/>
      <c r="AA254" s="4"/>
      <c r="AB254" s="4"/>
    </row>
    <row r="255" spans="1:28" x14ac:dyDescent="0.2">
      <c r="A255" s="4">
        <v>50</v>
      </c>
      <c r="B255" s="4">
        <v>0</v>
      </c>
      <c r="C255" s="4">
        <v>0</v>
      </c>
      <c r="D255" s="4">
        <v>1</v>
      </c>
      <c r="E255" s="4">
        <v>209</v>
      </c>
      <c r="F255" s="4">
        <f>ROUND(Source!W231,O255)</f>
        <v>0</v>
      </c>
      <c r="G255" s="4" t="s">
        <v>119</v>
      </c>
      <c r="H255" s="4" t="s">
        <v>120</v>
      </c>
      <c r="I255" s="4"/>
      <c r="J255" s="4"/>
      <c r="K255" s="4">
        <v>209</v>
      </c>
      <c r="L255" s="4">
        <v>23</v>
      </c>
      <c r="M255" s="4">
        <v>3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>
        <v>0</v>
      </c>
      <c r="X255" s="4">
        <v>1</v>
      </c>
      <c r="Y255" s="4">
        <v>0</v>
      </c>
      <c r="Z255" s="4"/>
      <c r="AA255" s="4"/>
      <c r="AB255" s="4"/>
    </row>
    <row r="256" spans="1:28" x14ac:dyDescent="0.2">
      <c r="A256" s="4">
        <v>50</v>
      </c>
      <c r="B256" s="4">
        <v>0</v>
      </c>
      <c r="C256" s="4">
        <v>0</v>
      </c>
      <c r="D256" s="4">
        <v>1</v>
      </c>
      <c r="E256" s="4">
        <v>233</v>
      </c>
      <c r="F256" s="4">
        <f>ROUND(Source!BD231,O256)</f>
        <v>0</v>
      </c>
      <c r="G256" s="4" t="s">
        <v>121</v>
      </c>
      <c r="H256" s="4" t="s">
        <v>122</v>
      </c>
      <c r="I256" s="4"/>
      <c r="J256" s="4"/>
      <c r="K256" s="4">
        <v>233</v>
      </c>
      <c r="L256" s="4">
        <v>24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>
        <v>0</v>
      </c>
      <c r="X256" s="4">
        <v>1</v>
      </c>
      <c r="Y256" s="4">
        <v>0</v>
      </c>
      <c r="Z256" s="4"/>
      <c r="AA256" s="4"/>
      <c r="AB256" s="4"/>
    </row>
    <row r="257" spans="1:206" x14ac:dyDescent="0.2">
      <c r="A257" s="4">
        <v>50</v>
      </c>
      <c r="B257" s="4">
        <v>0</v>
      </c>
      <c r="C257" s="4">
        <v>0</v>
      </c>
      <c r="D257" s="4">
        <v>1</v>
      </c>
      <c r="E257" s="4">
        <v>210</v>
      </c>
      <c r="F257" s="4">
        <f>ROUND(Source!X231,O257)</f>
        <v>201158.28</v>
      </c>
      <c r="G257" s="4" t="s">
        <v>123</v>
      </c>
      <c r="H257" s="4" t="s">
        <v>124</v>
      </c>
      <c r="I257" s="4"/>
      <c r="J257" s="4"/>
      <c r="K257" s="4">
        <v>210</v>
      </c>
      <c r="L257" s="4">
        <v>25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>
        <v>201158.28</v>
      </c>
      <c r="X257" s="4">
        <v>1</v>
      </c>
      <c r="Y257" s="4">
        <v>201158.28</v>
      </c>
      <c r="Z257" s="4"/>
      <c r="AA257" s="4"/>
      <c r="AB257" s="4"/>
    </row>
    <row r="258" spans="1:206" x14ac:dyDescent="0.2">
      <c r="A258" s="4">
        <v>50</v>
      </c>
      <c r="B258" s="4">
        <v>0</v>
      </c>
      <c r="C258" s="4">
        <v>0</v>
      </c>
      <c r="D258" s="4">
        <v>1</v>
      </c>
      <c r="E258" s="4">
        <v>211</v>
      </c>
      <c r="F258" s="4">
        <f>ROUND(Source!Y231,O258)</f>
        <v>28736.9</v>
      </c>
      <c r="G258" s="4" t="s">
        <v>125</v>
      </c>
      <c r="H258" s="4" t="s">
        <v>126</v>
      </c>
      <c r="I258" s="4"/>
      <c r="J258" s="4"/>
      <c r="K258" s="4">
        <v>211</v>
      </c>
      <c r="L258" s="4">
        <v>26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>
        <v>28736.9</v>
      </c>
      <c r="X258" s="4">
        <v>1</v>
      </c>
      <c r="Y258" s="4">
        <v>28736.9</v>
      </c>
      <c r="Z258" s="4"/>
      <c r="AA258" s="4"/>
      <c r="AB258" s="4"/>
    </row>
    <row r="259" spans="1:206" x14ac:dyDescent="0.2">
      <c r="A259" s="4">
        <v>50</v>
      </c>
      <c r="B259" s="4">
        <v>0</v>
      </c>
      <c r="C259" s="4">
        <v>0</v>
      </c>
      <c r="D259" s="4">
        <v>1</v>
      </c>
      <c r="E259" s="4">
        <v>224</v>
      </c>
      <c r="F259" s="4">
        <f>ROUND(Source!AR231,O259)</f>
        <v>3980955.02</v>
      </c>
      <c r="G259" s="4" t="s">
        <v>127</v>
      </c>
      <c r="H259" s="4" t="s">
        <v>128</v>
      </c>
      <c r="I259" s="4"/>
      <c r="J259" s="4"/>
      <c r="K259" s="4">
        <v>224</v>
      </c>
      <c r="L259" s="4">
        <v>27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>
        <v>3980955.02</v>
      </c>
      <c r="X259" s="4">
        <v>1</v>
      </c>
      <c r="Y259" s="4">
        <v>3980955.02</v>
      </c>
      <c r="Z259" s="4"/>
      <c r="AA259" s="4"/>
      <c r="AB259" s="4"/>
    </row>
    <row r="260" spans="1:206" x14ac:dyDescent="0.2">
      <c r="A260" s="4">
        <v>50</v>
      </c>
      <c r="B260" s="4">
        <v>1</v>
      </c>
      <c r="C260" s="4">
        <v>0</v>
      </c>
      <c r="D260" s="4">
        <v>2</v>
      </c>
      <c r="E260" s="4">
        <v>0</v>
      </c>
      <c r="F260" s="4">
        <f>ROUND(F259*0.2,O260)</f>
        <v>796191</v>
      </c>
      <c r="G260" s="4" t="s">
        <v>189</v>
      </c>
      <c r="H260" s="4" t="s">
        <v>189</v>
      </c>
      <c r="I260" s="4"/>
      <c r="J260" s="4"/>
      <c r="K260" s="4">
        <v>212</v>
      </c>
      <c r="L260" s="4">
        <v>28</v>
      </c>
      <c r="M260" s="4">
        <v>0</v>
      </c>
      <c r="N260" s="4" t="s">
        <v>3</v>
      </c>
      <c r="O260" s="4">
        <v>2</v>
      </c>
      <c r="P260" s="4"/>
      <c r="Q260" s="4"/>
      <c r="R260" s="4"/>
      <c r="S260" s="4"/>
      <c r="T260" s="4"/>
      <c r="U260" s="4"/>
      <c r="V260" s="4"/>
      <c r="W260" s="4">
        <v>796191</v>
      </c>
      <c r="X260" s="4">
        <v>1</v>
      </c>
      <c r="Y260" s="4">
        <v>796191</v>
      </c>
      <c r="Z260" s="4"/>
      <c r="AA260" s="4"/>
      <c r="AB260" s="4"/>
    </row>
    <row r="261" spans="1:206" x14ac:dyDescent="0.2">
      <c r="A261" s="4">
        <v>50</v>
      </c>
      <c r="B261" s="4">
        <v>1</v>
      </c>
      <c r="C261" s="4">
        <v>0</v>
      </c>
      <c r="D261" s="4">
        <v>2</v>
      </c>
      <c r="E261" s="4">
        <v>0</v>
      </c>
      <c r="F261" s="4">
        <f>ROUND(F259+F260,O261)</f>
        <v>4777146.0199999996</v>
      </c>
      <c r="G261" s="4" t="s">
        <v>190</v>
      </c>
      <c r="H261" s="4" t="s">
        <v>190</v>
      </c>
      <c r="I261" s="4"/>
      <c r="J261" s="4"/>
      <c r="K261" s="4">
        <v>212</v>
      </c>
      <c r="L261" s="4">
        <v>29</v>
      </c>
      <c r="M261" s="4">
        <v>0</v>
      </c>
      <c r="N261" s="4" t="s">
        <v>3</v>
      </c>
      <c r="O261" s="4">
        <v>2</v>
      </c>
      <c r="P261" s="4"/>
      <c r="Q261" s="4"/>
      <c r="R261" s="4"/>
      <c r="S261" s="4"/>
      <c r="T261" s="4"/>
      <c r="U261" s="4"/>
      <c r="V261" s="4"/>
      <c r="W261" s="4">
        <v>4777146.0199999996</v>
      </c>
      <c r="X261" s="4">
        <v>1</v>
      </c>
      <c r="Y261" s="4">
        <v>4777146.0199999996</v>
      </c>
      <c r="Z261" s="4"/>
      <c r="AA261" s="4"/>
      <c r="AB261" s="4"/>
    </row>
    <row r="263" spans="1:206" x14ac:dyDescent="0.2">
      <c r="A263" s="2">
        <v>51</v>
      </c>
      <c r="B263" s="2">
        <f>B12</f>
        <v>296</v>
      </c>
      <c r="C263" s="2">
        <f>A12</f>
        <v>1</v>
      </c>
      <c r="D263" s="2">
        <f>ROW(A12)</f>
        <v>12</v>
      </c>
      <c r="E263" s="2"/>
      <c r="F263" s="2" t="str">
        <f>IF(F12&lt;&gt;"",F12,"")</f>
        <v>Новый объект</v>
      </c>
      <c r="G263" s="2" t="str">
        <f>IF(G12&lt;&gt;"",G12,"")</f>
        <v>по адресу г. Москва, Ул. Авиаторов, д.28.</v>
      </c>
      <c r="H263" s="2">
        <v>0</v>
      </c>
      <c r="I263" s="2"/>
      <c r="J263" s="2"/>
      <c r="K263" s="2"/>
      <c r="L263" s="2"/>
      <c r="M263" s="2"/>
      <c r="N263" s="2"/>
      <c r="O263" s="2">
        <f t="shared" ref="O263:T263" si="170">ROUND(O231,2)</f>
        <v>3532595.36</v>
      </c>
      <c r="P263" s="2">
        <f t="shared" si="170"/>
        <v>2201392.73</v>
      </c>
      <c r="Q263" s="2">
        <f t="shared" si="170"/>
        <v>1043833.68</v>
      </c>
      <c r="R263" s="2">
        <f t="shared" si="170"/>
        <v>513363.08</v>
      </c>
      <c r="S263" s="2">
        <f t="shared" si="170"/>
        <v>287368.95</v>
      </c>
      <c r="T263" s="2">
        <f t="shared" si="170"/>
        <v>0</v>
      </c>
      <c r="U263" s="2">
        <f>U231</f>
        <v>1239.7780640000001</v>
      </c>
      <c r="V263" s="2">
        <f>V231</f>
        <v>0</v>
      </c>
      <c r="W263" s="2">
        <f>ROUND(W231,2)</f>
        <v>0</v>
      </c>
      <c r="X263" s="2">
        <f>ROUND(X231,2)</f>
        <v>201158.28</v>
      </c>
      <c r="Y263" s="2">
        <f>ROUND(Y231,2)</f>
        <v>28736.9</v>
      </c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>
        <f t="shared" ref="AO263:BD263" si="171">ROUND(AO231,2)</f>
        <v>0</v>
      </c>
      <c r="AP263" s="2">
        <f t="shared" si="171"/>
        <v>0</v>
      </c>
      <c r="AQ263" s="2">
        <f t="shared" si="171"/>
        <v>0</v>
      </c>
      <c r="AR263" s="2">
        <f t="shared" si="171"/>
        <v>3980955.02</v>
      </c>
      <c r="AS263" s="2">
        <f t="shared" si="171"/>
        <v>0</v>
      </c>
      <c r="AT263" s="2">
        <f t="shared" si="171"/>
        <v>0</v>
      </c>
      <c r="AU263" s="2">
        <f t="shared" si="171"/>
        <v>3980955.02</v>
      </c>
      <c r="AV263" s="2">
        <f t="shared" si="171"/>
        <v>2201392.73</v>
      </c>
      <c r="AW263" s="2">
        <f t="shared" si="171"/>
        <v>2201392.73</v>
      </c>
      <c r="AX263" s="2">
        <f t="shared" si="171"/>
        <v>0</v>
      </c>
      <c r="AY263" s="2">
        <f t="shared" si="171"/>
        <v>2201392.73</v>
      </c>
      <c r="AZ263" s="2">
        <f t="shared" si="171"/>
        <v>0</v>
      </c>
      <c r="BA263" s="2">
        <f t="shared" si="171"/>
        <v>0</v>
      </c>
      <c r="BB263" s="2">
        <f t="shared" si="171"/>
        <v>0</v>
      </c>
      <c r="BC263" s="2">
        <f t="shared" si="171"/>
        <v>0</v>
      </c>
      <c r="BD263" s="2">
        <f t="shared" si="171"/>
        <v>0</v>
      </c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>
        <v>0</v>
      </c>
    </row>
    <row r="265" spans="1:206" x14ac:dyDescent="0.2">
      <c r="A265" s="4">
        <v>50</v>
      </c>
      <c r="B265" s="4">
        <v>0</v>
      </c>
      <c r="C265" s="4">
        <v>0</v>
      </c>
      <c r="D265" s="4">
        <v>1</v>
      </c>
      <c r="E265" s="4">
        <v>201</v>
      </c>
      <c r="F265" s="4">
        <f>ROUND(Source!O263,O265)</f>
        <v>3532595.36</v>
      </c>
      <c r="G265" s="4" t="s">
        <v>75</v>
      </c>
      <c r="H265" s="4" t="s">
        <v>76</v>
      </c>
      <c r="I265" s="4"/>
      <c r="J265" s="4"/>
      <c r="K265" s="4">
        <v>201</v>
      </c>
      <c r="L265" s="4">
        <v>1</v>
      </c>
      <c r="M265" s="4">
        <v>3</v>
      </c>
      <c r="N265" s="4" t="s">
        <v>3</v>
      </c>
      <c r="O265" s="4">
        <v>2</v>
      </c>
      <c r="P265" s="4"/>
      <c r="Q265" s="4"/>
      <c r="R265" s="4"/>
      <c r="S265" s="4"/>
      <c r="T265" s="4"/>
      <c r="U265" s="4"/>
      <c r="V265" s="4"/>
      <c r="W265" s="4">
        <v>3532595.36</v>
      </c>
      <c r="X265" s="4">
        <v>1</v>
      </c>
      <c r="Y265" s="4">
        <v>3532595.36</v>
      </c>
      <c r="Z265" s="4"/>
      <c r="AA265" s="4"/>
      <c r="AB265" s="4"/>
    </row>
    <row r="266" spans="1:206" x14ac:dyDescent="0.2">
      <c r="A266" s="4">
        <v>50</v>
      </c>
      <c r="B266" s="4">
        <v>0</v>
      </c>
      <c r="C266" s="4">
        <v>0</v>
      </c>
      <c r="D266" s="4">
        <v>1</v>
      </c>
      <c r="E266" s="4">
        <v>202</v>
      </c>
      <c r="F266" s="4">
        <f>ROUND(Source!P263,O266)</f>
        <v>2201392.73</v>
      </c>
      <c r="G266" s="4" t="s">
        <v>77</v>
      </c>
      <c r="H266" s="4" t="s">
        <v>78</v>
      </c>
      <c r="I266" s="4"/>
      <c r="J266" s="4"/>
      <c r="K266" s="4">
        <v>202</v>
      </c>
      <c r="L266" s="4">
        <v>2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>
        <v>2201392.73</v>
      </c>
      <c r="X266" s="4">
        <v>1</v>
      </c>
      <c r="Y266" s="4">
        <v>2201392.73</v>
      </c>
      <c r="Z266" s="4"/>
      <c r="AA266" s="4"/>
      <c r="AB266" s="4"/>
    </row>
    <row r="267" spans="1:206" x14ac:dyDescent="0.2">
      <c r="A267" s="4">
        <v>50</v>
      </c>
      <c r="B267" s="4">
        <v>0</v>
      </c>
      <c r="C267" s="4">
        <v>0</v>
      </c>
      <c r="D267" s="4">
        <v>1</v>
      </c>
      <c r="E267" s="4">
        <v>222</v>
      </c>
      <c r="F267" s="4">
        <f>ROUND(Source!AO263,O267)</f>
        <v>0</v>
      </c>
      <c r="G267" s="4" t="s">
        <v>79</v>
      </c>
      <c r="H267" s="4" t="s">
        <v>80</v>
      </c>
      <c r="I267" s="4"/>
      <c r="J267" s="4"/>
      <c r="K267" s="4">
        <v>222</v>
      </c>
      <c r="L267" s="4">
        <v>3</v>
      </c>
      <c r="M267" s="4">
        <v>3</v>
      </c>
      <c r="N267" s="4" t="s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>
        <v>0</v>
      </c>
      <c r="X267" s="4">
        <v>1</v>
      </c>
      <c r="Y267" s="4">
        <v>0</v>
      </c>
      <c r="Z267" s="4"/>
      <c r="AA267" s="4"/>
      <c r="AB267" s="4"/>
    </row>
    <row r="268" spans="1:206" x14ac:dyDescent="0.2">
      <c r="A268" s="4">
        <v>50</v>
      </c>
      <c r="B268" s="4">
        <v>0</v>
      </c>
      <c r="C268" s="4">
        <v>0</v>
      </c>
      <c r="D268" s="4">
        <v>1</v>
      </c>
      <c r="E268" s="4">
        <v>225</v>
      </c>
      <c r="F268" s="4">
        <f>ROUND(Source!AV263,O268)</f>
        <v>2201392.73</v>
      </c>
      <c r="G268" s="4" t="s">
        <v>81</v>
      </c>
      <c r="H268" s="4" t="s">
        <v>82</v>
      </c>
      <c r="I268" s="4"/>
      <c r="J268" s="4"/>
      <c r="K268" s="4">
        <v>225</v>
      </c>
      <c r="L268" s="4">
        <v>4</v>
      </c>
      <c r="M268" s="4">
        <v>3</v>
      </c>
      <c r="N268" s="4" t="s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>
        <v>2201392.73</v>
      </c>
      <c r="X268" s="4">
        <v>1</v>
      </c>
      <c r="Y268" s="4">
        <v>2201392.73</v>
      </c>
      <c r="Z268" s="4"/>
      <c r="AA268" s="4"/>
      <c r="AB268" s="4"/>
    </row>
    <row r="269" spans="1:206" x14ac:dyDescent="0.2">
      <c r="A269" s="4">
        <v>50</v>
      </c>
      <c r="B269" s="4">
        <v>0</v>
      </c>
      <c r="C269" s="4">
        <v>0</v>
      </c>
      <c r="D269" s="4">
        <v>1</v>
      </c>
      <c r="E269" s="4">
        <v>226</v>
      </c>
      <c r="F269" s="4">
        <f>ROUND(Source!AW263,O269)</f>
        <v>2201392.73</v>
      </c>
      <c r="G269" s="4" t="s">
        <v>83</v>
      </c>
      <c r="H269" s="4" t="s">
        <v>84</v>
      </c>
      <c r="I269" s="4"/>
      <c r="J269" s="4"/>
      <c r="K269" s="4">
        <v>226</v>
      </c>
      <c r="L269" s="4">
        <v>5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>
        <v>2201392.73</v>
      </c>
      <c r="X269" s="4">
        <v>1</v>
      </c>
      <c r="Y269" s="4">
        <v>2201392.73</v>
      </c>
      <c r="Z269" s="4"/>
      <c r="AA269" s="4"/>
      <c r="AB269" s="4"/>
    </row>
    <row r="270" spans="1:206" x14ac:dyDescent="0.2">
      <c r="A270" s="4">
        <v>50</v>
      </c>
      <c r="B270" s="4">
        <v>0</v>
      </c>
      <c r="C270" s="4">
        <v>0</v>
      </c>
      <c r="D270" s="4">
        <v>1</v>
      </c>
      <c r="E270" s="4">
        <v>227</v>
      </c>
      <c r="F270" s="4">
        <f>ROUND(Source!AX263,O270)</f>
        <v>0</v>
      </c>
      <c r="G270" s="4" t="s">
        <v>85</v>
      </c>
      <c r="H270" s="4" t="s">
        <v>86</v>
      </c>
      <c r="I270" s="4"/>
      <c r="J270" s="4"/>
      <c r="K270" s="4">
        <v>227</v>
      </c>
      <c r="L270" s="4">
        <v>6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>
        <v>0</v>
      </c>
      <c r="X270" s="4">
        <v>1</v>
      </c>
      <c r="Y270" s="4">
        <v>0</v>
      </c>
      <c r="Z270" s="4"/>
      <c r="AA270" s="4"/>
      <c r="AB270" s="4"/>
    </row>
    <row r="271" spans="1:206" x14ac:dyDescent="0.2">
      <c r="A271" s="4">
        <v>50</v>
      </c>
      <c r="B271" s="4">
        <v>0</v>
      </c>
      <c r="C271" s="4">
        <v>0</v>
      </c>
      <c r="D271" s="4">
        <v>1</v>
      </c>
      <c r="E271" s="4">
        <v>228</v>
      </c>
      <c r="F271" s="4">
        <f>ROUND(Source!AY263,O271)</f>
        <v>2201392.73</v>
      </c>
      <c r="G271" s="4" t="s">
        <v>87</v>
      </c>
      <c r="H271" s="4" t="s">
        <v>88</v>
      </c>
      <c r="I271" s="4"/>
      <c r="J271" s="4"/>
      <c r="K271" s="4">
        <v>228</v>
      </c>
      <c r="L271" s="4">
        <v>7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>
        <v>2201392.73</v>
      </c>
      <c r="X271" s="4">
        <v>1</v>
      </c>
      <c r="Y271" s="4">
        <v>2201392.73</v>
      </c>
      <c r="Z271" s="4"/>
      <c r="AA271" s="4"/>
      <c r="AB271" s="4"/>
    </row>
    <row r="272" spans="1:206" x14ac:dyDescent="0.2">
      <c r="A272" s="4">
        <v>50</v>
      </c>
      <c r="B272" s="4">
        <v>0</v>
      </c>
      <c r="C272" s="4">
        <v>0</v>
      </c>
      <c r="D272" s="4">
        <v>1</v>
      </c>
      <c r="E272" s="4">
        <v>216</v>
      </c>
      <c r="F272" s="4">
        <f>ROUND(Source!AP263,O272)</f>
        <v>0</v>
      </c>
      <c r="G272" s="4" t="s">
        <v>89</v>
      </c>
      <c r="H272" s="4" t="s">
        <v>90</v>
      </c>
      <c r="I272" s="4"/>
      <c r="J272" s="4"/>
      <c r="K272" s="4">
        <v>216</v>
      </c>
      <c r="L272" s="4">
        <v>8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>
        <v>0</v>
      </c>
      <c r="X272" s="4">
        <v>1</v>
      </c>
      <c r="Y272" s="4">
        <v>0</v>
      </c>
      <c r="Z272" s="4"/>
      <c r="AA272" s="4"/>
      <c r="AB272" s="4"/>
    </row>
    <row r="273" spans="1:28" x14ac:dyDescent="0.2">
      <c r="A273" s="4">
        <v>50</v>
      </c>
      <c r="B273" s="4">
        <v>0</v>
      </c>
      <c r="C273" s="4">
        <v>0</v>
      </c>
      <c r="D273" s="4">
        <v>1</v>
      </c>
      <c r="E273" s="4">
        <v>223</v>
      </c>
      <c r="F273" s="4">
        <f>ROUND(Source!AQ263,O273)</f>
        <v>0</v>
      </c>
      <c r="G273" s="4" t="s">
        <v>91</v>
      </c>
      <c r="H273" s="4" t="s">
        <v>92</v>
      </c>
      <c r="I273" s="4"/>
      <c r="J273" s="4"/>
      <c r="K273" s="4">
        <v>223</v>
      </c>
      <c r="L273" s="4">
        <v>9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>
        <v>0</v>
      </c>
      <c r="X273" s="4">
        <v>1</v>
      </c>
      <c r="Y273" s="4">
        <v>0</v>
      </c>
      <c r="Z273" s="4"/>
      <c r="AA273" s="4"/>
      <c r="AB273" s="4"/>
    </row>
    <row r="274" spans="1:28" x14ac:dyDescent="0.2">
      <c r="A274" s="4">
        <v>50</v>
      </c>
      <c r="B274" s="4">
        <v>0</v>
      </c>
      <c r="C274" s="4">
        <v>0</v>
      </c>
      <c r="D274" s="4">
        <v>1</v>
      </c>
      <c r="E274" s="4">
        <v>229</v>
      </c>
      <c r="F274" s="4">
        <f>ROUND(Source!AZ263,O274)</f>
        <v>0</v>
      </c>
      <c r="G274" s="4" t="s">
        <v>93</v>
      </c>
      <c r="H274" s="4" t="s">
        <v>94</v>
      </c>
      <c r="I274" s="4"/>
      <c r="J274" s="4"/>
      <c r="K274" s="4">
        <v>229</v>
      </c>
      <c r="L274" s="4">
        <v>10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>
        <v>0</v>
      </c>
      <c r="X274" s="4">
        <v>1</v>
      </c>
      <c r="Y274" s="4">
        <v>0</v>
      </c>
      <c r="Z274" s="4"/>
      <c r="AA274" s="4"/>
      <c r="AB274" s="4"/>
    </row>
    <row r="275" spans="1:28" x14ac:dyDescent="0.2">
      <c r="A275" s="4">
        <v>50</v>
      </c>
      <c r="B275" s="4">
        <v>0</v>
      </c>
      <c r="C275" s="4">
        <v>0</v>
      </c>
      <c r="D275" s="4">
        <v>1</v>
      </c>
      <c r="E275" s="4">
        <v>203</v>
      </c>
      <c r="F275" s="4">
        <f>ROUND(Source!Q263,O275)</f>
        <v>1043833.68</v>
      </c>
      <c r="G275" s="4" t="s">
        <v>95</v>
      </c>
      <c r="H275" s="4" t="s">
        <v>96</v>
      </c>
      <c r="I275" s="4"/>
      <c r="J275" s="4"/>
      <c r="K275" s="4">
        <v>203</v>
      </c>
      <c r="L275" s="4">
        <v>11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>
        <v>1043833.68</v>
      </c>
      <c r="X275" s="4">
        <v>1</v>
      </c>
      <c r="Y275" s="4">
        <v>1043833.68</v>
      </c>
      <c r="Z275" s="4"/>
      <c r="AA275" s="4"/>
      <c r="AB275" s="4"/>
    </row>
    <row r="276" spans="1:28" x14ac:dyDescent="0.2">
      <c r="A276" s="4">
        <v>50</v>
      </c>
      <c r="B276" s="4">
        <v>0</v>
      </c>
      <c r="C276" s="4">
        <v>0</v>
      </c>
      <c r="D276" s="4">
        <v>1</v>
      </c>
      <c r="E276" s="4">
        <v>231</v>
      </c>
      <c r="F276" s="4">
        <f>ROUND(Source!BB263,O276)</f>
        <v>0</v>
      </c>
      <c r="G276" s="4" t="s">
        <v>97</v>
      </c>
      <c r="H276" s="4" t="s">
        <v>98</v>
      </c>
      <c r="I276" s="4"/>
      <c r="J276" s="4"/>
      <c r="K276" s="4">
        <v>231</v>
      </c>
      <c r="L276" s="4">
        <v>12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>
        <v>0</v>
      </c>
      <c r="X276" s="4">
        <v>1</v>
      </c>
      <c r="Y276" s="4">
        <v>0</v>
      </c>
      <c r="Z276" s="4"/>
      <c r="AA276" s="4"/>
      <c r="AB276" s="4"/>
    </row>
    <row r="277" spans="1:28" x14ac:dyDescent="0.2">
      <c r="A277" s="4">
        <v>50</v>
      </c>
      <c r="B277" s="4">
        <v>0</v>
      </c>
      <c r="C277" s="4">
        <v>0</v>
      </c>
      <c r="D277" s="4">
        <v>1</v>
      </c>
      <c r="E277" s="4">
        <v>204</v>
      </c>
      <c r="F277" s="4">
        <f>ROUND(Source!R263,O277)</f>
        <v>513363.08</v>
      </c>
      <c r="G277" s="4" t="s">
        <v>99</v>
      </c>
      <c r="H277" s="4" t="s">
        <v>100</v>
      </c>
      <c r="I277" s="4"/>
      <c r="J277" s="4"/>
      <c r="K277" s="4">
        <v>204</v>
      </c>
      <c r="L277" s="4">
        <v>13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>
        <v>513363.08</v>
      </c>
      <c r="X277" s="4">
        <v>1</v>
      </c>
      <c r="Y277" s="4">
        <v>513363.08</v>
      </c>
      <c r="Z277" s="4"/>
      <c r="AA277" s="4"/>
      <c r="AB277" s="4"/>
    </row>
    <row r="278" spans="1:28" x14ac:dyDescent="0.2">
      <c r="A278" s="4">
        <v>50</v>
      </c>
      <c r="B278" s="4">
        <v>0</v>
      </c>
      <c r="C278" s="4">
        <v>0</v>
      </c>
      <c r="D278" s="4">
        <v>1</v>
      </c>
      <c r="E278" s="4">
        <v>205</v>
      </c>
      <c r="F278" s="4">
        <f>ROUND(Source!S263,O278)</f>
        <v>287368.95</v>
      </c>
      <c r="G278" s="4" t="s">
        <v>101</v>
      </c>
      <c r="H278" s="4" t="s">
        <v>102</v>
      </c>
      <c r="I278" s="4"/>
      <c r="J278" s="4"/>
      <c r="K278" s="4">
        <v>205</v>
      </c>
      <c r="L278" s="4">
        <v>14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>
        <v>287368.95</v>
      </c>
      <c r="X278" s="4">
        <v>1</v>
      </c>
      <c r="Y278" s="4">
        <v>287368.95</v>
      </c>
      <c r="Z278" s="4"/>
      <c r="AA278" s="4"/>
      <c r="AB278" s="4"/>
    </row>
    <row r="279" spans="1:28" x14ac:dyDescent="0.2">
      <c r="A279" s="4">
        <v>50</v>
      </c>
      <c r="B279" s="4">
        <v>0</v>
      </c>
      <c r="C279" s="4">
        <v>0</v>
      </c>
      <c r="D279" s="4">
        <v>1</v>
      </c>
      <c r="E279" s="4">
        <v>232</v>
      </c>
      <c r="F279" s="4">
        <f>ROUND(Source!BC263,O279)</f>
        <v>0</v>
      </c>
      <c r="G279" s="4" t="s">
        <v>103</v>
      </c>
      <c r="H279" s="4" t="s">
        <v>104</v>
      </c>
      <c r="I279" s="4"/>
      <c r="J279" s="4"/>
      <c r="K279" s="4">
        <v>232</v>
      </c>
      <c r="L279" s="4">
        <v>15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>
        <v>0</v>
      </c>
      <c r="X279" s="4">
        <v>1</v>
      </c>
      <c r="Y279" s="4">
        <v>0</v>
      </c>
      <c r="Z279" s="4"/>
      <c r="AA279" s="4"/>
      <c r="AB279" s="4"/>
    </row>
    <row r="280" spans="1:28" x14ac:dyDescent="0.2">
      <c r="A280" s="4">
        <v>50</v>
      </c>
      <c r="B280" s="4">
        <v>0</v>
      </c>
      <c r="C280" s="4">
        <v>0</v>
      </c>
      <c r="D280" s="4">
        <v>1</v>
      </c>
      <c r="E280" s="4">
        <v>214</v>
      </c>
      <c r="F280" s="4">
        <f>ROUND(Source!AS263,O280)</f>
        <v>0</v>
      </c>
      <c r="G280" s="4" t="s">
        <v>105</v>
      </c>
      <c r="H280" s="4" t="s">
        <v>106</v>
      </c>
      <c r="I280" s="4"/>
      <c r="J280" s="4"/>
      <c r="K280" s="4">
        <v>214</v>
      </c>
      <c r="L280" s="4">
        <v>16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>
        <v>0</v>
      </c>
      <c r="X280" s="4">
        <v>1</v>
      </c>
      <c r="Y280" s="4">
        <v>0</v>
      </c>
      <c r="Z280" s="4"/>
      <c r="AA280" s="4"/>
      <c r="AB280" s="4"/>
    </row>
    <row r="281" spans="1:28" x14ac:dyDescent="0.2">
      <c r="A281" s="4">
        <v>50</v>
      </c>
      <c r="B281" s="4">
        <v>0</v>
      </c>
      <c r="C281" s="4">
        <v>0</v>
      </c>
      <c r="D281" s="4">
        <v>1</v>
      </c>
      <c r="E281" s="4">
        <v>215</v>
      </c>
      <c r="F281" s="4">
        <f>ROUND(Source!AT263,O281)</f>
        <v>0</v>
      </c>
      <c r="G281" s="4" t="s">
        <v>107</v>
      </c>
      <c r="H281" s="4" t="s">
        <v>108</v>
      </c>
      <c r="I281" s="4"/>
      <c r="J281" s="4"/>
      <c r="K281" s="4">
        <v>215</v>
      </c>
      <c r="L281" s="4">
        <v>17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>
        <v>0</v>
      </c>
      <c r="X281" s="4">
        <v>1</v>
      </c>
      <c r="Y281" s="4">
        <v>0</v>
      </c>
      <c r="Z281" s="4"/>
      <c r="AA281" s="4"/>
      <c r="AB281" s="4"/>
    </row>
    <row r="282" spans="1:28" x14ac:dyDescent="0.2">
      <c r="A282" s="4">
        <v>50</v>
      </c>
      <c r="B282" s="4">
        <v>0</v>
      </c>
      <c r="C282" s="4">
        <v>0</v>
      </c>
      <c r="D282" s="4">
        <v>1</v>
      </c>
      <c r="E282" s="4">
        <v>217</v>
      </c>
      <c r="F282" s="4">
        <f>ROUND(Source!AU263,O282)</f>
        <v>3980955.02</v>
      </c>
      <c r="G282" s="4" t="s">
        <v>109</v>
      </c>
      <c r="H282" s="4" t="s">
        <v>110</v>
      </c>
      <c r="I282" s="4"/>
      <c r="J282" s="4"/>
      <c r="K282" s="4">
        <v>217</v>
      </c>
      <c r="L282" s="4">
        <v>18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>
        <v>3980955.02</v>
      </c>
      <c r="X282" s="4">
        <v>1</v>
      </c>
      <c r="Y282" s="4">
        <v>3980955.02</v>
      </c>
      <c r="Z282" s="4"/>
      <c r="AA282" s="4"/>
      <c r="AB282" s="4"/>
    </row>
    <row r="283" spans="1:28" x14ac:dyDescent="0.2">
      <c r="A283" s="4">
        <v>50</v>
      </c>
      <c r="B283" s="4">
        <v>0</v>
      </c>
      <c r="C283" s="4">
        <v>0</v>
      </c>
      <c r="D283" s="4">
        <v>1</v>
      </c>
      <c r="E283" s="4">
        <v>230</v>
      </c>
      <c r="F283" s="4">
        <f>ROUND(Source!BA263,O283)</f>
        <v>0</v>
      </c>
      <c r="G283" s="4" t="s">
        <v>111</v>
      </c>
      <c r="H283" s="4" t="s">
        <v>112</v>
      </c>
      <c r="I283" s="4"/>
      <c r="J283" s="4"/>
      <c r="K283" s="4">
        <v>230</v>
      </c>
      <c r="L283" s="4">
        <v>19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>
        <v>0</v>
      </c>
      <c r="X283" s="4">
        <v>1</v>
      </c>
      <c r="Y283" s="4">
        <v>0</v>
      </c>
      <c r="Z283" s="4"/>
      <c r="AA283" s="4"/>
      <c r="AB283" s="4"/>
    </row>
    <row r="284" spans="1:28" x14ac:dyDescent="0.2">
      <c r="A284" s="4">
        <v>50</v>
      </c>
      <c r="B284" s="4">
        <v>0</v>
      </c>
      <c r="C284" s="4">
        <v>0</v>
      </c>
      <c r="D284" s="4">
        <v>1</v>
      </c>
      <c r="E284" s="4">
        <v>206</v>
      </c>
      <c r="F284" s="4">
        <f>ROUND(Source!T263,O284)</f>
        <v>0</v>
      </c>
      <c r="G284" s="4" t="s">
        <v>113</v>
      </c>
      <c r="H284" s="4" t="s">
        <v>114</v>
      </c>
      <c r="I284" s="4"/>
      <c r="J284" s="4"/>
      <c r="K284" s="4">
        <v>206</v>
      </c>
      <c r="L284" s="4">
        <v>20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>
        <v>0</v>
      </c>
      <c r="X284" s="4">
        <v>1</v>
      </c>
      <c r="Y284" s="4">
        <v>0</v>
      </c>
      <c r="Z284" s="4"/>
      <c r="AA284" s="4"/>
      <c r="AB284" s="4"/>
    </row>
    <row r="285" spans="1:28" x14ac:dyDescent="0.2">
      <c r="A285" s="4">
        <v>50</v>
      </c>
      <c r="B285" s="4">
        <v>0</v>
      </c>
      <c r="C285" s="4">
        <v>0</v>
      </c>
      <c r="D285" s="4">
        <v>1</v>
      </c>
      <c r="E285" s="4">
        <v>207</v>
      </c>
      <c r="F285" s="4">
        <f>Source!U263</f>
        <v>1239.7780640000001</v>
      </c>
      <c r="G285" s="4" t="s">
        <v>115</v>
      </c>
      <c r="H285" s="4" t="s">
        <v>116</v>
      </c>
      <c r="I285" s="4"/>
      <c r="J285" s="4"/>
      <c r="K285" s="4">
        <v>207</v>
      </c>
      <c r="L285" s="4">
        <v>21</v>
      </c>
      <c r="M285" s="4">
        <v>3</v>
      </c>
      <c r="N285" s="4" t="s">
        <v>3</v>
      </c>
      <c r="O285" s="4">
        <v>-1</v>
      </c>
      <c r="P285" s="4"/>
      <c r="Q285" s="4"/>
      <c r="R285" s="4"/>
      <c r="S285" s="4"/>
      <c r="T285" s="4"/>
      <c r="U285" s="4"/>
      <c r="V285" s="4"/>
      <c r="W285" s="4">
        <v>1239.7780640000001</v>
      </c>
      <c r="X285" s="4">
        <v>1</v>
      </c>
      <c r="Y285" s="4">
        <v>1239.7780640000001</v>
      </c>
      <c r="Z285" s="4"/>
      <c r="AA285" s="4"/>
      <c r="AB285" s="4"/>
    </row>
    <row r="286" spans="1:28" x14ac:dyDescent="0.2">
      <c r="A286" s="4">
        <v>50</v>
      </c>
      <c r="B286" s="4">
        <v>0</v>
      </c>
      <c r="C286" s="4">
        <v>0</v>
      </c>
      <c r="D286" s="4">
        <v>1</v>
      </c>
      <c r="E286" s="4">
        <v>208</v>
      </c>
      <c r="F286" s="4">
        <f>Source!V263</f>
        <v>0</v>
      </c>
      <c r="G286" s="4" t="s">
        <v>117</v>
      </c>
      <c r="H286" s="4" t="s">
        <v>118</v>
      </c>
      <c r="I286" s="4"/>
      <c r="J286" s="4"/>
      <c r="K286" s="4">
        <v>208</v>
      </c>
      <c r="L286" s="4">
        <v>22</v>
      </c>
      <c r="M286" s="4">
        <v>3</v>
      </c>
      <c r="N286" s="4" t="s">
        <v>3</v>
      </c>
      <c r="O286" s="4">
        <v>-1</v>
      </c>
      <c r="P286" s="4"/>
      <c r="Q286" s="4"/>
      <c r="R286" s="4"/>
      <c r="S286" s="4"/>
      <c r="T286" s="4"/>
      <c r="U286" s="4"/>
      <c r="V286" s="4"/>
      <c r="W286" s="4">
        <v>0</v>
      </c>
      <c r="X286" s="4">
        <v>1</v>
      </c>
      <c r="Y286" s="4">
        <v>0</v>
      </c>
      <c r="Z286" s="4"/>
      <c r="AA286" s="4"/>
      <c r="AB286" s="4"/>
    </row>
    <row r="287" spans="1:28" x14ac:dyDescent="0.2">
      <c r="A287" s="4">
        <v>50</v>
      </c>
      <c r="B287" s="4">
        <v>0</v>
      </c>
      <c r="C287" s="4">
        <v>0</v>
      </c>
      <c r="D287" s="4">
        <v>1</v>
      </c>
      <c r="E287" s="4">
        <v>209</v>
      </c>
      <c r="F287" s="4">
        <f>ROUND(Source!W263,O287)</f>
        <v>0</v>
      </c>
      <c r="G287" s="4" t="s">
        <v>119</v>
      </c>
      <c r="H287" s="4" t="s">
        <v>120</v>
      </c>
      <c r="I287" s="4"/>
      <c r="J287" s="4"/>
      <c r="K287" s="4">
        <v>209</v>
      </c>
      <c r="L287" s="4">
        <v>23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>
        <v>0</v>
      </c>
      <c r="X287" s="4">
        <v>1</v>
      </c>
      <c r="Y287" s="4">
        <v>0</v>
      </c>
      <c r="Z287" s="4"/>
      <c r="AA287" s="4"/>
      <c r="AB287" s="4"/>
    </row>
    <row r="288" spans="1:28" x14ac:dyDescent="0.2">
      <c r="A288" s="4">
        <v>50</v>
      </c>
      <c r="B288" s="4">
        <v>0</v>
      </c>
      <c r="C288" s="4">
        <v>0</v>
      </c>
      <c r="D288" s="4">
        <v>1</v>
      </c>
      <c r="E288" s="4">
        <v>233</v>
      </c>
      <c r="F288" s="4">
        <f>ROUND(Source!BD263,O288)</f>
        <v>0</v>
      </c>
      <c r="G288" s="4" t="s">
        <v>121</v>
      </c>
      <c r="H288" s="4" t="s">
        <v>122</v>
      </c>
      <c r="I288" s="4"/>
      <c r="J288" s="4"/>
      <c r="K288" s="4">
        <v>233</v>
      </c>
      <c r="L288" s="4">
        <v>24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>
        <v>0</v>
      </c>
      <c r="X288" s="4">
        <v>1</v>
      </c>
      <c r="Y288" s="4">
        <v>0</v>
      </c>
      <c r="Z288" s="4"/>
      <c r="AA288" s="4"/>
      <c r="AB288" s="4"/>
    </row>
    <row r="289" spans="1:28" x14ac:dyDescent="0.2">
      <c r="A289" s="4">
        <v>50</v>
      </c>
      <c r="B289" s="4">
        <v>0</v>
      </c>
      <c r="C289" s="4">
        <v>0</v>
      </c>
      <c r="D289" s="4">
        <v>1</v>
      </c>
      <c r="E289" s="4">
        <v>210</v>
      </c>
      <c r="F289" s="4">
        <f>ROUND(Source!X263,O289)</f>
        <v>201158.28</v>
      </c>
      <c r="G289" s="4" t="s">
        <v>123</v>
      </c>
      <c r="H289" s="4" t="s">
        <v>124</v>
      </c>
      <c r="I289" s="4"/>
      <c r="J289" s="4"/>
      <c r="K289" s="4">
        <v>210</v>
      </c>
      <c r="L289" s="4">
        <v>25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>
        <v>201158.28</v>
      </c>
      <c r="X289" s="4">
        <v>1</v>
      </c>
      <c r="Y289" s="4">
        <v>201158.28</v>
      </c>
      <c r="Z289" s="4"/>
      <c r="AA289" s="4"/>
      <c r="AB289" s="4"/>
    </row>
    <row r="290" spans="1:28" x14ac:dyDescent="0.2">
      <c r="A290" s="4">
        <v>50</v>
      </c>
      <c r="B290" s="4">
        <v>0</v>
      </c>
      <c r="C290" s="4">
        <v>0</v>
      </c>
      <c r="D290" s="4">
        <v>1</v>
      </c>
      <c r="E290" s="4">
        <v>211</v>
      </c>
      <c r="F290" s="4">
        <f>ROUND(Source!Y263,O290)</f>
        <v>28736.9</v>
      </c>
      <c r="G290" s="4" t="s">
        <v>125</v>
      </c>
      <c r="H290" s="4" t="s">
        <v>126</v>
      </c>
      <c r="I290" s="4"/>
      <c r="J290" s="4"/>
      <c r="K290" s="4">
        <v>211</v>
      </c>
      <c r="L290" s="4">
        <v>26</v>
      </c>
      <c r="M290" s="4">
        <v>3</v>
      </c>
      <c r="N290" s="4" t="s">
        <v>3</v>
      </c>
      <c r="O290" s="4">
        <v>2</v>
      </c>
      <c r="P290" s="4"/>
      <c r="Q290" s="4"/>
      <c r="R290" s="4"/>
      <c r="S290" s="4"/>
      <c r="T290" s="4"/>
      <c r="U290" s="4"/>
      <c r="V290" s="4"/>
      <c r="W290" s="4">
        <v>28736.9</v>
      </c>
      <c r="X290" s="4">
        <v>1</v>
      </c>
      <c r="Y290" s="4">
        <v>28736.9</v>
      </c>
      <c r="Z290" s="4"/>
      <c r="AA290" s="4"/>
      <c r="AB290" s="4"/>
    </row>
    <row r="291" spans="1:28" x14ac:dyDescent="0.2">
      <c r="A291" s="4">
        <v>50</v>
      </c>
      <c r="B291" s="4">
        <v>0</v>
      </c>
      <c r="C291" s="4">
        <v>0</v>
      </c>
      <c r="D291" s="4">
        <v>1</v>
      </c>
      <c r="E291" s="4">
        <v>224</v>
      </c>
      <c r="F291" s="4">
        <f>ROUND(Source!AR263,O291)</f>
        <v>3980955.02</v>
      </c>
      <c r="G291" s="4" t="s">
        <v>127</v>
      </c>
      <c r="H291" s="4" t="s">
        <v>128</v>
      </c>
      <c r="I291" s="4"/>
      <c r="J291" s="4"/>
      <c r="K291" s="4">
        <v>224</v>
      </c>
      <c r="L291" s="4">
        <v>27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>
        <v>3980955.02</v>
      </c>
      <c r="X291" s="4">
        <v>1</v>
      </c>
      <c r="Y291" s="4">
        <v>3980955.02</v>
      </c>
      <c r="Z291" s="4"/>
      <c r="AA291" s="4"/>
      <c r="AB291" s="4"/>
    </row>
    <row r="294" spans="1:28" x14ac:dyDescent="0.2">
      <c r="A294">
        <v>-1</v>
      </c>
    </row>
    <row r="296" spans="1:28" x14ac:dyDescent="0.2">
      <c r="A296" s="3">
        <v>75</v>
      </c>
      <c r="B296" s="3" t="s">
        <v>191</v>
      </c>
      <c r="C296" s="3">
        <v>2022</v>
      </c>
      <c r="D296" s="3">
        <v>0</v>
      </c>
      <c r="E296" s="3">
        <v>10</v>
      </c>
      <c r="F296" s="3"/>
      <c r="G296" s="3">
        <v>0</v>
      </c>
      <c r="H296" s="3">
        <v>1</v>
      </c>
      <c r="I296" s="3">
        <v>0</v>
      </c>
      <c r="J296" s="3">
        <v>1</v>
      </c>
      <c r="K296" s="3">
        <v>78</v>
      </c>
      <c r="L296" s="3">
        <v>30</v>
      </c>
      <c r="M296" s="3">
        <v>0</v>
      </c>
      <c r="N296" s="3">
        <v>36602762</v>
      </c>
      <c r="O296" s="3">
        <v>1</v>
      </c>
    </row>
    <row r="300" spans="1:28" x14ac:dyDescent="0.2">
      <c r="A300">
        <v>65</v>
      </c>
      <c r="C300">
        <v>1</v>
      </c>
      <c r="D300">
        <v>0</v>
      </c>
      <c r="E300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1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192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56347</v>
      </c>
      <c r="M1">
        <v>10</v>
      </c>
      <c r="N1">
        <v>11</v>
      </c>
      <c r="O1">
        <v>5</v>
      </c>
      <c r="P1">
        <v>3</v>
      </c>
      <c r="Q1">
        <v>2</v>
      </c>
    </row>
    <row r="12" spans="1:133" x14ac:dyDescent="0.2">
      <c r="A12" s="1">
        <v>1</v>
      </c>
      <c r="B12" s="1">
        <v>51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1</v>
      </c>
      <c r="BU12" s="1">
        <v>0</v>
      </c>
      <c r="BV12" s="1">
        <v>1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1</v>
      </c>
      <c r="C14" s="1">
        <v>0</v>
      </c>
      <c r="D14" s="1">
        <v>36602762</v>
      </c>
      <c r="E14" s="1">
        <v>0</v>
      </c>
      <c r="F14" s="1">
        <v>2</v>
      </c>
      <c r="G14" s="1">
        <v>1</v>
      </c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0</v>
      </c>
      <c r="C16" s="5" t="s">
        <v>12</v>
      </c>
      <c r="D16" s="5" t="s">
        <v>13</v>
      </c>
      <c r="E16" s="6">
        <f>ROUND((Source!F248)/1000,2)</f>
        <v>0</v>
      </c>
      <c r="F16" s="6">
        <f>ROUND((Source!F249)/1000,2)</f>
        <v>0</v>
      </c>
      <c r="G16" s="6">
        <f>ROUND((Source!F240)/1000,2)</f>
        <v>0</v>
      </c>
      <c r="H16" s="6">
        <f>ROUND((Source!F250)/1000+(Source!F251)/1000,2)</f>
        <v>3980.96</v>
      </c>
      <c r="I16" s="6">
        <f>E16+F16+G16+H16</f>
        <v>3980.96</v>
      </c>
      <c r="J16" s="6">
        <f>ROUND((Source!F246+Source!F245)/1000,2)</f>
        <v>800.73</v>
      </c>
      <c r="AI16" s="5">
        <v>0</v>
      </c>
      <c r="AJ16" s="5">
        <v>-1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3532595.36</v>
      </c>
      <c r="AU16" s="6">
        <v>2201392.73</v>
      </c>
      <c r="AV16" s="6">
        <v>0</v>
      </c>
      <c r="AW16" s="6">
        <v>0</v>
      </c>
      <c r="AX16" s="6">
        <v>0</v>
      </c>
      <c r="AY16" s="6">
        <v>1043833.68</v>
      </c>
      <c r="AZ16" s="6">
        <v>513363.08</v>
      </c>
      <c r="BA16" s="6">
        <v>287368.95</v>
      </c>
      <c r="BB16" s="6">
        <v>0</v>
      </c>
      <c r="BC16" s="6">
        <v>0</v>
      </c>
      <c r="BD16" s="6">
        <v>3980955.02</v>
      </c>
      <c r="BE16" s="6">
        <v>0</v>
      </c>
      <c r="BF16" s="6">
        <v>1239.7780640000001</v>
      </c>
      <c r="BG16" s="6">
        <v>0</v>
      </c>
      <c r="BH16" s="6">
        <v>0</v>
      </c>
      <c r="BI16" s="6">
        <v>201158.28</v>
      </c>
      <c r="BJ16" s="6">
        <v>28736.9</v>
      </c>
      <c r="BK16" s="6">
        <v>3980955.02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3980.96</v>
      </c>
      <c r="I18" s="7">
        <f>SUMIF(A16:A17,3,I16:I17)</f>
        <v>3980.96</v>
      </c>
      <c r="J18" s="7">
        <f>SUMIF(A16:A17,3,J16:J17)</f>
        <v>800.73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3532595.36</v>
      </c>
      <c r="G20" s="4" t="s">
        <v>75</v>
      </c>
      <c r="H20" s="4" t="s">
        <v>76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2201392.73</v>
      </c>
      <c r="G21" s="4" t="s">
        <v>77</v>
      </c>
      <c r="H21" s="4" t="s">
        <v>78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79</v>
      </c>
      <c r="H22" s="4" t="s">
        <v>80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2201392.73</v>
      </c>
      <c r="G23" s="4" t="s">
        <v>81</v>
      </c>
      <c r="H23" s="4" t="s">
        <v>82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2201392.73</v>
      </c>
      <c r="G24" s="4" t="s">
        <v>83</v>
      </c>
      <c r="H24" s="4" t="s">
        <v>84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85</v>
      </c>
      <c r="H25" s="4" t="s">
        <v>86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2201392.73</v>
      </c>
      <c r="G26" s="4" t="s">
        <v>87</v>
      </c>
      <c r="H26" s="4" t="s">
        <v>88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89</v>
      </c>
      <c r="H27" s="4" t="s">
        <v>90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91</v>
      </c>
      <c r="H28" s="4" t="s">
        <v>92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93</v>
      </c>
      <c r="H29" s="4" t="s">
        <v>94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1043833.68</v>
      </c>
      <c r="G30" s="4" t="s">
        <v>95</v>
      </c>
      <c r="H30" s="4" t="s">
        <v>96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97</v>
      </c>
      <c r="H31" s="4" t="s">
        <v>98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513363.08</v>
      </c>
      <c r="G32" s="4" t="s">
        <v>99</v>
      </c>
      <c r="H32" s="4" t="s">
        <v>100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287368.95</v>
      </c>
      <c r="G33" s="4" t="s">
        <v>101</v>
      </c>
      <c r="H33" s="4" t="s">
        <v>102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103</v>
      </c>
      <c r="H34" s="4" t="s">
        <v>104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105</v>
      </c>
      <c r="H35" s="4" t="s">
        <v>106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107</v>
      </c>
      <c r="H36" s="4" t="s">
        <v>108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3980955.02</v>
      </c>
      <c r="G37" s="4" t="s">
        <v>109</v>
      </c>
      <c r="H37" s="4" t="s">
        <v>110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111</v>
      </c>
      <c r="H38" s="4" t="s">
        <v>112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113</v>
      </c>
      <c r="H39" s="4" t="s">
        <v>114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1239.7780640000001</v>
      </c>
      <c r="G40" s="4" t="s">
        <v>115</v>
      </c>
      <c r="H40" s="4" t="s">
        <v>116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117</v>
      </c>
      <c r="H41" s="4" t="s">
        <v>118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119</v>
      </c>
      <c r="H42" s="4" t="s">
        <v>120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121</v>
      </c>
      <c r="H43" s="4" t="s">
        <v>122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201158.28</v>
      </c>
      <c r="G44" s="4" t="s">
        <v>123</v>
      </c>
      <c r="H44" s="4" t="s">
        <v>124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28736.9</v>
      </c>
      <c r="G45" s="4" t="s">
        <v>125</v>
      </c>
      <c r="H45" s="4" t="s">
        <v>126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3980955.02</v>
      </c>
      <c r="G46" s="4" t="s">
        <v>127</v>
      </c>
      <c r="H46" s="4" t="s">
        <v>128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8" spans="1:16" x14ac:dyDescent="0.2">
      <c r="A48">
        <v>-1</v>
      </c>
    </row>
    <row r="51" spans="1:15" x14ac:dyDescent="0.2">
      <c r="A51" s="3">
        <v>75</v>
      </c>
      <c r="B51" s="3" t="s">
        <v>191</v>
      </c>
      <c r="C51" s="3">
        <v>2022</v>
      </c>
      <c r="D51" s="3">
        <v>0</v>
      </c>
      <c r="E51" s="3">
        <v>10</v>
      </c>
      <c r="F51" s="3"/>
      <c r="G51" s="3">
        <v>0</v>
      </c>
      <c r="H51" s="3">
        <v>1</v>
      </c>
      <c r="I51" s="3">
        <v>0</v>
      </c>
      <c r="J51" s="3">
        <v>1</v>
      </c>
      <c r="K51" s="3">
        <v>78</v>
      </c>
      <c r="L51" s="3">
        <v>30</v>
      </c>
      <c r="M51" s="3">
        <v>0</v>
      </c>
      <c r="N51" s="3">
        <v>36602762</v>
      </c>
      <c r="O51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36602762</v>
      </c>
      <c r="C1">
        <v>36602826</v>
      </c>
      <c r="D1">
        <v>36278558</v>
      </c>
      <c r="E1">
        <v>31</v>
      </c>
      <c r="F1">
        <v>1</v>
      </c>
      <c r="G1">
        <v>31</v>
      </c>
      <c r="H1">
        <v>1</v>
      </c>
      <c r="I1" t="s">
        <v>193</v>
      </c>
      <c r="J1" t="s">
        <v>3</v>
      </c>
      <c r="K1" t="s">
        <v>194</v>
      </c>
      <c r="L1">
        <v>1191</v>
      </c>
      <c r="N1">
        <v>1013</v>
      </c>
      <c r="O1" t="s">
        <v>195</v>
      </c>
      <c r="P1" t="s">
        <v>195</v>
      </c>
      <c r="Q1">
        <v>1</v>
      </c>
      <c r="W1">
        <v>0</v>
      </c>
      <c r="X1">
        <v>476480486</v>
      </c>
      <c r="Y1">
        <v>0.03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0.03</v>
      </c>
      <c r="AU1" t="s">
        <v>3</v>
      </c>
      <c r="AV1">
        <v>1</v>
      </c>
      <c r="AW1">
        <v>2</v>
      </c>
      <c r="AX1">
        <v>36602827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24.57</v>
      </c>
      <c r="CY1">
        <f>AD1</f>
        <v>0</v>
      </c>
      <c r="CZ1">
        <f>AH1</f>
        <v>0</v>
      </c>
      <c r="DA1">
        <f>AL1</f>
        <v>1</v>
      </c>
      <c r="DB1">
        <f t="shared" ref="DB1:DB32" si="0">ROUND(ROUND(AT1*CZ1,2),6)</f>
        <v>0</v>
      </c>
      <c r="DC1">
        <f t="shared" ref="DC1:DC32" si="1">ROUND(ROUND(AT1*AG1,2),6)</f>
        <v>0</v>
      </c>
    </row>
    <row r="2" spans="1:107" x14ac:dyDescent="0.2">
      <c r="A2">
        <f>ROW(Source!A28)</f>
        <v>28</v>
      </c>
      <c r="B2">
        <v>36602762</v>
      </c>
      <c r="C2">
        <v>36602826</v>
      </c>
      <c r="D2">
        <v>36291343</v>
      </c>
      <c r="E2">
        <v>1</v>
      </c>
      <c r="F2">
        <v>1</v>
      </c>
      <c r="G2">
        <v>31</v>
      </c>
      <c r="H2">
        <v>2</v>
      </c>
      <c r="I2" t="s">
        <v>196</v>
      </c>
      <c r="J2" t="s">
        <v>197</v>
      </c>
      <c r="K2" t="s">
        <v>198</v>
      </c>
      <c r="L2">
        <v>1368</v>
      </c>
      <c r="N2">
        <v>1011</v>
      </c>
      <c r="O2" t="s">
        <v>199</v>
      </c>
      <c r="P2" t="s">
        <v>199</v>
      </c>
      <c r="Q2">
        <v>1</v>
      </c>
      <c r="W2">
        <v>0</v>
      </c>
      <c r="X2">
        <v>-617182680</v>
      </c>
      <c r="Y2">
        <v>0.02</v>
      </c>
      <c r="AA2">
        <v>0</v>
      </c>
      <c r="AB2">
        <v>1401.37</v>
      </c>
      <c r="AC2">
        <v>544.48</v>
      </c>
      <c r="AD2">
        <v>0</v>
      </c>
      <c r="AE2">
        <v>0</v>
      </c>
      <c r="AF2">
        <v>1401.37</v>
      </c>
      <c r="AG2">
        <v>544.48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0.02</v>
      </c>
      <c r="AU2" t="s">
        <v>3</v>
      </c>
      <c r="AV2">
        <v>0</v>
      </c>
      <c r="AW2">
        <v>2</v>
      </c>
      <c r="AX2">
        <v>36602828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16.38</v>
      </c>
      <c r="CY2">
        <f>AB2</f>
        <v>1401.37</v>
      </c>
      <c r="CZ2">
        <f>AF2</f>
        <v>1401.37</v>
      </c>
      <c r="DA2">
        <f>AJ2</f>
        <v>1</v>
      </c>
      <c r="DB2">
        <f t="shared" si="0"/>
        <v>28.03</v>
      </c>
      <c r="DC2">
        <f t="shared" si="1"/>
        <v>10.89</v>
      </c>
    </row>
    <row r="3" spans="1:107" x14ac:dyDescent="0.2">
      <c r="A3">
        <f>ROW(Source!A28)</f>
        <v>28</v>
      </c>
      <c r="B3">
        <v>36602762</v>
      </c>
      <c r="C3">
        <v>36602826</v>
      </c>
      <c r="D3">
        <v>36291364</v>
      </c>
      <c r="E3">
        <v>1</v>
      </c>
      <c r="F3">
        <v>1</v>
      </c>
      <c r="G3">
        <v>31</v>
      </c>
      <c r="H3">
        <v>2</v>
      </c>
      <c r="I3" t="s">
        <v>200</v>
      </c>
      <c r="J3" t="s">
        <v>201</v>
      </c>
      <c r="K3" t="s">
        <v>202</v>
      </c>
      <c r="L3">
        <v>1368</v>
      </c>
      <c r="N3">
        <v>1011</v>
      </c>
      <c r="O3" t="s">
        <v>199</v>
      </c>
      <c r="P3" t="s">
        <v>199</v>
      </c>
      <c r="Q3">
        <v>1</v>
      </c>
      <c r="W3">
        <v>0</v>
      </c>
      <c r="X3">
        <v>-1930732115</v>
      </c>
      <c r="Y3">
        <v>0.02</v>
      </c>
      <c r="AA3">
        <v>0</v>
      </c>
      <c r="AB3">
        <v>2571.9899999999998</v>
      </c>
      <c r="AC3">
        <v>1498.01</v>
      </c>
      <c r="AD3">
        <v>0</v>
      </c>
      <c r="AE3">
        <v>0</v>
      </c>
      <c r="AF3">
        <v>2571.9899999999998</v>
      </c>
      <c r="AG3">
        <v>1498.01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0.02</v>
      </c>
      <c r="AU3" t="s">
        <v>3</v>
      </c>
      <c r="AV3">
        <v>0</v>
      </c>
      <c r="AW3">
        <v>2</v>
      </c>
      <c r="AX3">
        <v>36602829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16.38</v>
      </c>
      <c r="CY3">
        <f>AB3</f>
        <v>2571.9899999999998</v>
      </c>
      <c r="CZ3">
        <f>AF3</f>
        <v>2571.9899999999998</v>
      </c>
      <c r="DA3">
        <f>AJ3</f>
        <v>1</v>
      </c>
      <c r="DB3">
        <f t="shared" si="0"/>
        <v>51.44</v>
      </c>
      <c r="DC3">
        <f t="shared" si="1"/>
        <v>29.96</v>
      </c>
    </row>
    <row r="4" spans="1:107" x14ac:dyDescent="0.2">
      <c r="A4">
        <f>ROW(Source!A28)</f>
        <v>28</v>
      </c>
      <c r="B4">
        <v>36602762</v>
      </c>
      <c r="C4">
        <v>36602826</v>
      </c>
      <c r="D4">
        <v>36294127</v>
      </c>
      <c r="E4">
        <v>1</v>
      </c>
      <c r="F4">
        <v>1</v>
      </c>
      <c r="G4">
        <v>31</v>
      </c>
      <c r="H4">
        <v>3</v>
      </c>
      <c r="I4" t="s">
        <v>203</v>
      </c>
      <c r="J4" t="s">
        <v>204</v>
      </c>
      <c r="K4" t="s">
        <v>205</v>
      </c>
      <c r="L4">
        <v>1339</v>
      </c>
      <c r="N4">
        <v>1007</v>
      </c>
      <c r="O4" t="s">
        <v>179</v>
      </c>
      <c r="P4" t="s">
        <v>179</v>
      </c>
      <c r="Q4">
        <v>1</v>
      </c>
      <c r="W4">
        <v>0</v>
      </c>
      <c r="X4">
        <v>-504744613</v>
      </c>
      <c r="Y4">
        <v>3.2000000000000002E-3</v>
      </c>
      <c r="AA4">
        <v>38.229999999999997</v>
      </c>
      <c r="AB4">
        <v>0</v>
      </c>
      <c r="AC4">
        <v>0</v>
      </c>
      <c r="AD4">
        <v>0</v>
      </c>
      <c r="AE4">
        <v>38.229999999999997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3.2000000000000002E-3</v>
      </c>
      <c r="AU4" t="s">
        <v>3</v>
      </c>
      <c r="AV4">
        <v>0</v>
      </c>
      <c r="AW4">
        <v>2</v>
      </c>
      <c r="AX4">
        <v>36602830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Y4*Source!I28</f>
        <v>2.6208</v>
      </c>
      <c r="CY4">
        <f>AA4</f>
        <v>38.229999999999997</v>
      </c>
      <c r="CZ4">
        <f>AE4</f>
        <v>38.229999999999997</v>
      </c>
      <c r="DA4">
        <f>AI4</f>
        <v>1</v>
      </c>
      <c r="DB4">
        <f t="shared" si="0"/>
        <v>0.12</v>
      </c>
      <c r="DC4">
        <f t="shared" si="1"/>
        <v>0</v>
      </c>
    </row>
    <row r="5" spans="1:107" x14ac:dyDescent="0.2">
      <c r="A5">
        <f>ROW(Source!A28)</f>
        <v>28</v>
      </c>
      <c r="B5">
        <v>36602762</v>
      </c>
      <c r="C5">
        <v>36602826</v>
      </c>
      <c r="D5">
        <v>36294399</v>
      </c>
      <c r="E5">
        <v>1</v>
      </c>
      <c r="F5">
        <v>1</v>
      </c>
      <c r="G5">
        <v>31</v>
      </c>
      <c r="H5">
        <v>3</v>
      </c>
      <c r="I5" t="s">
        <v>206</v>
      </c>
      <c r="J5" t="s">
        <v>207</v>
      </c>
      <c r="K5" t="s">
        <v>208</v>
      </c>
      <c r="L5">
        <v>1354</v>
      </c>
      <c r="N5">
        <v>1010</v>
      </c>
      <c r="O5" t="s">
        <v>209</v>
      </c>
      <c r="P5" t="s">
        <v>209</v>
      </c>
      <c r="Q5">
        <v>1</v>
      </c>
      <c r="W5">
        <v>0</v>
      </c>
      <c r="X5">
        <v>-272318523</v>
      </c>
      <c r="Y5">
        <v>7.0000000000000007E-2</v>
      </c>
      <c r="AA5">
        <v>335.91</v>
      </c>
      <c r="AB5">
        <v>0</v>
      </c>
      <c r="AC5">
        <v>0</v>
      </c>
      <c r="AD5">
        <v>0</v>
      </c>
      <c r="AE5">
        <v>335.91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7.0000000000000007E-2</v>
      </c>
      <c r="AU5" t="s">
        <v>3</v>
      </c>
      <c r="AV5">
        <v>0</v>
      </c>
      <c r="AW5">
        <v>2</v>
      </c>
      <c r="AX5">
        <v>36602831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Y5*Source!I28</f>
        <v>57.330000000000005</v>
      </c>
      <c r="CY5">
        <f>AA5</f>
        <v>335.91</v>
      </c>
      <c r="CZ5">
        <f>AE5</f>
        <v>335.91</v>
      </c>
      <c r="DA5">
        <f>AI5</f>
        <v>1</v>
      </c>
      <c r="DB5">
        <f t="shared" si="0"/>
        <v>23.51</v>
      </c>
      <c r="DC5">
        <f t="shared" si="1"/>
        <v>0</v>
      </c>
    </row>
    <row r="6" spans="1:107" x14ac:dyDescent="0.2">
      <c r="A6">
        <f>ROW(Source!A29)</f>
        <v>29</v>
      </c>
      <c r="B6">
        <v>36602762</v>
      </c>
      <c r="C6">
        <v>36602833</v>
      </c>
      <c r="D6">
        <v>36278558</v>
      </c>
      <c r="E6">
        <v>31</v>
      </c>
      <c r="F6">
        <v>1</v>
      </c>
      <c r="G6">
        <v>31</v>
      </c>
      <c r="H6">
        <v>1</v>
      </c>
      <c r="I6" t="s">
        <v>193</v>
      </c>
      <c r="J6" t="s">
        <v>3</v>
      </c>
      <c r="K6" t="s">
        <v>194</v>
      </c>
      <c r="L6">
        <v>1191</v>
      </c>
      <c r="N6">
        <v>1013</v>
      </c>
      <c r="O6" t="s">
        <v>195</v>
      </c>
      <c r="P6" t="s">
        <v>195</v>
      </c>
      <c r="Q6">
        <v>1</v>
      </c>
      <c r="W6">
        <v>0</v>
      </c>
      <c r="X6">
        <v>476480486</v>
      </c>
      <c r="Y6">
        <v>155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155</v>
      </c>
      <c r="AU6" t="s">
        <v>3</v>
      </c>
      <c r="AV6">
        <v>1</v>
      </c>
      <c r="AW6">
        <v>2</v>
      </c>
      <c r="AX6">
        <v>36602834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Y6*Source!I29</f>
        <v>17.05</v>
      </c>
      <c r="CY6">
        <f>AD6</f>
        <v>0</v>
      </c>
      <c r="CZ6">
        <f>AH6</f>
        <v>0</v>
      </c>
      <c r="DA6">
        <f>AL6</f>
        <v>1</v>
      </c>
      <c r="DB6">
        <f t="shared" si="0"/>
        <v>0</v>
      </c>
      <c r="DC6">
        <f t="shared" si="1"/>
        <v>0</v>
      </c>
    </row>
    <row r="7" spans="1:107" x14ac:dyDescent="0.2">
      <c r="A7">
        <f>ROW(Source!A29)</f>
        <v>29</v>
      </c>
      <c r="B7">
        <v>36602762</v>
      </c>
      <c r="C7">
        <v>36602833</v>
      </c>
      <c r="D7">
        <v>36291498</v>
      </c>
      <c r="E7">
        <v>1</v>
      </c>
      <c r="F7">
        <v>1</v>
      </c>
      <c r="G7">
        <v>31</v>
      </c>
      <c r="H7">
        <v>2</v>
      </c>
      <c r="I7" t="s">
        <v>210</v>
      </c>
      <c r="J7" t="s">
        <v>211</v>
      </c>
      <c r="K7" t="s">
        <v>212</v>
      </c>
      <c r="L7">
        <v>1368</v>
      </c>
      <c r="N7">
        <v>1011</v>
      </c>
      <c r="O7" t="s">
        <v>199</v>
      </c>
      <c r="P7" t="s">
        <v>199</v>
      </c>
      <c r="Q7">
        <v>1</v>
      </c>
      <c r="W7">
        <v>0</v>
      </c>
      <c r="X7">
        <v>-313185541</v>
      </c>
      <c r="Y7">
        <v>37.5</v>
      </c>
      <c r="AA7">
        <v>0</v>
      </c>
      <c r="AB7">
        <v>832.54</v>
      </c>
      <c r="AC7">
        <v>466.55</v>
      </c>
      <c r="AD7">
        <v>0</v>
      </c>
      <c r="AE7">
        <v>0</v>
      </c>
      <c r="AF7">
        <v>832.54</v>
      </c>
      <c r="AG7">
        <v>466.55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37.5</v>
      </c>
      <c r="AU7" t="s">
        <v>3</v>
      </c>
      <c r="AV7">
        <v>0</v>
      </c>
      <c r="AW7">
        <v>2</v>
      </c>
      <c r="AX7">
        <v>36602835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Y7*Source!I29</f>
        <v>4.125</v>
      </c>
      <c r="CY7">
        <f>AB7</f>
        <v>832.54</v>
      </c>
      <c r="CZ7">
        <f>AF7</f>
        <v>832.54</v>
      </c>
      <c r="DA7">
        <f>AJ7</f>
        <v>1</v>
      </c>
      <c r="DB7">
        <f t="shared" si="0"/>
        <v>31220.25</v>
      </c>
      <c r="DC7">
        <f t="shared" si="1"/>
        <v>17495.63</v>
      </c>
    </row>
    <row r="8" spans="1:107" x14ac:dyDescent="0.2">
      <c r="A8">
        <f>ROW(Source!A29)</f>
        <v>29</v>
      </c>
      <c r="B8">
        <v>36602762</v>
      </c>
      <c r="C8">
        <v>36602833</v>
      </c>
      <c r="D8">
        <v>36292042</v>
      </c>
      <c r="E8">
        <v>1</v>
      </c>
      <c r="F8">
        <v>1</v>
      </c>
      <c r="G8">
        <v>31</v>
      </c>
      <c r="H8">
        <v>2</v>
      </c>
      <c r="I8" t="s">
        <v>213</v>
      </c>
      <c r="J8" t="s">
        <v>214</v>
      </c>
      <c r="K8" t="s">
        <v>215</v>
      </c>
      <c r="L8">
        <v>1368</v>
      </c>
      <c r="N8">
        <v>1011</v>
      </c>
      <c r="O8" t="s">
        <v>199</v>
      </c>
      <c r="P8" t="s">
        <v>199</v>
      </c>
      <c r="Q8">
        <v>1</v>
      </c>
      <c r="W8">
        <v>0</v>
      </c>
      <c r="X8">
        <v>-1388279477</v>
      </c>
      <c r="Y8">
        <v>75</v>
      </c>
      <c r="AA8">
        <v>0</v>
      </c>
      <c r="AB8">
        <v>6.02</v>
      </c>
      <c r="AC8">
        <v>0.02</v>
      </c>
      <c r="AD8">
        <v>0</v>
      </c>
      <c r="AE8">
        <v>0</v>
      </c>
      <c r="AF8">
        <v>6.02</v>
      </c>
      <c r="AG8">
        <v>0.02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75</v>
      </c>
      <c r="AU8" t="s">
        <v>3</v>
      </c>
      <c r="AV8">
        <v>0</v>
      </c>
      <c r="AW8">
        <v>2</v>
      </c>
      <c r="AX8">
        <v>36602836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Y8*Source!I29</f>
        <v>8.25</v>
      </c>
      <c r="CY8">
        <f>AB8</f>
        <v>6.02</v>
      </c>
      <c r="CZ8">
        <f>AF8</f>
        <v>6.02</v>
      </c>
      <c r="DA8">
        <f>AJ8</f>
        <v>1</v>
      </c>
      <c r="DB8">
        <f t="shared" si="0"/>
        <v>451.5</v>
      </c>
      <c r="DC8">
        <f t="shared" si="1"/>
        <v>1.5</v>
      </c>
    </row>
    <row r="9" spans="1:107" x14ac:dyDescent="0.2">
      <c r="A9">
        <f>ROW(Source!A29)</f>
        <v>29</v>
      </c>
      <c r="B9">
        <v>36602762</v>
      </c>
      <c r="C9">
        <v>36602833</v>
      </c>
      <c r="D9">
        <v>36291368</v>
      </c>
      <c r="E9">
        <v>1</v>
      </c>
      <c r="F9">
        <v>1</v>
      </c>
      <c r="G9">
        <v>31</v>
      </c>
      <c r="H9">
        <v>2</v>
      </c>
      <c r="I9" t="s">
        <v>216</v>
      </c>
      <c r="J9" t="s">
        <v>217</v>
      </c>
      <c r="K9" t="s">
        <v>218</v>
      </c>
      <c r="L9">
        <v>1368</v>
      </c>
      <c r="N9">
        <v>1011</v>
      </c>
      <c r="O9" t="s">
        <v>199</v>
      </c>
      <c r="P9" t="s">
        <v>199</v>
      </c>
      <c r="Q9">
        <v>1</v>
      </c>
      <c r="W9">
        <v>0</v>
      </c>
      <c r="X9">
        <v>-991679869</v>
      </c>
      <c r="Y9">
        <v>1.55</v>
      </c>
      <c r="AA9">
        <v>0</v>
      </c>
      <c r="AB9">
        <v>1566.66</v>
      </c>
      <c r="AC9">
        <v>707.06</v>
      </c>
      <c r="AD9">
        <v>0</v>
      </c>
      <c r="AE9">
        <v>0</v>
      </c>
      <c r="AF9">
        <v>1566.66</v>
      </c>
      <c r="AG9">
        <v>707.06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1.55</v>
      </c>
      <c r="AU9" t="s">
        <v>3</v>
      </c>
      <c r="AV9">
        <v>0</v>
      </c>
      <c r="AW9">
        <v>2</v>
      </c>
      <c r="AX9">
        <v>36602837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Y9*Source!I29</f>
        <v>0.17050000000000001</v>
      </c>
      <c r="CY9">
        <f>AB9</f>
        <v>1566.66</v>
      </c>
      <c r="CZ9">
        <f>AF9</f>
        <v>1566.66</v>
      </c>
      <c r="DA9">
        <f>AJ9</f>
        <v>1</v>
      </c>
      <c r="DB9">
        <f t="shared" si="0"/>
        <v>2428.3200000000002</v>
      </c>
      <c r="DC9">
        <f t="shared" si="1"/>
        <v>1095.94</v>
      </c>
    </row>
    <row r="10" spans="1:107" x14ac:dyDescent="0.2">
      <c r="A10">
        <f>ROW(Source!A30)</f>
        <v>30</v>
      </c>
      <c r="B10">
        <v>36602762</v>
      </c>
      <c r="C10">
        <v>36602839</v>
      </c>
      <c r="D10">
        <v>36278558</v>
      </c>
      <c r="E10">
        <v>31</v>
      </c>
      <c r="F10">
        <v>1</v>
      </c>
      <c r="G10">
        <v>31</v>
      </c>
      <c r="H10">
        <v>1</v>
      </c>
      <c r="I10" t="s">
        <v>193</v>
      </c>
      <c r="J10" t="s">
        <v>3</v>
      </c>
      <c r="K10" t="s">
        <v>194</v>
      </c>
      <c r="L10">
        <v>1191</v>
      </c>
      <c r="N10">
        <v>1013</v>
      </c>
      <c r="O10" t="s">
        <v>195</v>
      </c>
      <c r="P10" t="s">
        <v>195</v>
      </c>
      <c r="Q10">
        <v>1</v>
      </c>
      <c r="W10">
        <v>0</v>
      </c>
      <c r="X10">
        <v>476480486</v>
      </c>
      <c r="Y10">
        <v>10.72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10.72</v>
      </c>
      <c r="AU10" t="s">
        <v>3</v>
      </c>
      <c r="AV10">
        <v>1</v>
      </c>
      <c r="AW10">
        <v>2</v>
      </c>
      <c r="AX10">
        <v>36602840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Y10*Source!I30</f>
        <v>30.015999999999998</v>
      </c>
      <c r="CY10">
        <f>AD10</f>
        <v>0</v>
      </c>
      <c r="CZ10">
        <f>AH10</f>
        <v>0</v>
      </c>
      <c r="DA10">
        <f>AL10</f>
        <v>1</v>
      </c>
      <c r="DB10">
        <f t="shared" si="0"/>
        <v>0</v>
      </c>
      <c r="DC10">
        <f t="shared" si="1"/>
        <v>0</v>
      </c>
    </row>
    <row r="11" spans="1:107" x14ac:dyDescent="0.2">
      <c r="A11">
        <f>ROW(Source!A30)</f>
        <v>30</v>
      </c>
      <c r="B11">
        <v>36602762</v>
      </c>
      <c r="C11">
        <v>36602839</v>
      </c>
      <c r="D11">
        <v>36291495</v>
      </c>
      <c r="E11">
        <v>1</v>
      </c>
      <c r="F11">
        <v>1</v>
      </c>
      <c r="G11">
        <v>31</v>
      </c>
      <c r="H11">
        <v>2</v>
      </c>
      <c r="I11" t="s">
        <v>219</v>
      </c>
      <c r="J11" t="s">
        <v>220</v>
      </c>
      <c r="K11" t="s">
        <v>221</v>
      </c>
      <c r="L11">
        <v>1368</v>
      </c>
      <c r="N11">
        <v>1011</v>
      </c>
      <c r="O11" t="s">
        <v>199</v>
      </c>
      <c r="P11" t="s">
        <v>199</v>
      </c>
      <c r="Q11">
        <v>1</v>
      </c>
      <c r="W11">
        <v>0</v>
      </c>
      <c r="X11">
        <v>-494352113</v>
      </c>
      <c r="Y11">
        <v>2.6</v>
      </c>
      <c r="AA11">
        <v>0</v>
      </c>
      <c r="AB11">
        <v>1278.1099999999999</v>
      </c>
      <c r="AC11">
        <v>508.81</v>
      </c>
      <c r="AD11">
        <v>0</v>
      </c>
      <c r="AE11">
        <v>0</v>
      </c>
      <c r="AF11">
        <v>1278.1099999999999</v>
      </c>
      <c r="AG11">
        <v>508.81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2.6</v>
      </c>
      <c r="AU11" t="s">
        <v>3</v>
      </c>
      <c r="AV11">
        <v>0</v>
      </c>
      <c r="AW11">
        <v>2</v>
      </c>
      <c r="AX11">
        <v>36602842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Y11*Source!I30</f>
        <v>7.2799999999999994</v>
      </c>
      <c r="CY11">
        <f>AB11</f>
        <v>1278.1099999999999</v>
      </c>
      <c r="CZ11">
        <f>AF11</f>
        <v>1278.1099999999999</v>
      </c>
      <c r="DA11">
        <f>AJ11</f>
        <v>1</v>
      </c>
      <c r="DB11">
        <f t="shared" si="0"/>
        <v>3323.09</v>
      </c>
      <c r="DC11">
        <f t="shared" si="1"/>
        <v>1322.91</v>
      </c>
    </row>
    <row r="12" spans="1:107" x14ac:dyDescent="0.2">
      <c r="A12">
        <f>ROW(Source!A30)</f>
        <v>30</v>
      </c>
      <c r="B12">
        <v>36602762</v>
      </c>
      <c r="C12">
        <v>36602839</v>
      </c>
      <c r="D12">
        <v>36291181</v>
      </c>
      <c r="E12">
        <v>1</v>
      </c>
      <c r="F12">
        <v>1</v>
      </c>
      <c r="G12">
        <v>31</v>
      </c>
      <c r="H12">
        <v>2</v>
      </c>
      <c r="I12" t="s">
        <v>222</v>
      </c>
      <c r="J12" t="s">
        <v>223</v>
      </c>
      <c r="K12" t="s">
        <v>224</v>
      </c>
      <c r="L12">
        <v>1368</v>
      </c>
      <c r="N12">
        <v>1011</v>
      </c>
      <c r="O12" t="s">
        <v>199</v>
      </c>
      <c r="P12" t="s">
        <v>199</v>
      </c>
      <c r="Q12">
        <v>1</v>
      </c>
      <c r="W12">
        <v>0</v>
      </c>
      <c r="X12">
        <v>-150451040</v>
      </c>
      <c r="Y12">
        <v>2.6</v>
      </c>
      <c r="AA12">
        <v>0</v>
      </c>
      <c r="AB12">
        <v>1047.8800000000001</v>
      </c>
      <c r="AC12">
        <v>459.43</v>
      </c>
      <c r="AD12">
        <v>0</v>
      </c>
      <c r="AE12">
        <v>0</v>
      </c>
      <c r="AF12">
        <v>1047.8800000000001</v>
      </c>
      <c r="AG12">
        <v>459.43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2.6</v>
      </c>
      <c r="AU12" t="s">
        <v>3</v>
      </c>
      <c r="AV12">
        <v>0</v>
      </c>
      <c r="AW12">
        <v>2</v>
      </c>
      <c r="AX12">
        <v>36602841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Y12*Source!I30</f>
        <v>7.2799999999999994</v>
      </c>
      <c r="CY12">
        <f>AB12</f>
        <v>1047.8800000000001</v>
      </c>
      <c r="CZ12">
        <f>AF12</f>
        <v>1047.8800000000001</v>
      </c>
      <c r="DA12">
        <f>AJ12</f>
        <v>1</v>
      </c>
      <c r="DB12">
        <f t="shared" si="0"/>
        <v>2724.49</v>
      </c>
      <c r="DC12">
        <f t="shared" si="1"/>
        <v>1194.52</v>
      </c>
    </row>
    <row r="13" spans="1:107" x14ac:dyDescent="0.2">
      <c r="A13">
        <f>ROW(Source!A30)</f>
        <v>30</v>
      </c>
      <c r="B13">
        <v>36602762</v>
      </c>
      <c r="C13">
        <v>36602839</v>
      </c>
      <c r="D13">
        <v>36292042</v>
      </c>
      <c r="E13">
        <v>1</v>
      </c>
      <c r="F13">
        <v>1</v>
      </c>
      <c r="G13">
        <v>31</v>
      </c>
      <c r="H13">
        <v>2</v>
      </c>
      <c r="I13" t="s">
        <v>213</v>
      </c>
      <c r="J13" t="s">
        <v>214</v>
      </c>
      <c r="K13" t="s">
        <v>215</v>
      </c>
      <c r="L13">
        <v>1368</v>
      </c>
      <c r="N13">
        <v>1011</v>
      </c>
      <c r="O13" t="s">
        <v>199</v>
      </c>
      <c r="P13" t="s">
        <v>199</v>
      </c>
      <c r="Q13">
        <v>1</v>
      </c>
      <c r="W13">
        <v>0</v>
      </c>
      <c r="X13">
        <v>-1388279477</v>
      </c>
      <c r="Y13">
        <v>5.2</v>
      </c>
      <c r="AA13">
        <v>0</v>
      </c>
      <c r="AB13">
        <v>6.02</v>
      </c>
      <c r="AC13">
        <v>0.02</v>
      </c>
      <c r="AD13">
        <v>0</v>
      </c>
      <c r="AE13">
        <v>0</v>
      </c>
      <c r="AF13">
        <v>6.02</v>
      </c>
      <c r="AG13">
        <v>0.02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5.2</v>
      </c>
      <c r="AU13" t="s">
        <v>3</v>
      </c>
      <c r="AV13">
        <v>0</v>
      </c>
      <c r="AW13">
        <v>2</v>
      </c>
      <c r="AX13">
        <v>36602843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Y13*Source!I30</f>
        <v>14.559999999999999</v>
      </c>
      <c r="CY13">
        <f>AB13</f>
        <v>6.02</v>
      </c>
      <c r="CZ13">
        <f>AF13</f>
        <v>6.02</v>
      </c>
      <c r="DA13">
        <f>AJ13</f>
        <v>1</v>
      </c>
      <c r="DB13">
        <f t="shared" si="0"/>
        <v>31.3</v>
      </c>
      <c r="DC13">
        <f t="shared" si="1"/>
        <v>0.1</v>
      </c>
    </row>
    <row r="14" spans="1:107" x14ac:dyDescent="0.2">
      <c r="A14">
        <f>ROW(Source!A31)</f>
        <v>31</v>
      </c>
      <c r="B14">
        <v>36602762</v>
      </c>
      <c r="C14">
        <v>36602845</v>
      </c>
      <c r="D14">
        <v>36278558</v>
      </c>
      <c r="E14">
        <v>31</v>
      </c>
      <c r="F14">
        <v>1</v>
      </c>
      <c r="G14">
        <v>31</v>
      </c>
      <c r="H14">
        <v>1</v>
      </c>
      <c r="I14" t="s">
        <v>193</v>
      </c>
      <c r="J14" t="s">
        <v>3</v>
      </c>
      <c r="K14" t="s">
        <v>194</v>
      </c>
      <c r="L14">
        <v>1191</v>
      </c>
      <c r="N14">
        <v>1013</v>
      </c>
      <c r="O14" t="s">
        <v>195</v>
      </c>
      <c r="P14" t="s">
        <v>195</v>
      </c>
      <c r="Q14">
        <v>1</v>
      </c>
      <c r="W14">
        <v>0</v>
      </c>
      <c r="X14">
        <v>476480486</v>
      </c>
      <c r="Y14">
        <v>49.5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49.5</v>
      </c>
      <c r="AU14" t="s">
        <v>3</v>
      </c>
      <c r="AV14">
        <v>1</v>
      </c>
      <c r="AW14">
        <v>2</v>
      </c>
      <c r="AX14">
        <v>36602846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Y14*Source!I31</f>
        <v>48.064499999999995</v>
      </c>
      <c r="CY14">
        <f>AD14</f>
        <v>0</v>
      </c>
      <c r="CZ14">
        <f>AH14</f>
        <v>0</v>
      </c>
      <c r="DA14">
        <f>AL14</f>
        <v>1</v>
      </c>
      <c r="DB14">
        <f t="shared" si="0"/>
        <v>0</v>
      </c>
      <c r="DC14">
        <f t="shared" si="1"/>
        <v>0</v>
      </c>
    </row>
    <row r="15" spans="1:107" x14ac:dyDescent="0.2">
      <c r="A15">
        <f>ROW(Source!A31)</f>
        <v>31</v>
      </c>
      <c r="B15">
        <v>36602762</v>
      </c>
      <c r="C15">
        <v>36602845</v>
      </c>
      <c r="D15">
        <v>36291161</v>
      </c>
      <c r="E15">
        <v>1</v>
      </c>
      <c r="F15">
        <v>1</v>
      </c>
      <c r="G15">
        <v>31</v>
      </c>
      <c r="H15">
        <v>2</v>
      </c>
      <c r="I15" t="s">
        <v>225</v>
      </c>
      <c r="J15" t="s">
        <v>226</v>
      </c>
      <c r="K15" t="s">
        <v>227</v>
      </c>
      <c r="L15">
        <v>1368</v>
      </c>
      <c r="N15">
        <v>1011</v>
      </c>
      <c r="O15" t="s">
        <v>199</v>
      </c>
      <c r="P15" t="s">
        <v>199</v>
      </c>
      <c r="Q15">
        <v>1</v>
      </c>
      <c r="W15">
        <v>0</v>
      </c>
      <c r="X15">
        <v>-1489544745</v>
      </c>
      <c r="Y15">
        <v>2.87</v>
      </c>
      <c r="AA15">
        <v>0</v>
      </c>
      <c r="AB15">
        <v>1078.49</v>
      </c>
      <c r="AC15">
        <v>396.28</v>
      </c>
      <c r="AD15">
        <v>0</v>
      </c>
      <c r="AE15">
        <v>0</v>
      </c>
      <c r="AF15">
        <v>1078.49</v>
      </c>
      <c r="AG15">
        <v>396.28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2.87</v>
      </c>
      <c r="AU15" t="s">
        <v>3</v>
      </c>
      <c r="AV15">
        <v>0</v>
      </c>
      <c r="AW15">
        <v>2</v>
      </c>
      <c r="AX15">
        <v>36602847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Y15*Source!I31</f>
        <v>2.7867700000000002</v>
      </c>
      <c r="CY15">
        <f>AB15</f>
        <v>1078.49</v>
      </c>
      <c r="CZ15">
        <f>AF15</f>
        <v>1078.49</v>
      </c>
      <c r="DA15">
        <f>AJ15</f>
        <v>1</v>
      </c>
      <c r="DB15">
        <f t="shared" si="0"/>
        <v>3095.27</v>
      </c>
      <c r="DC15">
        <f t="shared" si="1"/>
        <v>1137.32</v>
      </c>
    </row>
    <row r="16" spans="1:107" x14ac:dyDescent="0.2">
      <c r="A16">
        <f>ROW(Source!A31)</f>
        <v>31</v>
      </c>
      <c r="B16">
        <v>36602762</v>
      </c>
      <c r="C16">
        <v>36602845</v>
      </c>
      <c r="D16">
        <v>36291140</v>
      </c>
      <c r="E16">
        <v>1</v>
      </c>
      <c r="F16">
        <v>1</v>
      </c>
      <c r="G16">
        <v>31</v>
      </c>
      <c r="H16">
        <v>2</v>
      </c>
      <c r="I16" t="s">
        <v>228</v>
      </c>
      <c r="J16" t="s">
        <v>229</v>
      </c>
      <c r="K16" t="s">
        <v>230</v>
      </c>
      <c r="L16">
        <v>1368</v>
      </c>
      <c r="N16">
        <v>1011</v>
      </c>
      <c r="O16" t="s">
        <v>199</v>
      </c>
      <c r="P16" t="s">
        <v>199</v>
      </c>
      <c r="Q16">
        <v>1</v>
      </c>
      <c r="W16">
        <v>0</v>
      </c>
      <c r="X16">
        <v>-1582515510</v>
      </c>
      <c r="Y16">
        <v>7.86</v>
      </c>
      <c r="AA16">
        <v>0</v>
      </c>
      <c r="AB16">
        <v>1653.15</v>
      </c>
      <c r="AC16">
        <v>530.53</v>
      </c>
      <c r="AD16">
        <v>0</v>
      </c>
      <c r="AE16">
        <v>0</v>
      </c>
      <c r="AF16">
        <v>1653.15</v>
      </c>
      <c r="AG16">
        <v>530.53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7.86</v>
      </c>
      <c r="AU16" t="s">
        <v>3</v>
      </c>
      <c r="AV16">
        <v>0</v>
      </c>
      <c r="AW16">
        <v>2</v>
      </c>
      <c r="AX16">
        <v>36602848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Y16*Source!I31</f>
        <v>7.6320600000000001</v>
      </c>
      <c r="CY16">
        <f>AB16</f>
        <v>1653.15</v>
      </c>
      <c r="CZ16">
        <f>AF16</f>
        <v>1653.15</v>
      </c>
      <c r="DA16">
        <f>AJ16</f>
        <v>1</v>
      </c>
      <c r="DB16">
        <f t="shared" si="0"/>
        <v>12993.76</v>
      </c>
      <c r="DC16">
        <f t="shared" si="1"/>
        <v>4169.97</v>
      </c>
    </row>
    <row r="17" spans="1:107" x14ac:dyDescent="0.2">
      <c r="A17">
        <f>ROW(Source!A32)</f>
        <v>32</v>
      </c>
      <c r="B17">
        <v>36602762</v>
      </c>
      <c r="C17">
        <v>36602850</v>
      </c>
      <c r="D17">
        <v>36278558</v>
      </c>
      <c r="E17">
        <v>31</v>
      </c>
      <c r="F17">
        <v>1</v>
      </c>
      <c r="G17">
        <v>31</v>
      </c>
      <c r="H17">
        <v>1</v>
      </c>
      <c r="I17" t="s">
        <v>193</v>
      </c>
      <c r="J17" t="s">
        <v>3</v>
      </c>
      <c r="K17" t="s">
        <v>194</v>
      </c>
      <c r="L17">
        <v>1191</v>
      </c>
      <c r="N17">
        <v>1013</v>
      </c>
      <c r="O17" t="s">
        <v>195</v>
      </c>
      <c r="P17" t="s">
        <v>195</v>
      </c>
      <c r="Q17">
        <v>1</v>
      </c>
      <c r="W17">
        <v>0</v>
      </c>
      <c r="X17">
        <v>476480486</v>
      </c>
      <c r="Y17">
        <v>0.66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0.66</v>
      </c>
      <c r="AU17" t="s">
        <v>3</v>
      </c>
      <c r="AV17">
        <v>1</v>
      </c>
      <c r="AW17">
        <v>2</v>
      </c>
      <c r="AX17">
        <v>36602851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Y17*Source!I32</f>
        <v>184.8</v>
      </c>
      <c r="CY17">
        <f>AD17</f>
        <v>0</v>
      </c>
      <c r="CZ17">
        <f>AH17</f>
        <v>0</v>
      </c>
      <c r="DA17">
        <f>AL17</f>
        <v>1</v>
      </c>
      <c r="DB17">
        <f t="shared" si="0"/>
        <v>0</v>
      </c>
      <c r="DC17">
        <f t="shared" si="1"/>
        <v>0</v>
      </c>
    </row>
    <row r="18" spans="1:107" x14ac:dyDescent="0.2">
      <c r="A18">
        <f>ROW(Source!A32)</f>
        <v>32</v>
      </c>
      <c r="B18">
        <v>36602762</v>
      </c>
      <c r="C18">
        <v>36602850</v>
      </c>
      <c r="D18">
        <v>36291497</v>
      </c>
      <c r="E18">
        <v>1</v>
      </c>
      <c r="F18">
        <v>1</v>
      </c>
      <c r="G18">
        <v>31</v>
      </c>
      <c r="H18">
        <v>2</v>
      </c>
      <c r="I18" t="s">
        <v>231</v>
      </c>
      <c r="J18" t="s">
        <v>232</v>
      </c>
      <c r="K18" t="s">
        <v>233</v>
      </c>
      <c r="L18">
        <v>1368</v>
      </c>
      <c r="N18">
        <v>1011</v>
      </c>
      <c r="O18" t="s">
        <v>199</v>
      </c>
      <c r="P18" t="s">
        <v>199</v>
      </c>
      <c r="Q18">
        <v>1</v>
      </c>
      <c r="W18">
        <v>0</v>
      </c>
      <c r="X18">
        <v>1886814766</v>
      </c>
      <c r="Y18">
        <v>0.13200000000000001</v>
      </c>
      <c r="AA18">
        <v>0</v>
      </c>
      <c r="AB18">
        <v>524.04999999999995</v>
      </c>
      <c r="AC18">
        <v>396.68</v>
      </c>
      <c r="AD18">
        <v>0</v>
      </c>
      <c r="AE18">
        <v>0</v>
      </c>
      <c r="AF18">
        <v>524.04999999999995</v>
      </c>
      <c r="AG18">
        <v>396.68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0.13200000000000001</v>
      </c>
      <c r="AU18" t="s">
        <v>3</v>
      </c>
      <c r="AV18">
        <v>0</v>
      </c>
      <c r="AW18">
        <v>2</v>
      </c>
      <c r="AX18">
        <v>36602852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Y18*Source!I32</f>
        <v>36.96</v>
      </c>
      <c r="CY18">
        <f>AB18</f>
        <v>524.04999999999995</v>
      </c>
      <c r="CZ18">
        <f>AF18</f>
        <v>524.04999999999995</v>
      </c>
      <c r="DA18">
        <f>AJ18</f>
        <v>1</v>
      </c>
      <c r="DB18">
        <f t="shared" si="0"/>
        <v>69.17</v>
      </c>
      <c r="DC18">
        <f t="shared" si="1"/>
        <v>52.36</v>
      </c>
    </row>
    <row r="19" spans="1:107" x14ac:dyDescent="0.2">
      <c r="A19">
        <f>ROW(Source!A32)</f>
        <v>32</v>
      </c>
      <c r="B19">
        <v>36602762</v>
      </c>
      <c r="C19">
        <v>36602850</v>
      </c>
      <c r="D19">
        <v>36291979</v>
      </c>
      <c r="E19">
        <v>1</v>
      </c>
      <c r="F19">
        <v>1</v>
      </c>
      <c r="G19">
        <v>31</v>
      </c>
      <c r="H19">
        <v>2</v>
      </c>
      <c r="I19" t="s">
        <v>234</v>
      </c>
      <c r="J19" t="s">
        <v>235</v>
      </c>
      <c r="K19" t="s">
        <v>236</v>
      </c>
      <c r="L19">
        <v>1368</v>
      </c>
      <c r="N19">
        <v>1011</v>
      </c>
      <c r="O19" t="s">
        <v>199</v>
      </c>
      <c r="P19" t="s">
        <v>199</v>
      </c>
      <c r="Q19">
        <v>1</v>
      </c>
      <c r="W19">
        <v>0</v>
      </c>
      <c r="X19">
        <v>91548601</v>
      </c>
      <c r="Y19">
        <v>0.05</v>
      </c>
      <c r="AA19">
        <v>0</v>
      </c>
      <c r="AB19">
        <v>1214.8800000000001</v>
      </c>
      <c r="AC19">
        <v>429.18</v>
      </c>
      <c r="AD19">
        <v>0</v>
      </c>
      <c r="AE19">
        <v>0</v>
      </c>
      <c r="AF19">
        <v>1214.8800000000001</v>
      </c>
      <c r="AG19">
        <v>429.18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0.05</v>
      </c>
      <c r="AU19" t="s">
        <v>3</v>
      </c>
      <c r="AV19">
        <v>0</v>
      </c>
      <c r="AW19">
        <v>2</v>
      </c>
      <c r="AX19">
        <v>36602853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Y19*Source!I32</f>
        <v>14</v>
      </c>
      <c r="CY19">
        <f>AB19</f>
        <v>1214.8800000000001</v>
      </c>
      <c r="CZ19">
        <f>AF19</f>
        <v>1214.8800000000001</v>
      </c>
      <c r="DA19">
        <f>AJ19</f>
        <v>1</v>
      </c>
      <c r="DB19">
        <f t="shared" si="0"/>
        <v>60.74</v>
      </c>
      <c r="DC19">
        <f t="shared" si="1"/>
        <v>21.46</v>
      </c>
    </row>
    <row r="20" spans="1:107" x14ac:dyDescent="0.2">
      <c r="A20">
        <f>ROW(Source!A32)</f>
        <v>32</v>
      </c>
      <c r="B20">
        <v>36602762</v>
      </c>
      <c r="C20">
        <v>36602850</v>
      </c>
      <c r="D20">
        <v>36292042</v>
      </c>
      <c r="E20">
        <v>1</v>
      </c>
      <c r="F20">
        <v>1</v>
      </c>
      <c r="G20">
        <v>31</v>
      </c>
      <c r="H20">
        <v>2</v>
      </c>
      <c r="I20" t="s">
        <v>213</v>
      </c>
      <c r="J20" t="s">
        <v>214</v>
      </c>
      <c r="K20" t="s">
        <v>215</v>
      </c>
      <c r="L20">
        <v>1368</v>
      </c>
      <c r="N20">
        <v>1011</v>
      </c>
      <c r="O20" t="s">
        <v>199</v>
      </c>
      <c r="P20" t="s">
        <v>199</v>
      </c>
      <c r="Q20">
        <v>1</v>
      </c>
      <c r="W20">
        <v>0</v>
      </c>
      <c r="X20">
        <v>-1388279477</v>
      </c>
      <c r="Y20">
        <v>0.13200000000000001</v>
      </c>
      <c r="AA20">
        <v>0</v>
      </c>
      <c r="AB20">
        <v>6.02</v>
      </c>
      <c r="AC20">
        <v>0.02</v>
      </c>
      <c r="AD20">
        <v>0</v>
      </c>
      <c r="AE20">
        <v>0</v>
      </c>
      <c r="AF20">
        <v>6.02</v>
      </c>
      <c r="AG20">
        <v>0.02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0.13200000000000001</v>
      </c>
      <c r="AU20" t="s">
        <v>3</v>
      </c>
      <c r="AV20">
        <v>0</v>
      </c>
      <c r="AW20">
        <v>2</v>
      </c>
      <c r="AX20">
        <v>36602854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Y20*Source!I32</f>
        <v>36.96</v>
      </c>
      <c r="CY20">
        <f>AB20</f>
        <v>6.02</v>
      </c>
      <c r="CZ20">
        <f>AF20</f>
        <v>6.02</v>
      </c>
      <c r="DA20">
        <f>AJ20</f>
        <v>1</v>
      </c>
      <c r="DB20">
        <f t="shared" si="0"/>
        <v>0.79</v>
      </c>
      <c r="DC20">
        <f t="shared" si="1"/>
        <v>0</v>
      </c>
    </row>
    <row r="21" spans="1:107" x14ac:dyDescent="0.2">
      <c r="A21">
        <f>ROW(Source!A32)</f>
        <v>32</v>
      </c>
      <c r="B21">
        <v>36602762</v>
      </c>
      <c r="C21">
        <v>36602850</v>
      </c>
      <c r="D21">
        <v>36291251</v>
      </c>
      <c r="E21">
        <v>1</v>
      </c>
      <c r="F21">
        <v>1</v>
      </c>
      <c r="G21">
        <v>31</v>
      </c>
      <c r="H21">
        <v>2</v>
      </c>
      <c r="I21" t="s">
        <v>237</v>
      </c>
      <c r="J21" t="s">
        <v>238</v>
      </c>
      <c r="K21" t="s">
        <v>239</v>
      </c>
      <c r="L21">
        <v>1368</v>
      </c>
      <c r="N21">
        <v>1011</v>
      </c>
      <c r="O21" t="s">
        <v>199</v>
      </c>
      <c r="P21" t="s">
        <v>199</v>
      </c>
      <c r="Q21">
        <v>1</v>
      </c>
      <c r="W21">
        <v>0</v>
      </c>
      <c r="X21">
        <v>932658019</v>
      </c>
      <c r="Y21">
        <v>8.8999999999999996E-2</v>
      </c>
      <c r="AA21">
        <v>0</v>
      </c>
      <c r="AB21">
        <v>935.9</v>
      </c>
      <c r="AC21">
        <v>503.86</v>
      </c>
      <c r="AD21">
        <v>0</v>
      </c>
      <c r="AE21">
        <v>0</v>
      </c>
      <c r="AF21">
        <v>935.9</v>
      </c>
      <c r="AG21">
        <v>503.86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8.8999999999999996E-2</v>
      </c>
      <c r="AU21" t="s">
        <v>3</v>
      </c>
      <c r="AV21">
        <v>0</v>
      </c>
      <c r="AW21">
        <v>2</v>
      </c>
      <c r="AX21">
        <v>36602855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Y21*Source!I32</f>
        <v>24.919999999999998</v>
      </c>
      <c r="CY21">
        <f>AB21</f>
        <v>935.9</v>
      </c>
      <c r="CZ21">
        <f>AF21</f>
        <v>935.9</v>
      </c>
      <c r="DA21">
        <f>AJ21</f>
        <v>1</v>
      </c>
      <c r="DB21">
        <f t="shared" si="0"/>
        <v>83.3</v>
      </c>
      <c r="DC21">
        <f t="shared" si="1"/>
        <v>44.84</v>
      </c>
    </row>
    <row r="22" spans="1:107" x14ac:dyDescent="0.2">
      <c r="A22">
        <f>ROW(Source!A32)</f>
        <v>32</v>
      </c>
      <c r="B22">
        <v>36602762</v>
      </c>
      <c r="C22">
        <v>36602850</v>
      </c>
      <c r="D22">
        <v>36295079</v>
      </c>
      <c r="E22">
        <v>1</v>
      </c>
      <c r="F22">
        <v>1</v>
      </c>
      <c r="G22">
        <v>31</v>
      </c>
      <c r="H22">
        <v>3</v>
      </c>
      <c r="I22" t="s">
        <v>240</v>
      </c>
      <c r="J22" t="s">
        <v>241</v>
      </c>
      <c r="K22" t="s">
        <v>242</v>
      </c>
      <c r="L22">
        <v>1339</v>
      </c>
      <c r="N22">
        <v>1007</v>
      </c>
      <c r="O22" t="s">
        <v>179</v>
      </c>
      <c r="P22" t="s">
        <v>179</v>
      </c>
      <c r="Q22">
        <v>1</v>
      </c>
      <c r="W22">
        <v>0</v>
      </c>
      <c r="X22">
        <v>-1883732354</v>
      </c>
      <c r="Y22">
        <v>5.8999999999999997E-2</v>
      </c>
      <c r="AA22">
        <v>5395.46</v>
      </c>
      <c r="AB22">
        <v>0</v>
      </c>
      <c r="AC22">
        <v>0</v>
      </c>
      <c r="AD22">
        <v>0</v>
      </c>
      <c r="AE22">
        <v>5395.46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5.8999999999999997E-2</v>
      </c>
      <c r="AU22" t="s">
        <v>3</v>
      </c>
      <c r="AV22">
        <v>0</v>
      </c>
      <c r="AW22">
        <v>2</v>
      </c>
      <c r="AX22">
        <v>36602856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Y22*Source!I32</f>
        <v>16.52</v>
      </c>
      <c r="CY22">
        <f>AA22</f>
        <v>5395.46</v>
      </c>
      <c r="CZ22">
        <f>AE22</f>
        <v>5395.46</v>
      </c>
      <c r="DA22">
        <f>AI22</f>
        <v>1</v>
      </c>
      <c r="DB22">
        <f t="shared" si="0"/>
        <v>318.33</v>
      </c>
      <c r="DC22">
        <f t="shared" si="1"/>
        <v>0</v>
      </c>
    </row>
    <row r="23" spans="1:107" x14ac:dyDescent="0.2">
      <c r="A23">
        <f>ROW(Source!A32)</f>
        <v>32</v>
      </c>
      <c r="B23">
        <v>36602762</v>
      </c>
      <c r="C23">
        <v>36602850</v>
      </c>
      <c r="D23">
        <v>36295188</v>
      </c>
      <c r="E23">
        <v>1</v>
      </c>
      <c r="F23">
        <v>1</v>
      </c>
      <c r="G23">
        <v>31</v>
      </c>
      <c r="H23">
        <v>3</v>
      </c>
      <c r="I23" t="s">
        <v>243</v>
      </c>
      <c r="J23" t="s">
        <v>244</v>
      </c>
      <c r="K23" t="s">
        <v>245</v>
      </c>
      <c r="L23">
        <v>1339</v>
      </c>
      <c r="N23">
        <v>1007</v>
      </c>
      <c r="O23" t="s">
        <v>179</v>
      </c>
      <c r="P23" t="s">
        <v>179</v>
      </c>
      <c r="Q23">
        <v>1</v>
      </c>
      <c r="W23">
        <v>0</v>
      </c>
      <c r="X23">
        <v>-656046760</v>
      </c>
      <c r="Y23">
        <v>5.9999999999999995E-4</v>
      </c>
      <c r="AA23">
        <v>3977.01</v>
      </c>
      <c r="AB23">
        <v>0</v>
      </c>
      <c r="AC23">
        <v>0</v>
      </c>
      <c r="AD23">
        <v>0</v>
      </c>
      <c r="AE23">
        <v>3977.01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5.9999999999999995E-4</v>
      </c>
      <c r="AU23" t="s">
        <v>3</v>
      </c>
      <c r="AV23">
        <v>0</v>
      </c>
      <c r="AW23">
        <v>2</v>
      </c>
      <c r="AX23">
        <v>36602857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Y23*Source!I32</f>
        <v>0.16799999999999998</v>
      </c>
      <c r="CY23">
        <f>AA23</f>
        <v>3977.01</v>
      </c>
      <c r="CZ23">
        <f>AE23</f>
        <v>3977.01</v>
      </c>
      <c r="DA23">
        <f>AI23</f>
        <v>1</v>
      </c>
      <c r="DB23">
        <f t="shared" si="0"/>
        <v>2.39</v>
      </c>
      <c r="DC23">
        <f t="shared" si="1"/>
        <v>0</v>
      </c>
    </row>
    <row r="24" spans="1:107" x14ac:dyDescent="0.2">
      <c r="A24">
        <f>ROW(Source!A32)</f>
        <v>32</v>
      </c>
      <c r="B24">
        <v>36602762</v>
      </c>
      <c r="C24">
        <v>36602850</v>
      </c>
      <c r="D24">
        <v>36295969</v>
      </c>
      <c r="E24">
        <v>1</v>
      </c>
      <c r="F24">
        <v>1</v>
      </c>
      <c r="G24">
        <v>31</v>
      </c>
      <c r="H24">
        <v>3</v>
      </c>
      <c r="I24" t="s">
        <v>246</v>
      </c>
      <c r="J24" t="s">
        <v>247</v>
      </c>
      <c r="K24" t="s">
        <v>248</v>
      </c>
      <c r="L24">
        <v>1339</v>
      </c>
      <c r="N24">
        <v>1007</v>
      </c>
      <c r="O24" t="s">
        <v>179</v>
      </c>
      <c r="P24" t="s">
        <v>179</v>
      </c>
      <c r="Q24">
        <v>1</v>
      </c>
      <c r="W24">
        <v>0</v>
      </c>
      <c r="X24">
        <v>1584935712</v>
      </c>
      <c r="Y24">
        <v>4.36E-2</v>
      </c>
      <c r="AA24">
        <v>10729.4</v>
      </c>
      <c r="AB24">
        <v>0</v>
      </c>
      <c r="AC24">
        <v>0</v>
      </c>
      <c r="AD24">
        <v>0</v>
      </c>
      <c r="AE24">
        <v>10729.4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4.36E-2</v>
      </c>
      <c r="AU24" t="s">
        <v>3</v>
      </c>
      <c r="AV24">
        <v>0</v>
      </c>
      <c r="AW24">
        <v>2</v>
      </c>
      <c r="AX24">
        <v>36602858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Y24*Source!I32</f>
        <v>12.208</v>
      </c>
      <c r="CY24">
        <f>AA24</f>
        <v>10729.4</v>
      </c>
      <c r="CZ24">
        <f>AE24</f>
        <v>10729.4</v>
      </c>
      <c r="DA24">
        <f>AI24</f>
        <v>1</v>
      </c>
      <c r="DB24">
        <f t="shared" si="0"/>
        <v>467.8</v>
      </c>
      <c r="DC24">
        <f t="shared" si="1"/>
        <v>0</v>
      </c>
    </row>
    <row r="25" spans="1:107" x14ac:dyDescent="0.2">
      <c r="A25">
        <f>ROW(Source!A32)</f>
        <v>32</v>
      </c>
      <c r="B25">
        <v>36602762</v>
      </c>
      <c r="C25">
        <v>36602850</v>
      </c>
      <c r="D25">
        <v>36280380</v>
      </c>
      <c r="E25">
        <v>31</v>
      </c>
      <c r="F25">
        <v>1</v>
      </c>
      <c r="G25">
        <v>31</v>
      </c>
      <c r="H25">
        <v>3</v>
      </c>
      <c r="I25" t="s">
        <v>249</v>
      </c>
      <c r="J25" t="s">
        <v>3</v>
      </c>
      <c r="K25" t="s">
        <v>250</v>
      </c>
      <c r="L25">
        <v>1348</v>
      </c>
      <c r="N25">
        <v>1009</v>
      </c>
      <c r="O25" t="s">
        <v>63</v>
      </c>
      <c r="P25" t="s">
        <v>63</v>
      </c>
      <c r="Q25">
        <v>1000</v>
      </c>
      <c r="W25">
        <v>0</v>
      </c>
      <c r="X25">
        <v>1489638031</v>
      </c>
      <c r="Y25">
        <v>0.246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0.246</v>
      </c>
      <c r="AU25" t="s">
        <v>3</v>
      </c>
      <c r="AV25">
        <v>0</v>
      </c>
      <c r="AW25">
        <v>2</v>
      </c>
      <c r="AX25">
        <v>36602859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Y25*Source!I32</f>
        <v>68.88</v>
      </c>
      <c r="CY25">
        <f>AA25</f>
        <v>0</v>
      </c>
      <c r="CZ25">
        <f>AE25</f>
        <v>0</v>
      </c>
      <c r="DA25">
        <f>AI25</f>
        <v>1</v>
      </c>
      <c r="DB25">
        <f t="shared" si="0"/>
        <v>0</v>
      </c>
      <c r="DC25">
        <f t="shared" si="1"/>
        <v>0</v>
      </c>
    </row>
    <row r="26" spans="1:107" x14ac:dyDescent="0.2">
      <c r="A26">
        <f>ROW(Source!A33)</f>
        <v>33</v>
      </c>
      <c r="B26">
        <v>36602762</v>
      </c>
      <c r="C26">
        <v>36602861</v>
      </c>
      <c r="D26">
        <v>36278558</v>
      </c>
      <c r="E26">
        <v>31</v>
      </c>
      <c r="F26">
        <v>1</v>
      </c>
      <c r="G26">
        <v>31</v>
      </c>
      <c r="H26">
        <v>1</v>
      </c>
      <c r="I26" t="s">
        <v>193</v>
      </c>
      <c r="J26" t="s">
        <v>3</v>
      </c>
      <c r="K26" t="s">
        <v>194</v>
      </c>
      <c r="L26">
        <v>1191</v>
      </c>
      <c r="N26">
        <v>1013</v>
      </c>
      <c r="O26" t="s">
        <v>195</v>
      </c>
      <c r="P26" t="s">
        <v>195</v>
      </c>
      <c r="Q26">
        <v>1</v>
      </c>
      <c r="W26">
        <v>0</v>
      </c>
      <c r="X26">
        <v>476480486</v>
      </c>
      <c r="Y26">
        <v>1.81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1.81</v>
      </c>
      <c r="AU26" t="s">
        <v>3</v>
      </c>
      <c r="AV26">
        <v>1</v>
      </c>
      <c r="AW26">
        <v>2</v>
      </c>
      <c r="AX26">
        <v>36602862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Y26*Source!I33</f>
        <v>336.66</v>
      </c>
      <c r="CY26">
        <f>AD26</f>
        <v>0</v>
      </c>
      <c r="CZ26">
        <f>AH26</f>
        <v>0</v>
      </c>
      <c r="DA26">
        <f>AL26</f>
        <v>1</v>
      </c>
      <c r="DB26">
        <f t="shared" si="0"/>
        <v>0</v>
      </c>
      <c r="DC26">
        <f t="shared" si="1"/>
        <v>0</v>
      </c>
    </row>
    <row r="27" spans="1:107" x14ac:dyDescent="0.2">
      <c r="A27">
        <f>ROW(Source!A33)</f>
        <v>33</v>
      </c>
      <c r="B27">
        <v>36602762</v>
      </c>
      <c r="C27">
        <v>36602861</v>
      </c>
      <c r="D27">
        <v>36291499</v>
      </c>
      <c r="E27">
        <v>1</v>
      </c>
      <c r="F27">
        <v>1</v>
      </c>
      <c r="G27">
        <v>31</v>
      </c>
      <c r="H27">
        <v>2</v>
      </c>
      <c r="I27" t="s">
        <v>251</v>
      </c>
      <c r="J27" t="s">
        <v>252</v>
      </c>
      <c r="K27" t="s">
        <v>253</v>
      </c>
      <c r="L27">
        <v>1368</v>
      </c>
      <c r="N27">
        <v>1011</v>
      </c>
      <c r="O27" t="s">
        <v>199</v>
      </c>
      <c r="P27" t="s">
        <v>199</v>
      </c>
      <c r="Q27">
        <v>1</v>
      </c>
      <c r="W27">
        <v>0</v>
      </c>
      <c r="X27">
        <v>1448845583</v>
      </c>
      <c r="Y27">
        <v>0.09</v>
      </c>
      <c r="AA27">
        <v>0</v>
      </c>
      <c r="AB27">
        <v>1001.1</v>
      </c>
      <c r="AC27">
        <v>483.61</v>
      </c>
      <c r="AD27">
        <v>0</v>
      </c>
      <c r="AE27">
        <v>0</v>
      </c>
      <c r="AF27">
        <v>1001.1</v>
      </c>
      <c r="AG27">
        <v>483.61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0.09</v>
      </c>
      <c r="AU27" t="s">
        <v>3</v>
      </c>
      <c r="AV27">
        <v>0</v>
      </c>
      <c r="AW27">
        <v>2</v>
      </c>
      <c r="AX27">
        <v>36602864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Y27*Source!I33</f>
        <v>16.739999999999998</v>
      </c>
      <c r="CY27">
        <f>AB27</f>
        <v>1001.1</v>
      </c>
      <c r="CZ27">
        <f>AF27</f>
        <v>1001.1</v>
      </c>
      <c r="DA27">
        <f>AJ27</f>
        <v>1</v>
      </c>
      <c r="DB27">
        <f t="shared" si="0"/>
        <v>90.1</v>
      </c>
      <c r="DC27">
        <f t="shared" si="1"/>
        <v>43.52</v>
      </c>
    </row>
    <row r="28" spans="1:107" x14ac:dyDescent="0.2">
      <c r="A28">
        <f>ROW(Source!A33)</f>
        <v>33</v>
      </c>
      <c r="B28">
        <v>36602762</v>
      </c>
      <c r="C28">
        <v>36602861</v>
      </c>
      <c r="D28">
        <v>36291153</v>
      </c>
      <c r="E28">
        <v>1</v>
      </c>
      <c r="F28">
        <v>1</v>
      </c>
      <c r="G28">
        <v>31</v>
      </c>
      <c r="H28">
        <v>2</v>
      </c>
      <c r="I28" t="s">
        <v>254</v>
      </c>
      <c r="J28" t="s">
        <v>255</v>
      </c>
      <c r="K28" t="s">
        <v>256</v>
      </c>
      <c r="L28">
        <v>1368</v>
      </c>
      <c r="N28">
        <v>1011</v>
      </c>
      <c r="O28" t="s">
        <v>199</v>
      </c>
      <c r="P28" t="s">
        <v>199</v>
      </c>
      <c r="Q28">
        <v>1</v>
      </c>
      <c r="W28">
        <v>0</v>
      </c>
      <c r="X28">
        <v>1797248489</v>
      </c>
      <c r="Y28">
        <v>0.25</v>
      </c>
      <c r="AA28">
        <v>0</v>
      </c>
      <c r="AB28">
        <v>1372.7</v>
      </c>
      <c r="AC28">
        <v>597.49</v>
      </c>
      <c r="AD28">
        <v>0</v>
      </c>
      <c r="AE28">
        <v>0</v>
      </c>
      <c r="AF28">
        <v>1372.7</v>
      </c>
      <c r="AG28">
        <v>597.49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0.25</v>
      </c>
      <c r="AU28" t="s">
        <v>3</v>
      </c>
      <c r="AV28">
        <v>0</v>
      </c>
      <c r="AW28">
        <v>2</v>
      </c>
      <c r="AX28">
        <v>36602863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Y28*Source!I33</f>
        <v>46.5</v>
      </c>
      <c r="CY28">
        <f>AB28</f>
        <v>1372.7</v>
      </c>
      <c r="CZ28">
        <f>AF28</f>
        <v>1372.7</v>
      </c>
      <c r="DA28">
        <f>AJ28</f>
        <v>1</v>
      </c>
      <c r="DB28">
        <f t="shared" si="0"/>
        <v>343.18</v>
      </c>
      <c r="DC28">
        <f t="shared" si="1"/>
        <v>149.37</v>
      </c>
    </row>
    <row r="29" spans="1:107" x14ac:dyDescent="0.2">
      <c r="A29">
        <f>ROW(Source!A33)</f>
        <v>33</v>
      </c>
      <c r="B29">
        <v>36602762</v>
      </c>
      <c r="C29">
        <v>36602861</v>
      </c>
      <c r="D29">
        <v>36291776</v>
      </c>
      <c r="E29">
        <v>1</v>
      </c>
      <c r="F29">
        <v>1</v>
      </c>
      <c r="G29">
        <v>31</v>
      </c>
      <c r="H29">
        <v>2</v>
      </c>
      <c r="I29" t="s">
        <v>257</v>
      </c>
      <c r="J29" t="s">
        <v>258</v>
      </c>
      <c r="K29" t="s">
        <v>259</v>
      </c>
      <c r="L29">
        <v>1368</v>
      </c>
      <c r="N29">
        <v>1011</v>
      </c>
      <c r="O29" t="s">
        <v>199</v>
      </c>
      <c r="P29" t="s">
        <v>199</v>
      </c>
      <c r="Q29">
        <v>1</v>
      </c>
      <c r="W29">
        <v>0</v>
      </c>
      <c r="X29">
        <v>-1301398400</v>
      </c>
      <c r="Y29">
        <v>0.04</v>
      </c>
      <c r="AA29">
        <v>0</v>
      </c>
      <c r="AB29">
        <v>121.72</v>
      </c>
      <c r="AC29">
        <v>4.8</v>
      </c>
      <c r="AD29">
        <v>0</v>
      </c>
      <c r="AE29">
        <v>0</v>
      </c>
      <c r="AF29">
        <v>121.72</v>
      </c>
      <c r="AG29">
        <v>4.8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0.04</v>
      </c>
      <c r="AU29" t="s">
        <v>3</v>
      </c>
      <c r="AV29">
        <v>0</v>
      </c>
      <c r="AW29">
        <v>2</v>
      </c>
      <c r="AX29">
        <v>36602865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Y29*Source!I33</f>
        <v>7.44</v>
      </c>
      <c r="CY29">
        <f>AB29</f>
        <v>121.72</v>
      </c>
      <c r="CZ29">
        <f>AF29</f>
        <v>121.72</v>
      </c>
      <c r="DA29">
        <f>AJ29</f>
        <v>1</v>
      </c>
      <c r="DB29">
        <f t="shared" si="0"/>
        <v>4.87</v>
      </c>
      <c r="DC29">
        <f t="shared" si="1"/>
        <v>0.19</v>
      </c>
    </row>
    <row r="30" spans="1:107" x14ac:dyDescent="0.2">
      <c r="A30">
        <f>ROW(Source!A33)</f>
        <v>33</v>
      </c>
      <c r="B30">
        <v>36602762</v>
      </c>
      <c r="C30">
        <v>36602861</v>
      </c>
      <c r="D30">
        <v>36292042</v>
      </c>
      <c r="E30">
        <v>1</v>
      </c>
      <c r="F30">
        <v>1</v>
      </c>
      <c r="G30">
        <v>31</v>
      </c>
      <c r="H30">
        <v>2</v>
      </c>
      <c r="I30" t="s">
        <v>213</v>
      </c>
      <c r="J30" t="s">
        <v>214</v>
      </c>
      <c r="K30" t="s">
        <v>215</v>
      </c>
      <c r="L30">
        <v>1368</v>
      </c>
      <c r="N30">
        <v>1011</v>
      </c>
      <c r="O30" t="s">
        <v>199</v>
      </c>
      <c r="P30" t="s">
        <v>199</v>
      </c>
      <c r="Q30">
        <v>1</v>
      </c>
      <c r="W30">
        <v>0</v>
      </c>
      <c r="X30">
        <v>-1388279477</v>
      </c>
      <c r="Y30">
        <v>0.1</v>
      </c>
      <c r="AA30">
        <v>0</v>
      </c>
      <c r="AB30">
        <v>6.02</v>
      </c>
      <c r="AC30">
        <v>0.02</v>
      </c>
      <c r="AD30">
        <v>0</v>
      </c>
      <c r="AE30">
        <v>0</v>
      </c>
      <c r="AF30">
        <v>6.02</v>
      </c>
      <c r="AG30">
        <v>0.02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0.1</v>
      </c>
      <c r="AU30" t="s">
        <v>3</v>
      </c>
      <c r="AV30">
        <v>0</v>
      </c>
      <c r="AW30">
        <v>2</v>
      </c>
      <c r="AX30">
        <v>36602866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Y30*Source!I33</f>
        <v>18.600000000000001</v>
      </c>
      <c r="CY30">
        <f>AB30</f>
        <v>6.02</v>
      </c>
      <c r="CZ30">
        <f>AF30</f>
        <v>6.02</v>
      </c>
      <c r="DA30">
        <f>AJ30</f>
        <v>1</v>
      </c>
      <c r="DB30">
        <f t="shared" si="0"/>
        <v>0.6</v>
      </c>
      <c r="DC30">
        <f t="shared" si="1"/>
        <v>0</v>
      </c>
    </row>
    <row r="31" spans="1:107" x14ac:dyDescent="0.2">
      <c r="A31">
        <f>ROW(Source!A33)</f>
        <v>33</v>
      </c>
      <c r="B31">
        <v>36602762</v>
      </c>
      <c r="C31">
        <v>36602861</v>
      </c>
      <c r="D31">
        <v>36295108</v>
      </c>
      <c r="E31">
        <v>1</v>
      </c>
      <c r="F31">
        <v>1</v>
      </c>
      <c r="G31">
        <v>31</v>
      </c>
      <c r="H31">
        <v>3</v>
      </c>
      <c r="I31" t="s">
        <v>260</v>
      </c>
      <c r="J31" t="s">
        <v>261</v>
      </c>
      <c r="K31" t="s">
        <v>262</v>
      </c>
      <c r="L31">
        <v>1339</v>
      </c>
      <c r="N31">
        <v>1007</v>
      </c>
      <c r="O31" t="s">
        <v>179</v>
      </c>
      <c r="P31" t="s">
        <v>179</v>
      </c>
      <c r="Q31">
        <v>1</v>
      </c>
      <c r="W31">
        <v>0</v>
      </c>
      <c r="X31">
        <v>-1781925086</v>
      </c>
      <c r="Y31">
        <v>0.115</v>
      </c>
      <c r="AA31">
        <v>4979.1400000000003</v>
      </c>
      <c r="AB31">
        <v>0</v>
      </c>
      <c r="AC31">
        <v>0</v>
      </c>
      <c r="AD31">
        <v>0</v>
      </c>
      <c r="AE31">
        <v>4979.1400000000003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0.115</v>
      </c>
      <c r="AU31" t="s">
        <v>3</v>
      </c>
      <c r="AV31">
        <v>0</v>
      </c>
      <c r="AW31">
        <v>2</v>
      </c>
      <c r="AX31">
        <v>36602867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Y31*Source!I33</f>
        <v>21.39</v>
      </c>
      <c r="CY31">
        <f>AA31</f>
        <v>4979.1400000000003</v>
      </c>
      <c r="CZ31">
        <f>AE31</f>
        <v>4979.1400000000003</v>
      </c>
      <c r="DA31">
        <f>AI31</f>
        <v>1</v>
      </c>
      <c r="DB31">
        <f t="shared" si="0"/>
        <v>572.6</v>
      </c>
      <c r="DC31">
        <f t="shared" si="1"/>
        <v>0</v>
      </c>
    </row>
    <row r="32" spans="1:107" x14ac:dyDescent="0.2">
      <c r="A32">
        <f>ROW(Source!A33)</f>
        <v>33</v>
      </c>
      <c r="B32">
        <v>36602762</v>
      </c>
      <c r="C32">
        <v>36602861</v>
      </c>
      <c r="D32">
        <v>36295188</v>
      </c>
      <c r="E32">
        <v>1</v>
      </c>
      <c r="F32">
        <v>1</v>
      </c>
      <c r="G32">
        <v>31</v>
      </c>
      <c r="H32">
        <v>3</v>
      </c>
      <c r="I32" t="s">
        <v>243</v>
      </c>
      <c r="J32" t="s">
        <v>244</v>
      </c>
      <c r="K32" t="s">
        <v>245</v>
      </c>
      <c r="L32">
        <v>1339</v>
      </c>
      <c r="N32">
        <v>1007</v>
      </c>
      <c r="O32" t="s">
        <v>179</v>
      </c>
      <c r="P32" t="s">
        <v>179</v>
      </c>
      <c r="Q32">
        <v>1</v>
      </c>
      <c r="W32">
        <v>0</v>
      </c>
      <c r="X32">
        <v>-656046760</v>
      </c>
      <c r="Y32">
        <v>5.9999999999999995E-4</v>
      </c>
      <c r="AA32">
        <v>3977.01</v>
      </c>
      <c r="AB32">
        <v>0</v>
      </c>
      <c r="AC32">
        <v>0</v>
      </c>
      <c r="AD32">
        <v>0</v>
      </c>
      <c r="AE32">
        <v>3977.01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5.9999999999999995E-4</v>
      </c>
      <c r="AU32" t="s">
        <v>3</v>
      </c>
      <c r="AV32">
        <v>0</v>
      </c>
      <c r="AW32">
        <v>2</v>
      </c>
      <c r="AX32">
        <v>36602868</v>
      </c>
      <c r="AY32">
        <v>1</v>
      </c>
      <c r="AZ32">
        <v>0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Y32*Source!I33</f>
        <v>0.11159999999999999</v>
      </c>
      <c r="CY32">
        <f>AA32</f>
        <v>3977.01</v>
      </c>
      <c r="CZ32">
        <f>AE32</f>
        <v>3977.01</v>
      </c>
      <c r="DA32">
        <f>AI32</f>
        <v>1</v>
      </c>
      <c r="DB32">
        <f t="shared" si="0"/>
        <v>2.39</v>
      </c>
      <c r="DC32">
        <f t="shared" si="1"/>
        <v>0</v>
      </c>
    </row>
    <row r="33" spans="1:107" x14ac:dyDescent="0.2">
      <c r="A33">
        <f>ROW(Source!A34)</f>
        <v>34</v>
      </c>
      <c r="B33">
        <v>36602762</v>
      </c>
      <c r="C33">
        <v>36602870</v>
      </c>
      <c r="D33">
        <v>36278558</v>
      </c>
      <c r="E33">
        <v>31</v>
      </c>
      <c r="F33">
        <v>1</v>
      </c>
      <c r="G33">
        <v>31</v>
      </c>
      <c r="H33">
        <v>1</v>
      </c>
      <c r="I33" t="s">
        <v>193</v>
      </c>
      <c r="J33" t="s">
        <v>3</v>
      </c>
      <c r="K33" t="s">
        <v>194</v>
      </c>
      <c r="L33">
        <v>1191</v>
      </c>
      <c r="N33">
        <v>1013</v>
      </c>
      <c r="O33" t="s">
        <v>195</v>
      </c>
      <c r="P33" t="s">
        <v>195</v>
      </c>
      <c r="Q33">
        <v>1</v>
      </c>
      <c r="W33">
        <v>0</v>
      </c>
      <c r="X33">
        <v>476480486</v>
      </c>
      <c r="Y33">
        <v>16.559999999999999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16.559999999999999</v>
      </c>
      <c r="AU33" t="s">
        <v>3</v>
      </c>
      <c r="AV33">
        <v>1</v>
      </c>
      <c r="AW33">
        <v>2</v>
      </c>
      <c r="AX33">
        <v>36602871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Y33*Source!I34</f>
        <v>2.4839999999999995</v>
      </c>
      <c r="CY33">
        <f>AD33</f>
        <v>0</v>
      </c>
      <c r="CZ33">
        <f>AH33</f>
        <v>0</v>
      </c>
      <c r="DA33">
        <f>AL33</f>
        <v>1</v>
      </c>
      <c r="DB33">
        <f t="shared" ref="DB33:DB60" si="2">ROUND(ROUND(AT33*CZ33,2),6)</f>
        <v>0</v>
      </c>
      <c r="DC33">
        <f t="shared" ref="DC33:DC60" si="3">ROUND(ROUND(AT33*AG33,2),6)</f>
        <v>0</v>
      </c>
    </row>
    <row r="34" spans="1:107" x14ac:dyDescent="0.2">
      <c r="A34">
        <f>ROW(Source!A34)</f>
        <v>34</v>
      </c>
      <c r="B34">
        <v>36602762</v>
      </c>
      <c r="C34">
        <v>36602870</v>
      </c>
      <c r="D34">
        <v>36291184</v>
      </c>
      <c r="E34">
        <v>1</v>
      </c>
      <c r="F34">
        <v>1</v>
      </c>
      <c r="G34">
        <v>31</v>
      </c>
      <c r="H34">
        <v>2</v>
      </c>
      <c r="I34" t="s">
        <v>263</v>
      </c>
      <c r="J34" t="s">
        <v>264</v>
      </c>
      <c r="K34" t="s">
        <v>265</v>
      </c>
      <c r="L34">
        <v>1368</v>
      </c>
      <c r="N34">
        <v>1011</v>
      </c>
      <c r="O34" t="s">
        <v>199</v>
      </c>
      <c r="P34" t="s">
        <v>199</v>
      </c>
      <c r="Q34">
        <v>1</v>
      </c>
      <c r="W34">
        <v>0</v>
      </c>
      <c r="X34">
        <v>1495467491</v>
      </c>
      <c r="Y34">
        <v>2.08</v>
      </c>
      <c r="AA34">
        <v>0</v>
      </c>
      <c r="AB34">
        <v>827.88</v>
      </c>
      <c r="AC34">
        <v>455.57</v>
      </c>
      <c r="AD34">
        <v>0</v>
      </c>
      <c r="AE34">
        <v>0</v>
      </c>
      <c r="AF34">
        <v>827.88</v>
      </c>
      <c r="AG34">
        <v>455.57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2.08</v>
      </c>
      <c r="AU34" t="s">
        <v>3</v>
      </c>
      <c r="AV34">
        <v>0</v>
      </c>
      <c r="AW34">
        <v>2</v>
      </c>
      <c r="AX34">
        <v>36602872</v>
      </c>
      <c r="AY34">
        <v>1</v>
      </c>
      <c r="AZ34">
        <v>0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Y34*Source!I34</f>
        <v>0.312</v>
      </c>
      <c r="CY34">
        <f>AB34</f>
        <v>827.88</v>
      </c>
      <c r="CZ34">
        <f>AF34</f>
        <v>827.88</v>
      </c>
      <c r="DA34">
        <f>AJ34</f>
        <v>1</v>
      </c>
      <c r="DB34">
        <f t="shared" si="2"/>
        <v>1721.99</v>
      </c>
      <c r="DC34">
        <f t="shared" si="3"/>
        <v>947.59</v>
      </c>
    </row>
    <row r="35" spans="1:107" x14ac:dyDescent="0.2">
      <c r="A35">
        <f>ROW(Source!A34)</f>
        <v>34</v>
      </c>
      <c r="B35">
        <v>36602762</v>
      </c>
      <c r="C35">
        <v>36602870</v>
      </c>
      <c r="D35">
        <v>36291341</v>
      </c>
      <c r="E35">
        <v>1</v>
      </c>
      <c r="F35">
        <v>1</v>
      </c>
      <c r="G35">
        <v>31</v>
      </c>
      <c r="H35">
        <v>2</v>
      </c>
      <c r="I35" t="s">
        <v>266</v>
      </c>
      <c r="J35" t="s">
        <v>267</v>
      </c>
      <c r="K35" t="s">
        <v>268</v>
      </c>
      <c r="L35">
        <v>1368</v>
      </c>
      <c r="N35">
        <v>1011</v>
      </c>
      <c r="O35" t="s">
        <v>199</v>
      </c>
      <c r="P35" t="s">
        <v>199</v>
      </c>
      <c r="Q35">
        <v>1</v>
      </c>
      <c r="W35">
        <v>0</v>
      </c>
      <c r="X35">
        <v>-2001228777</v>
      </c>
      <c r="Y35">
        <v>2.08</v>
      </c>
      <c r="AA35">
        <v>0</v>
      </c>
      <c r="AB35">
        <v>458.14</v>
      </c>
      <c r="AC35">
        <v>237.38</v>
      </c>
      <c r="AD35">
        <v>0</v>
      </c>
      <c r="AE35">
        <v>0</v>
      </c>
      <c r="AF35">
        <v>458.14</v>
      </c>
      <c r="AG35">
        <v>237.38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2.08</v>
      </c>
      <c r="AU35" t="s">
        <v>3</v>
      </c>
      <c r="AV35">
        <v>0</v>
      </c>
      <c r="AW35">
        <v>2</v>
      </c>
      <c r="AX35">
        <v>36602873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Y35*Source!I34</f>
        <v>0.312</v>
      </c>
      <c r="CY35">
        <f>AB35</f>
        <v>458.14</v>
      </c>
      <c r="CZ35">
        <f>AF35</f>
        <v>458.14</v>
      </c>
      <c r="DA35">
        <f>AJ35</f>
        <v>1</v>
      </c>
      <c r="DB35">
        <f t="shared" si="2"/>
        <v>952.93</v>
      </c>
      <c r="DC35">
        <f t="shared" si="3"/>
        <v>493.75</v>
      </c>
    </row>
    <row r="36" spans="1:107" x14ac:dyDescent="0.2">
      <c r="A36">
        <f>ROW(Source!A34)</f>
        <v>34</v>
      </c>
      <c r="B36">
        <v>36602762</v>
      </c>
      <c r="C36">
        <v>36602870</v>
      </c>
      <c r="D36">
        <v>36291344</v>
      </c>
      <c r="E36">
        <v>1</v>
      </c>
      <c r="F36">
        <v>1</v>
      </c>
      <c r="G36">
        <v>31</v>
      </c>
      <c r="H36">
        <v>2</v>
      </c>
      <c r="I36" t="s">
        <v>269</v>
      </c>
      <c r="J36" t="s">
        <v>270</v>
      </c>
      <c r="K36" t="s">
        <v>271</v>
      </c>
      <c r="L36">
        <v>1368</v>
      </c>
      <c r="N36">
        <v>1011</v>
      </c>
      <c r="O36" t="s">
        <v>199</v>
      </c>
      <c r="P36" t="s">
        <v>199</v>
      </c>
      <c r="Q36">
        <v>1</v>
      </c>
      <c r="W36">
        <v>0</v>
      </c>
      <c r="X36">
        <v>-1981851192</v>
      </c>
      <c r="Y36">
        <v>0.81</v>
      </c>
      <c r="AA36">
        <v>0</v>
      </c>
      <c r="AB36">
        <v>2067.59</v>
      </c>
      <c r="AC36">
        <v>505.56</v>
      </c>
      <c r="AD36">
        <v>0</v>
      </c>
      <c r="AE36">
        <v>0</v>
      </c>
      <c r="AF36">
        <v>2067.59</v>
      </c>
      <c r="AG36">
        <v>505.56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0.81</v>
      </c>
      <c r="AU36" t="s">
        <v>3</v>
      </c>
      <c r="AV36">
        <v>0</v>
      </c>
      <c r="AW36">
        <v>2</v>
      </c>
      <c r="AX36">
        <v>36602874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Y36*Source!I34</f>
        <v>0.1215</v>
      </c>
      <c r="CY36">
        <f>AB36</f>
        <v>2067.59</v>
      </c>
      <c r="CZ36">
        <f>AF36</f>
        <v>2067.59</v>
      </c>
      <c r="DA36">
        <f>AJ36</f>
        <v>1</v>
      </c>
      <c r="DB36">
        <f t="shared" si="2"/>
        <v>1674.75</v>
      </c>
      <c r="DC36">
        <f t="shared" si="3"/>
        <v>409.5</v>
      </c>
    </row>
    <row r="37" spans="1:107" x14ac:dyDescent="0.2">
      <c r="A37">
        <f>ROW(Source!A34)</f>
        <v>34</v>
      </c>
      <c r="B37">
        <v>36602762</v>
      </c>
      <c r="C37">
        <v>36602870</v>
      </c>
      <c r="D37">
        <v>36291368</v>
      </c>
      <c r="E37">
        <v>1</v>
      </c>
      <c r="F37">
        <v>1</v>
      </c>
      <c r="G37">
        <v>31</v>
      </c>
      <c r="H37">
        <v>2</v>
      </c>
      <c r="I37" t="s">
        <v>216</v>
      </c>
      <c r="J37" t="s">
        <v>217</v>
      </c>
      <c r="K37" t="s">
        <v>218</v>
      </c>
      <c r="L37">
        <v>1368</v>
      </c>
      <c r="N37">
        <v>1011</v>
      </c>
      <c r="O37" t="s">
        <v>199</v>
      </c>
      <c r="P37" t="s">
        <v>199</v>
      </c>
      <c r="Q37">
        <v>1</v>
      </c>
      <c r="W37">
        <v>0</v>
      </c>
      <c r="X37">
        <v>-991679869</v>
      </c>
      <c r="Y37">
        <v>1.94</v>
      </c>
      <c r="AA37">
        <v>0</v>
      </c>
      <c r="AB37">
        <v>1566.66</v>
      </c>
      <c r="AC37">
        <v>707.06</v>
      </c>
      <c r="AD37">
        <v>0</v>
      </c>
      <c r="AE37">
        <v>0</v>
      </c>
      <c r="AF37">
        <v>1566.66</v>
      </c>
      <c r="AG37">
        <v>707.06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1.94</v>
      </c>
      <c r="AU37" t="s">
        <v>3</v>
      </c>
      <c r="AV37">
        <v>0</v>
      </c>
      <c r="AW37">
        <v>2</v>
      </c>
      <c r="AX37">
        <v>36602875</v>
      </c>
      <c r="AY37">
        <v>1</v>
      </c>
      <c r="AZ37">
        <v>0</v>
      </c>
      <c r="BA37">
        <v>37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Y37*Source!I34</f>
        <v>0.29099999999999998</v>
      </c>
      <c r="CY37">
        <f>AB37</f>
        <v>1566.66</v>
      </c>
      <c r="CZ37">
        <f>AF37</f>
        <v>1566.66</v>
      </c>
      <c r="DA37">
        <f>AJ37</f>
        <v>1</v>
      </c>
      <c r="DB37">
        <f t="shared" si="2"/>
        <v>3039.32</v>
      </c>
      <c r="DC37">
        <f t="shared" si="3"/>
        <v>1371.7</v>
      </c>
    </row>
    <row r="38" spans="1:107" x14ac:dyDescent="0.2">
      <c r="A38">
        <f>ROW(Source!A34)</f>
        <v>34</v>
      </c>
      <c r="B38">
        <v>36602762</v>
      </c>
      <c r="C38">
        <v>36602870</v>
      </c>
      <c r="D38">
        <v>36291334</v>
      </c>
      <c r="E38">
        <v>1</v>
      </c>
      <c r="F38">
        <v>1</v>
      </c>
      <c r="G38">
        <v>31</v>
      </c>
      <c r="H38">
        <v>2</v>
      </c>
      <c r="I38" t="s">
        <v>272</v>
      </c>
      <c r="J38" t="s">
        <v>273</v>
      </c>
      <c r="K38" t="s">
        <v>274</v>
      </c>
      <c r="L38">
        <v>1368</v>
      </c>
      <c r="N38">
        <v>1011</v>
      </c>
      <c r="O38" t="s">
        <v>199</v>
      </c>
      <c r="P38" t="s">
        <v>199</v>
      </c>
      <c r="Q38">
        <v>1</v>
      </c>
      <c r="W38">
        <v>0</v>
      </c>
      <c r="X38">
        <v>2043159694</v>
      </c>
      <c r="Y38">
        <v>0.65</v>
      </c>
      <c r="AA38">
        <v>0</v>
      </c>
      <c r="AB38">
        <v>1338.36</v>
      </c>
      <c r="AC38">
        <v>508.91</v>
      </c>
      <c r="AD38">
        <v>0</v>
      </c>
      <c r="AE38">
        <v>0</v>
      </c>
      <c r="AF38">
        <v>1338.36</v>
      </c>
      <c r="AG38">
        <v>508.91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0.65</v>
      </c>
      <c r="AU38" t="s">
        <v>3</v>
      </c>
      <c r="AV38">
        <v>0</v>
      </c>
      <c r="AW38">
        <v>2</v>
      </c>
      <c r="AX38">
        <v>36602876</v>
      </c>
      <c r="AY38">
        <v>1</v>
      </c>
      <c r="AZ38">
        <v>0</v>
      </c>
      <c r="BA38">
        <v>38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Y38*Source!I34</f>
        <v>9.7500000000000003E-2</v>
      </c>
      <c r="CY38">
        <f>AB38</f>
        <v>1338.36</v>
      </c>
      <c r="CZ38">
        <f>AF38</f>
        <v>1338.36</v>
      </c>
      <c r="DA38">
        <f>AJ38</f>
        <v>1</v>
      </c>
      <c r="DB38">
        <f t="shared" si="2"/>
        <v>869.93</v>
      </c>
      <c r="DC38">
        <f t="shared" si="3"/>
        <v>330.79</v>
      </c>
    </row>
    <row r="39" spans="1:107" x14ac:dyDescent="0.2">
      <c r="A39">
        <f>ROW(Source!A34)</f>
        <v>34</v>
      </c>
      <c r="B39">
        <v>36602762</v>
      </c>
      <c r="C39">
        <v>36602870</v>
      </c>
      <c r="D39">
        <v>36293358</v>
      </c>
      <c r="E39">
        <v>1</v>
      </c>
      <c r="F39">
        <v>1</v>
      </c>
      <c r="G39">
        <v>31</v>
      </c>
      <c r="H39">
        <v>3</v>
      </c>
      <c r="I39" t="s">
        <v>275</v>
      </c>
      <c r="J39" t="s">
        <v>276</v>
      </c>
      <c r="K39" t="s">
        <v>277</v>
      </c>
      <c r="L39">
        <v>1339</v>
      </c>
      <c r="N39">
        <v>1007</v>
      </c>
      <c r="O39" t="s">
        <v>179</v>
      </c>
      <c r="P39" t="s">
        <v>179</v>
      </c>
      <c r="Q39">
        <v>1</v>
      </c>
      <c r="W39">
        <v>0</v>
      </c>
      <c r="X39">
        <v>-921262155</v>
      </c>
      <c r="Y39">
        <v>110</v>
      </c>
      <c r="AA39">
        <v>573.77</v>
      </c>
      <c r="AB39">
        <v>0</v>
      </c>
      <c r="AC39">
        <v>0</v>
      </c>
      <c r="AD39">
        <v>0</v>
      </c>
      <c r="AE39">
        <v>573.77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110</v>
      </c>
      <c r="AU39" t="s">
        <v>3</v>
      </c>
      <c r="AV39">
        <v>0</v>
      </c>
      <c r="AW39">
        <v>2</v>
      </c>
      <c r="AX39">
        <v>36602877</v>
      </c>
      <c r="AY39">
        <v>1</v>
      </c>
      <c r="AZ39">
        <v>0</v>
      </c>
      <c r="BA39">
        <v>39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Y39*Source!I34</f>
        <v>16.5</v>
      </c>
      <c r="CY39">
        <f>AA39</f>
        <v>573.77</v>
      </c>
      <c r="CZ39">
        <f>AE39</f>
        <v>573.77</v>
      </c>
      <c r="DA39">
        <f>AI39</f>
        <v>1</v>
      </c>
      <c r="DB39">
        <f t="shared" si="2"/>
        <v>63114.7</v>
      </c>
      <c r="DC39">
        <f t="shared" si="3"/>
        <v>0</v>
      </c>
    </row>
    <row r="40" spans="1:107" x14ac:dyDescent="0.2">
      <c r="A40">
        <f>ROW(Source!A34)</f>
        <v>34</v>
      </c>
      <c r="B40">
        <v>36602762</v>
      </c>
      <c r="C40">
        <v>36602870</v>
      </c>
      <c r="D40">
        <v>36294127</v>
      </c>
      <c r="E40">
        <v>1</v>
      </c>
      <c r="F40">
        <v>1</v>
      </c>
      <c r="G40">
        <v>31</v>
      </c>
      <c r="H40">
        <v>3</v>
      </c>
      <c r="I40" t="s">
        <v>203</v>
      </c>
      <c r="J40" t="s">
        <v>204</v>
      </c>
      <c r="K40" t="s">
        <v>205</v>
      </c>
      <c r="L40">
        <v>1339</v>
      </c>
      <c r="N40">
        <v>1007</v>
      </c>
      <c r="O40" t="s">
        <v>179</v>
      </c>
      <c r="P40" t="s">
        <v>179</v>
      </c>
      <c r="Q40">
        <v>1</v>
      </c>
      <c r="W40">
        <v>0</v>
      </c>
      <c r="X40">
        <v>-504744613</v>
      </c>
      <c r="Y40">
        <v>5</v>
      </c>
      <c r="AA40">
        <v>38.229999999999997</v>
      </c>
      <c r="AB40">
        <v>0</v>
      </c>
      <c r="AC40">
        <v>0</v>
      </c>
      <c r="AD40">
        <v>0</v>
      </c>
      <c r="AE40">
        <v>38.229999999999997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5</v>
      </c>
      <c r="AU40" t="s">
        <v>3</v>
      </c>
      <c r="AV40">
        <v>0</v>
      </c>
      <c r="AW40">
        <v>2</v>
      </c>
      <c r="AX40">
        <v>36602878</v>
      </c>
      <c r="AY40">
        <v>1</v>
      </c>
      <c r="AZ40">
        <v>0</v>
      </c>
      <c r="BA40">
        <v>40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Y40*Source!I34</f>
        <v>0.75</v>
      </c>
      <c r="CY40">
        <f>AA40</f>
        <v>38.229999999999997</v>
      </c>
      <c r="CZ40">
        <f>AE40</f>
        <v>38.229999999999997</v>
      </c>
      <c r="DA40">
        <f>AI40</f>
        <v>1</v>
      </c>
      <c r="DB40">
        <f t="shared" si="2"/>
        <v>191.15</v>
      </c>
      <c r="DC40">
        <f t="shared" si="3"/>
        <v>0</v>
      </c>
    </row>
    <row r="41" spans="1:107" x14ac:dyDescent="0.2">
      <c r="A41">
        <f>ROW(Source!A35)</f>
        <v>35</v>
      </c>
      <c r="B41">
        <v>36602762</v>
      </c>
      <c r="C41">
        <v>36602880</v>
      </c>
      <c r="D41">
        <v>36278558</v>
      </c>
      <c r="E41">
        <v>31</v>
      </c>
      <c r="F41">
        <v>1</v>
      </c>
      <c r="G41">
        <v>31</v>
      </c>
      <c r="H41">
        <v>1</v>
      </c>
      <c r="I41" t="s">
        <v>193</v>
      </c>
      <c r="J41" t="s">
        <v>3</v>
      </c>
      <c r="K41" t="s">
        <v>194</v>
      </c>
      <c r="L41">
        <v>1191</v>
      </c>
      <c r="N41">
        <v>1013</v>
      </c>
      <c r="O41" t="s">
        <v>195</v>
      </c>
      <c r="P41" t="s">
        <v>195</v>
      </c>
      <c r="Q41">
        <v>1</v>
      </c>
      <c r="W41">
        <v>0</v>
      </c>
      <c r="X41">
        <v>476480486</v>
      </c>
      <c r="Y41">
        <v>24.84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24.84</v>
      </c>
      <c r="AU41" t="s">
        <v>3</v>
      </c>
      <c r="AV41">
        <v>1</v>
      </c>
      <c r="AW41">
        <v>2</v>
      </c>
      <c r="AX41">
        <v>36602881</v>
      </c>
      <c r="AY41">
        <v>1</v>
      </c>
      <c r="AZ41">
        <v>0</v>
      </c>
      <c r="BA41">
        <v>41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Y41*Source!I35</f>
        <v>48.189599999999999</v>
      </c>
      <c r="CY41">
        <f>AD41</f>
        <v>0</v>
      </c>
      <c r="CZ41">
        <f>AH41</f>
        <v>0</v>
      </c>
      <c r="DA41">
        <f>AL41</f>
        <v>1</v>
      </c>
      <c r="DB41">
        <f t="shared" si="2"/>
        <v>0</v>
      </c>
      <c r="DC41">
        <f t="shared" si="3"/>
        <v>0</v>
      </c>
    </row>
    <row r="42" spans="1:107" x14ac:dyDescent="0.2">
      <c r="A42">
        <f>ROW(Source!A35)</f>
        <v>35</v>
      </c>
      <c r="B42">
        <v>36602762</v>
      </c>
      <c r="C42">
        <v>36602880</v>
      </c>
      <c r="D42">
        <v>36291161</v>
      </c>
      <c r="E42">
        <v>1</v>
      </c>
      <c r="F42">
        <v>1</v>
      </c>
      <c r="G42">
        <v>31</v>
      </c>
      <c r="H42">
        <v>2</v>
      </c>
      <c r="I42" t="s">
        <v>225</v>
      </c>
      <c r="J42" t="s">
        <v>226</v>
      </c>
      <c r="K42" t="s">
        <v>227</v>
      </c>
      <c r="L42">
        <v>1368</v>
      </c>
      <c r="N42">
        <v>1011</v>
      </c>
      <c r="O42" t="s">
        <v>199</v>
      </c>
      <c r="P42" t="s">
        <v>199</v>
      </c>
      <c r="Q42">
        <v>1</v>
      </c>
      <c r="W42">
        <v>0</v>
      </c>
      <c r="X42">
        <v>-1489544745</v>
      </c>
      <c r="Y42">
        <v>2.94</v>
      </c>
      <c r="AA42">
        <v>0</v>
      </c>
      <c r="AB42">
        <v>1078.49</v>
      </c>
      <c r="AC42">
        <v>396.28</v>
      </c>
      <c r="AD42">
        <v>0</v>
      </c>
      <c r="AE42">
        <v>0</v>
      </c>
      <c r="AF42">
        <v>1078.49</v>
      </c>
      <c r="AG42">
        <v>396.28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2.94</v>
      </c>
      <c r="AU42" t="s">
        <v>3</v>
      </c>
      <c r="AV42">
        <v>0</v>
      </c>
      <c r="AW42">
        <v>2</v>
      </c>
      <c r="AX42">
        <v>36602882</v>
      </c>
      <c r="AY42">
        <v>1</v>
      </c>
      <c r="AZ42">
        <v>0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Y42*Source!I35</f>
        <v>5.7035999999999998</v>
      </c>
      <c r="CY42">
        <f t="shared" ref="CY42:CY47" si="4">AB42</f>
        <v>1078.49</v>
      </c>
      <c r="CZ42">
        <f t="shared" ref="CZ42:CZ47" si="5">AF42</f>
        <v>1078.49</v>
      </c>
      <c r="DA42">
        <f t="shared" ref="DA42:DA47" si="6">AJ42</f>
        <v>1</v>
      </c>
      <c r="DB42">
        <f t="shared" si="2"/>
        <v>3170.76</v>
      </c>
      <c r="DC42">
        <f t="shared" si="3"/>
        <v>1165.06</v>
      </c>
    </row>
    <row r="43" spans="1:107" x14ac:dyDescent="0.2">
      <c r="A43">
        <f>ROW(Source!A35)</f>
        <v>35</v>
      </c>
      <c r="B43">
        <v>36602762</v>
      </c>
      <c r="C43">
        <v>36602880</v>
      </c>
      <c r="D43">
        <v>36291344</v>
      </c>
      <c r="E43">
        <v>1</v>
      </c>
      <c r="F43">
        <v>1</v>
      </c>
      <c r="G43">
        <v>31</v>
      </c>
      <c r="H43">
        <v>2</v>
      </c>
      <c r="I43" t="s">
        <v>269</v>
      </c>
      <c r="J43" t="s">
        <v>270</v>
      </c>
      <c r="K43" t="s">
        <v>271</v>
      </c>
      <c r="L43">
        <v>1368</v>
      </c>
      <c r="N43">
        <v>1011</v>
      </c>
      <c r="O43" t="s">
        <v>199</v>
      </c>
      <c r="P43" t="s">
        <v>199</v>
      </c>
      <c r="Q43">
        <v>1</v>
      </c>
      <c r="W43">
        <v>0</v>
      </c>
      <c r="X43">
        <v>-1981851192</v>
      </c>
      <c r="Y43">
        <v>1.1399999999999999</v>
      </c>
      <c r="AA43">
        <v>0</v>
      </c>
      <c r="AB43">
        <v>2067.59</v>
      </c>
      <c r="AC43">
        <v>505.56</v>
      </c>
      <c r="AD43">
        <v>0</v>
      </c>
      <c r="AE43">
        <v>0</v>
      </c>
      <c r="AF43">
        <v>2067.59</v>
      </c>
      <c r="AG43">
        <v>505.56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1.1399999999999999</v>
      </c>
      <c r="AU43" t="s">
        <v>3</v>
      </c>
      <c r="AV43">
        <v>0</v>
      </c>
      <c r="AW43">
        <v>2</v>
      </c>
      <c r="AX43">
        <v>36602883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Y43*Source!I35</f>
        <v>2.2115999999999998</v>
      </c>
      <c r="CY43">
        <f t="shared" si="4"/>
        <v>2067.59</v>
      </c>
      <c r="CZ43">
        <f t="shared" si="5"/>
        <v>2067.59</v>
      </c>
      <c r="DA43">
        <f t="shared" si="6"/>
        <v>1</v>
      </c>
      <c r="DB43">
        <f t="shared" si="2"/>
        <v>2357.0500000000002</v>
      </c>
      <c r="DC43">
        <f t="shared" si="3"/>
        <v>576.34</v>
      </c>
    </row>
    <row r="44" spans="1:107" x14ac:dyDescent="0.2">
      <c r="A44">
        <f>ROW(Source!A35)</f>
        <v>35</v>
      </c>
      <c r="B44">
        <v>36602762</v>
      </c>
      <c r="C44">
        <v>36602880</v>
      </c>
      <c r="D44">
        <v>36291329</v>
      </c>
      <c r="E44">
        <v>1</v>
      </c>
      <c r="F44">
        <v>1</v>
      </c>
      <c r="G44">
        <v>31</v>
      </c>
      <c r="H44">
        <v>2</v>
      </c>
      <c r="I44" t="s">
        <v>278</v>
      </c>
      <c r="J44" t="s">
        <v>279</v>
      </c>
      <c r="K44" t="s">
        <v>280</v>
      </c>
      <c r="L44">
        <v>1368</v>
      </c>
      <c r="N44">
        <v>1011</v>
      </c>
      <c r="O44" t="s">
        <v>199</v>
      </c>
      <c r="P44" t="s">
        <v>199</v>
      </c>
      <c r="Q44">
        <v>1</v>
      </c>
      <c r="W44">
        <v>0</v>
      </c>
      <c r="X44">
        <v>11694919</v>
      </c>
      <c r="Y44">
        <v>8.9600000000000009</v>
      </c>
      <c r="AA44">
        <v>0</v>
      </c>
      <c r="AB44">
        <v>1593.83</v>
      </c>
      <c r="AC44">
        <v>584.35</v>
      </c>
      <c r="AD44">
        <v>0</v>
      </c>
      <c r="AE44">
        <v>0</v>
      </c>
      <c r="AF44">
        <v>1593.83</v>
      </c>
      <c r="AG44">
        <v>584.35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8.9600000000000009</v>
      </c>
      <c r="AU44" t="s">
        <v>3</v>
      </c>
      <c r="AV44">
        <v>0</v>
      </c>
      <c r="AW44">
        <v>2</v>
      </c>
      <c r="AX44">
        <v>36602884</v>
      </c>
      <c r="AY44">
        <v>1</v>
      </c>
      <c r="AZ44">
        <v>0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Y44*Source!I35</f>
        <v>17.382400000000001</v>
      </c>
      <c r="CY44">
        <f t="shared" si="4"/>
        <v>1593.83</v>
      </c>
      <c r="CZ44">
        <f t="shared" si="5"/>
        <v>1593.83</v>
      </c>
      <c r="DA44">
        <f t="shared" si="6"/>
        <v>1</v>
      </c>
      <c r="DB44">
        <f t="shared" si="2"/>
        <v>14280.72</v>
      </c>
      <c r="DC44">
        <f t="shared" si="3"/>
        <v>5235.78</v>
      </c>
    </row>
    <row r="45" spans="1:107" x14ac:dyDescent="0.2">
      <c r="A45">
        <f>ROW(Source!A35)</f>
        <v>35</v>
      </c>
      <c r="B45">
        <v>36602762</v>
      </c>
      <c r="C45">
        <v>36602880</v>
      </c>
      <c r="D45">
        <v>36291330</v>
      </c>
      <c r="E45">
        <v>1</v>
      </c>
      <c r="F45">
        <v>1</v>
      </c>
      <c r="G45">
        <v>31</v>
      </c>
      <c r="H45">
        <v>2</v>
      </c>
      <c r="I45" t="s">
        <v>281</v>
      </c>
      <c r="J45" t="s">
        <v>282</v>
      </c>
      <c r="K45" t="s">
        <v>283</v>
      </c>
      <c r="L45">
        <v>1368</v>
      </c>
      <c r="N45">
        <v>1011</v>
      </c>
      <c r="O45" t="s">
        <v>199</v>
      </c>
      <c r="P45" t="s">
        <v>199</v>
      </c>
      <c r="Q45">
        <v>1</v>
      </c>
      <c r="W45">
        <v>0</v>
      </c>
      <c r="X45">
        <v>-1612054377</v>
      </c>
      <c r="Y45">
        <v>18.25</v>
      </c>
      <c r="AA45">
        <v>0</v>
      </c>
      <c r="AB45">
        <v>2086.4899999999998</v>
      </c>
      <c r="AC45">
        <v>794.41</v>
      </c>
      <c r="AD45">
        <v>0</v>
      </c>
      <c r="AE45">
        <v>0</v>
      </c>
      <c r="AF45">
        <v>2086.4899999999998</v>
      </c>
      <c r="AG45">
        <v>794.41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18.25</v>
      </c>
      <c r="AU45" t="s">
        <v>3</v>
      </c>
      <c r="AV45">
        <v>0</v>
      </c>
      <c r="AW45">
        <v>2</v>
      </c>
      <c r="AX45">
        <v>36602885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Y45*Source!I35</f>
        <v>35.405000000000001</v>
      </c>
      <c r="CY45">
        <f t="shared" si="4"/>
        <v>2086.4899999999998</v>
      </c>
      <c r="CZ45">
        <f t="shared" si="5"/>
        <v>2086.4899999999998</v>
      </c>
      <c r="DA45">
        <f t="shared" si="6"/>
        <v>1</v>
      </c>
      <c r="DB45">
        <f t="shared" si="2"/>
        <v>38078.44</v>
      </c>
      <c r="DC45">
        <f t="shared" si="3"/>
        <v>14497.98</v>
      </c>
    </row>
    <row r="46" spans="1:107" x14ac:dyDescent="0.2">
      <c r="A46">
        <f>ROW(Source!A35)</f>
        <v>35</v>
      </c>
      <c r="B46">
        <v>36602762</v>
      </c>
      <c r="C46">
        <v>36602880</v>
      </c>
      <c r="D46">
        <v>36291368</v>
      </c>
      <c r="E46">
        <v>1</v>
      </c>
      <c r="F46">
        <v>1</v>
      </c>
      <c r="G46">
        <v>31</v>
      </c>
      <c r="H46">
        <v>2</v>
      </c>
      <c r="I46" t="s">
        <v>216</v>
      </c>
      <c r="J46" t="s">
        <v>217</v>
      </c>
      <c r="K46" t="s">
        <v>218</v>
      </c>
      <c r="L46">
        <v>1368</v>
      </c>
      <c r="N46">
        <v>1011</v>
      </c>
      <c r="O46" t="s">
        <v>199</v>
      </c>
      <c r="P46" t="s">
        <v>199</v>
      </c>
      <c r="Q46">
        <v>1</v>
      </c>
      <c r="W46">
        <v>0</v>
      </c>
      <c r="X46">
        <v>-991679869</v>
      </c>
      <c r="Y46">
        <v>2.2400000000000002</v>
      </c>
      <c r="AA46">
        <v>0</v>
      </c>
      <c r="AB46">
        <v>1566.66</v>
      </c>
      <c r="AC46">
        <v>707.06</v>
      </c>
      <c r="AD46">
        <v>0</v>
      </c>
      <c r="AE46">
        <v>0</v>
      </c>
      <c r="AF46">
        <v>1566.66</v>
      </c>
      <c r="AG46">
        <v>707.06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2.2400000000000002</v>
      </c>
      <c r="AU46" t="s">
        <v>3</v>
      </c>
      <c r="AV46">
        <v>0</v>
      </c>
      <c r="AW46">
        <v>2</v>
      </c>
      <c r="AX46">
        <v>36602886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Y46*Source!I35</f>
        <v>4.3456000000000001</v>
      </c>
      <c r="CY46">
        <f t="shared" si="4"/>
        <v>1566.66</v>
      </c>
      <c r="CZ46">
        <f t="shared" si="5"/>
        <v>1566.66</v>
      </c>
      <c r="DA46">
        <f t="shared" si="6"/>
        <v>1</v>
      </c>
      <c r="DB46">
        <f t="shared" si="2"/>
        <v>3509.32</v>
      </c>
      <c r="DC46">
        <f t="shared" si="3"/>
        <v>1583.81</v>
      </c>
    </row>
    <row r="47" spans="1:107" x14ac:dyDescent="0.2">
      <c r="A47">
        <f>ROW(Source!A35)</f>
        <v>35</v>
      </c>
      <c r="B47">
        <v>36602762</v>
      </c>
      <c r="C47">
        <v>36602880</v>
      </c>
      <c r="D47">
        <v>36291334</v>
      </c>
      <c r="E47">
        <v>1</v>
      </c>
      <c r="F47">
        <v>1</v>
      </c>
      <c r="G47">
        <v>31</v>
      </c>
      <c r="H47">
        <v>2</v>
      </c>
      <c r="I47" t="s">
        <v>272</v>
      </c>
      <c r="J47" t="s">
        <v>273</v>
      </c>
      <c r="K47" t="s">
        <v>274</v>
      </c>
      <c r="L47">
        <v>1368</v>
      </c>
      <c r="N47">
        <v>1011</v>
      </c>
      <c r="O47" t="s">
        <v>199</v>
      </c>
      <c r="P47" t="s">
        <v>199</v>
      </c>
      <c r="Q47">
        <v>1</v>
      </c>
      <c r="W47">
        <v>0</v>
      </c>
      <c r="X47">
        <v>2043159694</v>
      </c>
      <c r="Y47">
        <v>0.65</v>
      </c>
      <c r="AA47">
        <v>0</v>
      </c>
      <c r="AB47">
        <v>1338.36</v>
      </c>
      <c r="AC47">
        <v>508.91</v>
      </c>
      <c r="AD47">
        <v>0</v>
      </c>
      <c r="AE47">
        <v>0</v>
      </c>
      <c r="AF47">
        <v>1338.36</v>
      </c>
      <c r="AG47">
        <v>508.91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0.65</v>
      </c>
      <c r="AU47" t="s">
        <v>3</v>
      </c>
      <c r="AV47">
        <v>0</v>
      </c>
      <c r="AW47">
        <v>2</v>
      </c>
      <c r="AX47">
        <v>36602887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Y47*Source!I35</f>
        <v>1.2609999999999999</v>
      </c>
      <c r="CY47">
        <f t="shared" si="4"/>
        <v>1338.36</v>
      </c>
      <c r="CZ47">
        <f t="shared" si="5"/>
        <v>1338.36</v>
      </c>
      <c r="DA47">
        <f t="shared" si="6"/>
        <v>1</v>
      </c>
      <c r="DB47">
        <f t="shared" si="2"/>
        <v>869.93</v>
      </c>
      <c r="DC47">
        <f t="shared" si="3"/>
        <v>330.79</v>
      </c>
    </row>
    <row r="48" spans="1:107" x14ac:dyDescent="0.2">
      <c r="A48">
        <f>ROW(Source!A35)</f>
        <v>35</v>
      </c>
      <c r="B48">
        <v>36602762</v>
      </c>
      <c r="C48">
        <v>36602880</v>
      </c>
      <c r="D48">
        <v>36293384</v>
      </c>
      <c r="E48">
        <v>1</v>
      </c>
      <c r="F48">
        <v>1</v>
      </c>
      <c r="G48">
        <v>31</v>
      </c>
      <c r="H48">
        <v>3</v>
      </c>
      <c r="I48" t="s">
        <v>284</v>
      </c>
      <c r="J48" t="s">
        <v>285</v>
      </c>
      <c r="K48" t="s">
        <v>286</v>
      </c>
      <c r="L48">
        <v>1339</v>
      </c>
      <c r="N48">
        <v>1007</v>
      </c>
      <c r="O48" t="s">
        <v>179</v>
      </c>
      <c r="P48" t="s">
        <v>179</v>
      </c>
      <c r="Q48">
        <v>1</v>
      </c>
      <c r="W48">
        <v>0</v>
      </c>
      <c r="X48">
        <v>287222880</v>
      </c>
      <c r="Y48">
        <v>126</v>
      </c>
      <c r="AA48">
        <v>2380</v>
      </c>
      <c r="AB48">
        <v>0</v>
      </c>
      <c r="AC48">
        <v>0</v>
      </c>
      <c r="AD48">
        <v>0</v>
      </c>
      <c r="AE48">
        <v>2380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126</v>
      </c>
      <c r="AU48" t="s">
        <v>3</v>
      </c>
      <c r="AV48">
        <v>0</v>
      </c>
      <c r="AW48">
        <v>2</v>
      </c>
      <c r="AX48">
        <v>36602888</v>
      </c>
      <c r="AY48">
        <v>1</v>
      </c>
      <c r="AZ48">
        <v>0</v>
      </c>
      <c r="BA48">
        <v>48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Y48*Source!I35</f>
        <v>244.44</v>
      </c>
      <c r="CY48">
        <f>AA48</f>
        <v>2380</v>
      </c>
      <c r="CZ48">
        <f>AE48</f>
        <v>2380</v>
      </c>
      <c r="DA48">
        <f>AI48</f>
        <v>1</v>
      </c>
      <c r="DB48">
        <f t="shared" si="2"/>
        <v>299880</v>
      </c>
      <c r="DC48">
        <f t="shared" si="3"/>
        <v>0</v>
      </c>
    </row>
    <row r="49" spans="1:107" x14ac:dyDescent="0.2">
      <c r="A49">
        <f>ROW(Source!A35)</f>
        <v>35</v>
      </c>
      <c r="B49">
        <v>36602762</v>
      </c>
      <c r="C49">
        <v>36602880</v>
      </c>
      <c r="D49">
        <v>36294127</v>
      </c>
      <c r="E49">
        <v>1</v>
      </c>
      <c r="F49">
        <v>1</v>
      </c>
      <c r="G49">
        <v>31</v>
      </c>
      <c r="H49">
        <v>3</v>
      </c>
      <c r="I49" t="s">
        <v>203</v>
      </c>
      <c r="J49" t="s">
        <v>204</v>
      </c>
      <c r="K49" t="s">
        <v>205</v>
      </c>
      <c r="L49">
        <v>1339</v>
      </c>
      <c r="N49">
        <v>1007</v>
      </c>
      <c r="O49" t="s">
        <v>179</v>
      </c>
      <c r="P49" t="s">
        <v>179</v>
      </c>
      <c r="Q49">
        <v>1</v>
      </c>
      <c r="W49">
        <v>0</v>
      </c>
      <c r="X49">
        <v>-504744613</v>
      </c>
      <c r="Y49">
        <v>7</v>
      </c>
      <c r="AA49">
        <v>38.229999999999997</v>
      </c>
      <c r="AB49">
        <v>0</v>
      </c>
      <c r="AC49">
        <v>0</v>
      </c>
      <c r="AD49">
        <v>0</v>
      </c>
      <c r="AE49">
        <v>38.229999999999997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7</v>
      </c>
      <c r="AU49" t="s">
        <v>3</v>
      </c>
      <c r="AV49">
        <v>0</v>
      </c>
      <c r="AW49">
        <v>2</v>
      </c>
      <c r="AX49">
        <v>36602889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Y49*Source!I35</f>
        <v>13.58</v>
      </c>
      <c r="CY49">
        <f>AA49</f>
        <v>38.229999999999997</v>
      </c>
      <c r="CZ49">
        <f>AE49</f>
        <v>38.229999999999997</v>
      </c>
      <c r="DA49">
        <f>AI49</f>
        <v>1</v>
      </c>
      <c r="DB49">
        <f t="shared" si="2"/>
        <v>267.61</v>
      </c>
      <c r="DC49">
        <f t="shared" si="3"/>
        <v>0</v>
      </c>
    </row>
    <row r="50" spans="1:107" x14ac:dyDescent="0.2">
      <c r="A50">
        <f>ROW(Source!A36)</f>
        <v>36</v>
      </c>
      <c r="B50">
        <v>36602762</v>
      </c>
      <c r="C50">
        <v>36602891</v>
      </c>
      <c r="D50">
        <v>36278558</v>
      </c>
      <c r="E50">
        <v>31</v>
      </c>
      <c r="F50">
        <v>1</v>
      </c>
      <c r="G50">
        <v>31</v>
      </c>
      <c r="H50">
        <v>1</v>
      </c>
      <c r="I50" t="s">
        <v>193</v>
      </c>
      <c r="J50" t="s">
        <v>3</v>
      </c>
      <c r="K50" t="s">
        <v>194</v>
      </c>
      <c r="L50">
        <v>1191</v>
      </c>
      <c r="N50">
        <v>1013</v>
      </c>
      <c r="O50" t="s">
        <v>195</v>
      </c>
      <c r="P50" t="s">
        <v>195</v>
      </c>
      <c r="Q50">
        <v>1</v>
      </c>
      <c r="W50">
        <v>0</v>
      </c>
      <c r="X50">
        <v>476480486</v>
      </c>
      <c r="Y50">
        <v>29.21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29.21</v>
      </c>
      <c r="AU50" t="s">
        <v>3</v>
      </c>
      <c r="AV50">
        <v>1</v>
      </c>
      <c r="AW50">
        <v>2</v>
      </c>
      <c r="AX50">
        <v>36602892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Y50*Source!I36</f>
        <v>0.64261999999999997</v>
      </c>
      <c r="CY50">
        <f>AD50</f>
        <v>0</v>
      </c>
      <c r="CZ50">
        <f>AH50</f>
        <v>0</v>
      </c>
      <c r="DA50">
        <f>AL50</f>
        <v>1</v>
      </c>
      <c r="DB50">
        <f t="shared" si="2"/>
        <v>0</v>
      </c>
      <c r="DC50">
        <f t="shared" si="3"/>
        <v>0</v>
      </c>
    </row>
    <row r="51" spans="1:107" x14ac:dyDescent="0.2">
      <c r="A51">
        <f>ROW(Source!A36)</f>
        <v>36</v>
      </c>
      <c r="B51">
        <v>36602762</v>
      </c>
      <c r="C51">
        <v>36602891</v>
      </c>
      <c r="D51">
        <v>36291350</v>
      </c>
      <c r="E51">
        <v>1</v>
      </c>
      <c r="F51">
        <v>1</v>
      </c>
      <c r="G51">
        <v>31</v>
      </c>
      <c r="H51">
        <v>2</v>
      </c>
      <c r="I51" t="s">
        <v>287</v>
      </c>
      <c r="J51" t="s">
        <v>288</v>
      </c>
      <c r="K51" t="s">
        <v>289</v>
      </c>
      <c r="L51">
        <v>1368</v>
      </c>
      <c r="N51">
        <v>1011</v>
      </c>
      <c r="O51" t="s">
        <v>199</v>
      </c>
      <c r="P51" t="s">
        <v>199</v>
      </c>
      <c r="Q51">
        <v>1</v>
      </c>
      <c r="W51">
        <v>0</v>
      </c>
      <c r="X51">
        <v>-733619873</v>
      </c>
      <c r="Y51">
        <v>2.1</v>
      </c>
      <c r="AA51">
        <v>0</v>
      </c>
      <c r="AB51">
        <v>1901.66</v>
      </c>
      <c r="AC51">
        <v>1198.31</v>
      </c>
      <c r="AD51">
        <v>0</v>
      </c>
      <c r="AE51">
        <v>0</v>
      </c>
      <c r="AF51">
        <v>1901.66</v>
      </c>
      <c r="AG51">
        <v>1198.31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2.1</v>
      </c>
      <c r="AU51" t="s">
        <v>3</v>
      </c>
      <c r="AV51">
        <v>0</v>
      </c>
      <c r="AW51">
        <v>2</v>
      </c>
      <c r="AX51">
        <v>36602893</v>
      </c>
      <c r="AY51">
        <v>1</v>
      </c>
      <c r="AZ51">
        <v>0</v>
      </c>
      <c r="BA51">
        <v>51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Y51*Source!I36</f>
        <v>4.6199999999999998E-2</v>
      </c>
      <c r="CY51">
        <f>AB51</f>
        <v>1901.66</v>
      </c>
      <c r="CZ51">
        <f>AF51</f>
        <v>1901.66</v>
      </c>
      <c r="DA51">
        <f>AJ51</f>
        <v>1</v>
      </c>
      <c r="DB51">
        <f t="shared" si="2"/>
        <v>3993.49</v>
      </c>
      <c r="DC51">
        <f t="shared" si="3"/>
        <v>2516.4499999999998</v>
      </c>
    </row>
    <row r="52" spans="1:107" x14ac:dyDescent="0.2">
      <c r="A52">
        <f>ROW(Source!A36)</f>
        <v>36</v>
      </c>
      <c r="B52">
        <v>36602762</v>
      </c>
      <c r="C52">
        <v>36602891</v>
      </c>
      <c r="D52">
        <v>36291352</v>
      </c>
      <c r="E52">
        <v>1</v>
      </c>
      <c r="F52">
        <v>1</v>
      </c>
      <c r="G52">
        <v>31</v>
      </c>
      <c r="H52">
        <v>2</v>
      </c>
      <c r="I52" t="s">
        <v>290</v>
      </c>
      <c r="J52" t="s">
        <v>291</v>
      </c>
      <c r="K52" t="s">
        <v>292</v>
      </c>
      <c r="L52">
        <v>1368</v>
      </c>
      <c r="N52">
        <v>1011</v>
      </c>
      <c r="O52" t="s">
        <v>199</v>
      </c>
      <c r="P52" t="s">
        <v>199</v>
      </c>
      <c r="Q52">
        <v>1</v>
      </c>
      <c r="W52">
        <v>0</v>
      </c>
      <c r="X52">
        <v>-905733064</v>
      </c>
      <c r="Y52">
        <v>2.1</v>
      </c>
      <c r="AA52">
        <v>0</v>
      </c>
      <c r="AB52">
        <v>408.85</v>
      </c>
      <c r="AC52">
        <v>200.69</v>
      </c>
      <c r="AD52">
        <v>0</v>
      </c>
      <c r="AE52">
        <v>0</v>
      </c>
      <c r="AF52">
        <v>408.85</v>
      </c>
      <c r="AG52">
        <v>200.69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2.1</v>
      </c>
      <c r="AU52" t="s">
        <v>3</v>
      </c>
      <c r="AV52">
        <v>0</v>
      </c>
      <c r="AW52">
        <v>2</v>
      </c>
      <c r="AX52">
        <v>36602894</v>
      </c>
      <c r="AY52">
        <v>1</v>
      </c>
      <c r="AZ52">
        <v>0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Y52*Source!I36</f>
        <v>4.6199999999999998E-2</v>
      </c>
      <c r="CY52">
        <f>AB52</f>
        <v>408.85</v>
      </c>
      <c r="CZ52">
        <f>AF52</f>
        <v>408.85</v>
      </c>
      <c r="DA52">
        <f>AJ52</f>
        <v>1</v>
      </c>
      <c r="DB52">
        <f t="shared" si="2"/>
        <v>858.59</v>
      </c>
      <c r="DC52">
        <f t="shared" si="3"/>
        <v>421.45</v>
      </c>
    </row>
    <row r="53" spans="1:107" x14ac:dyDescent="0.2">
      <c r="A53">
        <f>ROW(Source!A36)</f>
        <v>36</v>
      </c>
      <c r="B53">
        <v>36602762</v>
      </c>
      <c r="C53">
        <v>36602891</v>
      </c>
      <c r="D53">
        <v>36291354</v>
      </c>
      <c r="E53">
        <v>1</v>
      </c>
      <c r="F53">
        <v>1</v>
      </c>
      <c r="G53">
        <v>31</v>
      </c>
      <c r="H53">
        <v>2</v>
      </c>
      <c r="I53" t="s">
        <v>293</v>
      </c>
      <c r="J53" t="s">
        <v>294</v>
      </c>
      <c r="K53" t="s">
        <v>295</v>
      </c>
      <c r="L53">
        <v>1368</v>
      </c>
      <c r="N53">
        <v>1011</v>
      </c>
      <c r="O53" t="s">
        <v>199</v>
      </c>
      <c r="P53" t="s">
        <v>199</v>
      </c>
      <c r="Q53">
        <v>1</v>
      </c>
      <c r="W53">
        <v>0</v>
      </c>
      <c r="X53">
        <v>-1757569917</v>
      </c>
      <c r="Y53">
        <v>2.1</v>
      </c>
      <c r="AA53">
        <v>0</v>
      </c>
      <c r="AB53">
        <v>757.29</v>
      </c>
      <c r="AC53">
        <v>694.81</v>
      </c>
      <c r="AD53">
        <v>0</v>
      </c>
      <c r="AE53">
        <v>0</v>
      </c>
      <c r="AF53">
        <v>757.29</v>
      </c>
      <c r="AG53">
        <v>694.81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2.1</v>
      </c>
      <c r="AU53" t="s">
        <v>3</v>
      </c>
      <c r="AV53">
        <v>0</v>
      </c>
      <c r="AW53">
        <v>2</v>
      </c>
      <c r="AX53">
        <v>36602895</v>
      </c>
      <c r="AY53">
        <v>1</v>
      </c>
      <c r="AZ53">
        <v>0</v>
      </c>
      <c r="BA53">
        <v>53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Y53*Source!I36</f>
        <v>4.6199999999999998E-2</v>
      </c>
      <c r="CY53">
        <f>AB53</f>
        <v>757.29</v>
      </c>
      <c r="CZ53">
        <f>AF53</f>
        <v>757.29</v>
      </c>
      <c r="DA53">
        <f>AJ53</f>
        <v>1</v>
      </c>
      <c r="DB53">
        <f t="shared" si="2"/>
        <v>1590.31</v>
      </c>
      <c r="DC53">
        <f t="shared" si="3"/>
        <v>1459.1</v>
      </c>
    </row>
    <row r="54" spans="1:107" x14ac:dyDescent="0.2">
      <c r="A54">
        <f>ROW(Source!A36)</f>
        <v>36</v>
      </c>
      <c r="B54">
        <v>36602762</v>
      </c>
      <c r="C54">
        <v>36602891</v>
      </c>
      <c r="D54">
        <v>36292697</v>
      </c>
      <c r="E54">
        <v>1</v>
      </c>
      <c r="F54">
        <v>1</v>
      </c>
      <c r="G54">
        <v>31</v>
      </c>
      <c r="H54">
        <v>3</v>
      </c>
      <c r="I54" t="s">
        <v>296</v>
      </c>
      <c r="J54" t="s">
        <v>297</v>
      </c>
      <c r="K54" t="s">
        <v>298</v>
      </c>
      <c r="L54">
        <v>1348</v>
      </c>
      <c r="N54">
        <v>1009</v>
      </c>
      <c r="O54" t="s">
        <v>63</v>
      </c>
      <c r="P54" t="s">
        <v>63</v>
      </c>
      <c r="Q54">
        <v>1000</v>
      </c>
      <c r="W54">
        <v>0</v>
      </c>
      <c r="X54">
        <v>76193607</v>
      </c>
      <c r="Y54">
        <v>0.5</v>
      </c>
      <c r="AA54">
        <v>258044.69</v>
      </c>
      <c r="AB54">
        <v>0</v>
      </c>
      <c r="AC54">
        <v>0</v>
      </c>
      <c r="AD54">
        <v>0</v>
      </c>
      <c r="AE54">
        <v>258044.69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0.5</v>
      </c>
      <c r="AU54" t="s">
        <v>3</v>
      </c>
      <c r="AV54">
        <v>0</v>
      </c>
      <c r="AW54">
        <v>2</v>
      </c>
      <c r="AX54">
        <v>36602897</v>
      </c>
      <c r="AY54">
        <v>1</v>
      </c>
      <c r="AZ54">
        <v>0</v>
      </c>
      <c r="BA54">
        <v>55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Y54*Source!I36</f>
        <v>1.0999999999999999E-2</v>
      </c>
      <c r="CY54">
        <f>AA54</f>
        <v>258044.69</v>
      </c>
      <c r="CZ54">
        <f>AE54</f>
        <v>258044.69</v>
      </c>
      <c r="DA54">
        <f>AI54</f>
        <v>1</v>
      </c>
      <c r="DB54">
        <f t="shared" si="2"/>
        <v>129022.35</v>
      </c>
      <c r="DC54">
        <f t="shared" si="3"/>
        <v>0</v>
      </c>
    </row>
    <row r="55" spans="1:107" x14ac:dyDescent="0.2">
      <c r="A55">
        <f>ROW(Source!A36)</f>
        <v>36</v>
      </c>
      <c r="B55">
        <v>36602762</v>
      </c>
      <c r="C55">
        <v>36602891</v>
      </c>
      <c r="D55">
        <v>36295086</v>
      </c>
      <c r="E55">
        <v>1</v>
      </c>
      <c r="F55">
        <v>1</v>
      </c>
      <c r="G55">
        <v>31</v>
      </c>
      <c r="H55">
        <v>3</v>
      </c>
      <c r="I55" t="s">
        <v>299</v>
      </c>
      <c r="J55" t="s">
        <v>300</v>
      </c>
      <c r="K55" t="s">
        <v>301</v>
      </c>
      <c r="L55">
        <v>1339</v>
      </c>
      <c r="N55">
        <v>1007</v>
      </c>
      <c r="O55" t="s">
        <v>179</v>
      </c>
      <c r="P55" t="s">
        <v>179</v>
      </c>
      <c r="Q55">
        <v>1</v>
      </c>
      <c r="W55">
        <v>0</v>
      </c>
      <c r="X55">
        <v>696594300</v>
      </c>
      <c r="Y55">
        <v>245</v>
      </c>
      <c r="AA55">
        <v>5834.62</v>
      </c>
      <c r="AB55">
        <v>0</v>
      </c>
      <c r="AC55">
        <v>0</v>
      </c>
      <c r="AD55">
        <v>0</v>
      </c>
      <c r="AE55">
        <v>5834.62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245</v>
      </c>
      <c r="AU55" t="s">
        <v>3</v>
      </c>
      <c r="AV55">
        <v>0</v>
      </c>
      <c r="AW55">
        <v>2</v>
      </c>
      <c r="AX55">
        <v>36602898</v>
      </c>
      <c r="AY55">
        <v>1</v>
      </c>
      <c r="AZ55">
        <v>0</v>
      </c>
      <c r="BA55">
        <v>56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Y55*Source!I36</f>
        <v>5.39</v>
      </c>
      <c r="CY55">
        <f>AA55</f>
        <v>5834.62</v>
      </c>
      <c r="CZ55">
        <f>AE55</f>
        <v>5834.62</v>
      </c>
      <c r="DA55">
        <f>AI55</f>
        <v>1</v>
      </c>
      <c r="DB55">
        <f t="shared" si="2"/>
        <v>1429481.9</v>
      </c>
      <c r="DC55">
        <f t="shared" si="3"/>
        <v>0</v>
      </c>
    </row>
    <row r="56" spans="1:107" x14ac:dyDescent="0.2">
      <c r="A56">
        <f>ROW(Source!A36)</f>
        <v>36</v>
      </c>
      <c r="B56">
        <v>36602762</v>
      </c>
      <c r="C56">
        <v>36602891</v>
      </c>
      <c r="D56">
        <v>36295413</v>
      </c>
      <c r="E56">
        <v>1</v>
      </c>
      <c r="F56">
        <v>1</v>
      </c>
      <c r="G56">
        <v>31</v>
      </c>
      <c r="H56">
        <v>3</v>
      </c>
      <c r="I56" t="s">
        <v>61</v>
      </c>
      <c r="J56" t="s">
        <v>64</v>
      </c>
      <c r="K56" t="s">
        <v>62</v>
      </c>
      <c r="L56">
        <v>1348</v>
      </c>
      <c r="N56">
        <v>1009</v>
      </c>
      <c r="O56" t="s">
        <v>63</v>
      </c>
      <c r="P56" t="s">
        <v>63</v>
      </c>
      <c r="Q56">
        <v>1000</v>
      </c>
      <c r="W56">
        <v>0</v>
      </c>
      <c r="X56">
        <v>28246506</v>
      </c>
      <c r="Y56">
        <v>5</v>
      </c>
      <c r="AA56">
        <v>45378.52</v>
      </c>
      <c r="AB56">
        <v>0</v>
      </c>
      <c r="AC56">
        <v>0</v>
      </c>
      <c r="AD56">
        <v>0</v>
      </c>
      <c r="AE56">
        <v>45378.52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3</v>
      </c>
      <c r="AT56">
        <v>5</v>
      </c>
      <c r="AU56" t="s">
        <v>3</v>
      </c>
      <c r="AV56">
        <v>0</v>
      </c>
      <c r="AW56">
        <v>1</v>
      </c>
      <c r="AX56">
        <v>-1</v>
      </c>
      <c r="AY56">
        <v>0</v>
      </c>
      <c r="AZ56">
        <v>0</v>
      </c>
      <c r="BA56" t="s">
        <v>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Y56*Source!I36</f>
        <v>0.10999999999999999</v>
      </c>
      <c r="CY56">
        <f>AA56</f>
        <v>45378.52</v>
      </c>
      <c r="CZ56">
        <f>AE56</f>
        <v>45378.52</v>
      </c>
      <c r="DA56">
        <f>AI56</f>
        <v>1</v>
      </c>
      <c r="DB56">
        <f t="shared" si="2"/>
        <v>226892.6</v>
      </c>
      <c r="DC56">
        <f t="shared" si="3"/>
        <v>0</v>
      </c>
    </row>
    <row r="57" spans="1:107" x14ac:dyDescent="0.2">
      <c r="A57">
        <f>ROW(Source!A38)</f>
        <v>38</v>
      </c>
      <c r="B57">
        <v>36602762</v>
      </c>
      <c r="C57">
        <v>36602913</v>
      </c>
      <c r="D57">
        <v>36278558</v>
      </c>
      <c r="E57">
        <v>31</v>
      </c>
      <c r="F57">
        <v>1</v>
      </c>
      <c r="G57">
        <v>31</v>
      </c>
      <c r="H57">
        <v>1</v>
      </c>
      <c r="I57" t="s">
        <v>193</v>
      </c>
      <c r="J57" t="s">
        <v>3</v>
      </c>
      <c r="K57" t="s">
        <v>194</v>
      </c>
      <c r="L57">
        <v>1191</v>
      </c>
      <c r="N57">
        <v>1013</v>
      </c>
      <c r="O57" t="s">
        <v>195</v>
      </c>
      <c r="P57" t="s">
        <v>195</v>
      </c>
      <c r="Q57">
        <v>1</v>
      </c>
      <c r="W57">
        <v>0</v>
      </c>
      <c r="X57">
        <v>476480486</v>
      </c>
      <c r="Y57">
        <v>13.57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13.57</v>
      </c>
      <c r="AU57" t="s">
        <v>3</v>
      </c>
      <c r="AV57">
        <v>1</v>
      </c>
      <c r="AW57">
        <v>2</v>
      </c>
      <c r="AX57">
        <v>36602914</v>
      </c>
      <c r="AY57">
        <v>1</v>
      </c>
      <c r="AZ57">
        <v>0</v>
      </c>
      <c r="BA57">
        <v>57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Y57*Source!I38</f>
        <v>269.22879999999998</v>
      </c>
      <c r="CY57">
        <f>AD57</f>
        <v>0</v>
      </c>
      <c r="CZ57">
        <f>AH57</f>
        <v>0</v>
      </c>
      <c r="DA57">
        <f>AL57</f>
        <v>1</v>
      </c>
      <c r="DB57">
        <f t="shared" si="2"/>
        <v>0</v>
      </c>
      <c r="DC57">
        <f t="shared" si="3"/>
        <v>0</v>
      </c>
    </row>
    <row r="58" spans="1:107" x14ac:dyDescent="0.2">
      <c r="A58">
        <f>ROW(Source!A38)</f>
        <v>38</v>
      </c>
      <c r="B58">
        <v>36602762</v>
      </c>
      <c r="C58">
        <v>36602913</v>
      </c>
      <c r="D58">
        <v>36291331</v>
      </c>
      <c r="E58">
        <v>1</v>
      </c>
      <c r="F58">
        <v>1</v>
      </c>
      <c r="G58">
        <v>31</v>
      </c>
      <c r="H58">
        <v>2</v>
      </c>
      <c r="I58" t="s">
        <v>302</v>
      </c>
      <c r="J58" t="s">
        <v>303</v>
      </c>
      <c r="K58" t="s">
        <v>304</v>
      </c>
      <c r="L58">
        <v>1368</v>
      </c>
      <c r="N58">
        <v>1011</v>
      </c>
      <c r="O58" t="s">
        <v>199</v>
      </c>
      <c r="P58" t="s">
        <v>199</v>
      </c>
      <c r="Q58">
        <v>1</v>
      </c>
      <c r="W58">
        <v>0</v>
      </c>
      <c r="X58">
        <v>720420901</v>
      </c>
      <c r="Y58">
        <v>0.46</v>
      </c>
      <c r="AA58">
        <v>0</v>
      </c>
      <c r="AB58">
        <v>994.61</v>
      </c>
      <c r="AC58">
        <v>437.41</v>
      </c>
      <c r="AD58">
        <v>0</v>
      </c>
      <c r="AE58">
        <v>0</v>
      </c>
      <c r="AF58">
        <v>994.61</v>
      </c>
      <c r="AG58">
        <v>437.41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0.46</v>
      </c>
      <c r="AU58" t="s">
        <v>3</v>
      </c>
      <c r="AV58">
        <v>0</v>
      </c>
      <c r="AW58">
        <v>2</v>
      </c>
      <c r="AX58">
        <v>36602915</v>
      </c>
      <c r="AY58">
        <v>1</v>
      </c>
      <c r="AZ58">
        <v>0</v>
      </c>
      <c r="BA58">
        <v>58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Y58*Source!I38</f>
        <v>9.1264000000000003</v>
      </c>
      <c r="CY58">
        <f>AB58</f>
        <v>994.61</v>
      </c>
      <c r="CZ58">
        <f>AF58</f>
        <v>994.61</v>
      </c>
      <c r="DA58">
        <f>AJ58</f>
        <v>1</v>
      </c>
      <c r="DB58">
        <f t="shared" si="2"/>
        <v>457.52</v>
      </c>
      <c r="DC58">
        <f t="shared" si="3"/>
        <v>201.21</v>
      </c>
    </row>
    <row r="59" spans="1:107" x14ac:dyDescent="0.2">
      <c r="A59">
        <f>ROW(Source!A38)</f>
        <v>38</v>
      </c>
      <c r="B59">
        <v>36602762</v>
      </c>
      <c r="C59">
        <v>36602913</v>
      </c>
      <c r="D59">
        <v>36291332</v>
      </c>
      <c r="E59">
        <v>1</v>
      </c>
      <c r="F59">
        <v>1</v>
      </c>
      <c r="G59">
        <v>31</v>
      </c>
      <c r="H59">
        <v>2</v>
      </c>
      <c r="I59" t="s">
        <v>305</v>
      </c>
      <c r="J59" t="s">
        <v>306</v>
      </c>
      <c r="K59" t="s">
        <v>307</v>
      </c>
      <c r="L59">
        <v>1368</v>
      </c>
      <c r="N59">
        <v>1011</v>
      </c>
      <c r="O59" t="s">
        <v>199</v>
      </c>
      <c r="P59" t="s">
        <v>199</v>
      </c>
      <c r="Q59">
        <v>1</v>
      </c>
      <c r="W59">
        <v>0</v>
      </c>
      <c r="X59">
        <v>1567690415</v>
      </c>
      <c r="Y59">
        <v>1.39</v>
      </c>
      <c r="AA59">
        <v>0</v>
      </c>
      <c r="AB59">
        <v>967.78</v>
      </c>
      <c r="AC59">
        <v>588.76</v>
      </c>
      <c r="AD59">
        <v>0</v>
      </c>
      <c r="AE59">
        <v>0</v>
      </c>
      <c r="AF59">
        <v>967.78</v>
      </c>
      <c r="AG59">
        <v>588.76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1.39</v>
      </c>
      <c r="AU59" t="s">
        <v>3</v>
      </c>
      <c r="AV59">
        <v>0</v>
      </c>
      <c r="AW59">
        <v>2</v>
      </c>
      <c r="AX59">
        <v>36602916</v>
      </c>
      <c r="AY59">
        <v>1</v>
      </c>
      <c r="AZ59">
        <v>0</v>
      </c>
      <c r="BA59">
        <v>59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Y59*Source!I38</f>
        <v>27.577599999999997</v>
      </c>
      <c r="CY59">
        <f>AB59</f>
        <v>967.78</v>
      </c>
      <c r="CZ59">
        <f>AF59</f>
        <v>967.78</v>
      </c>
      <c r="DA59">
        <f>AJ59</f>
        <v>1</v>
      </c>
      <c r="DB59">
        <f t="shared" si="2"/>
        <v>1345.21</v>
      </c>
      <c r="DC59">
        <f t="shared" si="3"/>
        <v>818.38</v>
      </c>
    </row>
    <row r="60" spans="1:107" x14ac:dyDescent="0.2">
      <c r="A60">
        <f>ROW(Source!A38)</f>
        <v>38</v>
      </c>
      <c r="B60">
        <v>36602762</v>
      </c>
      <c r="C60">
        <v>36602913</v>
      </c>
      <c r="D60">
        <v>36295325</v>
      </c>
      <c r="E60">
        <v>1</v>
      </c>
      <c r="F60">
        <v>1</v>
      </c>
      <c r="G60">
        <v>31</v>
      </c>
      <c r="H60">
        <v>3</v>
      </c>
      <c r="I60" t="s">
        <v>308</v>
      </c>
      <c r="J60" t="s">
        <v>309</v>
      </c>
      <c r="K60" t="s">
        <v>310</v>
      </c>
      <c r="L60">
        <v>1348</v>
      </c>
      <c r="N60">
        <v>1009</v>
      </c>
      <c r="O60" t="s">
        <v>63</v>
      </c>
      <c r="P60" t="s">
        <v>63</v>
      </c>
      <c r="Q60">
        <v>1000</v>
      </c>
      <c r="W60">
        <v>0</v>
      </c>
      <c r="X60">
        <v>-63334633</v>
      </c>
      <c r="Y60">
        <v>9.58</v>
      </c>
      <c r="AA60">
        <v>4087.58</v>
      </c>
      <c r="AB60">
        <v>0</v>
      </c>
      <c r="AC60">
        <v>0</v>
      </c>
      <c r="AD60">
        <v>0</v>
      </c>
      <c r="AE60">
        <v>4087.58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9.58</v>
      </c>
      <c r="AU60" t="s">
        <v>3</v>
      </c>
      <c r="AV60">
        <v>0</v>
      </c>
      <c r="AW60">
        <v>2</v>
      </c>
      <c r="AX60">
        <v>36602917</v>
      </c>
      <c r="AY60">
        <v>1</v>
      </c>
      <c r="AZ60">
        <v>0</v>
      </c>
      <c r="BA60">
        <v>60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Y60*Source!I38</f>
        <v>190.06720000000001</v>
      </c>
      <c r="CY60">
        <f>AA60</f>
        <v>4087.58</v>
      </c>
      <c r="CZ60">
        <f>AE60</f>
        <v>4087.58</v>
      </c>
      <c r="DA60">
        <f>AI60</f>
        <v>1</v>
      </c>
      <c r="DB60">
        <f t="shared" si="2"/>
        <v>39159.019999999997</v>
      </c>
      <c r="DC60">
        <f t="shared" si="3"/>
        <v>0</v>
      </c>
    </row>
    <row r="61" spans="1:107" x14ac:dyDescent="0.2">
      <c r="A61">
        <f>ROW(Source!A39)</f>
        <v>39</v>
      </c>
      <c r="B61">
        <v>36602762</v>
      </c>
      <c r="C61">
        <v>36602919</v>
      </c>
      <c r="D61">
        <v>36278558</v>
      </c>
      <c r="E61">
        <v>31</v>
      </c>
      <c r="F61">
        <v>1</v>
      </c>
      <c r="G61">
        <v>31</v>
      </c>
      <c r="H61">
        <v>1</v>
      </c>
      <c r="I61" t="s">
        <v>193</v>
      </c>
      <c r="J61" t="s">
        <v>3</v>
      </c>
      <c r="K61" t="s">
        <v>194</v>
      </c>
      <c r="L61">
        <v>1191</v>
      </c>
      <c r="N61">
        <v>1013</v>
      </c>
      <c r="O61" t="s">
        <v>195</v>
      </c>
      <c r="P61" t="s">
        <v>195</v>
      </c>
      <c r="Q61">
        <v>1</v>
      </c>
      <c r="W61">
        <v>0</v>
      </c>
      <c r="X61">
        <v>476480486</v>
      </c>
      <c r="Y61">
        <v>5.34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1</v>
      </c>
      <c r="AQ61">
        <v>0</v>
      </c>
      <c r="AR61">
        <v>0</v>
      </c>
      <c r="AS61" t="s">
        <v>3</v>
      </c>
      <c r="AT61">
        <v>2.67</v>
      </c>
      <c r="AU61" t="s">
        <v>74</v>
      </c>
      <c r="AV61">
        <v>1</v>
      </c>
      <c r="AW61">
        <v>2</v>
      </c>
      <c r="AX61">
        <v>36602920</v>
      </c>
      <c r="AY61">
        <v>1</v>
      </c>
      <c r="AZ61">
        <v>0</v>
      </c>
      <c r="BA61">
        <v>61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Y61*Source!I39</f>
        <v>105.9456</v>
      </c>
      <c r="CY61">
        <f>AD61</f>
        <v>0</v>
      </c>
      <c r="CZ61">
        <f>AH61</f>
        <v>0</v>
      </c>
      <c r="DA61">
        <f>AL61</f>
        <v>1</v>
      </c>
      <c r="DB61">
        <f>ROUND((ROUND(AT61*CZ61,2)*2),6)</f>
        <v>0</v>
      </c>
      <c r="DC61">
        <f>ROUND((ROUND(AT61*AG61,2)*2),6)</f>
        <v>0</v>
      </c>
    </row>
    <row r="62" spans="1:107" x14ac:dyDescent="0.2">
      <c r="A62">
        <f>ROW(Source!A39)</f>
        <v>39</v>
      </c>
      <c r="B62">
        <v>36602762</v>
      </c>
      <c r="C62">
        <v>36602919</v>
      </c>
      <c r="D62">
        <v>36295310</v>
      </c>
      <c r="E62">
        <v>1</v>
      </c>
      <c r="F62">
        <v>1</v>
      </c>
      <c r="G62">
        <v>31</v>
      </c>
      <c r="H62">
        <v>3</v>
      </c>
      <c r="I62" t="s">
        <v>311</v>
      </c>
      <c r="J62" t="s">
        <v>312</v>
      </c>
      <c r="K62" t="s">
        <v>313</v>
      </c>
      <c r="L62">
        <v>1348</v>
      </c>
      <c r="N62">
        <v>1009</v>
      </c>
      <c r="O62" t="s">
        <v>63</v>
      </c>
      <c r="P62" t="s">
        <v>63</v>
      </c>
      <c r="Q62">
        <v>1000</v>
      </c>
      <c r="W62">
        <v>0</v>
      </c>
      <c r="X62">
        <v>-1645734391</v>
      </c>
      <c r="Y62">
        <v>2.42</v>
      </c>
      <c r="AA62">
        <v>3812.18</v>
      </c>
      <c r="AB62">
        <v>0</v>
      </c>
      <c r="AC62">
        <v>0</v>
      </c>
      <c r="AD62">
        <v>0</v>
      </c>
      <c r="AE62">
        <v>3812.18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1</v>
      </c>
      <c r="AQ62">
        <v>0</v>
      </c>
      <c r="AR62">
        <v>0</v>
      </c>
      <c r="AS62" t="s">
        <v>3</v>
      </c>
      <c r="AT62">
        <v>1.21</v>
      </c>
      <c r="AU62" t="s">
        <v>74</v>
      </c>
      <c r="AV62">
        <v>0</v>
      </c>
      <c r="AW62">
        <v>2</v>
      </c>
      <c r="AX62">
        <v>36602921</v>
      </c>
      <c r="AY62">
        <v>1</v>
      </c>
      <c r="AZ62">
        <v>0</v>
      </c>
      <c r="BA62">
        <v>62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Y62*Source!I39</f>
        <v>48.012799999999999</v>
      </c>
      <c r="CY62">
        <f>AA62</f>
        <v>3812.18</v>
      </c>
      <c r="CZ62">
        <f>AE62</f>
        <v>3812.18</v>
      </c>
      <c r="DA62">
        <f>AI62</f>
        <v>1</v>
      </c>
      <c r="DB62">
        <f>ROUND((ROUND(AT62*CZ62,2)*2),6)</f>
        <v>9225.48</v>
      </c>
      <c r="DC62">
        <f>ROUND((ROUND(AT62*AG62,2)*2),6)</f>
        <v>0</v>
      </c>
    </row>
    <row r="63" spans="1:107" x14ac:dyDescent="0.2">
      <c r="A63">
        <f>ROW(Source!A75)</f>
        <v>75</v>
      </c>
      <c r="B63">
        <v>36602762</v>
      </c>
      <c r="C63">
        <v>36602981</v>
      </c>
      <c r="D63">
        <v>36278558</v>
      </c>
      <c r="E63">
        <v>31</v>
      </c>
      <c r="F63">
        <v>1</v>
      </c>
      <c r="G63">
        <v>31</v>
      </c>
      <c r="H63">
        <v>1</v>
      </c>
      <c r="I63" t="s">
        <v>193</v>
      </c>
      <c r="J63" t="s">
        <v>3</v>
      </c>
      <c r="K63" t="s">
        <v>194</v>
      </c>
      <c r="L63">
        <v>1191</v>
      </c>
      <c r="N63">
        <v>1013</v>
      </c>
      <c r="O63" t="s">
        <v>195</v>
      </c>
      <c r="P63" t="s">
        <v>195</v>
      </c>
      <c r="Q63">
        <v>1</v>
      </c>
      <c r="W63">
        <v>0</v>
      </c>
      <c r="X63">
        <v>476480486</v>
      </c>
      <c r="Y63">
        <v>49.5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49.5</v>
      </c>
      <c r="AU63" t="s">
        <v>3</v>
      </c>
      <c r="AV63">
        <v>1</v>
      </c>
      <c r="AW63">
        <v>2</v>
      </c>
      <c r="AX63">
        <v>36602982</v>
      </c>
      <c r="AY63">
        <v>1</v>
      </c>
      <c r="AZ63">
        <v>0</v>
      </c>
      <c r="BA63">
        <v>63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Y63*Source!I75</f>
        <v>7.1279999999999992</v>
      </c>
      <c r="CY63">
        <f>AD63</f>
        <v>0</v>
      </c>
      <c r="CZ63">
        <f>AH63</f>
        <v>0</v>
      </c>
      <c r="DA63">
        <f>AL63</f>
        <v>1</v>
      </c>
      <c r="DB63">
        <f t="shared" ref="DB63:DB102" si="7">ROUND(ROUND(AT63*CZ63,2),6)</f>
        <v>0</v>
      </c>
      <c r="DC63">
        <f t="shared" ref="DC63:DC102" si="8">ROUND(ROUND(AT63*AG63,2),6)</f>
        <v>0</v>
      </c>
    </row>
    <row r="64" spans="1:107" x14ac:dyDescent="0.2">
      <c r="A64">
        <f>ROW(Source!A75)</f>
        <v>75</v>
      </c>
      <c r="B64">
        <v>36602762</v>
      </c>
      <c r="C64">
        <v>36602981</v>
      </c>
      <c r="D64">
        <v>36291161</v>
      </c>
      <c r="E64">
        <v>1</v>
      </c>
      <c r="F64">
        <v>1</v>
      </c>
      <c r="G64">
        <v>31</v>
      </c>
      <c r="H64">
        <v>2</v>
      </c>
      <c r="I64" t="s">
        <v>225</v>
      </c>
      <c r="J64" t="s">
        <v>226</v>
      </c>
      <c r="K64" t="s">
        <v>227</v>
      </c>
      <c r="L64">
        <v>1368</v>
      </c>
      <c r="N64">
        <v>1011</v>
      </c>
      <c r="O64" t="s">
        <v>199</v>
      </c>
      <c r="P64" t="s">
        <v>199</v>
      </c>
      <c r="Q64">
        <v>1</v>
      </c>
      <c r="W64">
        <v>0</v>
      </c>
      <c r="X64">
        <v>-1489544745</v>
      </c>
      <c r="Y64">
        <v>2.87</v>
      </c>
      <c r="AA64">
        <v>0</v>
      </c>
      <c r="AB64">
        <v>1078.49</v>
      </c>
      <c r="AC64">
        <v>396.28</v>
      </c>
      <c r="AD64">
        <v>0</v>
      </c>
      <c r="AE64">
        <v>0</v>
      </c>
      <c r="AF64">
        <v>1078.49</v>
      </c>
      <c r="AG64">
        <v>396.28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2.87</v>
      </c>
      <c r="AU64" t="s">
        <v>3</v>
      </c>
      <c r="AV64">
        <v>0</v>
      </c>
      <c r="AW64">
        <v>2</v>
      </c>
      <c r="AX64">
        <v>36602983</v>
      </c>
      <c r="AY64">
        <v>1</v>
      </c>
      <c r="AZ64">
        <v>0</v>
      </c>
      <c r="BA64">
        <v>64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Y64*Source!I75</f>
        <v>0.41327999999999998</v>
      </c>
      <c r="CY64">
        <f>AB64</f>
        <v>1078.49</v>
      </c>
      <c r="CZ64">
        <f>AF64</f>
        <v>1078.49</v>
      </c>
      <c r="DA64">
        <f>AJ64</f>
        <v>1</v>
      </c>
      <c r="DB64">
        <f t="shared" si="7"/>
        <v>3095.27</v>
      </c>
      <c r="DC64">
        <f t="shared" si="8"/>
        <v>1137.32</v>
      </c>
    </row>
    <row r="65" spans="1:107" x14ac:dyDescent="0.2">
      <c r="A65">
        <f>ROW(Source!A75)</f>
        <v>75</v>
      </c>
      <c r="B65">
        <v>36602762</v>
      </c>
      <c r="C65">
        <v>36602981</v>
      </c>
      <c r="D65">
        <v>36291140</v>
      </c>
      <c r="E65">
        <v>1</v>
      </c>
      <c r="F65">
        <v>1</v>
      </c>
      <c r="G65">
        <v>31</v>
      </c>
      <c r="H65">
        <v>2</v>
      </c>
      <c r="I65" t="s">
        <v>228</v>
      </c>
      <c r="J65" t="s">
        <v>229</v>
      </c>
      <c r="K65" t="s">
        <v>230</v>
      </c>
      <c r="L65">
        <v>1368</v>
      </c>
      <c r="N65">
        <v>1011</v>
      </c>
      <c r="O65" t="s">
        <v>199</v>
      </c>
      <c r="P65" t="s">
        <v>199</v>
      </c>
      <c r="Q65">
        <v>1</v>
      </c>
      <c r="W65">
        <v>0</v>
      </c>
      <c r="X65">
        <v>-1582515510</v>
      </c>
      <c r="Y65">
        <v>7.86</v>
      </c>
      <c r="AA65">
        <v>0</v>
      </c>
      <c r="AB65">
        <v>1653.15</v>
      </c>
      <c r="AC65">
        <v>530.53</v>
      </c>
      <c r="AD65">
        <v>0</v>
      </c>
      <c r="AE65">
        <v>0</v>
      </c>
      <c r="AF65">
        <v>1653.15</v>
      </c>
      <c r="AG65">
        <v>530.53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7.86</v>
      </c>
      <c r="AU65" t="s">
        <v>3</v>
      </c>
      <c r="AV65">
        <v>0</v>
      </c>
      <c r="AW65">
        <v>2</v>
      </c>
      <c r="AX65">
        <v>36602984</v>
      </c>
      <c r="AY65">
        <v>1</v>
      </c>
      <c r="AZ65">
        <v>0</v>
      </c>
      <c r="BA65">
        <v>65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Y65*Source!I75</f>
        <v>1.13184</v>
      </c>
      <c r="CY65">
        <f>AB65</f>
        <v>1653.15</v>
      </c>
      <c r="CZ65">
        <f>AF65</f>
        <v>1653.15</v>
      </c>
      <c r="DA65">
        <f>AJ65</f>
        <v>1</v>
      </c>
      <c r="DB65">
        <f t="shared" si="7"/>
        <v>12993.76</v>
      </c>
      <c r="DC65">
        <f t="shared" si="8"/>
        <v>4169.97</v>
      </c>
    </row>
    <row r="66" spans="1:107" x14ac:dyDescent="0.2">
      <c r="A66">
        <f>ROW(Source!A76)</f>
        <v>76</v>
      </c>
      <c r="B66">
        <v>36602762</v>
      </c>
      <c r="C66">
        <v>36604338</v>
      </c>
      <c r="D66">
        <v>36278558</v>
      </c>
      <c r="E66">
        <v>31</v>
      </c>
      <c r="F66">
        <v>1</v>
      </c>
      <c r="G66">
        <v>31</v>
      </c>
      <c r="H66">
        <v>1</v>
      </c>
      <c r="I66" t="s">
        <v>193</v>
      </c>
      <c r="J66" t="s">
        <v>3</v>
      </c>
      <c r="K66" t="s">
        <v>194</v>
      </c>
      <c r="L66">
        <v>1191</v>
      </c>
      <c r="N66">
        <v>1013</v>
      </c>
      <c r="O66" t="s">
        <v>195</v>
      </c>
      <c r="P66" t="s">
        <v>195</v>
      </c>
      <c r="Q66">
        <v>1</v>
      </c>
      <c r="W66">
        <v>0</v>
      </c>
      <c r="X66">
        <v>476480486</v>
      </c>
      <c r="Y66">
        <v>2.2200000000000002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2.2200000000000002</v>
      </c>
      <c r="AU66" t="s">
        <v>3</v>
      </c>
      <c r="AV66">
        <v>1</v>
      </c>
      <c r="AW66">
        <v>2</v>
      </c>
      <c r="AX66">
        <v>36604342</v>
      </c>
      <c r="AY66">
        <v>1</v>
      </c>
      <c r="AZ66">
        <v>0</v>
      </c>
      <c r="BA66">
        <v>66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Y66*Source!I76</f>
        <v>0.31968000000000002</v>
      </c>
      <c r="CY66">
        <f>AD66</f>
        <v>0</v>
      </c>
      <c r="CZ66">
        <f>AH66</f>
        <v>0</v>
      </c>
      <c r="DA66">
        <f>AL66</f>
        <v>1</v>
      </c>
      <c r="DB66">
        <f t="shared" si="7"/>
        <v>0</v>
      </c>
      <c r="DC66">
        <f t="shared" si="8"/>
        <v>0</v>
      </c>
    </row>
    <row r="67" spans="1:107" x14ac:dyDescent="0.2">
      <c r="A67">
        <f>ROW(Source!A76)</f>
        <v>76</v>
      </c>
      <c r="B67">
        <v>36602762</v>
      </c>
      <c r="C67">
        <v>36604338</v>
      </c>
      <c r="D67">
        <v>36291138</v>
      </c>
      <c r="E67">
        <v>1</v>
      </c>
      <c r="F67">
        <v>1</v>
      </c>
      <c r="G67">
        <v>31</v>
      </c>
      <c r="H67">
        <v>2</v>
      </c>
      <c r="I67" t="s">
        <v>314</v>
      </c>
      <c r="J67" t="s">
        <v>315</v>
      </c>
      <c r="K67" t="s">
        <v>316</v>
      </c>
      <c r="L67">
        <v>1368</v>
      </c>
      <c r="N67">
        <v>1011</v>
      </c>
      <c r="O67" t="s">
        <v>199</v>
      </c>
      <c r="P67" t="s">
        <v>199</v>
      </c>
      <c r="Q67">
        <v>1</v>
      </c>
      <c r="W67">
        <v>0</v>
      </c>
      <c r="X67">
        <v>-577170421</v>
      </c>
      <c r="Y67">
        <v>6.02</v>
      </c>
      <c r="AA67">
        <v>0</v>
      </c>
      <c r="AB67">
        <v>1343.87</v>
      </c>
      <c r="AC67">
        <v>623.23</v>
      </c>
      <c r="AD67">
        <v>0</v>
      </c>
      <c r="AE67">
        <v>0</v>
      </c>
      <c r="AF67">
        <v>1343.87</v>
      </c>
      <c r="AG67">
        <v>623.23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6.02</v>
      </c>
      <c r="AU67" t="s">
        <v>3</v>
      </c>
      <c r="AV67">
        <v>0</v>
      </c>
      <c r="AW67">
        <v>2</v>
      </c>
      <c r="AX67">
        <v>36604343</v>
      </c>
      <c r="AY67">
        <v>1</v>
      </c>
      <c r="AZ67">
        <v>0</v>
      </c>
      <c r="BA67">
        <v>67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Y67*Source!I76</f>
        <v>0.86687999999999987</v>
      </c>
      <c r="CY67">
        <f>AB67</f>
        <v>1343.87</v>
      </c>
      <c r="CZ67">
        <f>AF67</f>
        <v>1343.87</v>
      </c>
      <c r="DA67">
        <f>AJ67</f>
        <v>1</v>
      </c>
      <c r="DB67">
        <f t="shared" si="7"/>
        <v>8090.1</v>
      </c>
      <c r="DC67">
        <f t="shared" si="8"/>
        <v>3751.84</v>
      </c>
    </row>
    <row r="68" spans="1:107" x14ac:dyDescent="0.2">
      <c r="A68">
        <f>ROW(Source!A76)</f>
        <v>76</v>
      </c>
      <c r="B68">
        <v>36602762</v>
      </c>
      <c r="C68">
        <v>36604338</v>
      </c>
      <c r="D68">
        <v>36291161</v>
      </c>
      <c r="E68">
        <v>1</v>
      </c>
      <c r="F68">
        <v>1</v>
      </c>
      <c r="G68">
        <v>31</v>
      </c>
      <c r="H68">
        <v>2</v>
      </c>
      <c r="I68" t="s">
        <v>225</v>
      </c>
      <c r="J68" t="s">
        <v>226</v>
      </c>
      <c r="K68" t="s">
        <v>227</v>
      </c>
      <c r="L68">
        <v>1368</v>
      </c>
      <c r="N68">
        <v>1011</v>
      </c>
      <c r="O68" t="s">
        <v>199</v>
      </c>
      <c r="P68" t="s">
        <v>199</v>
      </c>
      <c r="Q68">
        <v>1</v>
      </c>
      <c r="W68">
        <v>0</v>
      </c>
      <c r="X68">
        <v>-1489544745</v>
      </c>
      <c r="Y68">
        <v>1.75</v>
      </c>
      <c r="AA68">
        <v>0</v>
      </c>
      <c r="AB68">
        <v>1078.49</v>
      </c>
      <c r="AC68">
        <v>396.28</v>
      </c>
      <c r="AD68">
        <v>0</v>
      </c>
      <c r="AE68">
        <v>0</v>
      </c>
      <c r="AF68">
        <v>1078.49</v>
      </c>
      <c r="AG68">
        <v>396.28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1.75</v>
      </c>
      <c r="AU68" t="s">
        <v>3</v>
      </c>
      <c r="AV68">
        <v>0</v>
      </c>
      <c r="AW68">
        <v>2</v>
      </c>
      <c r="AX68">
        <v>36604344</v>
      </c>
      <c r="AY68">
        <v>1</v>
      </c>
      <c r="AZ68">
        <v>0</v>
      </c>
      <c r="BA68">
        <v>68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Y68*Source!I76</f>
        <v>0.252</v>
      </c>
      <c r="CY68">
        <f>AB68</f>
        <v>1078.49</v>
      </c>
      <c r="CZ68">
        <f>AF68</f>
        <v>1078.49</v>
      </c>
      <c r="DA68">
        <f>AJ68</f>
        <v>1</v>
      </c>
      <c r="DB68">
        <f t="shared" si="7"/>
        <v>1887.36</v>
      </c>
      <c r="DC68">
        <f t="shared" si="8"/>
        <v>693.49</v>
      </c>
    </row>
    <row r="69" spans="1:107" x14ac:dyDescent="0.2">
      <c r="A69">
        <f>ROW(Source!A77)</f>
        <v>77</v>
      </c>
      <c r="B69">
        <v>36602762</v>
      </c>
      <c r="C69">
        <v>36602986</v>
      </c>
      <c r="D69">
        <v>36278558</v>
      </c>
      <c r="E69">
        <v>31</v>
      </c>
      <c r="F69">
        <v>1</v>
      </c>
      <c r="G69">
        <v>31</v>
      </c>
      <c r="H69">
        <v>1</v>
      </c>
      <c r="I69" t="s">
        <v>193</v>
      </c>
      <c r="J69" t="s">
        <v>3</v>
      </c>
      <c r="K69" t="s">
        <v>194</v>
      </c>
      <c r="L69">
        <v>1191</v>
      </c>
      <c r="N69">
        <v>1013</v>
      </c>
      <c r="O69" t="s">
        <v>195</v>
      </c>
      <c r="P69" t="s">
        <v>195</v>
      </c>
      <c r="Q69">
        <v>1</v>
      </c>
      <c r="W69">
        <v>0</v>
      </c>
      <c r="X69">
        <v>476480486</v>
      </c>
      <c r="Y69">
        <v>80.27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80.27</v>
      </c>
      <c r="AU69" t="s">
        <v>3</v>
      </c>
      <c r="AV69">
        <v>1</v>
      </c>
      <c r="AW69">
        <v>2</v>
      </c>
      <c r="AX69">
        <v>36602987</v>
      </c>
      <c r="AY69">
        <v>1</v>
      </c>
      <c r="AZ69">
        <v>0</v>
      </c>
      <c r="BA69">
        <v>69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Y69*Source!I77</f>
        <v>115.58879999999999</v>
      </c>
      <c r="CY69">
        <f>AD69</f>
        <v>0</v>
      </c>
      <c r="CZ69">
        <f>AH69</f>
        <v>0</v>
      </c>
      <c r="DA69">
        <f>AL69</f>
        <v>1</v>
      </c>
      <c r="DB69">
        <f t="shared" si="7"/>
        <v>0</v>
      </c>
      <c r="DC69">
        <f t="shared" si="8"/>
        <v>0</v>
      </c>
    </row>
    <row r="70" spans="1:107" x14ac:dyDescent="0.2">
      <c r="A70">
        <f>ROW(Source!A77)</f>
        <v>77</v>
      </c>
      <c r="B70">
        <v>36602762</v>
      </c>
      <c r="C70">
        <v>36602986</v>
      </c>
      <c r="D70">
        <v>36295112</v>
      </c>
      <c r="E70">
        <v>1</v>
      </c>
      <c r="F70">
        <v>1</v>
      </c>
      <c r="G70">
        <v>31</v>
      </c>
      <c r="H70">
        <v>3</v>
      </c>
      <c r="I70" t="s">
        <v>317</v>
      </c>
      <c r="J70" t="s">
        <v>318</v>
      </c>
      <c r="K70" t="s">
        <v>319</v>
      </c>
      <c r="L70">
        <v>1339</v>
      </c>
      <c r="N70">
        <v>1007</v>
      </c>
      <c r="O70" t="s">
        <v>179</v>
      </c>
      <c r="P70" t="s">
        <v>179</v>
      </c>
      <c r="Q70">
        <v>1</v>
      </c>
      <c r="W70">
        <v>0</v>
      </c>
      <c r="X70">
        <v>-53335581</v>
      </c>
      <c r="Y70">
        <v>3.9</v>
      </c>
      <c r="AA70">
        <v>5443.46</v>
      </c>
      <c r="AB70">
        <v>0</v>
      </c>
      <c r="AC70">
        <v>0</v>
      </c>
      <c r="AD70">
        <v>0</v>
      </c>
      <c r="AE70">
        <v>5443.46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3.9</v>
      </c>
      <c r="AU70" t="s">
        <v>3</v>
      </c>
      <c r="AV70">
        <v>0</v>
      </c>
      <c r="AW70">
        <v>2</v>
      </c>
      <c r="AX70">
        <v>36602988</v>
      </c>
      <c r="AY70">
        <v>1</v>
      </c>
      <c r="AZ70">
        <v>0</v>
      </c>
      <c r="BA70">
        <v>70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Y70*Source!I77</f>
        <v>5.6159999999999997</v>
      </c>
      <c r="CY70">
        <f>AA70</f>
        <v>5443.46</v>
      </c>
      <c r="CZ70">
        <f>AE70</f>
        <v>5443.46</v>
      </c>
      <c r="DA70">
        <f>AI70</f>
        <v>1</v>
      </c>
      <c r="DB70">
        <f t="shared" si="7"/>
        <v>21229.49</v>
      </c>
      <c r="DC70">
        <f t="shared" si="8"/>
        <v>0</v>
      </c>
    </row>
    <row r="71" spans="1:107" x14ac:dyDescent="0.2">
      <c r="A71">
        <f>ROW(Source!A77)</f>
        <v>77</v>
      </c>
      <c r="B71">
        <v>36602762</v>
      </c>
      <c r="C71">
        <v>36602986</v>
      </c>
      <c r="D71">
        <v>36295188</v>
      </c>
      <c r="E71">
        <v>1</v>
      </c>
      <c r="F71">
        <v>1</v>
      </c>
      <c r="G71">
        <v>31</v>
      </c>
      <c r="H71">
        <v>3</v>
      </c>
      <c r="I71" t="s">
        <v>243</v>
      </c>
      <c r="J71" t="s">
        <v>244</v>
      </c>
      <c r="K71" t="s">
        <v>245</v>
      </c>
      <c r="L71">
        <v>1339</v>
      </c>
      <c r="N71">
        <v>1007</v>
      </c>
      <c r="O71" t="s">
        <v>179</v>
      </c>
      <c r="P71" t="s">
        <v>179</v>
      </c>
      <c r="Q71">
        <v>1</v>
      </c>
      <c r="W71">
        <v>0</v>
      </c>
      <c r="X71">
        <v>-656046760</v>
      </c>
      <c r="Y71">
        <v>0.06</v>
      </c>
      <c r="AA71">
        <v>3977.01</v>
      </c>
      <c r="AB71">
        <v>0</v>
      </c>
      <c r="AC71">
        <v>0</v>
      </c>
      <c r="AD71">
        <v>0</v>
      </c>
      <c r="AE71">
        <v>3977.01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0.06</v>
      </c>
      <c r="AU71" t="s">
        <v>3</v>
      </c>
      <c r="AV71">
        <v>0</v>
      </c>
      <c r="AW71">
        <v>2</v>
      </c>
      <c r="AX71">
        <v>36602989</v>
      </c>
      <c r="AY71">
        <v>1</v>
      </c>
      <c r="AZ71">
        <v>0</v>
      </c>
      <c r="BA71">
        <v>71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Y71*Source!I77</f>
        <v>8.6399999999999991E-2</v>
      </c>
      <c r="CY71">
        <f>AA71</f>
        <v>3977.01</v>
      </c>
      <c r="CZ71">
        <f>AE71</f>
        <v>3977.01</v>
      </c>
      <c r="DA71">
        <f>AI71</f>
        <v>1</v>
      </c>
      <c r="DB71">
        <f t="shared" si="7"/>
        <v>238.62</v>
      </c>
      <c r="DC71">
        <f t="shared" si="8"/>
        <v>0</v>
      </c>
    </row>
    <row r="72" spans="1:107" x14ac:dyDescent="0.2">
      <c r="A72">
        <f>ROW(Source!A77)</f>
        <v>77</v>
      </c>
      <c r="B72">
        <v>36602762</v>
      </c>
      <c r="C72">
        <v>36602986</v>
      </c>
      <c r="D72">
        <v>36295969</v>
      </c>
      <c r="E72">
        <v>1</v>
      </c>
      <c r="F72">
        <v>1</v>
      </c>
      <c r="G72">
        <v>31</v>
      </c>
      <c r="H72">
        <v>3</v>
      </c>
      <c r="I72" t="s">
        <v>246</v>
      </c>
      <c r="J72" t="s">
        <v>247</v>
      </c>
      <c r="K72" t="s">
        <v>248</v>
      </c>
      <c r="L72">
        <v>1339</v>
      </c>
      <c r="N72">
        <v>1007</v>
      </c>
      <c r="O72" t="s">
        <v>179</v>
      </c>
      <c r="P72" t="s">
        <v>179</v>
      </c>
      <c r="Q72">
        <v>1</v>
      </c>
      <c r="W72">
        <v>0</v>
      </c>
      <c r="X72">
        <v>1584935712</v>
      </c>
      <c r="Y72">
        <v>4.3</v>
      </c>
      <c r="AA72">
        <v>10729.4</v>
      </c>
      <c r="AB72">
        <v>0</v>
      </c>
      <c r="AC72">
        <v>0</v>
      </c>
      <c r="AD72">
        <v>0</v>
      </c>
      <c r="AE72">
        <v>10729.4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4.3</v>
      </c>
      <c r="AU72" t="s">
        <v>3</v>
      </c>
      <c r="AV72">
        <v>0</v>
      </c>
      <c r="AW72">
        <v>2</v>
      </c>
      <c r="AX72">
        <v>36602990</v>
      </c>
      <c r="AY72">
        <v>1</v>
      </c>
      <c r="AZ72">
        <v>0</v>
      </c>
      <c r="BA72">
        <v>72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Y72*Source!I77</f>
        <v>6.1919999999999993</v>
      </c>
      <c r="CY72">
        <f>AA72</f>
        <v>10729.4</v>
      </c>
      <c r="CZ72">
        <f>AE72</f>
        <v>10729.4</v>
      </c>
      <c r="DA72">
        <f>AI72</f>
        <v>1</v>
      </c>
      <c r="DB72">
        <f t="shared" si="7"/>
        <v>46136.42</v>
      </c>
      <c r="DC72">
        <f t="shared" si="8"/>
        <v>0</v>
      </c>
    </row>
    <row r="73" spans="1:107" x14ac:dyDescent="0.2">
      <c r="A73">
        <f>ROW(Source!A78)</f>
        <v>78</v>
      </c>
      <c r="B73">
        <v>36602762</v>
      </c>
      <c r="C73">
        <v>36602992</v>
      </c>
      <c r="D73">
        <v>36278558</v>
      </c>
      <c r="E73">
        <v>31</v>
      </c>
      <c r="F73">
        <v>1</v>
      </c>
      <c r="G73">
        <v>31</v>
      </c>
      <c r="H73">
        <v>1</v>
      </c>
      <c r="I73" t="s">
        <v>193</v>
      </c>
      <c r="J73" t="s">
        <v>3</v>
      </c>
      <c r="K73" t="s">
        <v>194</v>
      </c>
      <c r="L73">
        <v>1191</v>
      </c>
      <c r="N73">
        <v>1013</v>
      </c>
      <c r="O73" t="s">
        <v>195</v>
      </c>
      <c r="P73" t="s">
        <v>195</v>
      </c>
      <c r="Q73">
        <v>1</v>
      </c>
      <c r="W73">
        <v>0</v>
      </c>
      <c r="X73">
        <v>476480486</v>
      </c>
      <c r="Y73">
        <v>16.559999999999999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16.559999999999999</v>
      </c>
      <c r="AU73" t="s">
        <v>3</v>
      </c>
      <c r="AV73">
        <v>1</v>
      </c>
      <c r="AW73">
        <v>2</v>
      </c>
      <c r="AX73">
        <v>36602993</v>
      </c>
      <c r="AY73">
        <v>1</v>
      </c>
      <c r="AZ73">
        <v>0</v>
      </c>
      <c r="BA73">
        <v>73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Y73*Source!I78</f>
        <v>1.1923199999999998</v>
      </c>
      <c r="CY73">
        <f>AD73</f>
        <v>0</v>
      </c>
      <c r="CZ73">
        <f>AH73</f>
        <v>0</v>
      </c>
      <c r="DA73">
        <f>AL73</f>
        <v>1</v>
      </c>
      <c r="DB73">
        <f t="shared" si="7"/>
        <v>0</v>
      </c>
      <c r="DC73">
        <f t="shared" si="8"/>
        <v>0</v>
      </c>
    </row>
    <row r="74" spans="1:107" x14ac:dyDescent="0.2">
      <c r="A74">
        <f>ROW(Source!A78)</f>
        <v>78</v>
      </c>
      <c r="B74">
        <v>36602762</v>
      </c>
      <c r="C74">
        <v>36602992</v>
      </c>
      <c r="D74">
        <v>36291184</v>
      </c>
      <c r="E74">
        <v>1</v>
      </c>
      <c r="F74">
        <v>1</v>
      </c>
      <c r="G74">
        <v>31</v>
      </c>
      <c r="H74">
        <v>2</v>
      </c>
      <c r="I74" t="s">
        <v>263</v>
      </c>
      <c r="J74" t="s">
        <v>264</v>
      </c>
      <c r="K74" t="s">
        <v>265</v>
      </c>
      <c r="L74">
        <v>1368</v>
      </c>
      <c r="N74">
        <v>1011</v>
      </c>
      <c r="O74" t="s">
        <v>199</v>
      </c>
      <c r="P74" t="s">
        <v>199</v>
      </c>
      <c r="Q74">
        <v>1</v>
      </c>
      <c r="W74">
        <v>0</v>
      </c>
      <c r="X74">
        <v>1495467491</v>
      </c>
      <c r="Y74">
        <v>2.08</v>
      </c>
      <c r="AA74">
        <v>0</v>
      </c>
      <c r="AB74">
        <v>827.88</v>
      </c>
      <c r="AC74">
        <v>455.57</v>
      </c>
      <c r="AD74">
        <v>0</v>
      </c>
      <c r="AE74">
        <v>0</v>
      </c>
      <c r="AF74">
        <v>827.88</v>
      </c>
      <c r="AG74">
        <v>455.57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2.08</v>
      </c>
      <c r="AU74" t="s">
        <v>3</v>
      </c>
      <c r="AV74">
        <v>0</v>
      </c>
      <c r="AW74">
        <v>2</v>
      </c>
      <c r="AX74">
        <v>36602994</v>
      </c>
      <c r="AY74">
        <v>1</v>
      </c>
      <c r="AZ74">
        <v>0</v>
      </c>
      <c r="BA74">
        <v>74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Y74*Source!I78</f>
        <v>0.14976</v>
      </c>
      <c r="CY74">
        <f>AB74</f>
        <v>827.88</v>
      </c>
      <c r="CZ74">
        <f>AF74</f>
        <v>827.88</v>
      </c>
      <c r="DA74">
        <f>AJ74</f>
        <v>1</v>
      </c>
      <c r="DB74">
        <f t="shared" si="7"/>
        <v>1721.99</v>
      </c>
      <c r="DC74">
        <f t="shared" si="8"/>
        <v>947.59</v>
      </c>
    </row>
    <row r="75" spans="1:107" x14ac:dyDescent="0.2">
      <c r="A75">
        <f>ROW(Source!A78)</f>
        <v>78</v>
      </c>
      <c r="B75">
        <v>36602762</v>
      </c>
      <c r="C75">
        <v>36602992</v>
      </c>
      <c r="D75">
        <v>36291341</v>
      </c>
      <c r="E75">
        <v>1</v>
      </c>
      <c r="F75">
        <v>1</v>
      </c>
      <c r="G75">
        <v>31</v>
      </c>
      <c r="H75">
        <v>2</v>
      </c>
      <c r="I75" t="s">
        <v>266</v>
      </c>
      <c r="J75" t="s">
        <v>267</v>
      </c>
      <c r="K75" t="s">
        <v>268</v>
      </c>
      <c r="L75">
        <v>1368</v>
      </c>
      <c r="N75">
        <v>1011</v>
      </c>
      <c r="O75" t="s">
        <v>199</v>
      </c>
      <c r="P75" t="s">
        <v>199</v>
      </c>
      <c r="Q75">
        <v>1</v>
      </c>
      <c r="W75">
        <v>0</v>
      </c>
      <c r="X75">
        <v>-2001228777</v>
      </c>
      <c r="Y75">
        <v>2.08</v>
      </c>
      <c r="AA75">
        <v>0</v>
      </c>
      <c r="AB75">
        <v>458.14</v>
      </c>
      <c r="AC75">
        <v>237.38</v>
      </c>
      <c r="AD75">
        <v>0</v>
      </c>
      <c r="AE75">
        <v>0</v>
      </c>
      <c r="AF75">
        <v>458.14</v>
      </c>
      <c r="AG75">
        <v>237.38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2.08</v>
      </c>
      <c r="AU75" t="s">
        <v>3</v>
      </c>
      <c r="AV75">
        <v>0</v>
      </c>
      <c r="AW75">
        <v>2</v>
      </c>
      <c r="AX75">
        <v>36602995</v>
      </c>
      <c r="AY75">
        <v>1</v>
      </c>
      <c r="AZ75">
        <v>0</v>
      </c>
      <c r="BA75">
        <v>75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Y75*Source!I78</f>
        <v>0.14976</v>
      </c>
      <c r="CY75">
        <f>AB75</f>
        <v>458.14</v>
      </c>
      <c r="CZ75">
        <f>AF75</f>
        <v>458.14</v>
      </c>
      <c r="DA75">
        <f>AJ75</f>
        <v>1</v>
      </c>
      <c r="DB75">
        <f t="shared" si="7"/>
        <v>952.93</v>
      </c>
      <c r="DC75">
        <f t="shared" si="8"/>
        <v>493.75</v>
      </c>
    </row>
    <row r="76" spans="1:107" x14ac:dyDescent="0.2">
      <c r="A76">
        <f>ROW(Source!A78)</f>
        <v>78</v>
      </c>
      <c r="B76">
        <v>36602762</v>
      </c>
      <c r="C76">
        <v>36602992</v>
      </c>
      <c r="D76">
        <v>36291344</v>
      </c>
      <c r="E76">
        <v>1</v>
      </c>
      <c r="F76">
        <v>1</v>
      </c>
      <c r="G76">
        <v>31</v>
      </c>
      <c r="H76">
        <v>2</v>
      </c>
      <c r="I76" t="s">
        <v>269</v>
      </c>
      <c r="J76" t="s">
        <v>270</v>
      </c>
      <c r="K76" t="s">
        <v>271</v>
      </c>
      <c r="L76">
        <v>1368</v>
      </c>
      <c r="N76">
        <v>1011</v>
      </c>
      <c r="O76" t="s">
        <v>199</v>
      </c>
      <c r="P76" t="s">
        <v>199</v>
      </c>
      <c r="Q76">
        <v>1</v>
      </c>
      <c r="W76">
        <v>0</v>
      </c>
      <c r="X76">
        <v>-1981851192</v>
      </c>
      <c r="Y76">
        <v>0.81</v>
      </c>
      <c r="AA76">
        <v>0</v>
      </c>
      <c r="AB76">
        <v>2067.59</v>
      </c>
      <c r="AC76">
        <v>505.56</v>
      </c>
      <c r="AD76">
        <v>0</v>
      </c>
      <c r="AE76">
        <v>0</v>
      </c>
      <c r="AF76">
        <v>2067.59</v>
      </c>
      <c r="AG76">
        <v>505.56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0.81</v>
      </c>
      <c r="AU76" t="s">
        <v>3</v>
      </c>
      <c r="AV76">
        <v>0</v>
      </c>
      <c r="AW76">
        <v>2</v>
      </c>
      <c r="AX76">
        <v>36602996</v>
      </c>
      <c r="AY76">
        <v>1</v>
      </c>
      <c r="AZ76">
        <v>0</v>
      </c>
      <c r="BA76">
        <v>76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Y76*Source!I78</f>
        <v>5.8319999999999997E-2</v>
      </c>
      <c r="CY76">
        <f>AB76</f>
        <v>2067.59</v>
      </c>
      <c r="CZ76">
        <f>AF76</f>
        <v>2067.59</v>
      </c>
      <c r="DA76">
        <f>AJ76</f>
        <v>1</v>
      </c>
      <c r="DB76">
        <f t="shared" si="7"/>
        <v>1674.75</v>
      </c>
      <c r="DC76">
        <f t="shared" si="8"/>
        <v>409.5</v>
      </c>
    </row>
    <row r="77" spans="1:107" x14ac:dyDescent="0.2">
      <c r="A77">
        <f>ROW(Source!A78)</f>
        <v>78</v>
      </c>
      <c r="B77">
        <v>36602762</v>
      </c>
      <c r="C77">
        <v>36602992</v>
      </c>
      <c r="D77">
        <v>36291368</v>
      </c>
      <c r="E77">
        <v>1</v>
      </c>
      <c r="F77">
        <v>1</v>
      </c>
      <c r="G77">
        <v>31</v>
      </c>
      <c r="H77">
        <v>2</v>
      </c>
      <c r="I77" t="s">
        <v>216</v>
      </c>
      <c r="J77" t="s">
        <v>217</v>
      </c>
      <c r="K77" t="s">
        <v>218</v>
      </c>
      <c r="L77">
        <v>1368</v>
      </c>
      <c r="N77">
        <v>1011</v>
      </c>
      <c r="O77" t="s">
        <v>199</v>
      </c>
      <c r="P77" t="s">
        <v>199</v>
      </c>
      <c r="Q77">
        <v>1</v>
      </c>
      <c r="W77">
        <v>0</v>
      </c>
      <c r="X77">
        <v>-991679869</v>
      </c>
      <c r="Y77">
        <v>1.94</v>
      </c>
      <c r="AA77">
        <v>0</v>
      </c>
      <c r="AB77">
        <v>1566.66</v>
      </c>
      <c r="AC77">
        <v>707.06</v>
      </c>
      <c r="AD77">
        <v>0</v>
      </c>
      <c r="AE77">
        <v>0</v>
      </c>
      <c r="AF77">
        <v>1566.66</v>
      </c>
      <c r="AG77">
        <v>707.06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1.94</v>
      </c>
      <c r="AU77" t="s">
        <v>3</v>
      </c>
      <c r="AV77">
        <v>0</v>
      </c>
      <c r="AW77">
        <v>2</v>
      </c>
      <c r="AX77">
        <v>36602997</v>
      </c>
      <c r="AY77">
        <v>1</v>
      </c>
      <c r="AZ77">
        <v>0</v>
      </c>
      <c r="BA77">
        <v>77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Y77*Source!I78</f>
        <v>0.13968</v>
      </c>
      <c r="CY77">
        <f>AB77</f>
        <v>1566.66</v>
      </c>
      <c r="CZ77">
        <f>AF77</f>
        <v>1566.66</v>
      </c>
      <c r="DA77">
        <f>AJ77</f>
        <v>1</v>
      </c>
      <c r="DB77">
        <f t="shared" si="7"/>
        <v>3039.32</v>
      </c>
      <c r="DC77">
        <f t="shared" si="8"/>
        <v>1371.7</v>
      </c>
    </row>
    <row r="78" spans="1:107" x14ac:dyDescent="0.2">
      <c r="A78">
        <f>ROW(Source!A78)</f>
        <v>78</v>
      </c>
      <c r="B78">
        <v>36602762</v>
      </c>
      <c r="C78">
        <v>36602992</v>
      </c>
      <c r="D78">
        <v>36291334</v>
      </c>
      <c r="E78">
        <v>1</v>
      </c>
      <c r="F78">
        <v>1</v>
      </c>
      <c r="G78">
        <v>31</v>
      </c>
      <c r="H78">
        <v>2</v>
      </c>
      <c r="I78" t="s">
        <v>272</v>
      </c>
      <c r="J78" t="s">
        <v>273</v>
      </c>
      <c r="K78" t="s">
        <v>274</v>
      </c>
      <c r="L78">
        <v>1368</v>
      </c>
      <c r="N78">
        <v>1011</v>
      </c>
      <c r="O78" t="s">
        <v>199</v>
      </c>
      <c r="P78" t="s">
        <v>199</v>
      </c>
      <c r="Q78">
        <v>1</v>
      </c>
      <c r="W78">
        <v>0</v>
      </c>
      <c r="X78">
        <v>2043159694</v>
      </c>
      <c r="Y78">
        <v>0.65</v>
      </c>
      <c r="AA78">
        <v>0</v>
      </c>
      <c r="AB78">
        <v>1338.36</v>
      </c>
      <c r="AC78">
        <v>508.91</v>
      </c>
      <c r="AD78">
        <v>0</v>
      </c>
      <c r="AE78">
        <v>0</v>
      </c>
      <c r="AF78">
        <v>1338.36</v>
      </c>
      <c r="AG78">
        <v>508.91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0.65</v>
      </c>
      <c r="AU78" t="s">
        <v>3</v>
      </c>
      <c r="AV78">
        <v>0</v>
      </c>
      <c r="AW78">
        <v>2</v>
      </c>
      <c r="AX78">
        <v>36602998</v>
      </c>
      <c r="AY78">
        <v>1</v>
      </c>
      <c r="AZ78">
        <v>0</v>
      </c>
      <c r="BA78">
        <v>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Y78*Source!I78</f>
        <v>4.6800000000000001E-2</v>
      </c>
      <c r="CY78">
        <f>AB78</f>
        <v>1338.36</v>
      </c>
      <c r="CZ78">
        <f>AF78</f>
        <v>1338.36</v>
      </c>
      <c r="DA78">
        <f>AJ78</f>
        <v>1</v>
      </c>
      <c r="DB78">
        <f t="shared" si="7"/>
        <v>869.93</v>
      </c>
      <c r="DC78">
        <f t="shared" si="8"/>
        <v>330.79</v>
      </c>
    </row>
    <row r="79" spans="1:107" x14ac:dyDescent="0.2">
      <c r="A79">
        <f>ROW(Source!A78)</f>
        <v>78</v>
      </c>
      <c r="B79">
        <v>36602762</v>
      </c>
      <c r="C79">
        <v>36602992</v>
      </c>
      <c r="D79">
        <v>36293358</v>
      </c>
      <c r="E79">
        <v>1</v>
      </c>
      <c r="F79">
        <v>1</v>
      </c>
      <c r="G79">
        <v>31</v>
      </c>
      <c r="H79">
        <v>3</v>
      </c>
      <c r="I79" t="s">
        <v>275</v>
      </c>
      <c r="J79" t="s">
        <v>276</v>
      </c>
      <c r="K79" t="s">
        <v>277</v>
      </c>
      <c r="L79">
        <v>1339</v>
      </c>
      <c r="N79">
        <v>1007</v>
      </c>
      <c r="O79" t="s">
        <v>179</v>
      </c>
      <c r="P79" t="s">
        <v>179</v>
      </c>
      <c r="Q79">
        <v>1</v>
      </c>
      <c r="W79">
        <v>0</v>
      </c>
      <c r="X79">
        <v>-921262155</v>
      </c>
      <c r="Y79">
        <v>110</v>
      </c>
      <c r="AA79">
        <v>573.77</v>
      </c>
      <c r="AB79">
        <v>0</v>
      </c>
      <c r="AC79">
        <v>0</v>
      </c>
      <c r="AD79">
        <v>0</v>
      </c>
      <c r="AE79">
        <v>573.77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110</v>
      </c>
      <c r="AU79" t="s">
        <v>3</v>
      </c>
      <c r="AV79">
        <v>0</v>
      </c>
      <c r="AW79">
        <v>2</v>
      </c>
      <c r="AX79">
        <v>36602999</v>
      </c>
      <c r="AY79">
        <v>1</v>
      </c>
      <c r="AZ79">
        <v>0</v>
      </c>
      <c r="BA79">
        <v>79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Y79*Source!I78</f>
        <v>7.919999999999999</v>
      </c>
      <c r="CY79">
        <f>AA79</f>
        <v>573.77</v>
      </c>
      <c r="CZ79">
        <f>AE79</f>
        <v>573.77</v>
      </c>
      <c r="DA79">
        <f>AI79</f>
        <v>1</v>
      </c>
      <c r="DB79">
        <f t="shared" si="7"/>
        <v>63114.7</v>
      </c>
      <c r="DC79">
        <f t="shared" si="8"/>
        <v>0</v>
      </c>
    </row>
    <row r="80" spans="1:107" x14ac:dyDescent="0.2">
      <c r="A80">
        <f>ROW(Source!A78)</f>
        <v>78</v>
      </c>
      <c r="B80">
        <v>36602762</v>
      </c>
      <c r="C80">
        <v>36602992</v>
      </c>
      <c r="D80">
        <v>36294127</v>
      </c>
      <c r="E80">
        <v>1</v>
      </c>
      <c r="F80">
        <v>1</v>
      </c>
      <c r="G80">
        <v>31</v>
      </c>
      <c r="H80">
        <v>3</v>
      </c>
      <c r="I80" t="s">
        <v>203</v>
      </c>
      <c r="J80" t="s">
        <v>204</v>
      </c>
      <c r="K80" t="s">
        <v>205</v>
      </c>
      <c r="L80">
        <v>1339</v>
      </c>
      <c r="N80">
        <v>1007</v>
      </c>
      <c r="O80" t="s">
        <v>179</v>
      </c>
      <c r="P80" t="s">
        <v>179</v>
      </c>
      <c r="Q80">
        <v>1</v>
      </c>
      <c r="W80">
        <v>0</v>
      </c>
      <c r="X80">
        <v>-504744613</v>
      </c>
      <c r="Y80">
        <v>5</v>
      </c>
      <c r="AA80">
        <v>38.229999999999997</v>
      </c>
      <c r="AB80">
        <v>0</v>
      </c>
      <c r="AC80">
        <v>0</v>
      </c>
      <c r="AD80">
        <v>0</v>
      </c>
      <c r="AE80">
        <v>38.229999999999997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5</v>
      </c>
      <c r="AU80" t="s">
        <v>3</v>
      </c>
      <c r="AV80">
        <v>0</v>
      </c>
      <c r="AW80">
        <v>2</v>
      </c>
      <c r="AX80">
        <v>36603000</v>
      </c>
      <c r="AY80">
        <v>1</v>
      </c>
      <c r="AZ80">
        <v>0</v>
      </c>
      <c r="BA80">
        <v>80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Y80*Source!I78</f>
        <v>0.36</v>
      </c>
      <c r="CY80">
        <f>AA80</f>
        <v>38.229999999999997</v>
      </c>
      <c r="CZ80">
        <f>AE80</f>
        <v>38.229999999999997</v>
      </c>
      <c r="DA80">
        <f>AI80</f>
        <v>1</v>
      </c>
      <c r="DB80">
        <f t="shared" si="7"/>
        <v>191.15</v>
      </c>
      <c r="DC80">
        <f t="shared" si="8"/>
        <v>0</v>
      </c>
    </row>
    <row r="81" spans="1:107" x14ac:dyDescent="0.2">
      <c r="A81">
        <f>ROW(Source!A79)</f>
        <v>79</v>
      </c>
      <c r="B81">
        <v>36602762</v>
      </c>
      <c r="C81">
        <v>36603002</v>
      </c>
      <c r="D81">
        <v>36278558</v>
      </c>
      <c r="E81">
        <v>31</v>
      </c>
      <c r="F81">
        <v>1</v>
      </c>
      <c r="G81">
        <v>31</v>
      </c>
      <c r="H81">
        <v>1</v>
      </c>
      <c r="I81" t="s">
        <v>193</v>
      </c>
      <c r="J81" t="s">
        <v>3</v>
      </c>
      <c r="K81" t="s">
        <v>194</v>
      </c>
      <c r="L81">
        <v>1191</v>
      </c>
      <c r="N81">
        <v>1013</v>
      </c>
      <c r="O81" t="s">
        <v>195</v>
      </c>
      <c r="P81" t="s">
        <v>195</v>
      </c>
      <c r="Q81">
        <v>1</v>
      </c>
      <c r="W81">
        <v>0</v>
      </c>
      <c r="X81">
        <v>476480486</v>
      </c>
      <c r="Y81">
        <v>24.84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24.84</v>
      </c>
      <c r="AU81" t="s">
        <v>3</v>
      </c>
      <c r="AV81">
        <v>1</v>
      </c>
      <c r="AW81">
        <v>2</v>
      </c>
      <c r="AX81">
        <v>36603003</v>
      </c>
      <c r="AY81">
        <v>1</v>
      </c>
      <c r="AZ81">
        <v>0</v>
      </c>
      <c r="BA81">
        <v>81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Y81*Source!I79</f>
        <v>3.5769599999999997</v>
      </c>
      <c r="CY81">
        <f>AD81</f>
        <v>0</v>
      </c>
      <c r="CZ81">
        <f>AH81</f>
        <v>0</v>
      </c>
      <c r="DA81">
        <f>AL81</f>
        <v>1</v>
      </c>
      <c r="DB81">
        <f t="shared" si="7"/>
        <v>0</v>
      </c>
      <c r="DC81">
        <f t="shared" si="8"/>
        <v>0</v>
      </c>
    </row>
    <row r="82" spans="1:107" x14ac:dyDescent="0.2">
      <c r="A82">
        <f>ROW(Source!A79)</f>
        <v>79</v>
      </c>
      <c r="B82">
        <v>36602762</v>
      </c>
      <c r="C82">
        <v>36603002</v>
      </c>
      <c r="D82">
        <v>36291161</v>
      </c>
      <c r="E82">
        <v>1</v>
      </c>
      <c r="F82">
        <v>1</v>
      </c>
      <c r="G82">
        <v>31</v>
      </c>
      <c r="H82">
        <v>2</v>
      </c>
      <c r="I82" t="s">
        <v>225</v>
      </c>
      <c r="J82" t="s">
        <v>226</v>
      </c>
      <c r="K82" t="s">
        <v>227</v>
      </c>
      <c r="L82">
        <v>1368</v>
      </c>
      <c r="N82">
        <v>1011</v>
      </c>
      <c r="O82" t="s">
        <v>199</v>
      </c>
      <c r="P82" t="s">
        <v>199</v>
      </c>
      <c r="Q82">
        <v>1</v>
      </c>
      <c r="W82">
        <v>0</v>
      </c>
      <c r="X82">
        <v>-1489544745</v>
      </c>
      <c r="Y82">
        <v>2.94</v>
      </c>
      <c r="AA82">
        <v>0</v>
      </c>
      <c r="AB82">
        <v>1078.49</v>
      </c>
      <c r="AC82">
        <v>396.28</v>
      </c>
      <c r="AD82">
        <v>0</v>
      </c>
      <c r="AE82">
        <v>0</v>
      </c>
      <c r="AF82">
        <v>1078.49</v>
      </c>
      <c r="AG82">
        <v>396.28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2.94</v>
      </c>
      <c r="AU82" t="s">
        <v>3</v>
      </c>
      <c r="AV82">
        <v>0</v>
      </c>
      <c r="AW82">
        <v>2</v>
      </c>
      <c r="AX82">
        <v>36603004</v>
      </c>
      <c r="AY82">
        <v>1</v>
      </c>
      <c r="AZ82">
        <v>0</v>
      </c>
      <c r="BA82">
        <v>82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Y82*Source!I79</f>
        <v>0.42335999999999996</v>
      </c>
      <c r="CY82">
        <f t="shared" ref="CY82:CY87" si="9">AB82</f>
        <v>1078.49</v>
      </c>
      <c r="CZ82">
        <f t="shared" ref="CZ82:CZ87" si="10">AF82</f>
        <v>1078.49</v>
      </c>
      <c r="DA82">
        <f t="shared" ref="DA82:DA87" si="11">AJ82</f>
        <v>1</v>
      </c>
      <c r="DB82">
        <f t="shared" si="7"/>
        <v>3170.76</v>
      </c>
      <c r="DC82">
        <f t="shared" si="8"/>
        <v>1165.06</v>
      </c>
    </row>
    <row r="83" spans="1:107" x14ac:dyDescent="0.2">
      <c r="A83">
        <f>ROW(Source!A79)</f>
        <v>79</v>
      </c>
      <c r="B83">
        <v>36602762</v>
      </c>
      <c r="C83">
        <v>36603002</v>
      </c>
      <c r="D83">
        <v>36291344</v>
      </c>
      <c r="E83">
        <v>1</v>
      </c>
      <c r="F83">
        <v>1</v>
      </c>
      <c r="G83">
        <v>31</v>
      </c>
      <c r="H83">
        <v>2</v>
      </c>
      <c r="I83" t="s">
        <v>269</v>
      </c>
      <c r="J83" t="s">
        <v>270</v>
      </c>
      <c r="K83" t="s">
        <v>271</v>
      </c>
      <c r="L83">
        <v>1368</v>
      </c>
      <c r="N83">
        <v>1011</v>
      </c>
      <c r="O83" t="s">
        <v>199</v>
      </c>
      <c r="P83" t="s">
        <v>199</v>
      </c>
      <c r="Q83">
        <v>1</v>
      </c>
      <c r="W83">
        <v>0</v>
      </c>
      <c r="X83">
        <v>-1981851192</v>
      </c>
      <c r="Y83">
        <v>1.1399999999999999</v>
      </c>
      <c r="AA83">
        <v>0</v>
      </c>
      <c r="AB83">
        <v>2067.59</v>
      </c>
      <c r="AC83">
        <v>505.56</v>
      </c>
      <c r="AD83">
        <v>0</v>
      </c>
      <c r="AE83">
        <v>0</v>
      </c>
      <c r="AF83">
        <v>2067.59</v>
      </c>
      <c r="AG83">
        <v>505.56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1.1399999999999999</v>
      </c>
      <c r="AU83" t="s">
        <v>3</v>
      </c>
      <c r="AV83">
        <v>0</v>
      </c>
      <c r="AW83">
        <v>2</v>
      </c>
      <c r="AX83">
        <v>36603005</v>
      </c>
      <c r="AY83">
        <v>1</v>
      </c>
      <c r="AZ83">
        <v>0</v>
      </c>
      <c r="BA83">
        <v>83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Y83*Source!I79</f>
        <v>0.16415999999999997</v>
      </c>
      <c r="CY83">
        <f t="shared" si="9"/>
        <v>2067.59</v>
      </c>
      <c r="CZ83">
        <f t="shared" si="10"/>
        <v>2067.59</v>
      </c>
      <c r="DA83">
        <f t="shared" si="11"/>
        <v>1</v>
      </c>
      <c r="DB83">
        <f t="shared" si="7"/>
        <v>2357.0500000000002</v>
      </c>
      <c r="DC83">
        <f t="shared" si="8"/>
        <v>576.34</v>
      </c>
    </row>
    <row r="84" spans="1:107" x14ac:dyDescent="0.2">
      <c r="A84">
        <f>ROW(Source!A79)</f>
        <v>79</v>
      </c>
      <c r="B84">
        <v>36602762</v>
      </c>
      <c r="C84">
        <v>36603002</v>
      </c>
      <c r="D84">
        <v>36291329</v>
      </c>
      <c r="E84">
        <v>1</v>
      </c>
      <c r="F84">
        <v>1</v>
      </c>
      <c r="G84">
        <v>31</v>
      </c>
      <c r="H84">
        <v>2</v>
      </c>
      <c r="I84" t="s">
        <v>278</v>
      </c>
      <c r="J84" t="s">
        <v>279</v>
      </c>
      <c r="K84" t="s">
        <v>280</v>
      </c>
      <c r="L84">
        <v>1368</v>
      </c>
      <c r="N84">
        <v>1011</v>
      </c>
      <c r="O84" t="s">
        <v>199</v>
      </c>
      <c r="P84" t="s">
        <v>199</v>
      </c>
      <c r="Q84">
        <v>1</v>
      </c>
      <c r="W84">
        <v>0</v>
      </c>
      <c r="X84">
        <v>11694919</v>
      </c>
      <c r="Y84">
        <v>8.9600000000000009</v>
      </c>
      <c r="AA84">
        <v>0</v>
      </c>
      <c r="AB84">
        <v>1593.83</v>
      </c>
      <c r="AC84">
        <v>584.35</v>
      </c>
      <c r="AD84">
        <v>0</v>
      </c>
      <c r="AE84">
        <v>0</v>
      </c>
      <c r="AF84">
        <v>1593.83</v>
      </c>
      <c r="AG84">
        <v>584.35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8.9600000000000009</v>
      </c>
      <c r="AU84" t="s">
        <v>3</v>
      </c>
      <c r="AV84">
        <v>0</v>
      </c>
      <c r="AW84">
        <v>2</v>
      </c>
      <c r="AX84">
        <v>36603006</v>
      </c>
      <c r="AY84">
        <v>1</v>
      </c>
      <c r="AZ84">
        <v>0</v>
      </c>
      <c r="BA84">
        <v>84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Y84*Source!I79</f>
        <v>1.2902400000000001</v>
      </c>
      <c r="CY84">
        <f t="shared" si="9"/>
        <v>1593.83</v>
      </c>
      <c r="CZ84">
        <f t="shared" si="10"/>
        <v>1593.83</v>
      </c>
      <c r="DA84">
        <f t="shared" si="11"/>
        <v>1</v>
      </c>
      <c r="DB84">
        <f t="shared" si="7"/>
        <v>14280.72</v>
      </c>
      <c r="DC84">
        <f t="shared" si="8"/>
        <v>5235.78</v>
      </c>
    </row>
    <row r="85" spans="1:107" x14ac:dyDescent="0.2">
      <c r="A85">
        <f>ROW(Source!A79)</f>
        <v>79</v>
      </c>
      <c r="B85">
        <v>36602762</v>
      </c>
      <c r="C85">
        <v>36603002</v>
      </c>
      <c r="D85">
        <v>36291330</v>
      </c>
      <c r="E85">
        <v>1</v>
      </c>
      <c r="F85">
        <v>1</v>
      </c>
      <c r="G85">
        <v>31</v>
      </c>
      <c r="H85">
        <v>2</v>
      </c>
      <c r="I85" t="s">
        <v>281</v>
      </c>
      <c r="J85" t="s">
        <v>282</v>
      </c>
      <c r="K85" t="s">
        <v>283</v>
      </c>
      <c r="L85">
        <v>1368</v>
      </c>
      <c r="N85">
        <v>1011</v>
      </c>
      <c r="O85" t="s">
        <v>199</v>
      </c>
      <c r="P85" t="s">
        <v>199</v>
      </c>
      <c r="Q85">
        <v>1</v>
      </c>
      <c r="W85">
        <v>0</v>
      </c>
      <c r="X85">
        <v>-1612054377</v>
      </c>
      <c r="Y85">
        <v>18.25</v>
      </c>
      <c r="AA85">
        <v>0</v>
      </c>
      <c r="AB85">
        <v>2086.4899999999998</v>
      </c>
      <c r="AC85">
        <v>794.41</v>
      </c>
      <c r="AD85">
        <v>0</v>
      </c>
      <c r="AE85">
        <v>0</v>
      </c>
      <c r="AF85">
        <v>2086.4899999999998</v>
      </c>
      <c r="AG85">
        <v>794.41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18.25</v>
      </c>
      <c r="AU85" t="s">
        <v>3</v>
      </c>
      <c r="AV85">
        <v>0</v>
      </c>
      <c r="AW85">
        <v>2</v>
      </c>
      <c r="AX85">
        <v>36603007</v>
      </c>
      <c r="AY85">
        <v>1</v>
      </c>
      <c r="AZ85">
        <v>0</v>
      </c>
      <c r="BA85">
        <v>85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Y85*Source!I79</f>
        <v>2.6279999999999997</v>
      </c>
      <c r="CY85">
        <f t="shared" si="9"/>
        <v>2086.4899999999998</v>
      </c>
      <c r="CZ85">
        <f t="shared" si="10"/>
        <v>2086.4899999999998</v>
      </c>
      <c r="DA85">
        <f t="shared" si="11"/>
        <v>1</v>
      </c>
      <c r="DB85">
        <f t="shared" si="7"/>
        <v>38078.44</v>
      </c>
      <c r="DC85">
        <f t="shared" si="8"/>
        <v>14497.98</v>
      </c>
    </row>
    <row r="86" spans="1:107" x14ac:dyDescent="0.2">
      <c r="A86">
        <f>ROW(Source!A79)</f>
        <v>79</v>
      </c>
      <c r="B86">
        <v>36602762</v>
      </c>
      <c r="C86">
        <v>36603002</v>
      </c>
      <c r="D86">
        <v>36291368</v>
      </c>
      <c r="E86">
        <v>1</v>
      </c>
      <c r="F86">
        <v>1</v>
      </c>
      <c r="G86">
        <v>31</v>
      </c>
      <c r="H86">
        <v>2</v>
      </c>
      <c r="I86" t="s">
        <v>216</v>
      </c>
      <c r="J86" t="s">
        <v>217</v>
      </c>
      <c r="K86" t="s">
        <v>218</v>
      </c>
      <c r="L86">
        <v>1368</v>
      </c>
      <c r="N86">
        <v>1011</v>
      </c>
      <c r="O86" t="s">
        <v>199</v>
      </c>
      <c r="P86" t="s">
        <v>199</v>
      </c>
      <c r="Q86">
        <v>1</v>
      </c>
      <c r="W86">
        <v>0</v>
      </c>
      <c r="X86">
        <v>-991679869</v>
      </c>
      <c r="Y86">
        <v>2.2400000000000002</v>
      </c>
      <c r="AA86">
        <v>0</v>
      </c>
      <c r="AB86">
        <v>1566.66</v>
      </c>
      <c r="AC86">
        <v>707.06</v>
      </c>
      <c r="AD86">
        <v>0</v>
      </c>
      <c r="AE86">
        <v>0</v>
      </c>
      <c r="AF86">
        <v>1566.66</v>
      </c>
      <c r="AG86">
        <v>707.06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2.2400000000000002</v>
      </c>
      <c r="AU86" t="s">
        <v>3</v>
      </c>
      <c r="AV86">
        <v>0</v>
      </c>
      <c r="AW86">
        <v>2</v>
      </c>
      <c r="AX86">
        <v>36603008</v>
      </c>
      <c r="AY86">
        <v>1</v>
      </c>
      <c r="AZ86">
        <v>0</v>
      </c>
      <c r="BA86">
        <v>86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Y86*Source!I79</f>
        <v>0.32256000000000001</v>
      </c>
      <c r="CY86">
        <f t="shared" si="9"/>
        <v>1566.66</v>
      </c>
      <c r="CZ86">
        <f t="shared" si="10"/>
        <v>1566.66</v>
      </c>
      <c r="DA86">
        <f t="shared" si="11"/>
        <v>1</v>
      </c>
      <c r="DB86">
        <f t="shared" si="7"/>
        <v>3509.32</v>
      </c>
      <c r="DC86">
        <f t="shared" si="8"/>
        <v>1583.81</v>
      </c>
    </row>
    <row r="87" spans="1:107" x14ac:dyDescent="0.2">
      <c r="A87">
        <f>ROW(Source!A79)</f>
        <v>79</v>
      </c>
      <c r="B87">
        <v>36602762</v>
      </c>
      <c r="C87">
        <v>36603002</v>
      </c>
      <c r="D87">
        <v>36291334</v>
      </c>
      <c r="E87">
        <v>1</v>
      </c>
      <c r="F87">
        <v>1</v>
      </c>
      <c r="G87">
        <v>31</v>
      </c>
      <c r="H87">
        <v>2</v>
      </c>
      <c r="I87" t="s">
        <v>272</v>
      </c>
      <c r="J87" t="s">
        <v>273</v>
      </c>
      <c r="K87" t="s">
        <v>274</v>
      </c>
      <c r="L87">
        <v>1368</v>
      </c>
      <c r="N87">
        <v>1011</v>
      </c>
      <c r="O87" t="s">
        <v>199</v>
      </c>
      <c r="P87" t="s">
        <v>199</v>
      </c>
      <c r="Q87">
        <v>1</v>
      </c>
      <c r="W87">
        <v>0</v>
      </c>
      <c r="X87">
        <v>2043159694</v>
      </c>
      <c r="Y87">
        <v>0.65</v>
      </c>
      <c r="AA87">
        <v>0</v>
      </c>
      <c r="AB87">
        <v>1338.36</v>
      </c>
      <c r="AC87">
        <v>508.91</v>
      </c>
      <c r="AD87">
        <v>0</v>
      </c>
      <c r="AE87">
        <v>0</v>
      </c>
      <c r="AF87">
        <v>1338.36</v>
      </c>
      <c r="AG87">
        <v>508.91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0.65</v>
      </c>
      <c r="AU87" t="s">
        <v>3</v>
      </c>
      <c r="AV87">
        <v>0</v>
      </c>
      <c r="AW87">
        <v>2</v>
      </c>
      <c r="AX87">
        <v>36603009</v>
      </c>
      <c r="AY87">
        <v>1</v>
      </c>
      <c r="AZ87">
        <v>0</v>
      </c>
      <c r="BA87">
        <v>87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Y87*Source!I79</f>
        <v>9.3600000000000003E-2</v>
      </c>
      <c r="CY87">
        <f t="shared" si="9"/>
        <v>1338.36</v>
      </c>
      <c r="CZ87">
        <f t="shared" si="10"/>
        <v>1338.36</v>
      </c>
      <c r="DA87">
        <f t="shared" si="11"/>
        <v>1</v>
      </c>
      <c r="DB87">
        <f t="shared" si="7"/>
        <v>869.93</v>
      </c>
      <c r="DC87">
        <f t="shared" si="8"/>
        <v>330.79</v>
      </c>
    </row>
    <row r="88" spans="1:107" x14ac:dyDescent="0.2">
      <c r="A88">
        <f>ROW(Source!A79)</f>
        <v>79</v>
      </c>
      <c r="B88">
        <v>36602762</v>
      </c>
      <c r="C88">
        <v>36603002</v>
      </c>
      <c r="D88">
        <v>36293384</v>
      </c>
      <c r="E88">
        <v>1</v>
      </c>
      <c r="F88">
        <v>1</v>
      </c>
      <c r="G88">
        <v>31</v>
      </c>
      <c r="H88">
        <v>3</v>
      </c>
      <c r="I88" t="s">
        <v>284</v>
      </c>
      <c r="J88" t="s">
        <v>285</v>
      </c>
      <c r="K88" t="s">
        <v>286</v>
      </c>
      <c r="L88">
        <v>1339</v>
      </c>
      <c r="N88">
        <v>1007</v>
      </c>
      <c r="O88" t="s">
        <v>179</v>
      </c>
      <c r="P88" t="s">
        <v>179</v>
      </c>
      <c r="Q88">
        <v>1</v>
      </c>
      <c r="W88">
        <v>0</v>
      </c>
      <c r="X88">
        <v>287222880</v>
      </c>
      <c r="Y88">
        <v>126</v>
      </c>
      <c r="AA88">
        <v>2380</v>
      </c>
      <c r="AB88">
        <v>0</v>
      </c>
      <c r="AC88">
        <v>0</v>
      </c>
      <c r="AD88">
        <v>0</v>
      </c>
      <c r="AE88">
        <v>2380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126</v>
      </c>
      <c r="AU88" t="s">
        <v>3</v>
      </c>
      <c r="AV88">
        <v>0</v>
      </c>
      <c r="AW88">
        <v>2</v>
      </c>
      <c r="AX88">
        <v>36603010</v>
      </c>
      <c r="AY88">
        <v>1</v>
      </c>
      <c r="AZ88">
        <v>0</v>
      </c>
      <c r="BA88">
        <v>88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Y88*Source!I79</f>
        <v>18.143999999999998</v>
      </c>
      <c r="CY88">
        <f>AA88</f>
        <v>2380</v>
      </c>
      <c r="CZ88">
        <f>AE88</f>
        <v>2380</v>
      </c>
      <c r="DA88">
        <f>AI88</f>
        <v>1</v>
      </c>
      <c r="DB88">
        <f t="shared" si="7"/>
        <v>299880</v>
      </c>
      <c r="DC88">
        <f t="shared" si="8"/>
        <v>0</v>
      </c>
    </row>
    <row r="89" spans="1:107" x14ac:dyDescent="0.2">
      <c r="A89">
        <f>ROW(Source!A79)</f>
        <v>79</v>
      </c>
      <c r="B89">
        <v>36602762</v>
      </c>
      <c r="C89">
        <v>36603002</v>
      </c>
      <c r="D89">
        <v>36294127</v>
      </c>
      <c r="E89">
        <v>1</v>
      </c>
      <c r="F89">
        <v>1</v>
      </c>
      <c r="G89">
        <v>31</v>
      </c>
      <c r="H89">
        <v>3</v>
      </c>
      <c r="I89" t="s">
        <v>203</v>
      </c>
      <c r="J89" t="s">
        <v>204</v>
      </c>
      <c r="K89" t="s">
        <v>205</v>
      </c>
      <c r="L89">
        <v>1339</v>
      </c>
      <c r="N89">
        <v>1007</v>
      </c>
      <c r="O89" t="s">
        <v>179</v>
      </c>
      <c r="P89" t="s">
        <v>179</v>
      </c>
      <c r="Q89">
        <v>1</v>
      </c>
      <c r="W89">
        <v>0</v>
      </c>
      <c r="X89">
        <v>-504744613</v>
      </c>
      <c r="Y89">
        <v>7</v>
      </c>
      <c r="AA89">
        <v>38.229999999999997</v>
      </c>
      <c r="AB89">
        <v>0</v>
      </c>
      <c r="AC89">
        <v>0</v>
      </c>
      <c r="AD89">
        <v>0</v>
      </c>
      <c r="AE89">
        <v>38.229999999999997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7</v>
      </c>
      <c r="AU89" t="s">
        <v>3</v>
      </c>
      <c r="AV89">
        <v>0</v>
      </c>
      <c r="AW89">
        <v>2</v>
      </c>
      <c r="AX89">
        <v>36603011</v>
      </c>
      <c r="AY89">
        <v>1</v>
      </c>
      <c r="AZ89">
        <v>0</v>
      </c>
      <c r="BA89">
        <v>89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Y89*Source!I79</f>
        <v>1.008</v>
      </c>
      <c r="CY89">
        <f>AA89</f>
        <v>38.229999999999997</v>
      </c>
      <c r="CZ89">
        <f>AE89</f>
        <v>38.229999999999997</v>
      </c>
      <c r="DA89">
        <f>AI89</f>
        <v>1</v>
      </c>
      <c r="DB89">
        <f t="shared" si="7"/>
        <v>267.61</v>
      </c>
      <c r="DC89">
        <f t="shared" si="8"/>
        <v>0</v>
      </c>
    </row>
    <row r="90" spans="1:107" x14ac:dyDescent="0.2">
      <c r="A90">
        <f>ROW(Source!A80)</f>
        <v>80</v>
      </c>
      <c r="B90">
        <v>36602762</v>
      </c>
      <c r="C90">
        <v>36603013</v>
      </c>
      <c r="D90">
        <v>36278558</v>
      </c>
      <c r="E90">
        <v>31</v>
      </c>
      <c r="F90">
        <v>1</v>
      </c>
      <c r="G90">
        <v>31</v>
      </c>
      <c r="H90">
        <v>1</v>
      </c>
      <c r="I90" t="s">
        <v>193</v>
      </c>
      <c r="J90" t="s">
        <v>3</v>
      </c>
      <c r="K90" t="s">
        <v>194</v>
      </c>
      <c r="L90">
        <v>1191</v>
      </c>
      <c r="N90">
        <v>1013</v>
      </c>
      <c r="O90" t="s">
        <v>195</v>
      </c>
      <c r="P90" t="s">
        <v>195</v>
      </c>
      <c r="Q90">
        <v>1</v>
      </c>
      <c r="W90">
        <v>0</v>
      </c>
      <c r="X90">
        <v>476480486</v>
      </c>
      <c r="Y90">
        <v>13.11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13.11</v>
      </c>
      <c r="AU90" t="s">
        <v>3</v>
      </c>
      <c r="AV90">
        <v>1</v>
      </c>
      <c r="AW90">
        <v>2</v>
      </c>
      <c r="AX90">
        <v>36603014</v>
      </c>
      <c r="AY90">
        <v>1</v>
      </c>
      <c r="AZ90">
        <v>0</v>
      </c>
      <c r="BA90">
        <v>90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Y90*Source!I80</f>
        <v>0.18878399999999998</v>
      </c>
      <c r="CY90">
        <f>AD90</f>
        <v>0</v>
      </c>
      <c r="CZ90">
        <f>AH90</f>
        <v>0</v>
      </c>
      <c r="DA90">
        <f>AL90</f>
        <v>1</v>
      </c>
      <c r="DB90">
        <f t="shared" si="7"/>
        <v>0</v>
      </c>
      <c r="DC90">
        <f t="shared" si="8"/>
        <v>0</v>
      </c>
    </row>
    <row r="91" spans="1:107" x14ac:dyDescent="0.2">
      <c r="A91">
        <f>ROW(Source!A80)</f>
        <v>80</v>
      </c>
      <c r="B91">
        <v>36602762</v>
      </c>
      <c r="C91">
        <v>36603013</v>
      </c>
      <c r="D91">
        <v>36295413</v>
      </c>
      <c r="E91">
        <v>1</v>
      </c>
      <c r="F91">
        <v>1</v>
      </c>
      <c r="G91">
        <v>31</v>
      </c>
      <c r="H91">
        <v>3</v>
      </c>
      <c r="I91" t="s">
        <v>61</v>
      </c>
      <c r="J91" t="s">
        <v>64</v>
      </c>
      <c r="K91" t="s">
        <v>62</v>
      </c>
      <c r="L91">
        <v>1348</v>
      </c>
      <c r="N91">
        <v>1009</v>
      </c>
      <c r="O91" t="s">
        <v>63</v>
      </c>
      <c r="P91" t="s">
        <v>63</v>
      </c>
      <c r="Q91">
        <v>1000</v>
      </c>
      <c r="W91">
        <v>0</v>
      </c>
      <c r="X91">
        <v>28246506</v>
      </c>
      <c r="Y91">
        <v>5</v>
      </c>
      <c r="AA91">
        <v>45378.52</v>
      </c>
      <c r="AB91">
        <v>0</v>
      </c>
      <c r="AC91">
        <v>0</v>
      </c>
      <c r="AD91">
        <v>0</v>
      </c>
      <c r="AE91">
        <v>45378.52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 t="s">
        <v>3</v>
      </c>
      <c r="AT91">
        <v>5</v>
      </c>
      <c r="AU91" t="s">
        <v>3</v>
      </c>
      <c r="AV91">
        <v>0</v>
      </c>
      <c r="AW91">
        <v>1</v>
      </c>
      <c r="AX91">
        <v>-1</v>
      </c>
      <c r="AY91">
        <v>0</v>
      </c>
      <c r="AZ91">
        <v>0</v>
      </c>
      <c r="BA91" t="s">
        <v>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Y91*Source!I80</f>
        <v>7.1999999999999995E-2</v>
      </c>
      <c r="CY91">
        <f>AA91</f>
        <v>45378.52</v>
      </c>
      <c r="CZ91">
        <f>AE91</f>
        <v>45378.52</v>
      </c>
      <c r="DA91">
        <f>AI91</f>
        <v>1</v>
      </c>
      <c r="DB91">
        <f t="shared" si="7"/>
        <v>226892.6</v>
      </c>
      <c r="DC91">
        <f t="shared" si="8"/>
        <v>0</v>
      </c>
    </row>
    <row r="92" spans="1:107" x14ac:dyDescent="0.2">
      <c r="A92">
        <f>ROW(Source!A82)</f>
        <v>82</v>
      </c>
      <c r="B92">
        <v>36602762</v>
      </c>
      <c r="C92">
        <v>36603018</v>
      </c>
      <c r="D92">
        <v>36278558</v>
      </c>
      <c r="E92">
        <v>31</v>
      </c>
      <c r="F92">
        <v>1</v>
      </c>
      <c r="G92">
        <v>31</v>
      </c>
      <c r="H92">
        <v>1</v>
      </c>
      <c r="I92" t="s">
        <v>193</v>
      </c>
      <c r="J92" t="s">
        <v>3</v>
      </c>
      <c r="K92" t="s">
        <v>194</v>
      </c>
      <c r="L92">
        <v>1191</v>
      </c>
      <c r="N92">
        <v>1013</v>
      </c>
      <c r="O92" t="s">
        <v>195</v>
      </c>
      <c r="P92" t="s">
        <v>195</v>
      </c>
      <c r="Q92">
        <v>1</v>
      </c>
      <c r="W92">
        <v>0</v>
      </c>
      <c r="X92">
        <v>476480486</v>
      </c>
      <c r="Y92">
        <v>155.25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155.25</v>
      </c>
      <c r="AU92" t="s">
        <v>3</v>
      </c>
      <c r="AV92">
        <v>1</v>
      </c>
      <c r="AW92">
        <v>2</v>
      </c>
      <c r="AX92">
        <v>36603019</v>
      </c>
      <c r="AY92">
        <v>1</v>
      </c>
      <c r="AZ92">
        <v>0</v>
      </c>
      <c r="BA92">
        <v>92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Y92*Source!I82</f>
        <v>24.591600000000003</v>
      </c>
      <c r="CY92">
        <f>AD92</f>
        <v>0</v>
      </c>
      <c r="CZ92">
        <f>AH92</f>
        <v>0</v>
      </c>
      <c r="DA92">
        <f>AL92</f>
        <v>1</v>
      </c>
      <c r="DB92">
        <f t="shared" si="7"/>
        <v>0</v>
      </c>
      <c r="DC92">
        <f t="shared" si="8"/>
        <v>0</v>
      </c>
    </row>
    <row r="93" spans="1:107" x14ac:dyDescent="0.2">
      <c r="A93">
        <f>ROW(Source!A82)</f>
        <v>82</v>
      </c>
      <c r="B93">
        <v>36602762</v>
      </c>
      <c r="C93">
        <v>36603018</v>
      </c>
      <c r="D93">
        <v>36291427</v>
      </c>
      <c r="E93">
        <v>1</v>
      </c>
      <c r="F93">
        <v>1</v>
      </c>
      <c r="G93">
        <v>31</v>
      </c>
      <c r="H93">
        <v>2</v>
      </c>
      <c r="I93" t="s">
        <v>320</v>
      </c>
      <c r="J93" t="s">
        <v>321</v>
      </c>
      <c r="K93" t="s">
        <v>322</v>
      </c>
      <c r="L93">
        <v>1368</v>
      </c>
      <c r="N93">
        <v>1011</v>
      </c>
      <c r="O93" t="s">
        <v>199</v>
      </c>
      <c r="P93" t="s">
        <v>199</v>
      </c>
      <c r="Q93">
        <v>1</v>
      </c>
      <c r="W93">
        <v>0</v>
      </c>
      <c r="X93">
        <v>840149931</v>
      </c>
      <c r="Y93">
        <v>7.41</v>
      </c>
      <c r="AA93">
        <v>0</v>
      </c>
      <c r="AB93">
        <v>3.86</v>
      </c>
      <c r="AC93">
        <v>0.01</v>
      </c>
      <c r="AD93">
        <v>0</v>
      </c>
      <c r="AE93">
        <v>0</v>
      </c>
      <c r="AF93">
        <v>3.86</v>
      </c>
      <c r="AG93">
        <v>0.01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7.41</v>
      </c>
      <c r="AU93" t="s">
        <v>3</v>
      </c>
      <c r="AV93">
        <v>0</v>
      </c>
      <c r="AW93">
        <v>2</v>
      </c>
      <c r="AX93">
        <v>36603020</v>
      </c>
      <c r="AY93">
        <v>1</v>
      </c>
      <c r="AZ93">
        <v>0</v>
      </c>
      <c r="BA93">
        <v>93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Y93*Source!I82</f>
        <v>1.1737440000000001</v>
      </c>
      <c r="CY93">
        <f>AB93</f>
        <v>3.86</v>
      </c>
      <c r="CZ93">
        <f>AF93</f>
        <v>3.86</v>
      </c>
      <c r="DA93">
        <f>AJ93</f>
        <v>1</v>
      </c>
      <c r="DB93">
        <f t="shared" si="7"/>
        <v>28.6</v>
      </c>
      <c r="DC93">
        <f t="shared" si="8"/>
        <v>7.0000000000000007E-2</v>
      </c>
    </row>
    <row r="94" spans="1:107" x14ac:dyDescent="0.2">
      <c r="A94">
        <f>ROW(Source!A82)</f>
        <v>82</v>
      </c>
      <c r="B94">
        <v>36602762</v>
      </c>
      <c r="C94">
        <v>36603018</v>
      </c>
      <c r="D94">
        <v>36293929</v>
      </c>
      <c r="E94">
        <v>1</v>
      </c>
      <c r="F94">
        <v>1</v>
      </c>
      <c r="G94">
        <v>31</v>
      </c>
      <c r="H94">
        <v>3</v>
      </c>
      <c r="I94" t="s">
        <v>323</v>
      </c>
      <c r="J94" t="s">
        <v>324</v>
      </c>
      <c r="K94" t="s">
        <v>325</v>
      </c>
      <c r="L94">
        <v>1327</v>
      </c>
      <c r="N94">
        <v>1005</v>
      </c>
      <c r="O94" t="s">
        <v>19</v>
      </c>
      <c r="P94" t="s">
        <v>19</v>
      </c>
      <c r="Q94">
        <v>1</v>
      </c>
      <c r="W94">
        <v>0</v>
      </c>
      <c r="X94">
        <v>1073228038</v>
      </c>
      <c r="Y94">
        <v>250</v>
      </c>
      <c r="AA94">
        <v>137</v>
      </c>
      <c r="AB94">
        <v>0</v>
      </c>
      <c r="AC94">
        <v>0</v>
      </c>
      <c r="AD94">
        <v>0</v>
      </c>
      <c r="AE94">
        <v>137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250</v>
      </c>
      <c r="AU94" t="s">
        <v>3</v>
      </c>
      <c r="AV94">
        <v>0</v>
      </c>
      <c r="AW94">
        <v>2</v>
      </c>
      <c r="AX94">
        <v>36603021</v>
      </c>
      <c r="AY94">
        <v>1</v>
      </c>
      <c r="AZ94">
        <v>0</v>
      </c>
      <c r="BA94">
        <v>94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Y94*Source!I82</f>
        <v>39.6</v>
      </c>
      <c r="CY94">
        <f>AA94</f>
        <v>137</v>
      </c>
      <c r="CZ94">
        <f>AE94</f>
        <v>137</v>
      </c>
      <c r="DA94">
        <f>AI94</f>
        <v>1</v>
      </c>
      <c r="DB94">
        <f t="shared" si="7"/>
        <v>34250</v>
      </c>
      <c r="DC94">
        <f t="shared" si="8"/>
        <v>0</v>
      </c>
    </row>
    <row r="95" spans="1:107" x14ac:dyDescent="0.2">
      <c r="A95">
        <f>ROW(Source!A82)</f>
        <v>82</v>
      </c>
      <c r="B95">
        <v>36602762</v>
      </c>
      <c r="C95">
        <v>36603018</v>
      </c>
      <c r="D95">
        <v>36294127</v>
      </c>
      <c r="E95">
        <v>1</v>
      </c>
      <c r="F95">
        <v>1</v>
      </c>
      <c r="G95">
        <v>31</v>
      </c>
      <c r="H95">
        <v>3</v>
      </c>
      <c r="I95" t="s">
        <v>203</v>
      </c>
      <c r="J95" t="s">
        <v>204</v>
      </c>
      <c r="K95" t="s">
        <v>205</v>
      </c>
      <c r="L95">
        <v>1339</v>
      </c>
      <c r="N95">
        <v>1007</v>
      </c>
      <c r="O95" t="s">
        <v>179</v>
      </c>
      <c r="P95" t="s">
        <v>179</v>
      </c>
      <c r="Q95">
        <v>1</v>
      </c>
      <c r="W95">
        <v>0</v>
      </c>
      <c r="X95">
        <v>-504744613</v>
      </c>
      <c r="Y95">
        <v>1.75</v>
      </c>
      <c r="AA95">
        <v>38.229999999999997</v>
      </c>
      <c r="AB95">
        <v>0</v>
      </c>
      <c r="AC95">
        <v>0</v>
      </c>
      <c r="AD95">
        <v>0</v>
      </c>
      <c r="AE95">
        <v>38.229999999999997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1.75</v>
      </c>
      <c r="AU95" t="s">
        <v>3</v>
      </c>
      <c r="AV95">
        <v>0</v>
      </c>
      <c r="AW95">
        <v>2</v>
      </c>
      <c r="AX95">
        <v>36603022</v>
      </c>
      <c r="AY95">
        <v>1</v>
      </c>
      <c r="AZ95">
        <v>0</v>
      </c>
      <c r="BA95">
        <v>95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Y95*Source!I82</f>
        <v>0.2772</v>
      </c>
      <c r="CY95">
        <f>AA95</f>
        <v>38.229999999999997</v>
      </c>
      <c r="CZ95">
        <f>AE95</f>
        <v>38.229999999999997</v>
      </c>
      <c r="DA95">
        <f>AI95</f>
        <v>1</v>
      </c>
      <c r="DB95">
        <f t="shared" si="7"/>
        <v>66.900000000000006</v>
      </c>
      <c r="DC95">
        <f t="shared" si="8"/>
        <v>0</v>
      </c>
    </row>
    <row r="96" spans="1:107" x14ac:dyDescent="0.2">
      <c r="A96">
        <f>ROW(Source!A82)</f>
        <v>82</v>
      </c>
      <c r="B96">
        <v>36602762</v>
      </c>
      <c r="C96">
        <v>36603018</v>
      </c>
      <c r="D96">
        <v>36295107</v>
      </c>
      <c r="E96">
        <v>1</v>
      </c>
      <c r="F96">
        <v>1</v>
      </c>
      <c r="G96">
        <v>31</v>
      </c>
      <c r="H96">
        <v>3</v>
      </c>
      <c r="I96" t="s">
        <v>326</v>
      </c>
      <c r="J96" t="s">
        <v>327</v>
      </c>
      <c r="K96" t="s">
        <v>328</v>
      </c>
      <c r="L96">
        <v>1339</v>
      </c>
      <c r="N96">
        <v>1007</v>
      </c>
      <c r="O96" t="s">
        <v>179</v>
      </c>
      <c r="P96" t="s">
        <v>179</v>
      </c>
      <c r="Q96">
        <v>1</v>
      </c>
      <c r="W96">
        <v>0</v>
      </c>
      <c r="X96">
        <v>-463276619</v>
      </c>
      <c r="Y96">
        <v>102</v>
      </c>
      <c r="AA96">
        <v>3284.47</v>
      </c>
      <c r="AB96">
        <v>0</v>
      </c>
      <c r="AC96">
        <v>0</v>
      </c>
      <c r="AD96">
        <v>0</v>
      </c>
      <c r="AE96">
        <v>3284.47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102</v>
      </c>
      <c r="AU96" t="s">
        <v>3</v>
      </c>
      <c r="AV96">
        <v>0</v>
      </c>
      <c r="AW96">
        <v>2</v>
      </c>
      <c r="AX96">
        <v>36603023</v>
      </c>
      <c r="AY96">
        <v>1</v>
      </c>
      <c r="AZ96">
        <v>0</v>
      </c>
      <c r="BA96">
        <v>96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Y96*Source!I82</f>
        <v>16.1568</v>
      </c>
      <c r="CY96">
        <f>AA96</f>
        <v>3284.47</v>
      </c>
      <c r="CZ96">
        <f>AE96</f>
        <v>3284.47</v>
      </c>
      <c r="DA96">
        <f>AI96</f>
        <v>1</v>
      </c>
      <c r="DB96">
        <f t="shared" si="7"/>
        <v>335015.94</v>
      </c>
      <c r="DC96">
        <f t="shared" si="8"/>
        <v>0</v>
      </c>
    </row>
    <row r="97" spans="1:107" x14ac:dyDescent="0.2">
      <c r="A97">
        <f>ROW(Source!A83)</f>
        <v>83</v>
      </c>
      <c r="B97">
        <v>36602762</v>
      </c>
      <c r="C97">
        <v>36603026</v>
      </c>
      <c r="D97">
        <v>36278558</v>
      </c>
      <c r="E97">
        <v>31</v>
      </c>
      <c r="F97">
        <v>1</v>
      </c>
      <c r="G97">
        <v>31</v>
      </c>
      <c r="H97">
        <v>1</v>
      </c>
      <c r="I97" t="s">
        <v>193</v>
      </c>
      <c r="J97" t="s">
        <v>3</v>
      </c>
      <c r="K97" t="s">
        <v>194</v>
      </c>
      <c r="L97">
        <v>1191</v>
      </c>
      <c r="N97">
        <v>1013</v>
      </c>
      <c r="O97" t="s">
        <v>195</v>
      </c>
      <c r="P97" t="s">
        <v>195</v>
      </c>
      <c r="Q97">
        <v>1</v>
      </c>
      <c r="W97">
        <v>0</v>
      </c>
      <c r="X97">
        <v>476480486</v>
      </c>
      <c r="Y97">
        <v>13.57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13.57</v>
      </c>
      <c r="AU97" t="s">
        <v>3</v>
      </c>
      <c r="AV97">
        <v>1</v>
      </c>
      <c r="AW97">
        <v>2</v>
      </c>
      <c r="AX97">
        <v>36603027</v>
      </c>
      <c r="AY97">
        <v>1</v>
      </c>
      <c r="AZ97">
        <v>0</v>
      </c>
      <c r="BA97">
        <v>97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Y97*Source!I83</f>
        <v>19.540800000000001</v>
      </c>
      <c r="CY97">
        <f>AD97</f>
        <v>0</v>
      </c>
      <c r="CZ97">
        <f>AH97</f>
        <v>0</v>
      </c>
      <c r="DA97">
        <f>AL97</f>
        <v>1</v>
      </c>
      <c r="DB97">
        <f t="shared" si="7"/>
        <v>0</v>
      </c>
      <c r="DC97">
        <f t="shared" si="8"/>
        <v>0</v>
      </c>
    </row>
    <row r="98" spans="1:107" x14ac:dyDescent="0.2">
      <c r="A98">
        <f>ROW(Source!A83)</f>
        <v>83</v>
      </c>
      <c r="B98">
        <v>36602762</v>
      </c>
      <c r="C98">
        <v>36603026</v>
      </c>
      <c r="D98">
        <v>36291331</v>
      </c>
      <c r="E98">
        <v>1</v>
      </c>
      <c r="F98">
        <v>1</v>
      </c>
      <c r="G98">
        <v>31</v>
      </c>
      <c r="H98">
        <v>2</v>
      </c>
      <c r="I98" t="s">
        <v>302</v>
      </c>
      <c r="J98" t="s">
        <v>303</v>
      </c>
      <c r="K98" t="s">
        <v>304</v>
      </c>
      <c r="L98">
        <v>1368</v>
      </c>
      <c r="N98">
        <v>1011</v>
      </c>
      <c r="O98" t="s">
        <v>199</v>
      </c>
      <c r="P98" t="s">
        <v>199</v>
      </c>
      <c r="Q98">
        <v>1</v>
      </c>
      <c r="W98">
        <v>0</v>
      </c>
      <c r="X98">
        <v>720420901</v>
      </c>
      <c r="Y98">
        <v>0.46</v>
      </c>
      <c r="AA98">
        <v>0</v>
      </c>
      <c r="AB98">
        <v>994.61</v>
      </c>
      <c r="AC98">
        <v>437.41</v>
      </c>
      <c r="AD98">
        <v>0</v>
      </c>
      <c r="AE98">
        <v>0</v>
      </c>
      <c r="AF98">
        <v>994.61</v>
      </c>
      <c r="AG98">
        <v>437.41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0.46</v>
      </c>
      <c r="AU98" t="s">
        <v>3</v>
      </c>
      <c r="AV98">
        <v>0</v>
      </c>
      <c r="AW98">
        <v>2</v>
      </c>
      <c r="AX98">
        <v>36603028</v>
      </c>
      <c r="AY98">
        <v>1</v>
      </c>
      <c r="AZ98">
        <v>0</v>
      </c>
      <c r="BA98">
        <v>98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Y98*Source!I83</f>
        <v>0.66239999999999999</v>
      </c>
      <c r="CY98">
        <f>AB98</f>
        <v>994.61</v>
      </c>
      <c r="CZ98">
        <f>AF98</f>
        <v>994.61</v>
      </c>
      <c r="DA98">
        <f>AJ98</f>
        <v>1</v>
      </c>
      <c r="DB98">
        <f t="shared" si="7"/>
        <v>457.52</v>
      </c>
      <c r="DC98">
        <f t="shared" si="8"/>
        <v>201.21</v>
      </c>
    </row>
    <row r="99" spans="1:107" x14ac:dyDescent="0.2">
      <c r="A99">
        <f>ROW(Source!A83)</f>
        <v>83</v>
      </c>
      <c r="B99">
        <v>36602762</v>
      </c>
      <c r="C99">
        <v>36603026</v>
      </c>
      <c r="D99">
        <v>36291332</v>
      </c>
      <c r="E99">
        <v>1</v>
      </c>
      <c r="F99">
        <v>1</v>
      </c>
      <c r="G99">
        <v>31</v>
      </c>
      <c r="H99">
        <v>2</v>
      </c>
      <c r="I99" t="s">
        <v>305</v>
      </c>
      <c r="J99" t="s">
        <v>306</v>
      </c>
      <c r="K99" t="s">
        <v>307</v>
      </c>
      <c r="L99">
        <v>1368</v>
      </c>
      <c r="N99">
        <v>1011</v>
      </c>
      <c r="O99" t="s">
        <v>199</v>
      </c>
      <c r="P99" t="s">
        <v>199</v>
      </c>
      <c r="Q99">
        <v>1</v>
      </c>
      <c r="W99">
        <v>0</v>
      </c>
      <c r="X99">
        <v>1567690415</v>
      </c>
      <c r="Y99">
        <v>1.39</v>
      </c>
      <c r="AA99">
        <v>0</v>
      </c>
      <c r="AB99">
        <v>967.78</v>
      </c>
      <c r="AC99">
        <v>588.76</v>
      </c>
      <c r="AD99">
        <v>0</v>
      </c>
      <c r="AE99">
        <v>0</v>
      </c>
      <c r="AF99">
        <v>967.78</v>
      </c>
      <c r="AG99">
        <v>588.76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1.39</v>
      </c>
      <c r="AU99" t="s">
        <v>3</v>
      </c>
      <c r="AV99">
        <v>0</v>
      </c>
      <c r="AW99">
        <v>2</v>
      </c>
      <c r="AX99">
        <v>36603029</v>
      </c>
      <c r="AY99">
        <v>1</v>
      </c>
      <c r="AZ99">
        <v>0</v>
      </c>
      <c r="BA99">
        <v>99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Y99*Source!I83</f>
        <v>2.0015999999999998</v>
      </c>
      <c r="CY99">
        <f>AB99</f>
        <v>967.78</v>
      </c>
      <c r="CZ99">
        <f>AF99</f>
        <v>967.78</v>
      </c>
      <c r="DA99">
        <f>AJ99</f>
        <v>1</v>
      </c>
      <c r="DB99">
        <f t="shared" si="7"/>
        <v>1345.21</v>
      </c>
      <c r="DC99">
        <f t="shared" si="8"/>
        <v>818.38</v>
      </c>
    </row>
    <row r="100" spans="1:107" x14ac:dyDescent="0.2">
      <c r="A100">
        <f>ROW(Source!A83)</f>
        <v>83</v>
      </c>
      <c r="B100">
        <v>36602762</v>
      </c>
      <c r="C100">
        <v>36603026</v>
      </c>
      <c r="D100">
        <v>36295325</v>
      </c>
      <c r="E100">
        <v>1</v>
      </c>
      <c r="F100">
        <v>1</v>
      </c>
      <c r="G100">
        <v>31</v>
      </c>
      <c r="H100">
        <v>3</v>
      </c>
      <c r="I100" t="s">
        <v>308</v>
      </c>
      <c r="J100" t="s">
        <v>309</v>
      </c>
      <c r="K100" t="s">
        <v>310</v>
      </c>
      <c r="L100">
        <v>1348</v>
      </c>
      <c r="N100">
        <v>1009</v>
      </c>
      <c r="O100" t="s">
        <v>63</v>
      </c>
      <c r="P100" t="s">
        <v>63</v>
      </c>
      <c r="Q100">
        <v>1000</v>
      </c>
      <c r="W100">
        <v>0</v>
      </c>
      <c r="X100">
        <v>-63334633</v>
      </c>
      <c r="Y100">
        <v>9.58</v>
      </c>
      <c r="AA100">
        <v>4087.58</v>
      </c>
      <c r="AB100">
        <v>0</v>
      </c>
      <c r="AC100">
        <v>0</v>
      </c>
      <c r="AD100">
        <v>0</v>
      </c>
      <c r="AE100">
        <v>4087.58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9.58</v>
      </c>
      <c r="AU100" t="s">
        <v>3</v>
      </c>
      <c r="AV100">
        <v>0</v>
      </c>
      <c r="AW100">
        <v>2</v>
      </c>
      <c r="AX100">
        <v>36603030</v>
      </c>
      <c r="AY100">
        <v>1</v>
      </c>
      <c r="AZ100">
        <v>0</v>
      </c>
      <c r="BA100">
        <v>100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Y100*Source!I83</f>
        <v>13.795199999999999</v>
      </c>
      <c r="CY100">
        <f>AA100</f>
        <v>4087.58</v>
      </c>
      <c r="CZ100">
        <f>AE100</f>
        <v>4087.58</v>
      </c>
      <c r="DA100">
        <f>AI100</f>
        <v>1</v>
      </c>
      <c r="DB100">
        <f t="shared" si="7"/>
        <v>39159.019999999997</v>
      </c>
      <c r="DC100">
        <f t="shared" si="8"/>
        <v>0</v>
      </c>
    </row>
    <row r="101" spans="1:107" x14ac:dyDescent="0.2">
      <c r="A101">
        <f>ROW(Source!A119)</f>
        <v>119</v>
      </c>
      <c r="B101">
        <v>36602762</v>
      </c>
      <c r="C101">
        <v>36603090</v>
      </c>
      <c r="D101">
        <v>36291140</v>
      </c>
      <c r="E101">
        <v>1</v>
      </c>
      <c r="F101">
        <v>1</v>
      </c>
      <c r="G101">
        <v>31</v>
      </c>
      <c r="H101">
        <v>2</v>
      </c>
      <c r="I101" t="s">
        <v>228</v>
      </c>
      <c r="J101" t="s">
        <v>229</v>
      </c>
      <c r="K101" t="s">
        <v>230</v>
      </c>
      <c r="L101">
        <v>1368</v>
      </c>
      <c r="N101">
        <v>1011</v>
      </c>
      <c r="O101" t="s">
        <v>199</v>
      </c>
      <c r="P101" t="s">
        <v>199</v>
      </c>
      <c r="Q101">
        <v>1</v>
      </c>
      <c r="W101">
        <v>0</v>
      </c>
      <c r="X101">
        <v>-1582515510</v>
      </c>
      <c r="Y101">
        <v>5.3699999999999998E-2</v>
      </c>
      <c r="AA101">
        <v>0</v>
      </c>
      <c r="AB101">
        <v>1653.15</v>
      </c>
      <c r="AC101">
        <v>530.53</v>
      </c>
      <c r="AD101">
        <v>0</v>
      </c>
      <c r="AE101">
        <v>0</v>
      </c>
      <c r="AF101">
        <v>1653.15</v>
      </c>
      <c r="AG101">
        <v>530.53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5.3699999999999998E-2</v>
      </c>
      <c r="AU101" t="s">
        <v>3</v>
      </c>
      <c r="AV101">
        <v>0</v>
      </c>
      <c r="AW101">
        <v>2</v>
      </c>
      <c r="AX101">
        <v>36603091</v>
      </c>
      <c r="AY101">
        <v>1</v>
      </c>
      <c r="AZ101">
        <v>0</v>
      </c>
      <c r="BA101">
        <v>101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Y101*Source!I119</f>
        <v>5.8855199999999996</v>
      </c>
      <c r="CY101">
        <f t="shared" ref="CY101:CY113" si="12">AB101</f>
        <v>1653.15</v>
      </c>
      <c r="CZ101">
        <f t="shared" ref="CZ101:CZ113" si="13">AF101</f>
        <v>1653.15</v>
      </c>
      <c r="DA101">
        <f t="shared" ref="DA101:DA113" si="14">AJ101</f>
        <v>1</v>
      </c>
      <c r="DB101">
        <f t="shared" si="7"/>
        <v>88.77</v>
      </c>
      <c r="DC101">
        <f t="shared" si="8"/>
        <v>28.49</v>
      </c>
    </row>
    <row r="102" spans="1:107" x14ac:dyDescent="0.2">
      <c r="A102">
        <f>ROW(Source!A120)</f>
        <v>120</v>
      </c>
      <c r="B102">
        <v>36602762</v>
      </c>
      <c r="C102">
        <v>36603093</v>
      </c>
      <c r="D102">
        <v>36291969</v>
      </c>
      <c r="E102">
        <v>1</v>
      </c>
      <c r="F102">
        <v>1</v>
      </c>
      <c r="G102">
        <v>31</v>
      </c>
      <c r="H102">
        <v>2</v>
      </c>
      <c r="I102" t="s">
        <v>329</v>
      </c>
      <c r="J102" t="s">
        <v>330</v>
      </c>
      <c r="K102" t="s">
        <v>331</v>
      </c>
      <c r="L102">
        <v>1368</v>
      </c>
      <c r="N102">
        <v>1011</v>
      </c>
      <c r="O102" t="s">
        <v>199</v>
      </c>
      <c r="P102" t="s">
        <v>199</v>
      </c>
      <c r="Q102">
        <v>1</v>
      </c>
      <c r="W102">
        <v>0</v>
      </c>
      <c r="X102">
        <v>2121820473</v>
      </c>
      <c r="Y102">
        <v>3.6999999999999998E-2</v>
      </c>
      <c r="AA102">
        <v>0</v>
      </c>
      <c r="AB102">
        <v>1168.3</v>
      </c>
      <c r="AC102">
        <v>349.64</v>
      </c>
      <c r="AD102">
        <v>0</v>
      </c>
      <c r="AE102">
        <v>0</v>
      </c>
      <c r="AF102">
        <v>1168.3</v>
      </c>
      <c r="AG102">
        <v>349.64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3.6999999999999998E-2</v>
      </c>
      <c r="AU102" t="s">
        <v>3</v>
      </c>
      <c r="AV102">
        <v>0</v>
      </c>
      <c r="AW102">
        <v>2</v>
      </c>
      <c r="AX102">
        <v>36603094</v>
      </c>
      <c r="AY102">
        <v>1</v>
      </c>
      <c r="AZ102">
        <v>0</v>
      </c>
      <c r="BA102">
        <v>102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Y102*Source!I120</f>
        <v>4.0551999999999992</v>
      </c>
      <c r="CY102">
        <f t="shared" si="12"/>
        <v>1168.3</v>
      </c>
      <c r="CZ102">
        <f t="shared" si="13"/>
        <v>1168.3</v>
      </c>
      <c r="DA102">
        <f t="shared" si="14"/>
        <v>1</v>
      </c>
      <c r="DB102">
        <f t="shared" si="7"/>
        <v>43.23</v>
      </c>
      <c r="DC102">
        <f t="shared" si="8"/>
        <v>12.94</v>
      </c>
    </row>
    <row r="103" spans="1:107" x14ac:dyDescent="0.2">
      <c r="A103">
        <f>ROW(Source!A121)</f>
        <v>121</v>
      </c>
      <c r="B103">
        <v>36602762</v>
      </c>
      <c r="C103">
        <v>36603096</v>
      </c>
      <c r="D103">
        <v>36291969</v>
      </c>
      <c r="E103">
        <v>1</v>
      </c>
      <c r="F103">
        <v>1</v>
      </c>
      <c r="G103">
        <v>31</v>
      </c>
      <c r="H103">
        <v>2</v>
      </c>
      <c r="I103" t="s">
        <v>329</v>
      </c>
      <c r="J103" t="s">
        <v>330</v>
      </c>
      <c r="K103" t="s">
        <v>331</v>
      </c>
      <c r="L103">
        <v>1368</v>
      </c>
      <c r="N103">
        <v>1011</v>
      </c>
      <c r="O103" t="s">
        <v>199</v>
      </c>
      <c r="P103" t="s">
        <v>199</v>
      </c>
      <c r="Q103">
        <v>1</v>
      </c>
      <c r="W103">
        <v>0</v>
      </c>
      <c r="X103">
        <v>2121820473</v>
      </c>
      <c r="Y103">
        <v>0.48</v>
      </c>
      <c r="AA103">
        <v>0</v>
      </c>
      <c r="AB103">
        <v>1168.3</v>
      </c>
      <c r="AC103">
        <v>349.64</v>
      </c>
      <c r="AD103">
        <v>0</v>
      </c>
      <c r="AE103">
        <v>0</v>
      </c>
      <c r="AF103">
        <v>1168.3</v>
      </c>
      <c r="AG103">
        <v>349.64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 t="s">
        <v>3</v>
      </c>
      <c r="AT103">
        <v>0.01</v>
      </c>
      <c r="AU103" t="s">
        <v>165</v>
      </c>
      <c r="AV103">
        <v>0</v>
      </c>
      <c r="AW103">
        <v>2</v>
      </c>
      <c r="AX103">
        <v>36603097</v>
      </c>
      <c r="AY103">
        <v>1</v>
      </c>
      <c r="AZ103">
        <v>0</v>
      </c>
      <c r="BA103">
        <v>103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Y103*Source!I121</f>
        <v>52.607999999999997</v>
      </c>
      <c r="CY103">
        <f t="shared" si="12"/>
        <v>1168.3</v>
      </c>
      <c r="CZ103">
        <f t="shared" si="13"/>
        <v>1168.3</v>
      </c>
      <c r="DA103">
        <f t="shared" si="14"/>
        <v>1</v>
      </c>
      <c r="DB103">
        <f>ROUND((ROUND(AT103*CZ103,2)*48),6)</f>
        <v>560.64</v>
      </c>
      <c r="DC103">
        <f>ROUND((ROUND(AT103*AG103,2)*48),6)</f>
        <v>168</v>
      </c>
    </row>
    <row r="104" spans="1:107" x14ac:dyDescent="0.2">
      <c r="A104">
        <f>ROW(Source!A122)</f>
        <v>122</v>
      </c>
      <c r="B104">
        <v>36602762</v>
      </c>
      <c r="C104">
        <v>36603099</v>
      </c>
      <c r="D104">
        <v>36291140</v>
      </c>
      <c r="E104">
        <v>1</v>
      </c>
      <c r="F104">
        <v>1</v>
      </c>
      <c r="G104">
        <v>31</v>
      </c>
      <c r="H104">
        <v>2</v>
      </c>
      <c r="I104" t="s">
        <v>228</v>
      </c>
      <c r="J104" t="s">
        <v>229</v>
      </c>
      <c r="K104" t="s">
        <v>230</v>
      </c>
      <c r="L104">
        <v>1368</v>
      </c>
      <c r="N104">
        <v>1011</v>
      </c>
      <c r="O104" t="s">
        <v>199</v>
      </c>
      <c r="P104" t="s">
        <v>199</v>
      </c>
      <c r="Q104">
        <v>1</v>
      </c>
      <c r="W104">
        <v>0</v>
      </c>
      <c r="X104">
        <v>-1582515510</v>
      </c>
      <c r="Y104">
        <v>5.3699999999999998E-2</v>
      </c>
      <c r="AA104">
        <v>0</v>
      </c>
      <c r="AB104">
        <v>1653.15</v>
      </c>
      <c r="AC104">
        <v>530.53</v>
      </c>
      <c r="AD104">
        <v>0</v>
      </c>
      <c r="AE104">
        <v>0</v>
      </c>
      <c r="AF104">
        <v>1653.15</v>
      </c>
      <c r="AG104">
        <v>530.53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5.3699999999999998E-2</v>
      </c>
      <c r="AU104" t="s">
        <v>3</v>
      </c>
      <c r="AV104">
        <v>0</v>
      </c>
      <c r="AW104">
        <v>2</v>
      </c>
      <c r="AX104">
        <v>36603100</v>
      </c>
      <c r="AY104">
        <v>1</v>
      </c>
      <c r="AZ104">
        <v>0</v>
      </c>
      <c r="BA104">
        <v>104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Y104*Source!I122</f>
        <v>14.37012</v>
      </c>
      <c r="CY104">
        <f t="shared" si="12"/>
        <v>1653.15</v>
      </c>
      <c r="CZ104">
        <f t="shared" si="13"/>
        <v>1653.15</v>
      </c>
      <c r="DA104">
        <f t="shared" si="14"/>
        <v>1</v>
      </c>
      <c r="DB104">
        <f>ROUND(ROUND(AT104*CZ104,2),6)</f>
        <v>88.77</v>
      </c>
      <c r="DC104">
        <f>ROUND(ROUND(AT104*AG104,2),6)</f>
        <v>28.49</v>
      </c>
    </row>
    <row r="105" spans="1:107" x14ac:dyDescent="0.2">
      <c r="A105">
        <f>ROW(Source!A123)</f>
        <v>123</v>
      </c>
      <c r="B105">
        <v>36602762</v>
      </c>
      <c r="C105">
        <v>36603102</v>
      </c>
      <c r="D105">
        <v>36291968</v>
      </c>
      <c r="E105">
        <v>1</v>
      </c>
      <c r="F105">
        <v>1</v>
      </c>
      <c r="G105">
        <v>31</v>
      </c>
      <c r="H105">
        <v>2</v>
      </c>
      <c r="I105" t="s">
        <v>332</v>
      </c>
      <c r="J105" t="s">
        <v>333</v>
      </c>
      <c r="K105" t="s">
        <v>334</v>
      </c>
      <c r="L105">
        <v>1368</v>
      </c>
      <c r="N105">
        <v>1011</v>
      </c>
      <c r="O105" t="s">
        <v>199</v>
      </c>
      <c r="P105" t="s">
        <v>199</v>
      </c>
      <c r="Q105">
        <v>1</v>
      </c>
      <c r="W105">
        <v>0</v>
      </c>
      <c r="X105">
        <v>-439671309</v>
      </c>
      <c r="Y105">
        <v>0.02</v>
      </c>
      <c r="AA105">
        <v>0</v>
      </c>
      <c r="AB105">
        <v>1148.1400000000001</v>
      </c>
      <c r="AC105">
        <v>349.29</v>
      </c>
      <c r="AD105">
        <v>0</v>
      </c>
      <c r="AE105">
        <v>0</v>
      </c>
      <c r="AF105">
        <v>1148.1400000000001</v>
      </c>
      <c r="AG105">
        <v>349.29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0.02</v>
      </c>
      <c r="AU105" t="s">
        <v>3</v>
      </c>
      <c r="AV105">
        <v>0</v>
      </c>
      <c r="AW105">
        <v>2</v>
      </c>
      <c r="AX105">
        <v>36603103</v>
      </c>
      <c r="AY105">
        <v>1</v>
      </c>
      <c r="AZ105">
        <v>0</v>
      </c>
      <c r="BA105">
        <v>105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Y105*Source!I123</f>
        <v>5.3520000000000003</v>
      </c>
      <c r="CY105">
        <f t="shared" si="12"/>
        <v>1148.1400000000001</v>
      </c>
      <c r="CZ105">
        <f t="shared" si="13"/>
        <v>1148.1400000000001</v>
      </c>
      <c r="DA105">
        <f t="shared" si="14"/>
        <v>1</v>
      </c>
      <c r="DB105">
        <f>ROUND(ROUND(AT105*CZ105,2),6)</f>
        <v>22.96</v>
      </c>
      <c r="DC105">
        <f>ROUND(ROUND(AT105*AG105,2),6)</f>
        <v>6.99</v>
      </c>
    </row>
    <row r="106" spans="1:107" x14ac:dyDescent="0.2">
      <c r="A106">
        <f>ROW(Source!A123)</f>
        <v>123</v>
      </c>
      <c r="B106">
        <v>36602762</v>
      </c>
      <c r="C106">
        <v>36603102</v>
      </c>
      <c r="D106">
        <v>36291969</v>
      </c>
      <c r="E106">
        <v>1</v>
      </c>
      <c r="F106">
        <v>1</v>
      </c>
      <c r="G106">
        <v>31</v>
      </c>
      <c r="H106">
        <v>2</v>
      </c>
      <c r="I106" t="s">
        <v>329</v>
      </c>
      <c r="J106" t="s">
        <v>330</v>
      </c>
      <c r="K106" t="s">
        <v>331</v>
      </c>
      <c r="L106">
        <v>1368</v>
      </c>
      <c r="N106">
        <v>1011</v>
      </c>
      <c r="O106" t="s">
        <v>199</v>
      </c>
      <c r="P106" t="s">
        <v>199</v>
      </c>
      <c r="Q106">
        <v>1</v>
      </c>
      <c r="W106">
        <v>0</v>
      </c>
      <c r="X106">
        <v>2121820473</v>
      </c>
      <c r="Y106">
        <v>1.7999999999999999E-2</v>
      </c>
      <c r="AA106">
        <v>0</v>
      </c>
      <c r="AB106">
        <v>1168.3</v>
      </c>
      <c r="AC106">
        <v>349.64</v>
      </c>
      <c r="AD106">
        <v>0</v>
      </c>
      <c r="AE106">
        <v>0</v>
      </c>
      <c r="AF106">
        <v>1168.3</v>
      </c>
      <c r="AG106">
        <v>349.64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1.7999999999999999E-2</v>
      </c>
      <c r="AU106" t="s">
        <v>3</v>
      </c>
      <c r="AV106">
        <v>0</v>
      </c>
      <c r="AW106">
        <v>2</v>
      </c>
      <c r="AX106">
        <v>36603104</v>
      </c>
      <c r="AY106">
        <v>1</v>
      </c>
      <c r="AZ106">
        <v>0</v>
      </c>
      <c r="BA106">
        <v>106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Y106*Source!I123</f>
        <v>4.8167999999999997</v>
      </c>
      <c r="CY106">
        <f t="shared" si="12"/>
        <v>1168.3</v>
      </c>
      <c r="CZ106">
        <f t="shared" si="13"/>
        <v>1168.3</v>
      </c>
      <c r="DA106">
        <f t="shared" si="14"/>
        <v>1</v>
      </c>
      <c r="DB106">
        <f>ROUND(ROUND(AT106*CZ106,2),6)</f>
        <v>21.03</v>
      </c>
      <c r="DC106">
        <f>ROUND(ROUND(AT106*AG106,2),6)</f>
        <v>6.29</v>
      </c>
    </row>
    <row r="107" spans="1:107" x14ac:dyDescent="0.2">
      <c r="A107">
        <f>ROW(Source!A124)</f>
        <v>124</v>
      </c>
      <c r="B107">
        <v>36602762</v>
      </c>
      <c r="C107">
        <v>36603106</v>
      </c>
      <c r="D107">
        <v>36291968</v>
      </c>
      <c r="E107">
        <v>1</v>
      </c>
      <c r="F107">
        <v>1</v>
      </c>
      <c r="G107">
        <v>31</v>
      </c>
      <c r="H107">
        <v>2</v>
      </c>
      <c r="I107" t="s">
        <v>332</v>
      </c>
      <c r="J107" t="s">
        <v>333</v>
      </c>
      <c r="K107" t="s">
        <v>334</v>
      </c>
      <c r="L107">
        <v>1368</v>
      </c>
      <c r="N107">
        <v>1011</v>
      </c>
      <c r="O107" t="s">
        <v>199</v>
      </c>
      <c r="P107" t="s">
        <v>199</v>
      </c>
      <c r="Q107">
        <v>1</v>
      </c>
      <c r="W107">
        <v>0</v>
      </c>
      <c r="X107">
        <v>-439671309</v>
      </c>
      <c r="Y107">
        <v>0.48</v>
      </c>
      <c r="AA107">
        <v>0</v>
      </c>
      <c r="AB107">
        <v>1148.1400000000001</v>
      </c>
      <c r="AC107">
        <v>349.29</v>
      </c>
      <c r="AD107">
        <v>0</v>
      </c>
      <c r="AE107">
        <v>0</v>
      </c>
      <c r="AF107">
        <v>1148.1400000000001</v>
      </c>
      <c r="AG107">
        <v>349.29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1</v>
      </c>
      <c r="AQ107">
        <v>0</v>
      </c>
      <c r="AR107">
        <v>0</v>
      </c>
      <c r="AS107" t="s">
        <v>3</v>
      </c>
      <c r="AT107">
        <v>0.01</v>
      </c>
      <c r="AU107" t="s">
        <v>165</v>
      </c>
      <c r="AV107">
        <v>0</v>
      </c>
      <c r="AW107">
        <v>2</v>
      </c>
      <c r="AX107">
        <v>36603107</v>
      </c>
      <c r="AY107">
        <v>1</v>
      </c>
      <c r="AZ107">
        <v>0</v>
      </c>
      <c r="BA107">
        <v>107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Y107*Source!I124</f>
        <v>128.44800000000001</v>
      </c>
      <c r="CY107">
        <f t="shared" si="12"/>
        <v>1148.1400000000001</v>
      </c>
      <c r="CZ107">
        <f t="shared" si="13"/>
        <v>1148.1400000000001</v>
      </c>
      <c r="DA107">
        <f t="shared" si="14"/>
        <v>1</v>
      </c>
      <c r="DB107">
        <f>ROUND((ROUND(AT107*CZ107,2)*48),6)</f>
        <v>551.04</v>
      </c>
      <c r="DC107">
        <f>ROUND((ROUND(AT107*AG107,2)*48),6)</f>
        <v>167.52</v>
      </c>
    </row>
    <row r="108" spans="1:107" x14ac:dyDescent="0.2">
      <c r="A108">
        <f>ROW(Source!A124)</f>
        <v>124</v>
      </c>
      <c r="B108">
        <v>36602762</v>
      </c>
      <c r="C108">
        <v>36603106</v>
      </c>
      <c r="D108">
        <v>36291969</v>
      </c>
      <c r="E108">
        <v>1</v>
      </c>
      <c r="F108">
        <v>1</v>
      </c>
      <c r="G108">
        <v>31</v>
      </c>
      <c r="H108">
        <v>2</v>
      </c>
      <c r="I108" t="s">
        <v>329</v>
      </c>
      <c r="J108" t="s">
        <v>330</v>
      </c>
      <c r="K108" t="s">
        <v>331</v>
      </c>
      <c r="L108">
        <v>1368</v>
      </c>
      <c r="N108">
        <v>1011</v>
      </c>
      <c r="O108" t="s">
        <v>199</v>
      </c>
      <c r="P108" t="s">
        <v>199</v>
      </c>
      <c r="Q108">
        <v>1</v>
      </c>
      <c r="W108">
        <v>0</v>
      </c>
      <c r="X108">
        <v>2121820473</v>
      </c>
      <c r="Y108">
        <v>0.38400000000000001</v>
      </c>
      <c r="AA108">
        <v>0</v>
      </c>
      <c r="AB108">
        <v>1168.3</v>
      </c>
      <c r="AC108">
        <v>349.64</v>
      </c>
      <c r="AD108">
        <v>0</v>
      </c>
      <c r="AE108">
        <v>0</v>
      </c>
      <c r="AF108">
        <v>1168.3</v>
      </c>
      <c r="AG108">
        <v>349.64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1</v>
      </c>
      <c r="AQ108">
        <v>0</v>
      </c>
      <c r="AR108">
        <v>0</v>
      </c>
      <c r="AS108" t="s">
        <v>3</v>
      </c>
      <c r="AT108">
        <v>8.0000000000000002E-3</v>
      </c>
      <c r="AU108" t="s">
        <v>165</v>
      </c>
      <c r="AV108">
        <v>0</v>
      </c>
      <c r="AW108">
        <v>2</v>
      </c>
      <c r="AX108">
        <v>36603108</v>
      </c>
      <c r="AY108">
        <v>1</v>
      </c>
      <c r="AZ108">
        <v>0</v>
      </c>
      <c r="BA108">
        <v>108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Y108*Source!I124</f>
        <v>102.75840000000001</v>
      </c>
      <c r="CY108">
        <f t="shared" si="12"/>
        <v>1168.3</v>
      </c>
      <c r="CZ108">
        <f t="shared" si="13"/>
        <v>1168.3</v>
      </c>
      <c r="DA108">
        <f t="shared" si="14"/>
        <v>1</v>
      </c>
      <c r="DB108">
        <f>ROUND((ROUND(AT108*CZ108,2)*48),6)</f>
        <v>448.8</v>
      </c>
      <c r="DC108">
        <f>ROUND((ROUND(AT108*AG108,2)*48),6)</f>
        <v>134.4</v>
      </c>
    </row>
    <row r="109" spans="1:107" x14ac:dyDescent="0.2">
      <c r="A109">
        <f>ROW(Source!A160)</f>
        <v>160</v>
      </c>
      <c r="B109">
        <v>36602762</v>
      </c>
      <c r="C109">
        <v>36604332</v>
      </c>
      <c r="D109">
        <v>36291969</v>
      </c>
      <c r="E109">
        <v>1</v>
      </c>
      <c r="F109">
        <v>1</v>
      </c>
      <c r="G109">
        <v>31</v>
      </c>
      <c r="H109">
        <v>2</v>
      </c>
      <c r="I109" t="s">
        <v>329</v>
      </c>
      <c r="J109" t="s">
        <v>330</v>
      </c>
      <c r="K109" t="s">
        <v>331</v>
      </c>
      <c r="L109">
        <v>1368</v>
      </c>
      <c r="N109">
        <v>1011</v>
      </c>
      <c r="O109" t="s">
        <v>199</v>
      </c>
      <c r="P109" t="s">
        <v>199</v>
      </c>
      <c r="Q109">
        <v>1</v>
      </c>
      <c r="W109">
        <v>0</v>
      </c>
      <c r="X109">
        <v>2121820473</v>
      </c>
      <c r="Y109">
        <v>3.1E-2</v>
      </c>
      <c r="AA109">
        <v>0</v>
      </c>
      <c r="AB109">
        <v>1168.3</v>
      </c>
      <c r="AC109">
        <v>349.64</v>
      </c>
      <c r="AD109">
        <v>0</v>
      </c>
      <c r="AE109">
        <v>0</v>
      </c>
      <c r="AF109">
        <v>1168.3</v>
      </c>
      <c r="AG109">
        <v>349.64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3.1E-2</v>
      </c>
      <c r="AU109" t="s">
        <v>3</v>
      </c>
      <c r="AV109">
        <v>0</v>
      </c>
      <c r="AW109">
        <v>2</v>
      </c>
      <c r="AX109">
        <v>36604334</v>
      </c>
      <c r="AY109">
        <v>1</v>
      </c>
      <c r="AZ109">
        <v>0</v>
      </c>
      <c r="BA109">
        <v>109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Y109*Source!I160</f>
        <v>0.44640000000000002</v>
      </c>
      <c r="CY109">
        <f t="shared" si="12"/>
        <v>1168.3</v>
      </c>
      <c r="CZ109">
        <f t="shared" si="13"/>
        <v>1168.3</v>
      </c>
      <c r="DA109">
        <f t="shared" si="14"/>
        <v>1</v>
      </c>
      <c r="DB109">
        <f>ROUND(ROUND(AT109*CZ109,2),6)</f>
        <v>36.22</v>
      </c>
      <c r="DC109">
        <f>ROUND(ROUND(AT109*AG109,2),6)</f>
        <v>10.84</v>
      </c>
    </row>
    <row r="110" spans="1:107" x14ac:dyDescent="0.2">
      <c r="A110">
        <f>ROW(Source!A161)</f>
        <v>161</v>
      </c>
      <c r="B110">
        <v>36602762</v>
      </c>
      <c r="C110">
        <v>36604335</v>
      </c>
      <c r="D110">
        <v>36291969</v>
      </c>
      <c r="E110">
        <v>1</v>
      </c>
      <c r="F110">
        <v>1</v>
      </c>
      <c r="G110">
        <v>31</v>
      </c>
      <c r="H110">
        <v>2</v>
      </c>
      <c r="I110" t="s">
        <v>329</v>
      </c>
      <c r="J110" t="s">
        <v>330</v>
      </c>
      <c r="K110" t="s">
        <v>331</v>
      </c>
      <c r="L110">
        <v>1368</v>
      </c>
      <c r="N110">
        <v>1011</v>
      </c>
      <c r="O110" t="s">
        <v>199</v>
      </c>
      <c r="P110" t="s">
        <v>199</v>
      </c>
      <c r="Q110">
        <v>1</v>
      </c>
      <c r="W110">
        <v>0</v>
      </c>
      <c r="X110">
        <v>2121820473</v>
      </c>
      <c r="Y110">
        <v>0.48</v>
      </c>
      <c r="AA110">
        <v>0</v>
      </c>
      <c r="AB110">
        <v>1168.3</v>
      </c>
      <c r="AC110">
        <v>349.64</v>
      </c>
      <c r="AD110">
        <v>0</v>
      </c>
      <c r="AE110">
        <v>0</v>
      </c>
      <c r="AF110">
        <v>1168.3</v>
      </c>
      <c r="AG110">
        <v>349.64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1</v>
      </c>
      <c r="AQ110">
        <v>0</v>
      </c>
      <c r="AR110">
        <v>0</v>
      </c>
      <c r="AS110" t="s">
        <v>3</v>
      </c>
      <c r="AT110">
        <v>0.01</v>
      </c>
      <c r="AU110" t="s">
        <v>165</v>
      </c>
      <c r="AV110">
        <v>0</v>
      </c>
      <c r="AW110">
        <v>2</v>
      </c>
      <c r="AX110">
        <v>36604337</v>
      </c>
      <c r="AY110">
        <v>1</v>
      </c>
      <c r="AZ110">
        <v>0</v>
      </c>
      <c r="BA110">
        <v>110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Y110*Source!I161</f>
        <v>6.9119999999999999</v>
      </c>
      <c r="CY110">
        <f t="shared" si="12"/>
        <v>1168.3</v>
      </c>
      <c r="CZ110">
        <f t="shared" si="13"/>
        <v>1168.3</v>
      </c>
      <c r="DA110">
        <f t="shared" si="14"/>
        <v>1</v>
      </c>
      <c r="DB110">
        <f>ROUND((ROUND(AT110*CZ110,2)*48),6)</f>
        <v>560.64</v>
      </c>
      <c r="DC110">
        <f>ROUND((ROUND(AT110*AG110,2)*48),6)</f>
        <v>168</v>
      </c>
    </row>
    <row r="111" spans="1:107" x14ac:dyDescent="0.2">
      <c r="A111">
        <f>ROW(Source!A197)</f>
        <v>197</v>
      </c>
      <c r="B111">
        <v>36602762</v>
      </c>
      <c r="C111">
        <v>36603189</v>
      </c>
      <c r="D111">
        <v>35263742</v>
      </c>
      <c r="E111">
        <v>1</v>
      </c>
      <c r="F111">
        <v>1</v>
      </c>
      <c r="G111">
        <v>31</v>
      </c>
      <c r="H111">
        <v>2</v>
      </c>
      <c r="I111" t="s">
        <v>228</v>
      </c>
      <c r="J111" t="s">
        <v>335</v>
      </c>
      <c r="K111" t="s">
        <v>230</v>
      </c>
      <c r="L111">
        <v>1368</v>
      </c>
      <c r="N111">
        <v>1011</v>
      </c>
      <c r="O111" t="s">
        <v>199</v>
      </c>
      <c r="P111" t="s">
        <v>199</v>
      </c>
      <c r="Q111">
        <v>1</v>
      </c>
      <c r="W111">
        <v>0</v>
      </c>
      <c r="X111">
        <v>1415364272</v>
      </c>
      <c r="Y111">
        <v>5.3699999999999998E-2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5.3699999999999998E-2</v>
      </c>
      <c r="AU111" t="s">
        <v>3</v>
      </c>
      <c r="AV111">
        <v>0</v>
      </c>
      <c r="AW111">
        <v>2</v>
      </c>
      <c r="AX111">
        <v>36603198</v>
      </c>
      <c r="AY111">
        <v>2</v>
      </c>
      <c r="AZ111">
        <v>98304</v>
      </c>
      <c r="BA111">
        <v>111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Y111*Source!I197</f>
        <v>3.6913379999999996</v>
      </c>
      <c r="CY111">
        <f t="shared" si="12"/>
        <v>0</v>
      </c>
      <c r="CZ111">
        <f t="shared" si="13"/>
        <v>0</v>
      </c>
      <c r="DA111">
        <f t="shared" si="14"/>
        <v>1</v>
      </c>
      <c r="DB111">
        <f>ROUND(ROUND(AT111*CZ111,2),6)</f>
        <v>0</v>
      </c>
      <c r="DC111">
        <f>ROUND(ROUND(AT111*AG111,2),6)</f>
        <v>0</v>
      </c>
    </row>
    <row r="112" spans="1:107" x14ac:dyDescent="0.2">
      <c r="A112">
        <f>ROW(Source!A198)</f>
        <v>198</v>
      </c>
      <c r="B112">
        <v>36602762</v>
      </c>
      <c r="C112">
        <v>36603192</v>
      </c>
      <c r="D112">
        <v>35264555</v>
      </c>
      <c r="E112">
        <v>1</v>
      </c>
      <c r="F112">
        <v>1</v>
      </c>
      <c r="G112">
        <v>31</v>
      </c>
      <c r="H112">
        <v>2</v>
      </c>
      <c r="I112" t="s">
        <v>329</v>
      </c>
      <c r="J112" t="s">
        <v>336</v>
      </c>
      <c r="K112" t="s">
        <v>331</v>
      </c>
      <c r="L112">
        <v>1368</v>
      </c>
      <c r="N112">
        <v>1011</v>
      </c>
      <c r="O112" t="s">
        <v>199</v>
      </c>
      <c r="P112" t="s">
        <v>199</v>
      </c>
      <c r="Q112">
        <v>1</v>
      </c>
      <c r="W112">
        <v>0</v>
      </c>
      <c r="X112">
        <v>-421523076</v>
      </c>
      <c r="Y112">
        <v>3.6999999999999998E-2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3.6999999999999998E-2</v>
      </c>
      <c r="AU112" t="s">
        <v>3</v>
      </c>
      <c r="AV112">
        <v>0</v>
      </c>
      <c r="AW112">
        <v>2</v>
      </c>
      <c r="AX112">
        <v>36603199</v>
      </c>
      <c r="AY112">
        <v>2</v>
      </c>
      <c r="AZ112">
        <v>98304</v>
      </c>
      <c r="BA112">
        <v>112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Y112*Source!I198</f>
        <v>2.5433799999999995</v>
      </c>
      <c r="CY112">
        <f t="shared" si="12"/>
        <v>0</v>
      </c>
      <c r="CZ112">
        <f t="shared" si="13"/>
        <v>0</v>
      </c>
      <c r="DA112">
        <f t="shared" si="14"/>
        <v>1</v>
      </c>
      <c r="DB112">
        <f>ROUND(ROUND(AT112*CZ112,2),6)</f>
        <v>0</v>
      </c>
      <c r="DC112">
        <f>ROUND(ROUND(AT112*AG112,2),6)</f>
        <v>0</v>
      </c>
    </row>
    <row r="113" spans="1:107" x14ac:dyDescent="0.2">
      <c r="A113">
        <f>ROW(Source!A199)</f>
        <v>199</v>
      </c>
      <c r="B113">
        <v>36602762</v>
      </c>
      <c r="C113">
        <v>36603195</v>
      </c>
      <c r="D113">
        <v>35264555</v>
      </c>
      <c r="E113">
        <v>1</v>
      </c>
      <c r="F113">
        <v>1</v>
      </c>
      <c r="G113">
        <v>31</v>
      </c>
      <c r="H113">
        <v>2</v>
      </c>
      <c r="I113" t="s">
        <v>329</v>
      </c>
      <c r="J113" t="s">
        <v>336</v>
      </c>
      <c r="K113" t="s">
        <v>331</v>
      </c>
      <c r="L113">
        <v>1368</v>
      </c>
      <c r="N113">
        <v>1011</v>
      </c>
      <c r="O113" t="s">
        <v>199</v>
      </c>
      <c r="P113" t="s">
        <v>199</v>
      </c>
      <c r="Q113">
        <v>1</v>
      </c>
      <c r="W113">
        <v>0</v>
      </c>
      <c r="X113">
        <v>-421523076</v>
      </c>
      <c r="Y113">
        <v>0.48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1</v>
      </c>
      <c r="AQ113">
        <v>0</v>
      </c>
      <c r="AR113">
        <v>0</v>
      </c>
      <c r="AS113" t="s">
        <v>3</v>
      </c>
      <c r="AT113">
        <v>0.01</v>
      </c>
      <c r="AU113" t="s">
        <v>165</v>
      </c>
      <c r="AV113">
        <v>0</v>
      </c>
      <c r="AW113">
        <v>2</v>
      </c>
      <c r="AX113">
        <v>36603200</v>
      </c>
      <c r="AY113">
        <v>2</v>
      </c>
      <c r="AZ113">
        <v>98304</v>
      </c>
      <c r="BA113">
        <v>113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Y113*Source!I199</f>
        <v>32.995199999999997</v>
      </c>
      <c r="CY113">
        <f t="shared" si="12"/>
        <v>0</v>
      </c>
      <c r="CZ113">
        <f t="shared" si="13"/>
        <v>0</v>
      </c>
      <c r="DA113">
        <f t="shared" si="14"/>
        <v>1</v>
      </c>
      <c r="DB113">
        <f>ROUND((ROUND(AT113*CZ113,2)*48),6)</f>
        <v>0</v>
      </c>
      <c r="DC113">
        <f>ROUND((ROUND(AT113*AG113,2)*48),6)</f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36602827</v>
      </c>
      <c r="C1">
        <v>36602826</v>
      </c>
      <c r="D1">
        <v>36278558</v>
      </c>
      <c r="E1">
        <v>31</v>
      </c>
      <c r="F1">
        <v>1</v>
      </c>
      <c r="G1">
        <v>31</v>
      </c>
      <c r="H1">
        <v>1</v>
      </c>
      <c r="I1" t="s">
        <v>193</v>
      </c>
      <c r="J1" t="s">
        <v>3</v>
      </c>
      <c r="K1" t="s">
        <v>194</v>
      </c>
      <c r="L1">
        <v>1191</v>
      </c>
      <c r="N1">
        <v>1013</v>
      </c>
      <c r="O1" t="s">
        <v>195</v>
      </c>
      <c r="P1" t="s">
        <v>195</v>
      </c>
      <c r="Q1">
        <v>1</v>
      </c>
      <c r="X1">
        <v>0.03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0.03</v>
      </c>
      <c r="AH1">
        <v>2</v>
      </c>
      <c r="AI1">
        <v>36602827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36602828</v>
      </c>
      <c r="C2">
        <v>36602826</v>
      </c>
      <c r="D2">
        <v>36291343</v>
      </c>
      <c r="E2">
        <v>1</v>
      </c>
      <c r="F2">
        <v>1</v>
      </c>
      <c r="G2">
        <v>31</v>
      </c>
      <c r="H2">
        <v>2</v>
      </c>
      <c r="I2" t="s">
        <v>196</v>
      </c>
      <c r="J2" t="s">
        <v>197</v>
      </c>
      <c r="K2" t="s">
        <v>198</v>
      </c>
      <c r="L2">
        <v>1368</v>
      </c>
      <c r="N2">
        <v>1011</v>
      </c>
      <c r="O2" t="s">
        <v>199</v>
      </c>
      <c r="P2" t="s">
        <v>199</v>
      </c>
      <c r="Q2">
        <v>1</v>
      </c>
      <c r="X2">
        <v>0.02</v>
      </c>
      <c r="Y2">
        <v>0</v>
      </c>
      <c r="Z2">
        <v>1401.37</v>
      </c>
      <c r="AA2">
        <v>544.48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0.02</v>
      </c>
      <c r="AH2">
        <v>2</v>
      </c>
      <c r="AI2">
        <v>36602828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36602829</v>
      </c>
      <c r="C3">
        <v>36602826</v>
      </c>
      <c r="D3">
        <v>36291364</v>
      </c>
      <c r="E3">
        <v>1</v>
      </c>
      <c r="F3">
        <v>1</v>
      </c>
      <c r="G3">
        <v>31</v>
      </c>
      <c r="H3">
        <v>2</v>
      </c>
      <c r="I3" t="s">
        <v>200</v>
      </c>
      <c r="J3" t="s">
        <v>201</v>
      </c>
      <c r="K3" t="s">
        <v>202</v>
      </c>
      <c r="L3">
        <v>1368</v>
      </c>
      <c r="N3">
        <v>1011</v>
      </c>
      <c r="O3" t="s">
        <v>199</v>
      </c>
      <c r="P3" t="s">
        <v>199</v>
      </c>
      <c r="Q3">
        <v>1</v>
      </c>
      <c r="X3">
        <v>0.02</v>
      </c>
      <c r="Y3">
        <v>0</v>
      </c>
      <c r="Z3">
        <v>2571.9899999999998</v>
      </c>
      <c r="AA3">
        <v>1498.01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0.02</v>
      </c>
      <c r="AH3">
        <v>2</v>
      </c>
      <c r="AI3">
        <v>36602829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ROW(Source!A28)</f>
        <v>28</v>
      </c>
      <c r="B4">
        <v>36602830</v>
      </c>
      <c r="C4">
        <v>36602826</v>
      </c>
      <c r="D4">
        <v>36294127</v>
      </c>
      <c r="E4">
        <v>1</v>
      </c>
      <c r="F4">
        <v>1</v>
      </c>
      <c r="G4">
        <v>31</v>
      </c>
      <c r="H4">
        <v>3</v>
      </c>
      <c r="I4" t="s">
        <v>203</v>
      </c>
      <c r="J4" t="s">
        <v>204</v>
      </c>
      <c r="K4" t="s">
        <v>205</v>
      </c>
      <c r="L4">
        <v>1339</v>
      </c>
      <c r="N4">
        <v>1007</v>
      </c>
      <c r="O4" t="s">
        <v>179</v>
      </c>
      <c r="P4" t="s">
        <v>179</v>
      </c>
      <c r="Q4">
        <v>1</v>
      </c>
      <c r="X4">
        <v>3.2000000000000002E-3</v>
      </c>
      <c r="Y4">
        <v>38.229999999999997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3.2000000000000002E-3</v>
      </c>
      <c r="AH4">
        <v>2</v>
      </c>
      <c r="AI4">
        <v>36602830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ROW(Source!A28)</f>
        <v>28</v>
      </c>
      <c r="B5">
        <v>36602831</v>
      </c>
      <c r="C5">
        <v>36602826</v>
      </c>
      <c r="D5">
        <v>36294399</v>
      </c>
      <c r="E5">
        <v>1</v>
      </c>
      <c r="F5">
        <v>1</v>
      </c>
      <c r="G5">
        <v>31</v>
      </c>
      <c r="H5">
        <v>3</v>
      </c>
      <c r="I5" t="s">
        <v>206</v>
      </c>
      <c r="J5" t="s">
        <v>207</v>
      </c>
      <c r="K5" t="s">
        <v>208</v>
      </c>
      <c r="L5">
        <v>1354</v>
      </c>
      <c r="N5">
        <v>1010</v>
      </c>
      <c r="O5" t="s">
        <v>209</v>
      </c>
      <c r="P5" t="s">
        <v>209</v>
      </c>
      <c r="Q5">
        <v>1</v>
      </c>
      <c r="X5">
        <v>7.0000000000000007E-2</v>
      </c>
      <c r="Y5">
        <v>335.91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7.0000000000000007E-2</v>
      </c>
      <c r="AH5">
        <v>2</v>
      </c>
      <c r="AI5">
        <v>36602831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ROW(Source!A29)</f>
        <v>29</v>
      </c>
      <c r="B6">
        <v>36602834</v>
      </c>
      <c r="C6">
        <v>36602833</v>
      </c>
      <c r="D6">
        <v>36278558</v>
      </c>
      <c r="E6">
        <v>31</v>
      </c>
      <c r="F6">
        <v>1</v>
      </c>
      <c r="G6">
        <v>31</v>
      </c>
      <c r="H6">
        <v>1</v>
      </c>
      <c r="I6" t="s">
        <v>193</v>
      </c>
      <c r="J6" t="s">
        <v>3</v>
      </c>
      <c r="K6" t="s">
        <v>194</v>
      </c>
      <c r="L6">
        <v>1191</v>
      </c>
      <c r="N6">
        <v>1013</v>
      </c>
      <c r="O6" t="s">
        <v>195</v>
      </c>
      <c r="P6" t="s">
        <v>195</v>
      </c>
      <c r="Q6">
        <v>1</v>
      </c>
      <c r="X6">
        <v>155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3</v>
      </c>
      <c r="AG6">
        <v>155</v>
      </c>
      <c r="AH6">
        <v>2</v>
      </c>
      <c r="AI6">
        <v>36602834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ROW(Source!A29)</f>
        <v>29</v>
      </c>
      <c r="B7">
        <v>36602835</v>
      </c>
      <c r="C7">
        <v>36602833</v>
      </c>
      <c r="D7">
        <v>36291498</v>
      </c>
      <c r="E7">
        <v>1</v>
      </c>
      <c r="F7">
        <v>1</v>
      </c>
      <c r="G7">
        <v>31</v>
      </c>
      <c r="H7">
        <v>2</v>
      </c>
      <c r="I7" t="s">
        <v>210</v>
      </c>
      <c r="J7" t="s">
        <v>211</v>
      </c>
      <c r="K7" t="s">
        <v>212</v>
      </c>
      <c r="L7">
        <v>1368</v>
      </c>
      <c r="N7">
        <v>1011</v>
      </c>
      <c r="O7" t="s">
        <v>199</v>
      </c>
      <c r="P7" t="s">
        <v>199</v>
      </c>
      <c r="Q7">
        <v>1</v>
      </c>
      <c r="X7">
        <v>37.5</v>
      </c>
      <c r="Y7">
        <v>0</v>
      </c>
      <c r="Z7">
        <v>832.54</v>
      </c>
      <c r="AA7">
        <v>466.55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37.5</v>
      </c>
      <c r="AH7">
        <v>2</v>
      </c>
      <c r="AI7">
        <v>36602835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ROW(Source!A29)</f>
        <v>29</v>
      </c>
      <c r="B8">
        <v>36602836</v>
      </c>
      <c r="C8">
        <v>36602833</v>
      </c>
      <c r="D8">
        <v>36292042</v>
      </c>
      <c r="E8">
        <v>1</v>
      </c>
      <c r="F8">
        <v>1</v>
      </c>
      <c r="G8">
        <v>31</v>
      </c>
      <c r="H8">
        <v>2</v>
      </c>
      <c r="I8" t="s">
        <v>213</v>
      </c>
      <c r="J8" t="s">
        <v>214</v>
      </c>
      <c r="K8" t="s">
        <v>215</v>
      </c>
      <c r="L8">
        <v>1368</v>
      </c>
      <c r="N8">
        <v>1011</v>
      </c>
      <c r="O8" t="s">
        <v>199</v>
      </c>
      <c r="P8" t="s">
        <v>199</v>
      </c>
      <c r="Q8">
        <v>1</v>
      </c>
      <c r="X8">
        <v>75</v>
      </c>
      <c r="Y8">
        <v>0</v>
      </c>
      <c r="Z8">
        <v>6.02</v>
      </c>
      <c r="AA8">
        <v>0.02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75</v>
      </c>
      <c r="AH8">
        <v>2</v>
      </c>
      <c r="AI8">
        <v>36602836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ROW(Source!A29)</f>
        <v>29</v>
      </c>
      <c r="B9">
        <v>36602837</v>
      </c>
      <c r="C9">
        <v>36602833</v>
      </c>
      <c r="D9">
        <v>36291368</v>
      </c>
      <c r="E9">
        <v>1</v>
      </c>
      <c r="F9">
        <v>1</v>
      </c>
      <c r="G9">
        <v>31</v>
      </c>
      <c r="H9">
        <v>2</v>
      </c>
      <c r="I9" t="s">
        <v>216</v>
      </c>
      <c r="J9" t="s">
        <v>217</v>
      </c>
      <c r="K9" t="s">
        <v>218</v>
      </c>
      <c r="L9">
        <v>1368</v>
      </c>
      <c r="N9">
        <v>1011</v>
      </c>
      <c r="O9" t="s">
        <v>199</v>
      </c>
      <c r="P9" t="s">
        <v>199</v>
      </c>
      <c r="Q9">
        <v>1</v>
      </c>
      <c r="X9">
        <v>1.55</v>
      </c>
      <c r="Y9">
        <v>0</v>
      </c>
      <c r="Z9">
        <v>1566.66</v>
      </c>
      <c r="AA9">
        <v>707.06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1.55</v>
      </c>
      <c r="AH9">
        <v>2</v>
      </c>
      <c r="AI9">
        <v>36602837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ROW(Source!A30)</f>
        <v>30</v>
      </c>
      <c r="B10">
        <v>36602840</v>
      </c>
      <c r="C10">
        <v>36602839</v>
      </c>
      <c r="D10">
        <v>36278558</v>
      </c>
      <c r="E10">
        <v>31</v>
      </c>
      <c r="F10">
        <v>1</v>
      </c>
      <c r="G10">
        <v>31</v>
      </c>
      <c r="H10">
        <v>1</v>
      </c>
      <c r="I10" t="s">
        <v>193</v>
      </c>
      <c r="J10" t="s">
        <v>3</v>
      </c>
      <c r="K10" t="s">
        <v>194</v>
      </c>
      <c r="L10">
        <v>1191</v>
      </c>
      <c r="N10">
        <v>1013</v>
      </c>
      <c r="O10" t="s">
        <v>195</v>
      </c>
      <c r="P10" t="s">
        <v>195</v>
      </c>
      <c r="Q10">
        <v>1</v>
      </c>
      <c r="X10">
        <v>10.72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 t="s">
        <v>3</v>
      </c>
      <c r="AG10">
        <v>10.72</v>
      </c>
      <c r="AH10">
        <v>2</v>
      </c>
      <c r="AI10">
        <v>36602840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ROW(Source!A30)</f>
        <v>30</v>
      </c>
      <c r="B11">
        <v>36602842</v>
      </c>
      <c r="C11">
        <v>36602839</v>
      </c>
      <c r="D11">
        <v>36291495</v>
      </c>
      <c r="E11">
        <v>1</v>
      </c>
      <c r="F11">
        <v>1</v>
      </c>
      <c r="G11">
        <v>31</v>
      </c>
      <c r="H11">
        <v>2</v>
      </c>
      <c r="I11" t="s">
        <v>219</v>
      </c>
      <c r="J11" t="s">
        <v>220</v>
      </c>
      <c r="K11" t="s">
        <v>221</v>
      </c>
      <c r="L11">
        <v>1368</v>
      </c>
      <c r="N11">
        <v>1011</v>
      </c>
      <c r="O11" t="s">
        <v>199</v>
      </c>
      <c r="P11" t="s">
        <v>199</v>
      </c>
      <c r="Q11">
        <v>1</v>
      </c>
      <c r="X11">
        <v>2.6</v>
      </c>
      <c r="Y11">
        <v>0</v>
      </c>
      <c r="Z11">
        <v>1278.1099999999999</v>
      </c>
      <c r="AA11">
        <v>508.81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2.6</v>
      </c>
      <c r="AH11">
        <v>2</v>
      </c>
      <c r="AI11">
        <v>36602842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ROW(Source!A30)</f>
        <v>30</v>
      </c>
      <c r="B12">
        <v>36602841</v>
      </c>
      <c r="C12">
        <v>36602839</v>
      </c>
      <c r="D12">
        <v>36291181</v>
      </c>
      <c r="E12">
        <v>1</v>
      </c>
      <c r="F12">
        <v>1</v>
      </c>
      <c r="G12">
        <v>31</v>
      </c>
      <c r="H12">
        <v>2</v>
      </c>
      <c r="I12" t="s">
        <v>222</v>
      </c>
      <c r="J12" t="s">
        <v>223</v>
      </c>
      <c r="K12" t="s">
        <v>224</v>
      </c>
      <c r="L12">
        <v>1368</v>
      </c>
      <c r="N12">
        <v>1011</v>
      </c>
      <c r="O12" t="s">
        <v>199</v>
      </c>
      <c r="P12" t="s">
        <v>199</v>
      </c>
      <c r="Q12">
        <v>1</v>
      </c>
      <c r="X12">
        <v>2.6</v>
      </c>
      <c r="Y12">
        <v>0</v>
      </c>
      <c r="Z12">
        <v>1047.8800000000001</v>
      </c>
      <c r="AA12">
        <v>459.43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2.6</v>
      </c>
      <c r="AH12">
        <v>2</v>
      </c>
      <c r="AI12">
        <v>36602841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ROW(Source!A30)</f>
        <v>30</v>
      </c>
      <c r="B13">
        <v>36602843</v>
      </c>
      <c r="C13">
        <v>36602839</v>
      </c>
      <c r="D13">
        <v>36292042</v>
      </c>
      <c r="E13">
        <v>1</v>
      </c>
      <c r="F13">
        <v>1</v>
      </c>
      <c r="G13">
        <v>31</v>
      </c>
      <c r="H13">
        <v>2</v>
      </c>
      <c r="I13" t="s">
        <v>213</v>
      </c>
      <c r="J13" t="s">
        <v>214</v>
      </c>
      <c r="K13" t="s">
        <v>215</v>
      </c>
      <c r="L13">
        <v>1368</v>
      </c>
      <c r="N13">
        <v>1011</v>
      </c>
      <c r="O13" t="s">
        <v>199</v>
      </c>
      <c r="P13" t="s">
        <v>199</v>
      </c>
      <c r="Q13">
        <v>1</v>
      </c>
      <c r="X13">
        <v>5.2</v>
      </c>
      <c r="Y13">
        <v>0</v>
      </c>
      <c r="Z13">
        <v>6.02</v>
      </c>
      <c r="AA13">
        <v>0.02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5.2</v>
      </c>
      <c r="AH13">
        <v>2</v>
      </c>
      <c r="AI13">
        <v>36602843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ROW(Source!A31)</f>
        <v>31</v>
      </c>
      <c r="B14">
        <v>36602846</v>
      </c>
      <c r="C14">
        <v>36602845</v>
      </c>
      <c r="D14">
        <v>36278558</v>
      </c>
      <c r="E14">
        <v>31</v>
      </c>
      <c r="F14">
        <v>1</v>
      </c>
      <c r="G14">
        <v>31</v>
      </c>
      <c r="H14">
        <v>1</v>
      </c>
      <c r="I14" t="s">
        <v>193</v>
      </c>
      <c r="J14" t="s">
        <v>3</v>
      </c>
      <c r="K14" t="s">
        <v>194</v>
      </c>
      <c r="L14">
        <v>1191</v>
      </c>
      <c r="N14">
        <v>1013</v>
      </c>
      <c r="O14" t="s">
        <v>195</v>
      </c>
      <c r="P14" t="s">
        <v>195</v>
      </c>
      <c r="Q14">
        <v>1</v>
      </c>
      <c r="X14">
        <v>49.5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 t="s">
        <v>3</v>
      </c>
      <c r="AG14">
        <v>49.5</v>
      </c>
      <c r="AH14">
        <v>2</v>
      </c>
      <c r="AI14">
        <v>36602846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ROW(Source!A31)</f>
        <v>31</v>
      </c>
      <c r="B15">
        <v>36602847</v>
      </c>
      <c r="C15">
        <v>36602845</v>
      </c>
      <c r="D15">
        <v>36291161</v>
      </c>
      <c r="E15">
        <v>1</v>
      </c>
      <c r="F15">
        <v>1</v>
      </c>
      <c r="G15">
        <v>31</v>
      </c>
      <c r="H15">
        <v>2</v>
      </c>
      <c r="I15" t="s">
        <v>225</v>
      </c>
      <c r="J15" t="s">
        <v>226</v>
      </c>
      <c r="K15" t="s">
        <v>227</v>
      </c>
      <c r="L15">
        <v>1368</v>
      </c>
      <c r="N15">
        <v>1011</v>
      </c>
      <c r="O15" t="s">
        <v>199</v>
      </c>
      <c r="P15" t="s">
        <v>199</v>
      </c>
      <c r="Q15">
        <v>1</v>
      </c>
      <c r="X15">
        <v>2.87</v>
      </c>
      <c r="Y15">
        <v>0</v>
      </c>
      <c r="Z15">
        <v>1078.49</v>
      </c>
      <c r="AA15">
        <v>396.28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2.87</v>
      </c>
      <c r="AH15">
        <v>2</v>
      </c>
      <c r="AI15">
        <v>36602847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ROW(Source!A31)</f>
        <v>31</v>
      </c>
      <c r="B16">
        <v>36602848</v>
      </c>
      <c r="C16">
        <v>36602845</v>
      </c>
      <c r="D16">
        <v>36291140</v>
      </c>
      <c r="E16">
        <v>1</v>
      </c>
      <c r="F16">
        <v>1</v>
      </c>
      <c r="G16">
        <v>31</v>
      </c>
      <c r="H16">
        <v>2</v>
      </c>
      <c r="I16" t="s">
        <v>228</v>
      </c>
      <c r="J16" t="s">
        <v>229</v>
      </c>
      <c r="K16" t="s">
        <v>230</v>
      </c>
      <c r="L16">
        <v>1368</v>
      </c>
      <c r="N16">
        <v>1011</v>
      </c>
      <c r="O16" t="s">
        <v>199</v>
      </c>
      <c r="P16" t="s">
        <v>199</v>
      </c>
      <c r="Q16">
        <v>1</v>
      </c>
      <c r="X16">
        <v>7.86</v>
      </c>
      <c r="Y16">
        <v>0</v>
      </c>
      <c r="Z16">
        <v>1653.15</v>
      </c>
      <c r="AA16">
        <v>530.53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7.86</v>
      </c>
      <c r="AH16">
        <v>2</v>
      </c>
      <c r="AI16">
        <v>36602848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ROW(Source!A32)</f>
        <v>32</v>
      </c>
      <c r="B17">
        <v>36602851</v>
      </c>
      <c r="C17">
        <v>36602850</v>
      </c>
      <c r="D17">
        <v>36278558</v>
      </c>
      <c r="E17">
        <v>31</v>
      </c>
      <c r="F17">
        <v>1</v>
      </c>
      <c r="G17">
        <v>31</v>
      </c>
      <c r="H17">
        <v>1</v>
      </c>
      <c r="I17" t="s">
        <v>193</v>
      </c>
      <c r="J17" t="s">
        <v>3</v>
      </c>
      <c r="K17" t="s">
        <v>194</v>
      </c>
      <c r="L17">
        <v>1191</v>
      </c>
      <c r="N17">
        <v>1013</v>
      </c>
      <c r="O17" t="s">
        <v>195</v>
      </c>
      <c r="P17" t="s">
        <v>195</v>
      </c>
      <c r="Q17">
        <v>1</v>
      </c>
      <c r="X17">
        <v>0.66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 t="s">
        <v>3</v>
      </c>
      <c r="AG17">
        <v>0.66</v>
      </c>
      <c r="AH17">
        <v>2</v>
      </c>
      <c r="AI17">
        <v>36602851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ROW(Source!A32)</f>
        <v>32</v>
      </c>
      <c r="B18">
        <v>36602852</v>
      </c>
      <c r="C18">
        <v>36602850</v>
      </c>
      <c r="D18">
        <v>36291497</v>
      </c>
      <c r="E18">
        <v>1</v>
      </c>
      <c r="F18">
        <v>1</v>
      </c>
      <c r="G18">
        <v>31</v>
      </c>
      <c r="H18">
        <v>2</v>
      </c>
      <c r="I18" t="s">
        <v>231</v>
      </c>
      <c r="J18" t="s">
        <v>232</v>
      </c>
      <c r="K18" t="s">
        <v>233</v>
      </c>
      <c r="L18">
        <v>1368</v>
      </c>
      <c r="N18">
        <v>1011</v>
      </c>
      <c r="O18" t="s">
        <v>199</v>
      </c>
      <c r="P18" t="s">
        <v>199</v>
      </c>
      <c r="Q18">
        <v>1</v>
      </c>
      <c r="X18">
        <v>0.13200000000000001</v>
      </c>
      <c r="Y18">
        <v>0</v>
      </c>
      <c r="Z18">
        <v>524.04999999999995</v>
      </c>
      <c r="AA18">
        <v>396.68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0.13200000000000001</v>
      </c>
      <c r="AH18">
        <v>2</v>
      </c>
      <c r="AI18">
        <v>36602852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ROW(Source!A32)</f>
        <v>32</v>
      </c>
      <c r="B19">
        <v>36602853</v>
      </c>
      <c r="C19">
        <v>36602850</v>
      </c>
      <c r="D19">
        <v>36291979</v>
      </c>
      <c r="E19">
        <v>1</v>
      </c>
      <c r="F19">
        <v>1</v>
      </c>
      <c r="G19">
        <v>31</v>
      </c>
      <c r="H19">
        <v>2</v>
      </c>
      <c r="I19" t="s">
        <v>234</v>
      </c>
      <c r="J19" t="s">
        <v>235</v>
      </c>
      <c r="K19" t="s">
        <v>236</v>
      </c>
      <c r="L19">
        <v>1368</v>
      </c>
      <c r="N19">
        <v>1011</v>
      </c>
      <c r="O19" t="s">
        <v>199</v>
      </c>
      <c r="P19" t="s">
        <v>199</v>
      </c>
      <c r="Q19">
        <v>1</v>
      </c>
      <c r="X19">
        <v>0.05</v>
      </c>
      <c r="Y19">
        <v>0</v>
      </c>
      <c r="Z19">
        <v>1214.8800000000001</v>
      </c>
      <c r="AA19">
        <v>429.18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0.05</v>
      </c>
      <c r="AH19">
        <v>2</v>
      </c>
      <c r="AI19">
        <v>36602853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ROW(Source!A32)</f>
        <v>32</v>
      </c>
      <c r="B20">
        <v>36602854</v>
      </c>
      <c r="C20">
        <v>36602850</v>
      </c>
      <c r="D20">
        <v>36292042</v>
      </c>
      <c r="E20">
        <v>1</v>
      </c>
      <c r="F20">
        <v>1</v>
      </c>
      <c r="G20">
        <v>31</v>
      </c>
      <c r="H20">
        <v>2</v>
      </c>
      <c r="I20" t="s">
        <v>213</v>
      </c>
      <c r="J20" t="s">
        <v>214</v>
      </c>
      <c r="K20" t="s">
        <v>215</v>
      </c>
      <c r="L20">
        <v>1368</v>
      </c>
      <c r="N20">
        <v>1011</v>
      </c>
      <c r="O20" t="s">
        <v>199</v>
      </c>
      <c r="P20" t="s">
        <v>199</v>
      </c>
      <c r="Q20">
        <v>1</v>
      </c>
      <c r="X20">
        <v>0.13200000000000001</v>
      </c>
      <c r="Y20">
        <v>0</v>
      </c>
      <c r="Z20">
        <v>6.02</v>
      </c>
      <c r="AA20">
        <v>0.02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0.13200000000000001</v>
      </c>
      <c r="AH20">
        <v>2</v>
      </c>
      <c r="AI20">
        <v>36602854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ROW(Source!A32)</f>
        <v>32</v>
      </c>
      <c r="B21">
        <v>36602855</v>
      </c>
      <c r="C21">
        <v>36602850</v>
      </c>
      <c r="D21">
        <v>36291251</v>
      </c>
      <c r="E21">
        <v>1</v>
      </c>
      <c r="F21">
        <v>1</v>
      </c>
      <c r="G21">
        <v>31</v>
      </c>
      <c r="H21">
        <v>2</v>
      </c>
      <c r="I21" t="s">
        <v>237</v>
      </c>
      <c r="J21" t="s">
        <v>238</v>
      </c>
      <c r="K21" t="s">
        <v>239</v>
      </c>
      <c r="L21">
        <v>1368</v>
      </c>
      <c r="N21">
        <v>1011</v>
      </c>
      <c r="O21" t="s">
        <v>199</v>
      </c>
      <c r="P21" t="s">
        <v>199</v>
      </c>
      <c r="Q21">
        <v>1</v>
      </c>
      <c r="X21">
        <v>8.8999999999999996E-2</v>
      </c>
      <c r="Y21">
        <v>0</v>
      </c>
      <c r="Z21">
        <v>935.9</v>
      </c>
      <c r="AA21">
        <v>503.86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8.8999999999999996E-2</v>
      </c>
      <c r="AH21">
        <v>2</v>
      </c>
      <c r="AI21">
        <v>36602855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ROW(Source!A32)</f>
        <v>32</v>
      </c>
      <c r="B22">
        <v>36602856</v>
      </c>
      <c r="C22">
        <v>36602850</v>
      </c>
      <c r="D22">
        <v>36295079</v>
      </c>
      <c r="E22">
        <v>1</v>
      </c>
      <c r="F22">
        <v>1</v>
      </c>
      <c r="G22">
        <v>31</v>
      </c>
      <c r="H22">
        <v>3</v>
      </c>
      <c r="I22" t="s">
        <v>240</v>
      </c>
      <c r="J22" t="s">
        <v>241</v>
      </c>
      <c r="K22" t="s">
        <v>242</v>
      </c>
      <c r="L22">
        <v>1339</v>
      </c>
      <c r="N22">
        <v>1007</v>
      </c>
      <c r="O22" t="s">
        <v>179</v>
      </c>
      <c r="P22" t="s">
        <v>179</v>
      </c>
      <c r="Q22">
        <v>1</v>
      </c>
      <c r="X22">
        <v>5.8999999999999997E-2</v>
      </c>
      <c r="Y22">
        <v>5395.46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5.8999999999999997E-2</v>
      </c>
      <c r="AH22">
        <v>2</v>
      </c>
      <c r="AI22">
        <v>36602856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ROW(Source!A32)</f>
        <v>32</v>
      </c>
      <c r="B23">
        <v>36602857</v>
      </c>
      <c r="C23">
        <v>36602850</v>
      </c>
      <c r="D23">
        <v>36295188</v>
      </c>
      <c r="E23">
        <v>1</v>
      </c>
      <c r="F23">
        <v>1</v>
      </c>
      <c r="G23">
        <v>31</v>
      </c>
      <c r="H23">
        <v>3</v>
      </c>
      <c r="I23" t="s">
        <v>243</v>
      </c>
      <c r="J23" t="s">
        <v>244</v>
      </c>
      <c r="K23" t="s">
        <v>245</v>
      </c>
      <c r="L23">
        <v>1339</v>
      </c>
      <c r="N23">
        <v>1007</v>
      </c>
      <c r="O23" t="s">
        <v>179</v>
      </c>
      <c r="P23" t="s">
        <v>179</v>
      </c>
      <c r="Q23">
        <v>1</v>
      </c>
      <c r="X23">
        <v>5.9999999999999995E-4</v>
      </c>
      <c r="Y23">
        <v>3977.01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5.9999999999999995E-4</v>
      </c>
      <c r="AH23">
        <v>2</v>
      </c>
      <c r="AI23">
        <v>36602857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ROW(Source!A32)</f>
        <v>32</v>
      </c>
      <c r="B24">
        <v>36602858</v>
      </c>
      <c r="C24">
        <v>36602850</v>
      </c>
      <c r="D24">
        <v>36295969</v>
      </c>
      <c r="E24">
        <v>1</v>
      </c>
      <c r="F24">
        <v>1</v>
      </c>
      <c r="G24">
        <v>31</v>
      </c>
      <c r="H24">
        <v>3</v>
      </c>
      <c r="I24" t="s">
        <v>246</v>
      </c>
      <c r="J24" t="s">
        <v>247</v>
      </c>
      <c r="K24" t="s">
        <v>248</v>
      </c>
      <c r="L24">
        <v>1339</v>
      </c>
      <c r="N24">
        <v>1007</v>
      </c>
      <c r="O24" t="s">
        <v>179</v>
      </c>
      <c r="P24" t="s">
        <v>179</v>
      </c>
      <c r="Q24">
        <v>1</v>
      </c>
      <c r="X24">
        <v>4.36E-2</v>
      </c>
      <c r="Y24">
        <v>10729.4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4.36E-2</v>
      </c>
      <c r="AH24">
        <v>2</v>
      </c>
      <c r="AI24">
        <v>36602858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ROW(Source!A32)</f>
        <v>32</v>
      </c>
      <c r="B25">
        <v>36602859</v>
      </c>
      <c r="C25">
        <v>36602850</v>
      </c>
      <c r="D25">
        <v>36280380</v>
      </c>
      <c r="E25">
        <v>31</v>
      </c>
      <c r="F25">
        <v>1</v>
      </c>
      <c r="G25">
        <v>31</v>
      </c>
      <c r="H25">
        <v>3</v>
      </c>
      <c r="I25" t="s">
        <v>249</v>
      </c>
      <c r="J25" t="s">
        <v>3</v>
      </c>
      <c r="K25" t="s">
        <v>250</v>
      </c>
      <c r="L25">
        <v>1348</v>
      </c>
      <c r="N25">
        <v>1009</v>
      </c>
      <c r="O25" t="s">
        <v>63</v>
      </c>
      <c r="P25" t="s">
        <v>63</v>
      </c>
      <c r="Q25">
        <v>1000</v>
      </c>
      <c r="X25">
        <v>0.246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0.246</v>
      </c>
      <c r="AH25">
        <v>2</v>
      </c>
      <c r="AI25">
        <v>36602859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ROW(Source!A33)</f>
        <v>33</v>
      </c>
      <c r="B26">
        <v>36602862</v>
      </c>
      <c r="C26">
        <v>36602861</v>
      </c>
      <c r="D26">
        <v>36278558</v>
      </c>
      <c r="E26">
        <v>31</v>
      </c>
      <c r="F26">
        <v>1</v>
      </c>
      <c r="G26">
        <v>31</v>
      </c>
      <c r="H26">
        <v>1</v>
      </c>
      <c r="I26" t="s">
        <v>193</v>
      </c>
      <c r="J26" t="s">
        <v>3</v>
      </c>
      <c r="K26" t="s">
        <v>194</v>
      </c>
      <c r="L26">
        <v>1191</v>
      </c>
      <c r="N26">
        <v>1013</v>
      </c>
      <c r="O26" t="s">
        <v>195</v>
      </c>
      <c r="P26" t="s">
        <v>195</v>
      </c>
      <c r="Q26">
        <v>1</v>
      </c>
      <c r="X26">
        <v>1.81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1.81</v>
      </c>
      <c r="AH26">
        <v>2</v>
      </c>
      <c r="AI26">
        <v>36602862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ROW(Source!A33)</f>
        <v>33</v>
      </c>
      <c r="B27">
        <v>36602864</v>
      </c>
      <c r="C27">
        <v>36602861</v>
      </c>
      <c r="D27">
        <v>36291499</v>
      </c>
      <c r="E27">
        <v>1</v>
      </c>
      <c r="F27">
        <v>1</v>
      </c>
      <c r="G27">
        <v>31</v>
      </c>
      <c r="H27">
        <v>2</v>
      </c>
      <c r="I27" t="s">
        <v>251</v>
      </c>
      <c r="J27" t="s">
        <v>252</v>
      </c>
      <c r="K27" t="s">
        <v>253</v>
      </c>
      <c r="L27">
        <v>1368</v>
      </c>
      <c r="N27">
        <v>1011</v>
      </c>
      <c r="O27" t="s">
        <v>199</v>
      </c>
      <c r="P27" t="s">
        <v>199</v>
      </c>
      <c r="Q27">
        <v>1</v>
      </c>
      <c r="X27">
        <v>0.09</v>
      </c>
      <c r="Y27">
        <v>0</v>
      </c>
      <c r="Z27">
        <v>1001.1</v>
      </c>
      <c r="AA27">
        <v>483.61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0.09</v>
      </c>
      <c r="AH27">
        <v>2</v>
      </c>
      <c r="AI27">
        <v>36602864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ROW(Source!A33)</f>
        <v>33</v>
      </c>
      <c r="B28">
        <v>36602863</v>
      </c>
      <c r="C28">
        <v>36602861</v>
      </c>
      <c r="D28">
        <v>36291153</v>
      </c>
      <c r="E28">
        <v>1</v>
      </c>
      <c r="F28">
        <v>1</v>
      </c>
      <c r="G28">
        <v>31</v>
      </c>
      <c r="H28">
        <v>2</v>
      </c>
      <c r="I28" t="s">
        <v>254</v>
      </c>
      <c r="J28" t="s">
        <v>255</v>
      </c>
      <c r="K28" t="s">
        <v>256</v>
      </c>
      <c r="L28">
        <v>1368</v>
      </c>
      <c r="N28">
        <v>1011</v>
      </c>
      <c r="O28" t="s">
        <v>199</v>
      </c>
      <c r="P28" t="s">
        <v>199</v>
      </c>
      <c r="Q28">
        <v>1</v>
      </c>
      <c r="X28">
        <v>0.25</v>
      </c>
      <c r="Y28">
        <v>0</v>
      </c>
      <c r="Z28">
        <v>1372.7</v>
      </c>
      <c r="AA28">
        <v>597.49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0.25</v>
      </c>
      <c r="AH28">
        <v>2</v>
      </c>
      <c r="AI28">
        <v>36602863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ROW(Source!A33)</f>
        <v>33</v>
      </c>
      <c r="B29">
        <v>36602865</v>
      </c>
      <c r="C29">
        <v>36602861</v>
      </c>
      <c r="D29">
        <v>36291776</v>
      </c>
      <c r="E29">
        <v>1</v>
      </c>
      <c r="F29">
        <v>1</v>
      </c>
      <c r="G29">
        <v>31</v>
      </c>
      <c r="H29">
        <v>2</v>
      </c>
      <c r="I29" t="s">
        <v>257</v>
      </c>
      <c r="J29" t="s">
        <v>258</v>
      </c>
      <c r="K29" t="s">
        <v>259</v>
      </c>
      <c r="L29">
        <v>1368</v>
      </c>
      <c r="N29">
        <v>1011</v>
      </c>
      <c r="O29" t="s">
        <v>199</v>
      </c>
      <c r="P29" t="s">
        <v>199</v>
      </c>
      <c r="Q29">
        <v>1</v>
      </c>
      <c r="X29">
        <v>0.04</v>
      </c>
      <c r="Y29">
        <v>0</v>
      </c>
      <c r="Z29">
        <v>121.72</v>
      </c>
      <c r="AA29">
        <v>4.8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0.04</v>
      </c>
      <c r="AH29">
        <v>2</v>
      </c>
      <c r="AI29">
        <v>36602865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ROW(Source!A33)</f>
        <v>33</v>
      </c>
      <c r="B30">
        <v>36602866</v>
      </c>
      <c r="C30">
        <v>36602861</v>
      </c>
      <c r="D30">
        <v>36292042</v>
      </c>
      <c r="E30">
        <v>1</v>
      </c>
      <c r="F30">
        <v>1</v>
      </c>
      <c r="G30">
        <v>31</v>
      </c>
      <c r="H30">
        <v>2</v>
      </c>
      <c r="I30" t="s">
        <v>213</v>
      </c>
      <c r="J30" t="s">
        <v>214</v>
      </c>
      <c r="K30" t="s">
        <v>215</v>
      </c>
      <c r="L30">
        <v>1368</v>
      </c>
      <c r="N30">
        <v>1011</v>
      </c>
      <c r="O30" t="s">
        <v>199</v>
      </c>
      <c r="P30" t="s">
        <v>199</v>
      </c>
      <c r="Q30">
        <v>1</v>
      </c>
      <c r="X30">
        <v>0.1</v>
      </c>
      <c r="Y30">
        <v>0</v>
      </c>
      <c r="Z30">
        <v>6.02</v>
      </c>
      <c r="AA30">
        <v>0.02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0.1</v>
      </c>
      <c r="AH30">
        <v>2</v>
      </c>
      <c r="AI30">
        <v>36602866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ROW(Source!A33)</f>
        <v>33</v>
      </c>
      <c r="B31">
        <v>36602867</v>
      </c>
      <c r="C31">
        <v>36602861</v>
      </c>
      <c r="D31">
        <v>36295108</v>
      </c>
      <c r="E31">
        <v>1</v>
      </c>
      <c r="F31">
        <v>1</v>
      </c>
      <c r="G31">
        <v>31</v>
      </c>
      <c r="H31">
        <v>3</v>
      </c>
      <c r="I31" t="s">
        <v>260</v>
      </c>
      <c r="J31" t="s">
        <v>261</v>
      </c>
      <c r="K31" t="s">
        <v>262</v>
      </c>
      <c r="L31">
        <v>1339</v>
      </c>
      <c r="N31">
        <v>1007</v>
      </c>
      <c r="O31" t="s">
        <v>179</v>
      </c>
      <c r="P31" t="s">
        <v>179</v>
      </c>
      <c r="Q31">
        <v>1</v>
      </c>
      <c r="X31">
        <v>0.115</v>
      </c>
      <c r="Y31">
        <v>4979.1400000000003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0.115</v>
      </c>
      <c r="AH31">
        <v>2</v>
      </c>
      <c r="AI31">
        <v>36602867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ROW(Source!A33)</f>
        <v>33</v>
      </c>
      <c r="B32">
        <v>36602868</v>
      </c>
      <c r="C32">
        <v>36602861</v>
      </c>
      <c r="D32">
        <v>36295188</v>
      </c>
      <c r="E32">
        <v>1</v>
      </c>
      <c r="F32">
        <v>1</v>
      </c>
      <c r="G32">
        <v>31</v>
      </c>
      <c r="H32">
        <v>3</v>
      </c>
      <c r="I32" t="s">
        <v>243</v>
      </c>
      <c r="J32" t="s">
        <v>244</v>
      </c>
      <c r="K32" t="s">
        <v>245</v>
      </c>
      <c r="L32">
        <v>1339</v>
      </c>
      <c r="N32">
        <v>1007</v>
      </c>
      <c r="O32" t="s">
        <v>179</v>
      </c>
      <c r="P32" t="s">
        <v>179</v>
      </c>
      <c r="Q32">
        <v>1</v>
      </c>
      <c r="X32">
        <v>5.9999999999999995E-4</v>
      </c>
      <c r="Y32">
        <v>3977.01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5.9999999999999995E-4</v>
      </c>
      <c r="AH32">
        <v>2</v>
      </c>
      <c r="AI32">
        <v>36602868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ROW(Source!A34)</f>
        <v>34</v>
      </c>
      <c r="B33">
        <v>36602871</v>
      </c>
      <c r="C33">
        <v>36602870</v>
      </c>
      <c r="D33">
        <v>36278558</v>
      </c>
      <c r="E33">
        <v>31</v>
      </c>
      <c r="F33">
        <v>1</v>
      </c>
      <c r="G33">
        <v>31</v>
      </c>
      <c r="H33">
        <v>1</v>
      </c>
      <c r="I33" t="s">
        <v>193</v>
      </c>
      <c r="J33" t="s">
        <v>3</v>
      </c>
      <c r="K33" t="s">
        <v>194</v>
      </c>
      <c r="L33">
        <v>1191</v>
      </c>
      <c r="N33">
        <v>1013</v>
      </c>
      <c r="O33" t="s">
        <v>195</v>
      </c>
      <c r="P33" t="s">
        <v>195</v>
      </c>
      <c r="Q33">
        <v>1</v>
      </c>
      <c r="X33">
        <v>16.559999999999999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 t="s">
        <v>3</v>
      </c>
      <c r="AG33">
        <v>16.559999999999999</v>
      </c>
      <c r="AH33">
        <v>2</v>
      </c>
      <c r="AI33">
        <v>36602871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ROW(Source!A34)</f>
        <v>34</v>
      </c>
      <c r="B34">
        <v>36602872</v>
      </c>
      <c r="C34">
        <v>36602870</v>
      </c>
      <c r="D34">
        <v>36291184</v>
      </c>
      <c r="E34">
        <v>1</v>
      </c>
      <c r="F34">
        <v>1</v>
      </c>
      <c r="G34">
        <v>31</v>
      </c>
      <c r="H34">
        <v>2</v>
      </c>
      <c r="I34" t="s">
        <v>263</v>
      </c>
      <c r="J34" t="s">
        <v>264</v>
      </c>
      <c r="K34" t="s">
        <v>265</v>
      </c>
      <c r="L34">
        <v>1368</v>
      </c>
      <c r="N34">
        <v>1011</v>
      </c>
      <c r="O34" t="s">
        <v>199</v>
      </c>
      <c r="P34" t="s">
        <v>199</v>
      </c>
      <c r="Q34">
        <v>1</v>
      </c>
      <c r="X34">
        <v>2.08</v>
      </c>
      <c r="Y34">
        <v>0</v>
      </c>
      <c r="Z34">
        <v>827.88</v>
      </c>
      <c r="AA34">
        <v>455.57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2.08</v>
      </c>
      <c r="AH34">
        <v>2</v>
      </c>
      <c r="AI34">
        <v>36602872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ROW(Source!A34)</f>
        <v>34</v>
      </c>
      <c r="B35">
        <v>36602873</v>
      </c>
      <c r="C35">
        <v>36602870</v>
      </c>
      <c r="D35">
        <v>36291341</v>
      </c>
      <c r="E35">
        <v>1</v>
      </c>
      <c r="F35">
        <v>1</v>
      </c>
      <c r="G35">
        <v>31</v>
      </c>
      <c r="H35">
        <v>2</v>
      </c>
      <c r="I35" t="s">
        <v>266</v>
      </c>
      <c r="J35" t="s">
        <v>267</v>
      </c>
      <c r="K35" t="s">
        <v>268</v>
      </c>
      <c r="L35">
        <v>1368</v>
      </c>
      <c r="N35">
        <v>1011</v>
      </c>
      <c r="O35" t="s">
        <v>199</v>
      </c>
      <c r="P35" t="s">
        <v>199</v>
      </c>
      <c r="Q35">
        <v>1</v>
      </c>
      <c r="X35">
        <v>2.08</v>
      </c>
      <c r="Y35">
        <v>0</v>
      </c>
      <c r="Z35">
        <v>458.14</v>
      </c>
      <c r="AA35">
        <v>237.38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2.08</v>
      </c>
      <c r="AH35">
        <v>2</v>
      </c>
      <c r="AI35">
        <v>36602873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ROW(Source!A34)</f>
        <v>34</v>
      </c>
      <c r="B36">
        <v>36602874</v>
      </c>
      <c r="C36">
        <v>36602870</v>
      </c>
      <c r="D36">
        <v>36291344</v>
      </c>
      <c r="E36">
        <v>1</v>
      </c>
      <c r="F36">
        <v>1</v>
      </c>
      <c r="G36">
        <v>31</v>
      </c>
      <c r="H36">
        <v>2</v>
      </c>
      <c r="I36" t="s">
        <v>269</v>
      </c>
      <c r="J36" t="s">
        <v>270</v>
      </c>
      <c r="K36" t="s">
        <v>271</v>
      </c>
      <c r="L36">
        <v>1368</v>
      </c>
      <c r="N36">
        <v>1011</v>
      </c>
      <c r="O36" t="s">
        <v>199</v>
      </c>
      <c r="P36" t="s">
        <v>199</v>
      </c>
      <c r="Q36">
        <v>1</v>
      </c>
      <c r="X36">
        <v>0.81</v>
      </c>
      <c r="Y36">
        <v>0</v>
      </c>
      <c r="Z36">
        <v>2067.59</v>
      </c>
      <c r="AA36">
        <v>505.56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0.81</v>
      </c>
      <c r="AH36">
        <v>2</v>
      </c>
      <c r="AI36">
        <v>36602874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ROW(Source!A34)</f>
        <v>34</v>
      </c>
      <c r="B37">
        <v>36602875</v>
      </c>
      <c r="C37">
        <v>36602870</v>
      </c>
      <c r="D37">
        <v>36291368</v>
      </c>
      <c r="E37">
        <v>1</v>
      </c>
      <c r="F37">
        <v>1</v>
      </c>
      <c r="G37">
        <v>31</v>
      </c>
      <c r="H37">
        <v>2</v>
      </c>
      <c r="I37" t="s">
        <v>216</v>
      </c>
      <c r="J37" t="s">
        <v>217</v>
      </c>
      <c r="K37" t="s">
        <v>218</v>
      </c>
      <c r="L37">
        <v>1368</v>
      </c>
      <c r="N37">
        <v>1011</v>
      </c>
      <c r="O37" t="s">
        <v>199</v>
      </c>
      <c r="P37" t="s">
        <v>199</v>
      </c>
      <c r="Q37">
        <v>1</v>
      </c>
      <c r="X37">
        <v>1.94</v>
      </c>
      <c r="Y37">
        <v>0</v>
      </c>
      <c r="Z37">
        <v>1566.66</v>
      </c>
      <c r="AA37">
        <v>707.06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1.94</v>
      </c>
      <c r="AH37">
        <v>2</v>
      </c>
      <c r="AI37">
        <v>36602875</v>
      </c>
      <c r="AJ37">
        <v>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ROW(Source!A34)</f>
        <v>34</v>
      </c>
      <c r="B38">
        <v>36602876</v>
      </c>
      <c r="C38">
        <v>36602870</v>
      </c>
      <c r="D38">
        <v>36291334</v>
      </c>
      <c r="E38">
        <v>1</v>
      </c>
      <c r="F38">
        <v>1</v>
      </c>
      <c r="G38">
        <v>31</v>
      </c>
      <c r="H38">
        <v>2</v>
      </c>
      <c r="I38" t="s">
        <v>272</v>
      </c>
      <c r="J38" t="s">
        <v>273</v>
      </c>
      <c r="K38" t="s">
        <v>274</v>
      </c>
      <c r="L38">
        <v>1368</v>
      </c>
      <c r="N38">
        <v>1011</v>
      </c>
      <c r="O38" t="s">
        <v>199</v>
      </c>
      <c r="P38" t="s">
        <v>199</v>
      </c>
      <c r="Q38">
        <v>1</v>
      </c>
      <c r="X38">
        <v>0.65</v>
      </c>
      <c r="Y38">
        <v>0</v>
      </c>
      <c r="Z38">
        <v>1338.36</v>
      </c>
      <c r="AA38">
        <v>508.91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0.65</v>
      </c>
      <c r="AH38">
        <v>2</v>
      </c>
      <c r="AI38">
        <v>36602876</v>
      </c>
      <c r="AJ38">
        <v>38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ROW(Source!A34)</f>
        <v>34</v>
      </c>
      <c r="B39">
        <v>36602877</v>
      </c>
      <c r="C39">
        <v>36602870</v>
      </c>
      <c r="D39">
        <v>36293358</v>
      </c>
      <c r="E39">
        <v>1</v>
      </c>
      <c r="F39">
        <v>1</v>
      </c>
      <c r="G39">
        <v>31</v>
      </c>
      <c r="H39">
        <v>3</v>
      </c>
      <c r="I39" t="s">
        <v>275</v>
      </c>
      <c r="J39" t="s">
        <v>276</v>
      </c>
      <c r="K39" t="s">
        <v>277</v>
      </c>
      <c r="L39">
        <v>1339</v>
      </c>
      <c r="N39">
        <v>1007</v>
      </c>
      <c r="O39" t="s">
        <v>179</v>
      </c>
      <c r="P39" t="s">
        <v>179</v>
      </c>
      <c r="Q39">
        <v>1</v>
      </c>
      <c r="X39">
        <v>110</v>
      </c>
      <c r="Y39">
        <v>573.77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110</v>
      </c>
      <c r="AH39">
        <v>2</v>
      </c>
      <c r="AI39">
        <v>36602877</v>
      </c>
      <c r="AJ39">
        <v>39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ROW(Source!A34)</f>
        <v>34</v>
      </c>
      <c r="B40">
        <v>36602878</v>
      </c>
      <c r="C40">
        <v>36602870</v>
      </c>
      <c r="D40">
        <v>36294127</v>
      </c>
      <c r="E40">
        <v>1</v>
      </c>
      <c r="F40">
        <v>1</v>
      </c>
      <c r="G40">
        <v>31</v>
      </c>
      <c r="H40">
        <v>3</v>
      </c>
      <c r="I40" t="s">
        <v>203</v>
      </c>
      <c r="J40" t="s">
        <v>204</v>
      </c>
      <c r="K40" t="s">
        <v>205</v>
      </c>
      <c r="L40">
        <v>1339</v>
      </c>
      <c r="N40">
        <v>1007</v>
      </c>
      <c r="O40" t="s">
        <v>179</v>
      </c>
      <c r="P40" t="s">
        <v>179</v>
      </c>
      <c r="Q40">
        <v>1</v>
      </c>
      <c r="X40">
        <v>5</v>
      </c>
      <c r="Y40">
        <v>38.229999999999997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5</v>
      </c>
      <c r="AH40">
        <v>2</v>
      </c>
      <c r="AI40">
        <v>36602878</v>
      </c>
      <c r="AJ40">
        <v>40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ROW(Source!A35)</f>
        <v>35</v>
      </c>
      <c r="B41">
        <v>36602881</v>
      </c>
      <c r="C41">
        <v>36602880</v>
      </c>
      <c r="D41">
        <v>36278558</v>
      </c>
      <c r="E41">
        <v>31</v>
      </c>
      <c r="F41">
        <v>1</v>
      </c>
      <c r="G41">
        <v>31</v>
      </c>
      <c r="H41">
        <v>1</v>
      </c>
      <c r="I41" t="s">
        <v>193</v>
      </c>
      <c r="J41" t="s">
        <v>3</v>
      </c>
      <c r="K41" t="s">
        <v>194</v>
      </c>
      <c r="L41">
        <v>1191</v>
      </c>
      <c r="N41">
        <v>1013</v>
      </c>
      <c r="O41" t="s">
        <v>195</v>
      </c>
      <c r="P41" t="s">
        <v>195</v>
      </c>
      <c r="Q41">
        <v>1</v>
      </c>
      <c r="X41">
        <v>24.84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 t="s">
        <v>3</v>
      </c>
      <c r="AG41">
        <v>24.84</v>
      </c>
      <c r="AH41">
        <v>2</v>
      </c>
      <c r="AI41">
        <v>36602881</v>
      </c>
      <c r="AJ41">
        <v>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ROW(Source!A35)</f>
        <v>35</v>
      </c>
      <c r="B42">
        <v>36602882</v>
      </c>
      <c r="C42">
        <v>36602880</v>
      </c>
      <c r="D42">
        <v>36291161</v>
      </c>
      <c r="E42">
        <v>1</v>
      </c>
      <c r="F42">
        <v>1</v>
      </c>
      <c r="G42">
        <v>31</v>
      </c>
      <c r="H42">
        <v>2</v>
      </c>
      <c r="I42" t="s">
        <v>225</v>
      </c>
      <c r="J42" t="s">
        <v>226</v>
      </c>
      <c r="K42" t="s">
        <v>227</v>
      </c>
      <c r="L42">
        <v>1368</v>
      </c>
      <c r="N42">
        <v>1011</v>
      </c>
      <c r="O42" t="s">
        <v>199</v>
      </c>
      <c r="P42" t="s">
        <v>199</v>
      </c>
      <c r="Q42">
        <v>1</v>
      </c>
      <c r="X42">
        <v>2.94</v>
      </c>
      <c r="Y42">
        <v>0</v>
      </c>
      <c r="Z42">
        <v>1078.49</v>
      </c>
      <c r="AA42">
        <v>396.28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2.94</v>
      </c>
      <c r="AH42">
        <v>2</v>
      </c>
      <c r="AI42">
        <v>36602882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ROW(Source!A35)</f>
        <v>35</v>
      </c>
      <c r="B43">
        <v>36602883</v>
      </c>
      <c r="C43">
        <v>36602880</v>
      </c>
      <c r="D43">
        <v>36291344</v>
      </c>
      <c r="E43">
        <v>1</v>
      </c>
      <c r="F43">
        <v>1</v>
      </c>
      <c r="G43">
        <v>31</v>
      </c>
      <c r="H43">
        <v>2</v>
      </c>
      <c r="I43" t="s">
        <v>269</v>
      </c>
      <c r="J43" t="s">
        <v>270</v>
      </c>
      <c r="K43" t="s">
        <v>271</v>
      </c>
      <c r="L43">
        <v>1368</v>
      </c>
      <c r="N43">
        <v>1011</v>
      </c>
      <c r="O43" t="s">
        <v>199</v>
      </c>
      <c r="P43" t="s">
        <v>199</v>
      </c>
      <c r="Q43">
        <v>1</v>
      </c>
      <c r="X43">
        <v>1.1399999999999999</v>
      </c>
      <c r="Y43">
        <v>0</v>
      </c>
      <c r="Z43">
        <v>2067.59</v>
      </c>
      <c r="AA43">
        <v>505.56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1.1399999999999999</v>
      </c>
      <c r="AH43">
        <v>2</v>
      </c>
      <c r="AI43">
        <v>36602883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ROW(Source!A35)</f>
        <v>35</v>
      </c>
      <c r="B44">
        <v>36602884</v>
      </c>
      <c r="C44">
        <v>36602880</v>
      </c>
      <c r="D44">
        <v>36291329</v>
      </c>
      <c r="E44">
        <v>1</v>
      </c>
      <c r="F44">
        <v>1</v>
      </c>
      <c r="G44">
        <v>31</v>
      </c>
      <c r="H44">
        <v>2</v>
      </c>
      <c r="I44" t="s">
        <v>278</v>
      </c>
      <c r="J44" t="s">
        <v>279</v>
      </c>
      <c r="K44" t="s">
        <v>280</v>
      </c>
      <c r="L44">
        <v>1368</v>
      </c>
      <c r="N44">
        <v>1011</v>
      </c>
      <c r="O44" t="s">
        <v>199</v>
      </c>
      <c r="P44" t="s">
        <v>199</v>
      </c>
      <c r="Q44">
        <v>1</v>
      </c>
      <c r="X44">
        <v>8.9600000000000009</v>
      </c>
      <c r="Y44">
        <v>0</v>
      </c>
      <c r="Z44">
        <v>1593.83</v>
      </c>
      <c r="AA44">
        <v>584.35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8.9600000000000009</v>
      </c>
      <c r="AH44">
        <v>2</v>
      </c>
      <c r="AI44">
        <v>36602884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ROW(Source!A35)</f>
        <v>35</v>
      </c>
      <c r="B45">
        <v>36602885</v>
      </c>
      <c r="C45">
        <v>36602880</v>
      </c>
      <c r="D45">
        <v>36291330</v>
      </c>
      <c r="E45">
        <v>1</v>
      </c>
      <c r="F45">
        <v>1</v>
      </c>
      <c r="G45">
        <v>31</v>
      </c>
      <c r="H45">
        <v>2</v>
      </c>
      <c r="I45" t="s">
        <v>281</v>
      </c>
      <c r="J45" t="s">
        <v>282</v>
      </c>
      <c r="K45" t="s">
        <v>283</v>
      </c>
      <c r="L45">
        <v>1368</v>
      </c>
      <c r="N45">
        <v>1011</v>
      </c>
      <c r="O45" t="s">
        <v>199</v>
      </c>
      <c r="P45" t="s">
        <v>199</v>
      </c>
      <c r="Q45">
        <v>1</v>
      </c>
      <c r="X45">
        <v>18.25</v>
      </c>
      <c r="Y45">
        <v>0</v>
      </c>
      <c r="Z45">
        <v>2086.4899999999998</v>
      </c>
      <c r="AA45">
        <v>794.41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18.25</v>
      </c>
      <c r="AH45">
        <v>2</v>
      </c>
      <c r="AI45">
        <v>36602885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ROW(Source!A35)</f>
        <v>35</v>
      </c>
      <c r="B46">
        <v>36602886</v>
      </c>
      <c r="C46">
        <v>36602880</v>
      </c>
      <c r="D46">
        <v>36291368</v>
      </c>
      <c r="E46">
        <v>1</v>
      </c>
      <c r="F46">
        <v>1</v>
      </c>
      <c r="G46">
        <v>31</v>
      </c>
      <c r="H46">
        <v>2</v>
      </c>
      <c r="I46" t="s">
        <v>216</v>
      </c>
      <c r="J46" t="s">
        <v>217</v>
      </c>
      <c r="K46" t="s">
        <v>218</v>
      </c>
      <c r="L46">
        <v>1368</v>
      </c>
      <c r="N46">
        <v>1011</v>
      </c>
      <c r="O46" t="s">
        <v>199</v>
      </c>
      <c r="P46" t="s">
        <v>199</v>
      </c>
      <c r="Q46">
        <v>1</v>
      </c>
      <c r="X46">
        <v>2.2400000000000002</v>
      </c>
      <c r="Y46">
        <v>0</v>
      </c>
      <c r="Z46">
        <v>1566.66</v>
      </c>
      <c r="AA46">
        <v>707.06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2.2400000000000002</v>
      </c>
      <c r="AH46">
        <v>2</v>
      </c>
      <c r="AI46">
        <v>36602886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ROW(Source!A35)</f>
        <v>35</v>
      </c>
      <c r="B47">
        <v>36602887</v>
      </c>
      <c r="C47">
        <v>36602880</v>
      </c>
      <c r="D47">
        <v>36291334</v>
      </c>
      <c r="E47">
        <v>1</v>
      </c>
      <c r="F47">
        <v>1</v>
      </c>
      <c r="G47">
        <v>31</v>
      </c>
      <c r="H47">
        <v>2</v>
      </c>
      <c r="I47" t="s">
        <v>272</v>
      </c>
      <c r="J47" t="s">
        <v>273</v>
      </c>
      <c r="K47" t="s">
        <v>274</v>
      </c>
      <c r="L47">
        <v>1368</v>
      </c>
      <c r="N47">
        <v>1011</v>
      </c>
      <c r="O47" t="s">
        <v>199</v>
      </c>
      <c r="P47" t="s">
        <v>199</v>
      </c>
      <c r="Q47">
        <v>1</v>
      </c>
      <c r="X47">
        <v>0.65</v>
      </c>
      <c r="Y47">
        <v>0</v>
      </c>
      <c r="Z47">
        <v>1338.36</v>
      </c>
      <c r="AA47">
        <v>508.91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0.65</v>
      </c>
      <c r="AH47">
        <v>2</v>
      </c>
      <c r="AI47">
        <v>36602887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ROW(Source!A35)</f>
        <v>35</v>
      </c>
      <c r="B48">
        <v>36602888</v>
      </c>
      <c r="C48">
        <v>36602880</v>
      </c>
      <c r="D48">
        <v>36293384</v>
      </c>
      <c r="E48">
        <v>1</v>
      </c>
      <c r="F48">
        <v>1</v>
      </c>
      <c r="G48">
        <v>31</v>
      </c>
      <c r="H48">
        <v>3</v>
      </c>
      <c r="I48" t="s">
        <v>284</v>
      </c>
      <c r="J48" t="s">
        <v>285</v>
      </c>
      <c r="K48" t="s">
        <v>286</v>
      </c>
      <c r="L48">
        <v>1339</v>
      </c>
      <c r="N48">
        <v>1007</v>
      </c>
      <c r="O48" t="s">
        <v>179</v>
      </c>
      <c r="P48" t="s">
        <v>179</v>
      </c>
      <c r="Q48">
        <v>1</v>
      </c>
      <c r="X48">
        <v>126</v>
      </c>
      <c r="Y48">
        <v>2380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126</v>
      </c>
      <c r="AH48">
        <v>2</v>
      </c>
      <c r="AI48">
        <v>36602888</v>
      </c>
      <c r="AJ48">
        <v>48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ROW(Source!A35)</f>
        <v>35</v>
      </c>
      <c r="B49">
        <v>36602889</v>
      </c>
      <c r="C49">
        <v>36602880</v>
      </c>
      <c r="D49">
        <v>36294127</v>
      </c>
      <c r="E49">
        <v>1</v>
      </c>
      <c r="F49">
        <v>1</v>
      </c>
      <c r="G49">
        <v>31</v>
      </c>
      <c r="H49">
        <v>3</v>
      </c>
      <c r="I49" t="s">
        <v>203</v>
      </c>
      <c r="J49" t="s">
        <v>204</v>
      </c>
      <c r="K49" t="s">
        <v>205</v>
      </c>
      <c r="L49">
        <v>1339</v>
      </c>
      <c r="N49">
        <v>1007</v>
      </c>
      <c r="O49" t="s">
        <v>179</v>
      </c>
      <c r="P49" t="s">
        <v>179</v>
      </c>
      <c r="Q49">
        <v>1</v>
      </c>
      <c r="X49">
        <v>7</v>
      </c>
      <c r="Y49">
        <v>38.229999999999997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7</v>
      </c>
      <c r="AH49">
        <v>2</v>
      </c>
      <c r="AI49">
        <v>36602889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ROW(Source!A36)</f>
        <v>36</v>
      </c>
      <c r="B50">
        <v>36602892</v>
      </c>
      <c r="C50">
        <v>36602891</v>
      </c>
      <c r="D50">
        <v>36278558</v>
      </c>
      <c r="E50">
        <v>31</v>
      </c>
      <c r="F50">
        <v>1</v>
      </c>
      <c r="G50">
        <v>31</v>
      </c>
      <c r="H50">
        <v>1</v>
      </c>
      <c r="I50" t="s">
        <v>193</v>
      </c>
      <c r="J50" t="s">
        <v>3</v>
      </c>
      <c r="K50" t="s">
        <v>194</v>
      </c>
      <c r="L50">
        <v>1191</v>
      </c>
      <c r="N50">
        <v>1013</v>
      </c>
      <c r="O50" t="s">
        <v>195</v>
      </c>
      <c r="P50" t="s">
        <v>195</v>
      </c>
      <c r="Q50">
        <v>1</v>
      </c>
      <c r="X50">
        <v>29.21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 t="s">
        <v>3</v>
      </c>
      <c r="AG50">
        <v>29.21</v>
      </c>
      <c r="AH50">
        <v>2</v>
      </c>
      <c r="AI50">
        <v>36602892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ROW(Source!A36)</f>
        <v>36</v>
      </c>
      <c r="B51">
        <v>36602893</v>
      </c>
      <c r="C51">
        <v>36602891</v>
      </c>
      <c r="D51">
        <v>36291350</v>
      </c>
      <c r="E51">
        <v>1</v>
      </c>
      <c r="F51">
        <v>1</v>
      </c>
      <c r="G51">
        <v>31</v>
      </c>
      <c r="H51">
        <v>2</v>
      </c>
      <c r="I51" t="s">
        <v>287</v>
      </c>
      <c r="J51" t="s">
        <v>288</v>
      </c>
      <c r="K51" t="s">
        <v>289</v>
      </c>
      <c r="L51">
        <v>1368</v>
      </c>
      <c r="N51">
        <v>1011</v>
      </c>
      <c r="O51" t="s">
        <v>199</v>
      </c>
      <c r="P51" t="s">
        <v>199</v>
      </c>
      <c r="Q51">
        <v>1</v>
      </c>
      <c r="X51">
        <v>2.1</v>
      </c>
      <c r="Y51">
        <v>0</v>
      </c>
      <c r="Z51">
        <v>1901.66</v>
      </c>
      <c r="AA51">
        <v>1198.31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2.1</v>
      </c>
      <c r="AH51">
        <v>2</v>
      </c>
      <c r="AI51">
        <v>36602893</v>
      </c>
      <c r="AJ51">
        <v>51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ROW(Source!A36)</f>
        <v>36</v>
      </c>
      <c r="B52">
        <v>36602894</v>
      </c>
      <c r="C52">
        <v>36602891</v>
      </c>
      <c r="D52">
        <v>36291352</v>
      </c>
      <c r="E52">
        <v>1</v>
      </c>
      <c r="F52">
        <v>1</v>
      </c>
      <c r="G52">
        <v>31</v>
      </c>
      <c r="H52">
        <v>2</v>
      </c>
      <c r="I52" t="s">
        <v>290</v>
      </c>
      <c r="J52" t="s">
        <v>291</v>
      </c>
      <c r="K52" t="s">
        <v>292</v>
      </c>
      <c r="L52">
        <v>1368</v>
      </c>
      <c r="N52">
        <v>1011</v>
      </c>
      <c r="O52" t="s">
        <v>199</v>
      </c>
      <c r="P52" t="s">
        <v>199</v>
      </c>
      <c r="Q52">
        <v>1</v>
      </c>
      <c r="X52">
        <v>2.1</v>
      </c>
      <c r="Y52">
        <v>0</v>
      </c>
      <c r="Z52">
        <v>408.85</v>
      </c>
      <c r="AA52">
        <v>200.69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2.1</v>
      </c>
      <c r="AH52">
        <v>2</v>
      </c>
      <c r="AI52">
        <v>36602894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ROW(Source!A36)</f>
        <v>36</v>
      </c>
      <c r="B53">
        <v>36602895</v>
      </c>
      <c r="C53">
        <v>36602891</v>
      </c>
      <c r="D53">
        <v>36291354</v>
      </c>
      <c r="E53">
        <v>1</v>
      </c>
      <c r="F53">
        <v>1</v>
      </c>
      <c r="G53">
        <v>31</v>
      </c>
      <c r="H53">
        <v>2</v>
      </c>
      <c r="I53" t="s">
        <v>293</v>
      </c>
      <c r="J53" t="s">
        <v>294</v>
      </c>
      <c r="K53" t="s">
        <v>295</v>
      </c>
      <c r="L53">
        <v>1368</v>
      </c>
      <c r="N53">
        <v>1011</v>
      </c>
      <c r="O53" t="s">
        <v>199</v>
      </c>
      <c r="P53" t="s">
        <v>199</v>
      </c>
      <c r="Q53">
        <v>1</v>
      </c>
      <c r="X53">
        <v>2.1</v>
      </c>
      <c r="Y53">
        <v>0</v>
      </c>
      <c r="Z53">
        <v>757.29</v>
      </c>
      <c r="AA53">
        <v>694.81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2.1</v>
      </c>
      <c r="AH53">
        <v>2</v>
      </c>
      <c r="AI53">
        <v>36602895</v>
      </c>
      <c r="AJ53">
        <v>53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ROW(Source!A36)</f>
        <v>36</v>
      </c>
      <c r="B54">
        <v>36602896</v>
      </c>
      <c r="C54">
        <v>36602891</v>
      </c>
      <c r="D54">
        <v>36279343</v>
      </c>
      <c r="E54">
        <v>31</v>
      </c>
      <c r="F54">
        <v>1</v>
      </c>
      <c r="G54">
        <v>31</v>
      </c>
      <c r="H54">
        <v>3</v>
      </c>
      <c r="I54" t="s">
        <v>337</v>
      </c>
      <c r="J54" t="s">
        <v>3</v>
      </c>
      <c r="K54" t="s">
        <v>338</v>
      </c>
      <c r="L54">
        <v>1348</v>
      </c>
      <c r="N54">
        <v>1009</v>
      </c>
      <c r="O54" t="s">
        <v>63</v>
      </c>
      <c r="P54" t="s">
        <v>63</v>
      </c>
      <c r="Q54">
        <v>1000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3</v>
      </c>
      <c r="AG54">
        <v>0</v>
      </c>
      <c r="AH54">
        <v>3</v>
      </c>
      <c r="AI54">
        <v>-1</v>
      </c>
      <c r="AJ54" t="s">
        <v>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ROW(Source!A36)</f>
        <v>36</v>
      </c>
      <c r="B55">
        <v>36602897</v>
      </c>
      <c r="C55">
        <v>36602891</v>
      </c>
      <c r="D55">
        <v>36292697</v>
      </c>
      <c r="E55">
        <v>1</v>
      </c>
      <c r="F55">
        <v>1</v>
      </c>
      <c r="G55">
        <v>31</v>
      </c>
      <c r="H55">
        <v>3</v>
      </c>
      <c r="I55" t="s">
        <v>296</v>
      </c>
      <c r="J55" t="s">
        <v>297</v>
      </c>
      <c r="K55" t="s">
        <v>298</v>
      </c>
      <c r="L55">
        <v>1348</v>
      </c>
      <c r="N55">
        <v>1009</v>
      </c>
      <c r="O55" t="s">
        <v>63</v>
      </c>
      <c r="P55" t="s">
        <v>63</v>
      </c>
      <c r="Q55">
        <v>1000</v>
      </c>
      <c r="X55">
        <v>0.5</v>
      </c>
      <c r="Y55">
        <v>258044.69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0.5</v>
      </c>
      <c r="AH55">
        <v>2</v>
      </c>
      <c r="AI55">
        <v>36602897</v>
      </c>
      <c r="AJ55">
        <v>54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ROW(Source!A36)</f>
        <v>36</v>
      </c>
      <c r="B56">
        <v>36602898</v>
      </c>
      <c r="C56">
        <v>36602891</v>
      </c>
      <c r="D56">
        <v>36295086</v>
      </c>
      <c r="E56">
        <v>1</v>
      </c>
      <c r="F56">
        <v>1</v>
      </c>
      <c r="G56">
        <v>31</v>
      </c>
      <c r="H56">
        <v>3</v>
      </c>
      <c r="I56" t="s">
        <v>299</v>
      </c>
      <c r="J56" t="s">
        <v>300</v>
      </c>
      <c r="K56" t="s">
        <v>301</v>
      </c>
      <c r="L56">
        <v>1339</v>
      </c>
      <c r="N56">
        <v>1007</v>
      </c>
      <c r="O56" t="s">
        <v>179</v>
      </c>
      <c r="P56" t="s">
        <v>179</v>
      </c>
      <c r="Q56">
        <v>1</v>
      </c>
      <c r="X56">
        <v>245</v>
      </c>
      <c r="Y56">
        <v>5834.62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245</v>
      </c>
      <c r="AH56">
        <v>2</v>
      </c>
      <c r="AI56">
        <v>36602898</v>
      </c>
      <c r="AJ56">
        <v>55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ROW(Source!A38)</f>
        <v>38</v>
      </c>
      <c r="B57">
        <v>36602914</v>
      </c>
      <c r="C57">
        <v>36602913</v>
      </c>
      <c r="D57">
        <v>36278558</v>
      </c>
      <c r="E57">
        <v>31</v>
      </c>
      <c r="F57">
        <v>1</v>
      </c>
      <c r="G57">
        <v>31</v>
      </c>
      <c r="H57">
        <v>1</v>
      </c>
      <c r="I57" t="s">
        <v>193</v>
      </c>
      <c r="J57" t="s">
        <v>3</v>
      </c>
      <c r="K57" t="s">
        <v>194</v>
      </c>
      <c r="L57">
        <v>1191</v>
      </c>
      <c r="N57">
        <v>1013</v>
      </c>
      <c r="O57" t="s">
        <v>195</v>
      </c>
      <c r="P57" t="s">
        <v>195</v>
      </c>
      <c r="Q57">
        <v>1</v>
      </c>
      <c r="X57">
        <v>13.57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 t="s">
        <v>3</v>
      </c>
      <c r="AG57">
        <v>13.57</v>
      </c>
      <c r="AH57">
        <v>2</v>
      </c>
      <c r="AI57">
        <v>36602914</v>
      </c>
      <c r="AJ57">
        <v>57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ROW(Source!A38)</f>
        <v>38</v>
      </c>
      <c r="B58">
        <v>36602915</v>
      </c>
      <c r="C58">
        <v>36602913</v>
      </c>
      <c r="D58">
        <v>36291331</v>
      </c>
      <c r="E58">
        <v>1</v>
      </c>
      <c r="F58">
        <v>1</v>
      </c>
      <c r="G58">
        <v>31</v>
      </c>
      <c r="H58">
        <v>2</v>
      </c>
      <c r="I58" t="s">
        <v>302</v>
      </c>
      <c r="J58" t="s">
        <v>303</v>
      </c>
      <c r="K58" t="s">
        <v>304</v>
      </c>
      <c r="L58">
        <v>1368</v>
      </c>
      <c r="N58">
        <v>1011</v>
      </c>
      <c r="O58" t="s">
        <v>199</v>
      </c>
      <c r="P58" t="s">
        <v>199</v>
      </c>
      <c r="Q58">
        <v>1</v>
      </c>
      <c r="X58">
        <v>0.46</v>
      </c>
      <c r="Y58">
        <v>0</v>
      </c>
      <c r="Z58">
        <v>994.61</v>
      </c>
      <c r="AA58">
        <v>437.41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0.46</v>
      </c>
      <c r="AH58">
        <v>2</v>
      </c>
      <c r="AI58">
        <v>36602915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ROW(Source!A38)</f>
        <v>38</v>
      </c>
      <c r="B59">
        <v>36602916</v>
      </c>
      <c r="C59">
        <v>36602913</v>
      </c>
      <c r="D59">
        <v>36291332</v>
      </c>
      <c r="E59">
        <v>1</v>
      </c>
      <c r="F59">
        <v>1</v>
      </c>
      <c r="G59">
        <v>31</v>
      </c>
      <c r="H59">
        <v>2</v>
      </c>
      <c r="I59" t="s">
        <v>305</v>
      </c>
      <c r="J59" t="s">
        <v>306</v>
      </c>
      <c r="K59" t="s">
        <v>307</v>
      </c>
      <c r="L59">
        <v>1368</v>
      </c>
      <c r="N59">
        <v>1011</v>
      </c>
      <c r="O59" t="s">
        <v>199</v>
      </c>
      <c r="P59" t="s">
        <v>199</v>
      </c>
      <c r="Q59">
        <v>1</v>
      </c>
      <c r="X59">
        <v>1.39</v>
      </c>
      <c r="Y59">
        <v>0</v>
      </c>
      <c r="Z59">
        <v>967.78</v>
      </c>
      <c r="AA59">
        <v>588.76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1.39</v>
      </c>
      <c r="AH59">
        <v>2</v>
      </c>
      <c r="AI59">
        <v>36602916</v>
      </c>
      <c r="AJ59">
        <v>59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ROW(Source!A38)</f>
        <v>38</v>
      </c>
      <c r="B60">
        <v>36602917</v>
      </c>
      <c r="C60">
        <v>36602913</v>
      </c>
      <c r="D60">
        <v>36295325</v>
      </c>
      <c r="E60">
        <v>1</v>
      </c>
      <c r="F60">
        <v>1</v>
      </c>
      <c r="G60">
        <v>31</v>
      </c>
      <c r="H60">
        <v>3</v>
      </c>
      <c r="I60" t="s">
        <v>308</v>
      </c>
      <c r="J60" t="s">
        <v>309</v>
      </c>
      <c r="K60" t="s">
        <v>310</v>
      </c>
      <c r="L60">
        <v>1348</v>
      </c>
      <c r="N60">
        <v>1009</v>
      </c>
      <c r="O60" t="s">
        <v>63</v>
      </c>
      <c r="P60" t="s">
        <v>63</v>
      </c>
      <c r="Q60">
        <v>1000</v>
      </c>
      <c r="X60">
        <v>9.58</v>
      </c>
      <c r="Y60">
        <v>4087.58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9.58</v>
      </c>
      <c r="AH60">
        <v>2</v>
      </c>
      <c r="AI60">
        <v>36602917</v>
      </c>
      <c r="AJ60">
        <v>60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ROW(Source!A39)</f>
        <v>39</v>
      </c>
      <c r="B61">
        <v>36602920</v>
      </c>
      <c r="C61">
        <v>36602919</v>
      </c>
      <c r="D61">
        <v>36278558</v>
      </c>
      <c r="E61">
        <v>31</v>
      </c>
      <c r="F61">
        <v>1</v>
      </c>
      <c r="G61">
        <v>31</v>
      </c>
      <c r="H61">
        <v>1</v>
      </c>
      <c r="I61" t="s">
        <v>193</v>
      </c>
      <c r="J61" t="s">
        <v>3</v>
      </c>
      <c r="K61" t="s">
        <v>194</v>
      </c>
      <c r="L61">
        <v>1191</v>
      </c>
      <c r="N61">
        <v>1013</v>
      </c>
      <c r="O61" t="s">
        <v>195</v>
      </c>
      <c r="P61" t="s">
        <v>195</v>
      </c>
      <c r="Q61">
        <v>1</v>
      </c>
      <c r="X61">
        <v>2.67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 t="s">
        <v>74</v>
      </c>
      <c r="AG61">
        <v>5.34</v>
      </c>
      <c r="AH61">
        <v>2</v>
      </c>
      <c r="AI61">
        <v>36602920</v>
      </c>
      <c r="AJ61">
        <v>61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ROW(Source!A39)</f>
        <v>39</v>
      </c>
      <c r="B62">
        <v>36602921</v>
      </c>
      <c r="C62">
        <v>36602919</v>
      </c>
      <c r="D62">
        <v>36295310</v>
      </c>
      <c r="E62">
        <v>1</v>
      </c>
      <c r="F62">
        <v>1</v>
      </c>
      <c r="G62">
        <v>31</v>
      </c>
      <c r="H62">
        <v>3</v>
      </c>
      <c r="I62" t="s">
        <v>311</v>
      </c>
      <c r="J62" t="s">
        <v>312</v>
      </c>
      <c r="K62" t="s">
        <v>313</v>
      </c>
      <c r="L62">
        <v>1348</v>
      </c>
      <c r="N62">
        <v>1009</v>
      </c>
      <c r="O62" t="s">
        <v>63</v>
      </c>
      <c r="P62" t="s">
        <v>63</v>
      </c>
      <c r="Q62">
        <v>1000</v>
      </c>
      <c r="X62">
        <v>1.21</v>
      </c>
      <c r="Y62">
        <v>3812.18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74</v>
      </c>
      <c r="AG62">
        <v>2.42</v>
      </c>
      <c r="AH62">
        <v>2</v>
      </c>
      <c r="AI62">
        <v>36602921</v>
      </c>
      <c r="AJ62">
        <v>62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ROW(Source!A75)</f>
        <v>75</v>
      </c>
      <c r="B63">
        <v>36602982</v>
      </c>
      <c r="C63">
        <v>36602981</v>
      </c>
      <c r="D63">
        <v>36278558</v>
      </c>
      <c r="E63">
        <v>31</v>
      </c>
      <c r="F63">
        <v>1</v>
      </c>
      <c r="G63">
        <v>31</v>
      </c>
      <c r="H63">
        <v>1</v>
      </c>
      <c r="I63" t="s">
        <v>193</v>
      </c>
      <c r="J63" t="s">
        <v>3</v>
      </c>
      <c r="K63" t="s">
        <v>194</v>
      </c>
      <c r="L63">
        <v>1191</v>
      </c>
      <c r="N63">
        <v>1013</v>
      </c>
      <c r="O63" t="s">
        <v>195</v>
      </c>
      <c r="P63" t="s">
        <v>195</v>
      </c>
      <c r="Q63">
        <v>1</v>
      </c>
      <c r="X63">
        <v>49.5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 t="s">
        <v>3</v>
      </c>
      <c r="AG63">
        <v>49.5</v>
      </c>
      <c r="AH63">
        <v>2</v>
      </c>
      <c r="AI63">
        <v>36602982</v>
      </c>
      <c r="AJ63">
        <v>63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ROW(Source!A75)</f>
        <v>75</v>
      </c>
      <c r="B64">
        <v>36602983</v>
      </c>
      <c r="C64">
        <v>36602981</v>
      </c>
      <c r="D64">
        <v>36291161</v>
      </c>
      <c r="E64">
        <v>1</v>
      </c>
      <c r="F64">
        <v>1</v>
      </c>
      <c r="G64">
        <v>31</v>
      </c>
      <c r="H64">
        <v>2</v>
      </c>
      <c r="I64" t="s">
        <v>225</v>
      </c>
      <c r="J64" t="s">
        <v>226</v>
      </c>
      <c r="K64" t="s">
        <v>227</v>
      </c>
      <c r="L64">
        <v>1368</v>
      </c>
      <c r="N64">
        <v>1011</v>
      </c>
      <c r="O64" t="s">
        <v>199</v>
      </c>
      <c r="P64" t="s">
        <v>199</v>
      </c>
      <c r="Q64">
        <v>1</v>
      </c>
      <c r="X64">
        <v>2.87</v>
      </c>
      <c r="Y64">
        <v>0</v>
      </c>
      <c r="Z64">
        <v>1078.49</v>
      </c>
      <c r="AA64">
        <v>396.28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2.87</v>
      </c>
      <c r="AH64">
        <v>2</v>
      </c>
      <c r="AI64">
        <v>36602983</v>
      </c>
      <c r="AJ64">
        <v>64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ROW(Source!A75)</f>
        <v>75</v>
      </c>
      <c r="B65">
        <v>36602984</v>
      </c>
      <c r="C65">
        <v>36602981</v>
      </c>
      <c r="D65">
        <v>36291140</v>
      </c>
      <c r="E65">
        <v>1</v>
      </c>
      <c r="F65">
        <v>1</v>
      </c>
      <c r="G65">
        <v>31</v>
      </c>
      <c r="H65">
        <v>2</v>
      </c>
      <c r="I65" t="s">
        <v>228</v>
      </c>
      <c r="J65" t="s">
        <v>229</v>
      </c>
      <c r="K65" t="s">
        <v>230</v>
      </c>
      <c r="L65">
        <v>1368</v>
      </c>
      <c r="N65">
        <v>1011</v>
      </c>
      <c r="O65" t="s">
        <v>199</v>
      </c>
      <c r="P65" t="s">
        <v>199</v>
      </c>
      <c r="Q65">
        <v>1</v>
      </c>
      <c r="X65">
        <v>7.86</v>
      </c>
      <c r="Y65">
        <v>0</v>
      </c>
      <c r="Z65">
        <v>1653.15</v>
      </c>
      <c r="AA65">
        <v>530.53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7.86</v>
      </c>
      <c r="AH65">
        <v>2</v>
      </c>
      <c r="AI65">
        <v>36602984</v>
      </c>
      <c r="AJ65">
        <v>65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ROW(Source!A76)</f>
        <v>76</v>
      </c>
      <c r="B66">
        <v>36604342</v>
      </c>
      <c r="C66">
        <v>36604338</v>
      </c>
      <c r="D66">
        <v>36278558</v>
      </c>
      <c r="E66">
        <v>31</v>
      </c>
      <c r="F66">
        <v>1</v>
      </c>
      <c r="G66">
        <v>31</v>
      </c>
      <c r="H66">
        <v>1</v>
      </c>
      <c r="I66" t="s">
        <v>193</v>
      </c>
      <c r="J66" t="s">
        <v>3</v>
      </c>
      <c r="K66" t="s">
        <v>194</v>
      </c>
      <c r="L66">
        <v>1191</v>
      </c>
      <c r="N66">
        <v>1013</v>
      </c>
      <c r="O66" t="s">
        <v>195</v>
      </c>
      <c r="P66" t="s">
        <v>195</v>
      </c>
      <c r="Q66">
        <v>1</v>
      </c>
      <c r="X66">
        <v>2.2200000000000002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 t="s">
        <v>3</v>
      </c>
      <c r="AG66">
        <v>2.2200000000000002</v>
      </c>
      <c r="AH66">
        <v>2</v>
      </c>
      <c r="AI66">
        <v>36604339</v>
      </c>
      <c r="AJ66">
        <v>66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ROW(Source!A76)</f>
        <v>76</v>
      </c>
      <c r="B67">
        <v>36604343</v>
      </c>
      <c r="C67">
        <v>36604338</v>
      </c>
      <c r="D67">
        <v>36291138</v>
      </c>
      <c r="E67">
        <v>1</v>
      </c>
      <c r="F67">
        <v>1</v>
      </c>
      <c r="G67">
        <v>31</v>
      </c>
      <c r="H67">
        <v>2</v>
      </c>
      <c r="I67" t="s">
        <v>314</v>
      </c>
      <c r="J67" t="s">
        <v>315</v>
      </c>
      <c r="K67" t="s">
        <v>316</v>
      </c>
      <c r="L67">
        <v>1368</v>
      </c>
      <c r="N67">
        <v>1011</v>
      </c>
      <c r="O67" t="s">
        <v>199</v>
      </c>
      <c r="P67" t="s">
        <v>199</v>
      </c>
      <c r="Q67">
        <v>1</v>
      </c>
      <c r="X67">
        <v>6.02</v>
      </c>
      <c r="Y67">
        <v>0</v>
      </c>
      <c r="Z67">
        <v>1343.87</v>
      </c>
      <c r="AA67">
        <v>623.23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6.02</v>
      </c>
      <c r="AH67">
        <v>2</v>
      </c>
      <c r="AI67">
        <v>36604340</v>
      </c>
      <c r="AJ67">
        <v>67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ROW(Source!A76)</f>
        <v>76</v>
      </c>
      <c r="B68">
        <v>36604344</v>
      </c>
      <c r="C68">
        <v>36604338</v>
      </c>
      <c r="D68">
        <v>36291161</v>
      </c>
      <c r="E68">
        <v>1</v>
      </c>
      <c r="F68">
        <v>1</v>
      </c>
      <c r="G68">
        <v>31</v>
      </c>
      <c r="H68">
        <v>2</v>
      </c>
      <c r="I68" t="s">
        <v>225</v>
      </c>
      <c r="J68" t="s">
        <v>226</v>
      </c>
      <c r="K68" t="s">
        <v>227</v>
      </c>
      <c r="L68">
        <v>1368</v>
      </c>
      <c r="N68">
        <v>1011</v>
      </c>
      <c r="O68" t="s">
        <v>199</v>
      </c>
      <c r="P68" t="s">
        <v>199</v>
      </c>
      <c r="Q68">
        <v>1</v>
      </c>
      <c r="X68">
        <v>1.75</v>
      </c>
      <c r="Y68">
        <v>0</v>
      </c>
      <c r="Z68">
        <v>1078.49</v>
      </c>
      <c r="AA68">
        <v>396.28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1.75</v>
      </c>
      <c r="AH68">
        <v>2</v>
      </c>
      <c r="AI68">
        <v>36604341</v>
      </c>
      <c r="AJ68">
        <v>68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ROW(Source!A77)</f>
        <v>77</v>
      </c>
      <c r="B69">
        <v>36602987</v>
      </c>
      <c r="C69">
        <v>36602986</v>
      </c>
      <c r="D69">
        <v>36278558</v>
      </c>
      <c r="E69">
        <v>31</v>
      </c>
      <c r="F69">
        <v>1</v>
      </c>
      <c r="G69">
        <v>31</v>
      </c>
      <c r="H69">
        <v>1</v>
      </c>
      <c r="I69" t="s">
        <v>193</v>
      </c>
      <c r="J69" t="s">
        <v>3</v>
      </c>
      <c r="K69" t="s">
        <v>194</v>
      </c>
      <c r="L69">
        <v>1191</v>
      </c>
      <c r="N69">
        <v>1013</v>
      </c>
      <c r="O69" t="s">
        <v>195</v>
      </c>
      <c r="P69" t="s">
        <v>195</v>
      </c>
      <c r="Q69">
        <v>1</v>
      </c>
      <c r="X69">
        <v>80.27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3</v>
      </c>
      <c r="AG69">
        <v>80.27</v>
      </c>
      <c r="AH69">
        <v>2</v>
      </c>
      <c r="AI69">
        <v>36602987</v>
      </c>
      <c r="AJ69">
        <v>69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ROW(Source!A77)</f>
        <v>77</v>
      </c>
      <c r="B70">
        <v>36602988</v>
      </c>
      <c r="C70">
        <v>36602986</v>
      </c>
      <c r="D70">
        <v>36295112</v>
      </c>
      <c r="E70">
        <v>1</v>
      </c>
      <c r="F70">
        <v>1</v>
      </c>
      <c r="G70">
        <v>31</v>
      </c>
      <c r="H70">
        <v>3</v>
      </c>
      <c r="I70" t="s">
        <v>317</v>
      </c>
      <c r="J70" t="s">
        <v>318</v>
      </c>
      <c r="K70" t="s">
        <v>319</v>
      </c>
      <c r="L70">
        <v>1339</v>
      </c>
      <c r="N70">
        <v>1007</v>
      </c>
      <c r="O70" t="s">
        <v>179</v>
      </c>
      <c r="P70" t="s">
        <v>179</v>
      </c>
      <c r="Q70">
        <v>1</v>
      </c>
      <c r="X70">
        <v>3.9</v>
      </c>
      <c r="Y70">
        <v>5443.46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3.9</v>
      </c>
      <c r="AH70">
        <v>2</v>
      </c>
      <c r="AI70">
        <v>36602988</v>
      </c>
      <c r="AJ70">
        <v>70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ROW(Source!A77)</f>
        <v>77</v>
      </c>
      <c r="B71">
        <v>36602989</v>
      </c>
      <c r="C71">
        <v>36602986</v>
      </c>
      <c r="D71">
        <v>36295188</v>
      </c>
      <c r="E71">
        <v>1</v>
      </c>
      <c r="F71">
        <v>1</v>
      </c>
      <c r="G71">
        <v>31</v>
      </c>
      <c r="H71">
        <v>3</v>
      </c>
      <c r="I71" t="s">
        <v>243</v>
      </c>
      <c r="J71" t="s">
        <v>244</v>
      </c>
      <c r="K71" t="s">
        <v>245</v>
      </c>
      <c r="L71">
        <v>1339</v>
      </c>
      <c r="N71">
        <v>1007</v>
      </c>
      <c r="O71" t="s">
        <v>179</v>
      </c>
      <c r="P71" t="s">
        <v>179</v>
      </c>
      <c r="Q71">
        <v>1</v>
      </c>
      <c r="X71">
        <v>0.06</v>
      </c>
      <c r="Y71">
        <v>3977.01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0.06</v>
      </c>
      <c r="AH71">
        <v>2</v>
      </c>
      <c r="AI71">
        <v>36602989</v>
      </c>
      <c r="AJ71">
        <v>71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ROW(Source!A77)</f>
        <v>77</v>
      </c>
      <c r="B72">
        <v>36602990</v>
      </c>
      <c r="C72">
        <v>36602986</v>
      </c>
      <c r="D72">
        <v>36295969</v>
      </c>
      <c r="E72">
        <v>1</v>
      </c>
      <c r="F72">
        <v>1</v>
      </c>
      <c r="G72">
        <v>31</v>
      </c>
      <c r="H72">
        <v>3</v>
      </c>
      <c r="I72" t="s">
        <v>246</v>
      </c>
      <c r="J72" t="s">
        <v>247</v>
      </c>
      <c r="K72" t="s">
        <v>248</v>
      </c>
      <c r="L72">
        <v>1339</v>
      </c>
      <c r="N72">
        <v>1007</v>
      </c>
      <c r="O72" t="s">
        <v>179</v>
      </c>
      <c r="P72" t="s">
        <v>179</v>
      </c>
      <c r="Q72">
        <v>1</v>
      </c>
      <c r="X72">
        <v>4.3</v>
      </c>
      <c r="Y72">
        <v>10729.4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4.3</v>
      </c>
      <c r="AH72">
        <v>2</v>
      </c>
      <c r="AI72">
        <v>36602990</v>
      </c>
      <c r="AJ72">
        <v>72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ROW(Source!A78)</f>
        <v>78</v>
      </c>
      <c r="B73">
        <v>36602993</v>
      </c>
      <c r="C73">
        <v>36602992</v>
      </c>
      <c r="D73">
        <v>36278558</v>
      </c>
      <c r="E73">
        <v>31</v>
      </c>
      <c r="F73">
        <v>1</v>
      </c>
      <c r="G73">
        <v>31</v>
      </c>
      <c r="H73">
        <v>1</v>
      </c>
      <c r="I73" t="s">
        <v>193</v>
      </c>
      <c r="J73" t="s">
        <v>3</v>
      </c>
      <c r="K73" t="s">
        <v>194</v>
      </c>
      <c r="L73">
        <v>1191</v>
      </c>
      <c r="N73">
        <v>1013</v>
      </c>
      <c r="O73" t="s">
        <v>195</v>
      </c>
      <c r="P73" t="s">
        <v>195</v>
      </c>
      <c r="Q73">
        <v>1</v>
      </c>
      <c r="X73">
        <v>16.559999999999999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 t="s">
        <v>3</v>
      </c>
      <c r="AG73">
        <v>16.559999999999999</v>
      </c>
      <c r="AH73">
        <v>2</v>
      </c>
      <c r="AI73">
        <v>36602993</v>
      </c>
      <c r="AJ73">
        <v>73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ROW(Source!A78)</f>
        <v>78</v>
      </c>
      <c r="B74">
        <v>36602994</v>
      </c>
      <c r="C74">
        <v>36602992</v>
      </c>
      <c r="D74">
        <v>36291184</v>
      </c>
      <c r="E74">
        <v>1</v>
      </c>
      <c r="F74">
        <v>1</v>
      </c>
      <c r="G74">
        <v>31</v>
      </c>
      <c r="H74">
        <v>2</v>
      </c>
      <c r="I74" t="s">
        <v>263</v>
      </c>
      <c r="J74" t="s">
        <v>264</v>
      </c>
      <c r="K74" t="s">
        <v>265</v>
      </c>
      <c r="L74">
        <v>1368</v>
      </c>
      <c r="N74">
        <v>1011</v>
      </c>
      <c r="O74" t="s">
        <v>199</v>
      </c>
      <c r="P74" t="s">
        <v>199</v>
      </c>
      <c r="Q74">
        <v>1</v>
      </c>
      <c r="X74">
        <v>2.08</v>
      </c>
      <c r="Y74">
        <v>0</v>
      </c>
      <c r="Z74">
        <v>827.88</v>
      </c>
      <c r="AA74">
        <v>455.57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2.08</v>
      </c>
      <c r="AH74">
        <v>2</v>
      </c>
      <c r="AI74">
        <v>36602994</v>
      </c>
      <c r="AJ74">
        <v>74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ROW(Source!A78)</f>
        <v>78</v>
      </c>
      <c r="B75">
        <v>36602995</v>
      </c>
      <c r="C75">
        <v>36602992</v>
      </c>
      <c r="D75">
        <v>36291341</v>
      </c>
      <c r="E75">
        <v>1</v>
      </c>
      <c r="F75">
        <v>1</v>
      </c>
      <c r="G75">
        <v>31</v>
      </c>
      <c r="H75">
        <v>2</v>
      </c>
      <c r="I75" t="s">
        <v>266</v>
      </c>
      <c r="J75" t="s">
        <v>267</v>
      </c>
      <c r="K75" t="s">
        <v>268</v>
      </c>
      <c r="L75">
        <v>1368</v>
      </c>
      <c r="N75">
        <v>1011</v>
      </c>
      <c r="O75" t="s">
        <v>199</v>
      </c>
      <c r="P75" t="s">
        <v>199</v>
      </c>
      <c r="Q75">
        <v>1</v>
      </c>
      <c r="X75">
        <v>2.08</v>
      </c>
      <c r="Y75">
        <v>0</v>
      </c>
      <c r="Z75">
        <v>458.14</v>
      </c>
      <c r="AA75">
        <v>237.38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2.08</v>
      </c>
      <c r="AH75">
        <v>2</v>
      </c>
      <c r="AI75">
        <v>36602995</v>
      </c>
      <c r="AJ75">
        <v>75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ROW(Source!A78)</f>
        <v>78</v>
      </c>
      <c r="B76">
        <v>36602996</v>
      </c>
      <c r="C76">
        <v>36602992</v>
      </c>
      <c r="D76">
        <v>36291344</v>
      </c>
      <c r="E76">
        <v>1</v>
      </c>
      <c r="F76">
        <v>1</v>
      </c>
      <c r="G76">
        <v>31</v>
      </c>
      <c r="H76">
        <v>2</v>
      </c>
      <c r="I76" t="s">
        <v>269</v>
      </c>
      <c r="J76" t="s">
        <v>270</v>
      </c>
      <c r="K76" t="s">
        <v>271</v>
      </c>
      <c r="L76">
        <v>1368</v>
      </c>
      <c r="N76">
        <v>1011</v>
      </c>
      <c r="O76" t="s">
        <v>199</v>
      </c>
      <c r="P76" t="s">
        <v>199</v>
      </c>
      <c r="Q76">
        <v>1</v>
      </c>
      <c r="X76">
        <v>0.81</v>
      </c>
      <c r="Y76">
        <v>0</v>
      </c>
      <c r="Z76">
        <v>2067.59</v>
      </c>
      <c r="AA76">
        <v>505.56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0.81</v>
      </c>
      <c r="AH76">
        <v>2</v>
      </c>
      <c r="AI76">
        <v>36602996</v>
      </c>
      <c r="AJ76">
        <v>76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ROW(Source!A78)</f>
        <v>78</v>
      </c>
      <c r="B77">
        <v>36602997</v>
      </c>
      <c r="C77">
        <v>36602992</v>
      </c>
      <c r="D77">
        <v>36291368</v>
      </c>
      <c r="E77">
        <v>1</v>
      </c>
      <c r="F77">
        <v>1</v>
      </c>
      <c r="G77">
        <v>31</v>
      </c>
      <c r="H77">
        <v>2</v>
      </c>
      <c r="I77" t="s">
        <v>216</v>
      </c>
      <c r="J77" t="s">
        <v>217</v>
      </c>
      <c r="K77" t="s">
        <v>218</v>
      </c>
      <c r="L77">
        <v>1368</v>
      </c>
      <c r="N77">
        <v>1011</v>
      </c>
      <c r="O77" t="s">
        <v>199</v>
      </c>
      <c r="P77" t="s">
        <v>199</v>
      </c>
      <c r="Q77">
        <v>1</v>
      </c>
      <c r="X77">
        <v>1.94</v>
      </c>
      <c r="Y77">
        <v>0</v>
      </c>
      <c r="Z77">
        <v>1566.66</v>
      </c>
      <c r="AA77">
        <v>707.06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1.94</v>
      </c>
      <c r="AH77">
        <v>2</v>
      </c>
      <c r="AI77">
        <v>36602997</v>
      </c>
      <c r="AJ77">
        <v>77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ROW(Source!A78)</f>
        <v>78</v>
      </c>
      <c r="B78">
        <v>36602998</v>
      </c>
      <c r="C78">
        <v>36602992</v>
      </c>
      <c r="D78">
        <v>36291334</v>
      </c>
      <c r="E78">
        <v>1</v>
      </c>
      <c r="F78">
        <v>1</v>
      </c>
      <c r="G78">
        <v>31</v>
      </c>
      <c r="H78">
        <v>2</v>
      </c>
      <c r="I78" t="s">
        <v>272</v>
      </c>
      <c r="J78" t="s">
        <v>273</v>
      </c>
      <c r="K78" t="s">
        <v>274</v>
      </c>
      <c r="L78">
        <v>1368</v>
      </c>
      <c r="N78">
        <v>1011</v>
      </c>
      <c r="O78" t="s">
        <v>199</v>
      </c>
      <c r="P78" t="s">
        <v>199</v>
      </c>
      <c r="Q78">
        <v>1</v>
      </c>
      <c r="X78">
        <v>0.65</v>
      </c>
      <c r="Y78">
        <v>0</v>
      </c>
      <c r="Z78">
        <v>1338.36</v>
      </c>
      <c r="AA78">
        <v>508.91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0.65</v>
      </c>
      <c r="AH78">
        <v>2</v>
      </c>
      <c r="AI78">
        <v>36602998</v>
      </c>
      <c r="AJ78">
        <v>78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ROW(Source!A78)</f>
        <v>78</v>
      </c>
      <c r="B79">
        <v>36602999</v>
      </c>
      <c r="C79">
        <v>36602992</v>
      </c>
      <c r="D79">
        <v>36293358</v>
      </c>
      <c r="E79">
        <v>1</v>
      </c>
      <c r="F79">
        <v>1</v>
      </c>
      <c r="G79">
        <v>31</v>
      </c>
      <c r="H79">
        <v>3</v>
      </c>
      <c r="I79" t="s">
        <v>275</v>
      </c>
      <c r="J79" t="s">
        <v>276</v>
      </c>
      <c r="K79" t="s">
        <v>277</v>
      </c>
      <c r="L79">
        <v>1339</v>
      </c>
      <c r="N79">
        <v>1007</v>
      </c>
      <c r="O79" t="s">
        <v>179</v>
      </c>
      <c r="P79" t="s">
        <v>179</v>
      </c>
      <c r="Q79">
        <v>1</v>
      </c>
      <c r="X79">
        <v>110</v>
      </c>
      <c r="Y79">
        <v>573.77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110</v>
      </c>
      <c r="AH79">
        <v>2</v>
      </c>
      <c r="AI79">
        <v>36602999</v>
      </c>
      <c r="AJ79">
        <v>79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ROW(Source!A78)</f>
        <v>78</v>
      </c>
      <c r="B80">
        <v>36603000</v>
      </c>
      <c r="C80">
        <v>36602992</v>
      </c>
      <c r="D80">
        <v>36294127</v>
      </c>
      <c r="E80">
        <v>1</v>
      </c>
      <c r="F80">
        <v>1</v>
      </c>
      <c r="G80">
        <v>31</v>
      </c>
      <c r="H80">
        <v>3</v>
      </c>
      <c r="I80" t="s">
        <v>203</v>
      </c>
      <c r="J80" t="s">
        <v>204</v>
      </c>
      <c r="K80" t="s">
        <v>205</v>
      </c>
      <c r="L80">
        <v>1339</v>
      </c>
      <c r="N80">
        <v>1007</v>
      </c>
      <c r="O80" t="s">
        <v>179</v>
      </c>
      <c r="P80" t="s">
        <v>179</v>
      </c>
      <c r="Q80">
        <v>1</v>
      </c>
      <c r="X80">
        <v>5</v>
      </c>
      <c r="Y80">
        <v>38.229999999999997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5</v>
      </c>
      <c r="AH80">
        <v>2</v>
      </c>
      <c r="AI80">
        <v>36603000</v>
      </c>
      <c r="AJ80">
        <v>80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ROW(Source!A79)</f>
        <v>79</v>
      </c>
      <c r="B81">
        <v>36603003</v>
      </c>
      <c r="C81">
        <v>36603002</v>
      </c>
      <c r="D81">
        <v>36278558</v>
      </c>
      <c r="E81">
        <v>31</v>
      </c>
      <c r="F81">
        <v>1</v>
      </c>
      <c r="G81">
        <v>31</v>
      </c>
      <c r="H81">
        <v>1</v>
      </c>
      <c r="I81" t="s">
        <v>193</v>
      </c>
      <c r="J81" t="s">
        <v>3</v>
      </c>
      <c r="K81" t="s">
        <v>194</v>
      </c>
      <c r="L81">
        <v>1191</v>
      </c>
      <c r="N81">
        <v>1013</v>
      </c>
      <c r="O81" t="s">
        <v>195</v>
      </c>
      <c r="P81" t="s">
        <v>195</v>
      </c>
      <c r="Q81">
        <v>1</v>
      </c>
      <c r="X81">
        <v>24.84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 t="s">
        <v>3</v>
      </c>
      <c r="AG81">
        <v>24.84</v>
      </c>
      <c r="AH81">
        <v>2</v>
      </c>
      <c r="AI81">
        <v>36603003</v>
      </c>
      <c r="AJ81">
        <v>81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ROW(Source!A79)</f>
        <v>79</v>
      </c>
      <c r="B82">
        <v>36603004</v>
      </c>
      <c r="C82">
        <v>36603002</v>
      </c>
      <c r="D82">
        <v>36291161</v>
      </c>
      <c r="E82">
        <v>1</v>
      </c>
      <c r="F82">
        <v>1</v>
      </c>
      <c r="G82">
        <v>31</v>
      </c>
      <c r="H82">
        <v>2</v>
      </c>
      <c r="I82" t="s">
        <v>225</v>
      </c>
      <c r="J82" t="s">
        <v>226</v>
      </c>
      <c r="K82" t="s">
        <v>227</v>
      </c>
      <c r="L82">
        <v>1368</v>
      </c>
      <c r="N82">
        <v>1011</v>
      </c>
      <c r="O82" t="s">
        <v>199</v>
      </c>
      <c r="P82" t="s">
        <v>199</v>
      </c>
      <c r="Q82">
        <v>1</v>
      </c>
      <c r="X82">
        <v>2.94</v>
      </c>
      <c r="Y82">
        <v>0</v>
      </c>
      <c r="Z82">
        <v>1078.49</v>
      </c>
      <c r="AA82">
        <v>396.28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2.94</v>
      </c>
      <c r="AH82">
        <v>2</v>
      </c>
      <c r="AI82">
        <v>36603004</v>
      </c>
      <c r="AJ82">
        <v>82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ROW(Source!A79)</f>
        <v>79</v>
      </c>
      <c r="B83">
        <v>36603005</v>
      </c>
      <c r="C83">
        <v>36603002</v>
      </c>
      <c r="D83">
        <v>36291344</v>
      </c>
      <c r="E83">
        <v>1</v>
      </c>
      <c r="F83">
        <v>1</v>
      </c>
      <c r="G83">
        <v>31</v>
      </c>
      <c r="H83">
        <v>2</v>
      </c>
      <c r="I83" t="s">
        <v>269</v>
      </c>
      <c r="J83" t="s">
        <v>270</v>
      </c>
      <c r="K83" t="s">
        <v>271</v>
      </c>
      <c r="L83">
        <v>1368</v>
      </c>
      <c r="N83">
        <v>1011</v>
      </c>
      <c r="O83" t="s">
        <v>199</v>
      </c>
      <c r="P83" t="s">
        <v>199</v>
      </c>
      <c r="Q83">
        <v>1</v>
      </c>
      <c r="X83">
        <v>1.1399999999999999</v>
      </c>
      <c r="Y83">
        <v>0</v>
      </c>
      <c r="Z83">
        <v>2067.59</v>
      </c>
      <c r="AA83">
        <v>505.56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1.1399999999999999</v>
      </c>
      <c r="AH83">
        <v>2</v>
      </c>
      <c r="AI83">
        <v>36603005</v>
      </c>
      <c r="AJ83">
        <v>83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ROW(Source!A79)</f>
        <v>79</v>
      </c>
      <c r="B84">
        <v>36603006</v>
      </c>
      <c r="C84">
        <v>36603002</v>
      </c>
      <c r="D84">
        <v>36291329</v>
      </c>
      <c r="E84">
        <v>1</v>
      </c>
      <c r="F84">
        <v>1</v>
      </c>
      <c r="G84">
        <v>31</v>
      </c>
      <c r="H84">
        <v>2</v>
      </c>
      <c r="I84" t="s">
        <v>278</v>
      </c>
      <c r="J84" t="s">
        <v>279</v>
      </c>
      <c r="K84" t="s">
        <v>280</v>
      </c>
      <c r="L84">
        <v>1368</v>
      </c>
      <c r="N84">
        <v>1011</v>
      </c>
      <c r="O84" t="s">
        <v>199</v>
      </c>
      <c r="P84" t="s">
        <v>199</v>
      </c>
      <c r="Q84">
        <v>1</v>
      </c>
      <c r="X84">
        <v>8.9600000000000009</v>
      </c>
      <c r="Y84">
        <v>0</v>
      </c>
      <c r="Z84">
        <v>1593.83</v>
      </c>
      <c r="AA84">
        <v>584.35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8.9600000000000009</v>
      </c>
      <c r="AH84">
        <v>2</v>
      </c>
      <c r="AI84">
        <v>36603006</v>
      </c>
      <c r="AJ84">
        <v>84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ROW(Source!A79)</f>
        <v>79</v>
      </c>
      <c r="B85">
        <v>36603007</v>
      </c>
      <c r="C85">
        <v>36603002</v>
      </c>
      <c r="D85">
        <v>36291330</v>
      </c>
      <c r="E85">
        <v>1</v>
      </c>
      <c r="F85">
        <v>1</v>
      </c>
      <c r="G85">
        <v>31</v>
      </c>
      <c r="H85">
        <v>2</v>
      </c>
      <c r="I85" t="s">
        <v>281</v>
      </c>
      <c r="J85" t="s">
        <v>282</v>
      </c>
      <c r="K85" t="s">
        <v>283</v>
      </c>
      <c r="L85">
        <v>1368</v>
      </c>
      <c r="N85">
        <v>1011</v>
      </c>
      <c r="O85" t="s">
        <v>199</v>
      </c>
      <c r="P85" t="s">
        <v>199</v>
      </c>
      <c r="Q85">
        <v>1</v>
      </c>
      <c r="X85">
        <v>18.25</v>
      </c>
      <c r="Y85">
        <v>0</v>
      </c>
      <c r="Z85">
        <v>2086.4899999999998</v>
      </c>
      <c r="AA85">
        <v>794.41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18.25</v>
      </c>
      <c r="AH85">
        <v>2</v>
      </c>
      <c r="AI85">
        <v>36603007</v>
      </c>
      <c r="AJ85">
        <v>85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ROW(Source!A79)</f>
        <v>79</v>
      </c>
      <c r="B86">
        <v>36603008</v>
      </c>
      <c r="C86">
        <v>36603002</v>
      </c>
      <c r="D86">
        <v>36291368</v>
      </c>
      <c r="E86">
        <v>1</v>
      </c>
      <c r="F86">
        <v>1</v>
      </c>
      <c r="G86">
        <v>31</v>
      </c>
      <c r="H86">
        <v>2</v>
      </c>
      <c r="I86" t="s">
        <v>216</v>
      </c>
      <c r="J86" t="s">
        <v>217</v>
      </c>
      <c r="K86" t="s">
        <v>218</v>
      </c>
      <c r="L86">
        <v>1368</v>
      </c>
      <c r="N86">
        <v>1011</v>
      </c>
      <c r="O86" t="s">
        <v>199</v>
      </c>
      <c r="P86" t="s">
        <v>199</v>
      </c>
      <c r="Q86">
        <v>1</v>
      </c>
      <c r="X86">
        <v>2.2400000000000002</v>
      </c>
      <c r="Y86">
        <v>0</v>
      </c>
      <c r="Z86">
        <v>1566.66</v>
      </c>
      <c r="AA86">
        <v>707.06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2.2400000000000002</v>
      </c>
      <c r="AH86">
        <v>2</v>
      </c>
      <c r="AI86">
        <v>36603008</v>
      </c>
      <c r="AJ86">
        <v>86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ROW(Source!A79)</f>
        <v>79</v>
      </c>
      <c r="B87">
        <v>36603009</v>
      </c>
      <c r="C87">
        <v>36603002</v>
      </c>
      <c r="D87">
        <v>36291334</v>
      </c>
      <c r="E87">
        <v>1</v>
      </c>
      <c r="F87">
        <v>1</v>
      </c>
      <c r="G87">
        <v>31</v>
      </c>
      <c r="H87">
        <v>2</v>
      </c>
      <c r="I87" t="s">
        <v>272</v>
      </c>
      <c r="J87" t="s">
        <v>273</v>
      </c>
      <c r="K87" t="s">
        <v>274</v>
      </c>
      <c r="L87">
        <v>1368</v>
      </c>
      <c r="N87">
        <v>1011</v>
      </c>
      <c r="O87" t="s">
        <v>199</v>
      </c>
      <c r="P87" t="s">
        <v>199</v>
      </c>
      <c r="Q87">
        <v>1</v>
      </c>
      <c r="X87">
        <v>0.65</v>
      </c>
      <c r="Y87">
        <v>0</v>
      </c>
      <c r="Z87">
        <v>1338.36</v>
      </c>
      <c r="AA87">
        <v>508.91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0.65</v>
      </c>
      <c r="AH87">
        <v>2</v>
      </c>
      <c r="AI87">
        <v>36603009</v>
      </c>
      <c r="AJ87">
        <v>87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ROW(Source!A79)</f>
        <v>79</v>
      </c>
      <c r="B88">
        <v>36603010</v>
      </c>
      <c r="C88">
        <v>36603002</v>
      </c>
      <c r="D88">
        <v>36293384</v>
      </c>
      <c r="E88">
        <v>1</v>
      </c>
      <c r="F88">
        <v>1</v>
      </c>
      <c r="G88">
        <v>31</v>
      </c>
      <c r="H88">
        <v>3</v>
      </c>
      <c r="I88" t="s">
        <v>284</v>
      </c>
      <c r="J88" t="s">
        <v>285</v>
      </c>
      <c r="K88" t="s">
        <v>286</v>
      </c>
      <c r="L88">
        <v>1339</v>
      </c>
      <c r="N88">
        <v>1007</v>
      </c>
      <c r="O88" t="s">
        <v>179</v>
      </c>
      <c r="P88" t="s">
        <v>179</v>
      </c>
      <c r="Q88">
        <v>1</v>
      </c>
      <c r="X88">
        <v>126</v>
      </c>
      <c r="Y88">
        <v>2380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126</v>
      </c>
      <c r="AH88">
        <v>2</v>
      </c>
      <c r="AI88">
        <v>36603010</v>
      </c>
      <c r="AJ88">
        <v>88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ROW(Source!A79)</f>
        <v>79</v>
      </c>
      <c r="B89">
        <v>36603011</v>
      </c>
      <c r="C89">
        <v>36603002</v>
      </c>
      <c r="D89">
        <v>36294127</v>
      </c>
      <c r="E89">
        <v>1</v>
      </c>
      <c r="F89">
        <v>1</v>
      </c>
      <c r="G89">
        <v>31</v>
      </c>
      <c r="H89">
        <v>3</v>
      </c>
      <c r="I89" t="s">
        <v>203</v>
      </c>
      <c r="J89" t="s">
        <v>204</v>
      </c>
      <c r="K89" t="s">
        <v>205</v>
      </c>
      <c r="L89">
        <v>1339</v>
      </c>
      <c r="N89">
        <v>1007</v>
      </c>
      <c r="O89" t="s">
        <v>179</v>
      </c>
      <c r="P89" t="s">
        <v>179</v>
      </c>
      <c r="Q89">
        <v>1</v>
      </c>
      <c r="X89">
        <v>7</v>
      </c>
      <c r="Y89">
        <v>38.229999999999997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7</v>
      </c>
      <c r="AH89">
        <v>2</v>
      </c>
      <c r="AI89">
        <v>36603011</v>
      </c>
      <c r="AJ89">
        <v>89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ROW(Source!A80)</f>
        <v>80</v>
      </c>
      <c r="B90">
        <v>36603014</v>
      </c>
      <c r="C90">
        <v>36603013</v>
      </c>
      <c r="D90">
        <v>36278558</v>
      </c>
      <c r="E90">
        <v>31</v>
      </c>
      <c r="F90">
        <v>1</v>
      </c>
      <c r="G90">
        <v>31</v>
      </c>
      <c r="H90">
        <v>1</v>
      </c>
      <c r="I90" t="s">
        <v>193</v>
      </c>
      <c r="J90" t="s">
        <v>3</v>
      </c>
      <c r="K90" t="s">
        <v>194</v>
      </c>
      <c r="L90">
        <v>1191</v>
      </c>
      <c r="N90">
        <v>1013</v>
      </c>
      <c r="O90" t="s">
        <v>195</v>
      </c>
      <c r="P90" t="s">
        <v>195</v>
      </c>
      <c r="Q90">
        <v>1</v>
      </c>
      <c r="X90">
        <v>13.11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 t="s">
        <v>3</v>
      </c>
      <c r="AG90">
        <v>13.11</v>
      </c>
      <c r="AH90">
        <v>2</v>
      </c>
      <c r="AI90">
        <v>36603014</v>
      </c>
      <c r="AJ90">
        <v>90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ROW(Source!A80)</f>
        <v>80</v>
      </c>
      <c r="B91">
        <v>36603015</v>
      </c>
      <c r="C91">
        <v>36603013</v>
      </c>
      <c r="D91">
        <v>36279341</v>
      </c>
      <c r="E91">
        <v>31</v>
      </c>
      <c r="F91">
        <v>1</v>
      </c>
      <c r="G91">
        <v>31</v>
      </c>
      <c r="H91">
        <v>3</v>
      </c>
      <c r="I91" t="s">
        <v>339</v>
      </c>
      <c r="J91" t="s">
        <v>3</v>
      </c>
      <c r="K91" t="s">
        <v>340</v>
      </c>
      <c r="L91">
        <v>1348</v>
      </c>
      <c r="N91">
        <v>1009</v>
      </c>
      <c r="O91" t="s">
        <v>63</v>
      </c>
      <c r="P91" t="s">
        <v>63</v>
      </c>
      <c r="Q91">
        <v>1000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</v>
      </c>
      <c r="AG91">
        <v>0</v>
      </c>
      <c r="AH91">
        <v>3</v>
      </c>
      <c r="AI91">
        <v>-1</v>
      </c>
      <c r="AJ91" t="s">
        <v>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ROW(Source!A82)</f>
        <v>82</v>
      </c>
      <c r="B92">
        <v>36603019</v>
      </c>
      <c r="C92">
        <v>36603018</v>
      </c>
      <c r="D92">
        <v>36278558</v>
      </c>
      <c r="E92">
        <v>31</v>
      </c>
      <c r="F92">
        <v>1</v>
      </c>
      <c r="G92">
        <v>31</v>
      </c>
      <c r="H92">
        <v>1</v>
      </c>
      <c r="I92" t="s">
        <v>193</v>
      </c>
      <c r="J92" t="s">
        <v>3</v>
      </c>
      <c r="K92" t="s">
        <v>194</v>
      </c>
      <c r="L92">
        <v>1191</v>
      </c>
      <c r="N92">
        <v>1013</v>
      </c>
      <c r="O92" t="s">
        <v>195</v>
      </c>
      <c r="P92" t="s">
        <v>195</v>
      </c>
      <c r="Q92">
        <v>1</v>
      </c>
      <c r="X92">
        <v>155.25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 t="s">
        <v>3</v>
      </c>
      <c r="AG92">
        <v>155.25</v>
      </c>
      <c r="AH92">
        <v>2</v>
      </c>
      <c r="AI92">
        <v>36603019</v>
      </c>
      <c r="AJ92">
        <v>92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ROW(Source!A82)</f>
        <v>82</v>
      </c>
      <c r="B93">
        <v>36603020</v>
      </c>
      <c r="C93">
        <v>36603018</v>
      </c>
      <c r="D93">
        <v>36291427</v>
      </c>
      <c r="E93">
        <v>1</v>
      </c>
      <c r="F93">
        <v>1</v>
      </c>
      <c r="G93">
        <v>31</v>
      </c>
      <c r="H93">
        <v>2</v>
      </c>
      <c r="I93" t="s">
        <v>320</v>
      </c>
      <c r="J93" t="s">
        <v>321</v>
      </c>
      <c r="K93" t="s">
        <v>322</v>
      </c>
      <c r="L93">
        <v>1368</v>
      </c>
      <c r="N93">
        <v>1011</v>
      </c>
      <c r="O93" t="s">
        <v>199</v>
      </c>
      <c r="P93" t="s">
        <v>199</v>
      </c>
      <c r="Q93">
        <v>1</v>
      </c>
      <c r="X93">
        <v>7.41</v>
      </c>
      <c r="Y93">
        <v>0</v>
      </c>
      <c r="Z93">
        <v>3.86</v>
      </c>
      <c r="AA93">
        <v>0.01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7.41</v>
      </c>
      <c r="AH93">
        <v>2</v>
      </c>
      <c r="AI93">
        <v>36603020</v>
      </c>
      <c r="AJ93">
        <v>93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ROW(Source!A82)</f>
        <v>82</v>
      </c>
      <c r="B94">
        <v>36603021</v>
      </c>
      <c r="C94">
        <v>36603018</v>
      </c>
      <c r="D94">
        <v>36293929</v>
      </c>
      <c r="E94">
        <v>1</v>
      </c>
      <c r="F94">
        <v>1</v>
      </c>
      <c r="G94">
        <v>31</v>
      </c>
      <c r="H94">
        <v>3</v>
      </c>
      <c r="I94" t="s">
        <v>323</v>
      </c>
      <c r="J94" t="s">
        <v>324</v>
      </c>
      <c r="K94" t="s">
        <v>325</v>
      </c>
      <c r="L94">
        <v>1327</v>
      </c>
      <c r="N94">
        <v>1005</v>
      </c>
      <c r="O94" t="s">
        <v>19</v>
      </c>
      <c r="P94" t="s">
        <v>19</v>
      </c>
      <c r="Q94">
        <v>1</v>
      </c>
      <c r="X94">
        <v>250</v>
      </c>
      <c r="Y94">
        <v>137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250</v>
      </c>
      <c r="AH94">
        <v>2</v>
      </c>
      <c r="AI94">
        <v>36603021</v>
      </c>
      <c r="AJ94">
        <v>94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ROW(Source!A82)</f>
        <v>82</v>
      </c>
      <c r="B95">
        <v>36603022</v>
      </c>
      <c r="C95">
        <v>36603018</v>
      </c>
      <c r="D95">
        <v>36294127</v>
      </c>
      <c r="E95">
        <v>1</v>
      </c>
      <c r="F95">
        <v>1</v>
      </c>
      <c r="G95">
        <v>31</v>
      </c>
      <c r="H95">
        <v>3</v>
      </c>
      <c r="I95" t="s">
        <v>203</v>
      </c>
      <c r="J95" t="s">
        <v>204</v>
      </c>
      <c r="K95" t="s">
        <v>205</v>
      </c>
      <c r="L95">
        <v>1339</v>
      </c>
      <c r="N95">
        <v>1007</v>
      </c>
      <c r="O95" t="s">
        <v>179</v>
      </c>
      <c r="P95" t="s">
        <v>179</v>
      </c>
      <c r="Q95">
        <v>1</v>
      </c>
      <c r="X95">
        <v>1.75</v>
      </c>
      <c r="Y95">
        <v>38.229999999999997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1.75</v>
      </c>
      <c r="AH95">
        <v>2</v>
      </c>
      <c r="AI95">
        <v>36603022</v>
      </c>
      <c r="AJ95">
        <v>95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ROW(Source!A82)</f>
        <v>82</v>
      </c>
      <c r="B96">
        <v>36603023</v>
      </c>
      <c r="C96">
        <v>36603018</v>
      </c>
      <c r="D96">
        <v>36295107</v>
      </c>
      <c r="E96">
        <v>1</v>
      </c>
      <c r="F96">
        <v>1</v>
      </c>
      <c r="G96">
        <v>31</v>
      </c>
      <c r="H96">
        <v>3</v>
      </c>
      <c r="I96" t="s">
        <v>326</v>
      </c>
      <c r="J96" t="s">
        <v>327</v>
      </c>
      <c r="K96" t="s">
        <v>328</v>
      </c>
      <c r="L96">
        <v>1339</v>
      </c>
      <c r="N96">
        <v>1007</v>
      </c>
      <c r="O96" t="s">
        <v>179</v>
      </c>
      <c r="P96" t="s">
        <v>179</v>
      </c>
      <c r="Q96">
        <v>1</v>
      </c>
      <c r="X96">
        <v>102</v>
      </c>
      <c r="Y96">
        <v>3284.47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102</v>
      </c>
      <c r="AH96">
        <v>2</v>
      </c>
      <c r="AI96">
        <v>36603023</v>
      </c>
      <c r="AJ96">
        <v>96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ROW(Source!A83)</f>
        <v>83</v>
      </c>
      <c r="B97">
        <v>36603027</v>
      </c>
      <c r="C97">
        <v>36603026</v>
      </c>
      <c r="D97">
        <v>36278558</v>
      </c>
      <c r="E97">
        <v>31</v>
      </c>
      <c r="F97">
        <v>1</v>
      </c>
      <c r="G97">
        <v>31</v>
      </c>
      <c r="H97">
        <v>1</v>
      </c>
      <c r="I97" t="s">
        <v>193</v>
      </c>
      <c r="J97" t="s">
        <v>3</v>
      </c>
      <c r="K97" t="s">
        <v>194</v>
      </c>
      <c r="L97">
        <v>1191</v>
      </c>
      <c r="N97">
        <v>1013</v>
      </c>
      <c r="O97" t="s">
        <v>195</v>
      </c>
      <c r="P97" t="s">
        <v>195</v>
      </c>
      <c r="Q97">
        <v>1</v>
      </c>
      <c r="X97">
        <v>13.57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 t="s">
        <v>3</v>
      </c>
      <c r="AG97">
        <v>13.57</v>
      </c>
      <c r="AH97">
        <v>2</v>
      </c>
      <c r="AI97">
        <v>36603027</v>
      </c>
      <c r="AJ97">
        <v>97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ROW(Source!A83)</f>
        <v>83</v>
      </c>
      <c r="B98">
        <v>36603028</v>
      </c>
      <c r="C98">
        <v>36603026</v>
      </c>
      <c r="D98">
        <v>36291331</v>
      </c>
      <c r="E98">
        <v>1</v>
      </c>
      <c r="F98">
        <v>1</v>
      </c>
      <c r="G98">
        <v>31</v>
      </c>
      <c r="H98">
        <v>2</v>
      </c>
      <c r="I98" t="s">
        <v>302</v>
      </c>
      <c r="J98" t="s">
        <v>303</v>
      </c>
      <c r="K98" t="s">
        <v>304</v>
      </c>
      <c r="L98">
        <v>1368</v>
      </c>
      <c r="N98">
        <v>1011</v>
      </c>
      <c r="O98" t="s">
        <v>199</v>
      </c>
      <c r="P98" t="s">
        <v>199</v>
      </c>
      <c r="Q98">
        <v>1</v>
      </c>
      <c r="X98">
        <v>0.46</v>
      </c>
      <c r="Y98">
        <v>0</v>
      </c>
      <c r="Z98">
        <v>994.61</v>
      </c>
      <c r="AA98">
        <v>437.41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0.46</v>
      </c>
      <c r="AH98">
        <v>2</v>
      </c>
      <c r="AI98">
        <v>36603028</v>
      </c>
      <c r="AJ98">
        <v>98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ROW(Source!A83)</f>
        <v>83</v>
      </c>
      <c r="B99">
        <v>36603029</v>
      </c>
      <c r="C99">
        <v>36603026</v>
      </c>
      <c r="D99">
        <v>36291332</v>
      </c>
      <c r="E99">
        <v>1</v>
      </c>
      <c r="F99">
        <v>1</v>
      </c>
      <c r="G99">
        <v>31</v>
      </c>
      <c r="H99">
        <v>2</v>
      </c>
      <c r="I99" t="s">
        <v>305</v>
      </c>
      <c r="J99" t="s">
        <v>306</v>
      </c>
      <c r="K99" t="s">
        <v>307</v>
      </c>
      <c r="L99">
        <v>1368</v>
      </c>
      <c r="N99">
        <v>1011</v>
      </c>
      <c r="O99" t="s">
        <v>199</v>
      </c>
      <c r="P99" t="s">
        <v>199</v>
      </c>
      <c r="Q99">
        <v>1</v>
      </c>
      <c r="X99">
        <v>1.39</v>
      </c>
      <c r="Y99">
        <v>0</v>
      </c>
      <c r="Z99">
        <v>967.78</v>
      </c>
      <c r="AA99">
        <v>588.76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1.39</v>
      </c>
      <c r="AH99">
        <v>2</v>
      </c>
      <c r="AI99">
        <v>36603029</v>
      </c>
      <c r="AJ99">
        <v>99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ROW(Source!A83)</f>
        <v>83</v>
      </c>
      <c r="B100">
        <v>36603030</v>
      </c>
      <c r="C100">
        <v>36603026</v>
      </c>
      <c r="D100">
        <v>36295325</v>
      </c>
      <c r="E100">
        <v>1</v>
      </c>
      <c r="F100">
        <v>1</v>
      </c>
      <c r="G100">
        <v>31</v>
      </c>
      <c r="H100">
        <v>3</v>
      </c>
      <c r="I100" t="s">
        <v>308</v>
      </c>
      <c r="J100" t="s">
        <v>309</v>
      </c>
      <c r="K100" t="s">
        <v>310</v>
      </c>
      <c r="L100">
        <v>1348</v>
      </c>
      <c r="N100">
        <v>1009</v>
      </c>
      <c r="O100" t="s">
        <v>63</v>
      </c>
      <c r="P100" t="s">
        <v>63</v>
      </c>
      <c r="Q100">
        <v>1000</v>
      </c>
      <c r="X100">
        <v>9.58</v>
      </c>
      <c r="Y100">
        <v>4087.58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9.58</v>
      </c>
      <c r="AH100">
        <v>2</v>
      </c>
      <c r="AI100">
        <v>36603030</v>
      </c>
      <c r="AJ100">
        <v>100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ROW(Source!A119)</f>
        <v>119</v>
      </c>
      <c r="B101">
        <v>36603091</v>
      </c>
      <c r="C101">
        <v>36603090</v>
      </c>
      <c r="D101">
        <v>36291140</v>
      </c>
      <c r="E101">
        <v>1</v>
      </c>
      <c r="F101">
        <v>1</v>
      </c>
      <c r="G101">
        <v>31</v>
      </c>
      <c r="H101">
        <v>2</v>
      </c>
      <c r="I101" t="s">
        <v>228</v>
      </c>
      <c r="J101" t="s">
        <v>229</v>
      </c>
      <c r="K101" t="s">
        <v>230</v>
      </c>
      <c r="L101">
        <v>1368</v>
      </c>
      <c r="N101">
        <v>1011</v>
      </c>
      <c r="O101" t="s">
        <v>199</v>
      </c>
      <c r="P101" t="s">
        <v>199</v>
      </c>
      <c r="Q101">
        <v>1</v>
      </c>
      <c r="X101">
        <v>5.3699999999999998E-2</v>
      </c>
      <c r="Y101">
        <v>0</v>
      </c>
      <c r="Z101">
        <v>1653.15</v>
      </c>
      <c r="AA101">
        <v>530.53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5.3699999999999998E-2</v>
      </c>
      <c r="AH101">
        <v>2</v>
      </c>
      <c r="AI101">
        <v>36603091</v>
      </c>
      <c r="AJ101">
        <v>101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ROW(Source!A120)</f>
        <v>120</v>
      </c>
      <c r="B102">
        <v>36603094</v>
      </c>
      <c r="C102">
        <v>36603093</v>
      </c>
      <c r="D102">
        <v>36291969</v>
      </c>
      <c r="E102">
        <v>1</v>
      </c>
      <c r="F102">
        <v>1</v>
      </c>
      <c r="G102">
        <v>31</v>
      </c>
      <c r="H102">
        <v>2</v>
      </c>
      <c r="I102" t="s">
        <v>329</v>
      </c>
      <c r="J102" t="s">
        <v>330</v>
      </c>
      <c r="K102" t="s">
        <v>331</v>
      </c>
      <c r="L102">
        <v>1368</v>
      </c>
      <c r="N102">
        <v>1011</v>
      </c>
      <c r="O102" t="s">
        <v>199</v>
      </c>
      <c r="P102" t="s">
        <v>199</v>
      </c>
      <c r="Q102">
        <v>1</v>
      </c>
      <c r="X102">
        <v>3.6999999999999998E-2</v>
      </c>
      <c r="Y102">
        <v>0</v>
      </c>
      <c r="Z102">
        <v>1168.3</v>
      </c>
      <c r="AA102">
        <v>349.64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3.6999999999999998E-2</v>
      </c>
      <c r="AH102">
        <v>2</v>
      </c>
      <c r="AI102">
        <v>36603094</v>
      </c>
      <c r="AJ102">
        <v>102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ROW(Source!A121)</f>
        <v>121</v>
      </c>
      <c r="B103">
        <v>36603097</v>
      </c>
      <c r="C103">
        <v>36603096</v>
      </c>
      <c r="D103">
        <v>36291969</v>
      </c>
      <c r="E103">
        <v>1</v>
      </c>
      <c r="F103">
        <v>1</v>
      </c>
      <c r="G103">
        <v>31</v>
      </c>
      <c r="H103">
        <v>2</v>
      </c>
      <c r="I103" t="s">
        <v>329</v>
      </c>
      <c r="J103" t="s">
        <v>330</v>
      </c>
      <c r="K103" t="s">
        <v>331</v>
      </c>
      <c r="L103">
        <v>1368</v>
      </c>
      <c r="N103">
        <v>1011</v>
      </c>
      <c r="O103" t="s">
        <v>199</v>
      </c>
      <c r="P103" t="s">
        <v>199</v>
      </c>
      <c r="Q103">
        <v>1</v>
      </c>
      <c r="X103">
        <v>0.01</v>
      </c>
      <c r="Y103">
        <v>0</v>
      </c>
      <c r="Z103">
        <v>1168.3</v>
      </c>
      <c r="AA103">
        <v>349.64</v>
      </c>
      <c r="AB103">
        <v>0</v>
      </c>
      <c r="AC103">
        <v>0</v>
      </c>
      <c r="AD103">
        <v>1</v>
      </c>
      <c r="AE103">
        <v>0</v>
      </c>
      <c r="AF103" t="s">
        <v>165</v>
      </c>
      <c r="AG103">
        <v>0.48</v>
      </c>
      <c r="AH103">
        <v>2</v>
      </c>
      <c r="AI103">
        <v>36603097</v>
      </c>
      <c r="AJ103">
        <v>103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ROW(Source!A122)</f>
        <v>122</v>
      </c>
      <c r="B104">
        <v>36603100</v>
      </c>
      <c r="C104">
        <v>36603099</v>
      </c>
      <c r="D104">
        <v>36291140</v>
      </c>
      <c r="E104">
        <v>1</v>
      </c>
      <c r="F104">
        <v>1</v>
      </c>
      <c r="G104">
        <v>31</v>
      </c>
      <c r="H104">
        <v>2</v>
      </c>
      <c r="I104" t="s">
        <v>228</v>
      </c>
      <c r="J104" t="s">
        <v>229</v>
      </c>
      <c r="K104" t="s">
        <v>230</v>
      </c>
      <c r="L104">
        <v>1368</v>
      </c>
      <c r="N104">
        <v>1011</v>
      </c>
      <c r="O104" t="s">
        <v>199</v>
      </c>
      <c r="P104" t="s">
        <v>199</v>
      </c>
      <c r="Q104">
        <v>1</v>
      </c>
      <c r="X104">
        <v>5.3699999999999998E-2</v>
      </c>
      <c r="Y104">
        <v>0</v>
      </c>
      <c r="Z104">
        <v>1653.15</v>
      </c>
      <c r="AA104">
        <v>530.53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5.3699999999999998E-2</v>
      </c>
      <c r="AH104">
        <v>2</v>
      </c>
      <c r="AI104">
        <v>36603100</v>
      </c>
      <c r="AJ104">
        <v>104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ROW(Source!A123)</f>
        <v>123</v>
      </c>
      <c r="B105">
        <v>36603103</v>
      </c>
      <c r="C105">
        <v>36603102</v>
      </c>
      <c r="D105">
        <v>36291968</v>
      </c>
      <c r="E105">
        <v>1</v>
      </c>
      <c r="F105">
        <v>1</v>
      </c>
      <c r="G105">
        <v>31</v>
      </c>
      <c r="H105">
        <v>2</v>
      </c>
      <c r="I105" t="s">
        <v>332</v>
      </c>
      <c r="J105" t="s">
        <v>333</v>
      </c>
      <c r="K105" t="s">
        <v>334</v>
      </c>
      <c r="L105">
        <v>1368</v>
      </c>
      <c r="N105">
        <v>1011</v>
      </c>
      <c r="O105" t="s">
        <v>199</v>
      </c>
      <c r="P105" t="s">
        <v>199</v>
      </c>
      <c r="Q105">
        <v>1</v>
      </c>
      <c r="X105">
        <v>0.02</v>
      </c>
      <c r="Y105">
        <v>0</v>
      </c>
      <c r="Z105">
        <v>1148.1400000000001</v>
      </c>
      <c r="AA105">
        <v>349.29</v>
      </c>
      <c r="AB105">
        <v>0</v>
      </c>
      <c r="AC105">
        <v>0</v>
      </c>
      <c r="AD105">
        <v>1</v>
      </c>
      <c r="AE105">
        <v>0</v>
      </c>
      <c r="AF105" t="s">
        <v>3</v>
      </c>
      <c r="AG105">
        <v>0.02</v>
      </c>
      <c r="AH105">
        <v>2</v>
      </c>
      <c r="AI105">
        <v>36603103</v>
      </c>
      <c r="AJ105">
        <v>105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ROW(Source!A123)</f>
        <v>123</v>
      </c>
      <c r="B106">
        <v>36603104</v>
      </c>
      <c r="C106">
        <v>36603102</v>
      </c>
      <c r="D106">
        <v>36291969</v>
      </c>
      <c r="E106">
        <v>1</v>
      </c>
      <c r="F106">
        <v>1</v>
      </c>
      <c r="G106">
        <v>31</v>
      </c>
      <c r="H106">
        <v>2</v>
      </c>
      <c r="I106" t="s">
        <v>329</v>
      </c>
      <c r="J106" t="s">
        <v>330</v>
      </c>
      <c r="K106" t="s">
        <v>331</v>
      </c>
      <c r="L106">
        <v>1368</v>
      </c>
      <c r="N106">
        <v>1011</v>
      </c>
      <c r="O106" t="s">
        <v>199</v>
      </c>
      <c r="P106" t="s">
        <v>199</v>
      </c>
      <c r="Q106">
        <v>1</v>
      </c>
      <c r="X106">
        <v>1.7999999999999999E-2</v>
      </c>
      <c r="Y106">
        <v>0</v>
      </c>
      <c r="Z106">
        <v>1168.3</v>
      </c>
      <c r="AA106">
        <v>349.64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1.7999999999999999E-2</v>
      </c>
      <c r="AH106">
        <v>2</v>
      </c>
      <c r="AI106">
        <v>36603104</v>
      </c>
      <c r="AJ106">
        <v>106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ROW(Source!A124)</f>
        <v>124</v>
      </c>
      <c r="B107">
        <v>36603107</v>
      </c>
      <c r="C107">
        <v>36603106</v>
      </c>
      <c r="D107">
        <v>36291968</v>
      </c>
      <c r="E107">
        <v>1</v>
      </c>
      <c r="F107">
        <v>1</v>
      </c>
      <c r="G107">
        <v>31</v>
      </c>
      <c r="H107">
        <v>2</v>
      </c>
      <c r="I107" t="s">
        <v>332</v>
      </c>
      <c r="J107" t="s">
        <v>333</v>
      </c>
      <c r="K107" t="s">
        <v>334</v>
      </c>
      <c r="L107">
        <v>1368</v>
      </c>
      <c r="N107">
        <v>1011</v>
      </c>
      <c r="O107" t="s">
        <v>199</v>
      </c>
      <c r="P107" t="s">
        <v>199</v>
      </c>
      <c r="Q107">
        <v>1</v>
      </c>
      <c r="X107">
        <v>0.01</v>
      </c>
      <c r="Y107">
        <v>0</v>
      </c>
      <c r="Z107">
        <v>1148.1400000000001</v>
      </c>
      <c r="AA107">
        <v>349.29</v>
      </c>
      <c r="AB107">
        <v>0</v>
      </c>
      <c r="AC107">
        <v>0</v>
      </c>
      <c r="AD107">
        <v>1</v>
      </c>
      <c r="AE107">
        <v>0</v>
      </c>
      <c r="AF107" t="s">
        <v>165</v>
      </c>
      <c r="AG107">
        <v>0.48</v>
      </c>
      <c r="AH107">
        <v>2</v>
      </c>
      <c r="AI107">
        <v>36603107</v>
      </c>
      <c r="AJ107">
        <v>107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ROW(Source!A124)</f>
        <v>124</v>
      </c>
      <c r="B108">
        <v>36603108</v>
      </c>
      <c r="C108">
        <v>36603106</v>
      </c>
      <c r="D108">
        <v>36291969</v>
      </c>
      <c r="E108">
        <v>1</v>
      </c>
      <c r="F108">
        <v>1</v>
      </c>
      <c r="G108">
        <v>31</v>
      </c>
      <c r="H108">
        <v>2</v>
      </c>
      <c r="I108" t="s">
        <v>329</v>
      </c>
      <c r="J108" t="s">
        <v>330</v>
      </c>
      <c r="K108" t="s">
        <v>331</v>
      </c>
      <c r="L108">
        <v>1368</v>
      </c>
      <c r="N108">
        <v>1011</v>
      </c>
      <c r="O108" t="s">
        <v>199</v>
      </c>
      <c r="P108" t="s">
        <v>199</v>
      </c>
      <c r="Q108">
        <v>1</v>
      </c>
      <c r="X108">
        <v>8.0000000000000002E-3</v>
      </c>
      <c r="Y108">
        <v>0</v>
      </c>
      <c r="Z108">
        <v>1168.3</v>
      </c>
      <c r="AA108">
        <v>349.64</v>
      </c>
      <c r="AB108">
        <v>0</v>
      </c>
      <c r="AC108">
        <v>0</v>
      </c>
      <c r="AD108">
        <v>1</v>
      </c>
      <c r="AE108">
        <v>0</v>
      </c>
      <c r="AF108" t="s">
        <v>165</v>
      </c>
      <c r="AG108">
        <v>0.38400000000000001</v>
      </c>
      <c r="AH108">
        <v>2</v>
      </c>
      <c r="AI108">
        <v>36603108</v>
      </c>
      <c r="AJ108">
        <v>108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ROW(Source!A160)</f>
        <v>160</v>
      </c>
      <c r="B109">
        <v>36604334</v>
      </c>
      <c r="C109">
        <v>36604332</v>
      </c>
      <c r="D109">
        <v>36291969</v>
      </c>
      <c r="E109">
        <v>1</v>
      </c>
      <c r="F109">
        <v>1</v>
      </c>
      <c r="G109">
        <v>31</v>
      </c>
      <c r="H109">
        <v>2</v>
      </c>
      <c r="I109" t="s">
        <v>329</v>
      </c>
      <c r="J109" t="s">
        <v>330</v>
      </c>
      <c r="K109" t="s">
        <v>331</v>
      </c>
      <c r="L109">
        <v>1368</v>
      </c>
      <c r="N109">
        <v>1011</v>
      </c>
      <c r="O109" t="s">
        <v>199</v>
      </c>
      <c r="P109" t="s">
        <v>199</v>
      </c>
      <c r="Q109">
        <v>1</v>
      </c>
      <c r="X109">
        <v>3.1E-2</v>
      </c>
      <c r="Y109">
        <v>0</v>
      </c>
      <c r="Z109">
        <v>1168.3</v>
      </c>
      <c r="AA109">
        <v>349.64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3.1E-2</v>
      </c>
      <c r="AH109">
        <v>2</v>
      </c>
      <c r="AI109">
        <v>36604333</v>
      </c>
      <c r="AJ109">
        <v>109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ROW(Source!A161)</f>
        <v>161</v>
      </c>
      <c r="B110">
        <v>36604337</v>
      </c>
      <c r="C110">
        <v>36604335</v>
      </c>
      <c r="D110">
        <v>36291969</v>
      </c>
      <c r="E110">
        <v>1</v>
      </c>
      <c r="F110">
        <v>1</v>
      </c>
      <c r="G110">
        <v>31</v>
      </c>
      <c r="H110">
        <v>2</v>
      </c>
      <c r="I110" t="s">
        <v>329</v>
      </c>
      <c r="J110" t="s">
        <v>330</v>
      </c>
      <c r="K110" t="s">
        <v>331</v>
      </c>
      <c r="L110">
        <v>1368</v>
      </c>
      <c r="N110">
        <v>1011</v>
      </c>
      <c r="O110" t="s">
        <v>199</v>
      </c>
      <c r="P110" t="s">
        <v>199</v>
      </c>
      <c r="Q110">
        <v>1</v>
      </c>
      <c r="X110">
        <v>0.01</v>
      </c>
      <c r="Y110">
        <v>0</v>
      </c>
      <c r="Z110">
        <v>1168.3</v>
      </c>
      <c r="AA110">
        <v>349.64</v>
      </c>
      <c r="AB110">
        <v>0</v>
      </c>
      <c r="AC110">
        <v>0</v>
      </c>
      <c r="AD110">
        <v>1</v>
      </c>
      <c r="AE110">
        <v>0</v>
      </c>
      <c r="AF110" t="s">
        <v>165</v>
      </c>
      <c r="AG110">
        <v>0.48</v>
      </c>
      <c r="AH110">
        <v>2</v>
      </c>
      <c r="AI110">
        <v>36604336</v>
      </c>
      <c r="AJ110">
        <v>110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ROW(Source!A197)</f>
        <v>197</v>
      </c>
      <c r="B111">
        <v>36603198</v>
      </c>
      <c r="C111">
        <v>36603189</v>
      </c>
      <c r="D111">
        <v>36291140</v>
      </c>
      <c r="E111">
        <v>1</v>
      </c>
      <c r="F111">
        <v>1</v>
      </c>
      <c r="G111">
        <v>31</v>
      </c>
      <c r="H111">
        <v>2</v>
      </c>
      <c r="I111" t="s">
        <v>228</v>
      </c>
      <c r="J111" t="s">
        <v>229</v>
      </c>
      <c r="K111" t="s">
        <v>230</v>
      </c>
      <c r="L111">
        <v>1368</v>
      </c>
      <c r="N111">
        <v>1011</v>
      </c>
      <c r="O111" t="s">
        <v>199</v>
      </c>
      <c r="P111" t="s">
        <v>199</v>
      </c>
      <c r="Q111">
        <v>1</v>
      </c>
      <c r="X111">
        <v>5.3699999999999998E-2</v>
      </c>
      <c r="Y111">
        <v>0</v>
      </c>
      <c r="Z111">
        <v>1653.15</v>
      </c>
      <c r="AA111">
        <v>530.53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5.3699999999999998E-2</v>
      </c>
      <c r="AH111">
        <v>2</v>
      </c>
      <c r="AI111">
        <v>36603190</v>
      </c>
      <c r="AJ111">
        <v>111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ROW(Source!A198)</f>
        <v>198</v>
      </c>
      <c r="B112">
        <v>36603199</v>
      </c>
      <c r="C112">
        <v>36603192</v>
      </c>
      <c r="D112">
        <v>36291969</v>
      </c>
      <c r="E112">
        <v>1</v>
      </c>
      <c r="F112">
        <v>1</v>
      </c>
      <c r="G112">
        <v>31</v>
      </c>
      <c r="H112">
        <v>2</v>
      </c>
      <c r="I112" t="s">
        <v>329</v>
      </c>
      <c r="J112" t="s">
        <v>330</v>
      </c>
      <c r="K112" t="s">
        <v>331</v>
      </c>
      <c r="L112">
        <v>1368</v>
      </c>
      <c r="N112">
        <v>1011</v>
      </c>
      <c r="O112" t="s">
        <v>199</v>
      </c>
      <c r="P112" t="s">
        <v>199</v>
      </c>
      <c r="Q112">
        <v>1</v>
      </c>
      <c r="X112">
        <v>3.6999999999999998E-2</v>
      </c>
      <c r="Y112">
        <v>0</v>
      </c>
      <c r="Z112">
        <v>1168.3</v>
      </c>
      <c r="AA112">
        <v>349.64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3.6999999999999998E-2</v>
      </c>
      <c r="AH112">
        <v>2</v>
      </c>
      <c r="AI112">
        <v>36603193</v>
      </c>
      <c r="AJ112">
        <v>112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ROW(Source!A199)</f>
        <v>199</v>
      </c>
      <c r="B113">
        <v>36603200</v>
      </c>
      <c r="C113">
        <v>36603195</v>
      </c>
      <c r="D113">
        <v>36291969</v>
      </c>
      <c r="E113">
        <v>1</v>
      </c>
      <c r="F113">
        <v>1</v>
      </c>
      <c r="G113">
        <v>31</v>
      </c>
      <c r="H113">
        <v>2</v>
      </c>
      <c r="I113" t="s">
        <v>329</v>
      </c>
      <c r="J113" t="s">
        <v>330</v>
      </c>
      <c r="K113" t="s">
        <v>331</v>
      </c>
      <c r="L113">
        <v>1368</v>
      </c>
      <c r="N113">
        <v>1011</v>
      </c>
      <c r="O113" t="s">
        <v>199</v>
      </c>
      <c r="P113" t="s">
        <v>199</v>
      </c>
      <c r="Q113">
        <v>1</v>
      </c>
      <c r="X113">
        <v>0.01</v>
      </c>
      <c r="Y113">
        <v>0</v>
      </c>
      <c r="Z113">
        <v>1168.3</v>
      </c>
      <c r="AA113">
        <v>349.64</v>
      </c>
      <c r="AB113">
        <v>0</v>
      </c>
      <c r="AC113">
        <v>0</v>
      </c>
      <c r="AD113">
        <v>1</v>
      </c>
      <c r="AE113">
        <v>0</v>
      </c>
      <c r="AF113" t="s">
        <v>165</v>
      </c>
      <c r="AG113">
        <v>0.48</v>
      </c>
      <c r="AH113">
        <v>2</v>
      </c>
      <c r="AI113">
        <v>36603196</v>
      </c>
      <c r="AJ113">
        <v>113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RV_DATA</vt:lpstr>
      <vt:lpstr>Расчет стоимости ресурсов</vt:lpstr>
      <vt:lpstr>Дефектная ведомость</vt:lpstr>
      <vt:lpstr>Source</vt:lpstr>
      <vt:lpstr>SourceObSm</vt:lpstr>
      <vt:lpstr>SmtRes</vt:lpstr>
      <vt:lpstr>EtalonRes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Буянова</cp:lastModifiedBy>
  <dcterms:created xsi:type="dcterms:W3CDTF">2022-11-01T09:14:36Z</dcterms:created>
  <dcterms:modified xsi:type="dcterms:W3CDTF">2022-11-03T11:41:08Z</dcterms:modified>
</cp:coreProperties>
</file>