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ilesrv\Служба закупок\ПРОЦЕДУРЫ 2020г\Капитальный ремонт\Благоустройство прил.террит. КЦ Внуково 25105296\КЦ Внуково 26.08.2020\"/>
    </mc:Choice>
  </mc:AlternateContent>
  <bookViews>
    <workbookView xWindow="0" yWindow="600" windowWidth="28800" windowHeight="12300"/>
  </bookViews>
  <sheets>
    <sheet name="Смета по ТСН-2001" sheetId="5" r:id="rId1"/>
    <sheet name="Дефектная ведомость" sheetId="6" r:id="rId2"/>
    <sheet name="Source" sheetId="1" state="hidden" r:id="rId3"/>
    <sheet name="SourceObSm" sheetId="2" state="hidden" r:id="rId4"/>
    <sheet name="SmtRes" sheetId="3" state="hidden" r:id="rId5"/>
    <sheet name="EtalonRes" sheetId="4" state="hidden" r:id="rId6"/>
  </sheets>
  <definedNames>
    <definedName name="_xlnm.Print_Titles" localSheetId="1">'Дефектная ведомость'!$18:$18</definedName>
    <definedName name="_xlnm.Print_Titles" localSheetId="0">'Смета по ТСН-2001'!$33:$33</definedName>
    <definedName name="_xlnm.Print_Area" localSheetId="1">'Дефектная ведомость'!$A$1:$E$55</definedName>
    <definedName name="_xlnm.Print_Area" localSheetId="0">'Смета по ТСН-2001'!$A$1:$K$337</definedName>
  </definedNames>
  <calcPr calcId="152511"/>
</workbook>
</file>

<file path=xl/calcChain.xml><?xml version="1.0" encoding="utf-8"?>
<calcChain xmlns="http://schemas.openxmlformats.org/spreadsheetml/2006/main">
  <c r="A12" i="6" l="1"/>
  <c r="D50" i="6" l="1"/>
  <c r="C50" i="6"/>
  <c r="B50" i="6"/>
  <c r="A50" i="6"/>
  <c r="D49" i="6"/>
  <c r="C49" i="6"/>
  <c r="B49" i="6"/>
  <c r="A49" i="6"/>
  <c r="D48" i="6"/>
  <c r="C48" i="6"/>
  <c r="B48" i="6"/>
  <c r="A48" i="6"/>
  <c r="D47" i="6"/>
  <c r="C47" i="6"/>
  <c r="B47" i="6"/>
  <c r="A47" i="6"/>
  <c r="D46" i="6"/>
  <c r="C46" i="6"/>
  <c r="B46" i="6"/>
  <c r="A46" i="6"/>
  <c r="D45" i="6"/>
  <c r="C45" i="6"/>
  <c r="B45" i="6"/>
  <c r="A45" i="6"/>
  <c r="D44" i="6"/>
  <c r="C44" i="6"/>
  <c r="B44" i="6"/>
  <c r="A44" i="6"/>
  <c r="D43" i="6"/>
  <c r="C43" i="6"/>
  <c r="B43" i="6"/>
  <c r="A43" i="6"/>
  <c r="D42" i="6"/>
  <c r="C42" i="6"/>
  <c r="B42" i="6"/>
  <c r="A42" i="6"/>
  <c r="D41" i="6"/>
  <c r="C41" i="6"/>
  <c r="B41" i="6"/>
  <c r="A41" i="6"/>
  <c r="D40" i="6"/>
  <c r="C40" i="6"/>
  <c r="B40" i="6"/>
  <c r="A40" i="6"/>
  <c r="A39" i="6"/>
  <c r="D38" i="6"/>
  <c r="C38" i="6"/>
  <c r="B38" i="6"/>
  <c r="A38" i="6"/>
  <c r="D37" i="6"/>
  <c r="C37" i="6"/>
  <c r="B37" i="6"/>
  <c r="A37" i="6"/>
  <c r="D36" i="6"/>
  <c r="C36" i="6"/>
  <c r="B36" i="6"/>
  <c r="A36" i="6"/>
  <c r="D35" i="6"/>
  <c r="C35" i="6"/>
  <c r="B35" i="6"/>
  <c r="A35" i="6"/>
  <c r="D34" i="6"/>
  <c r="C34" i="6"/>
  <c r="B34" i="6"/>
  <c r="A34" i="6"/>
  <c r="A33" i="6"/>
  <c r="D32" i="6"/>
  <c r="C32" i="6"/>
  <c r="B32" i="6"/>
  <c r="A32" i="6"/>
  <c r="D31" i="6"/>
  <c r="C31" i="6"/>
  <c r="B31" i="6"/>
  <c r="A31" i="6"/>
  <c r="D30" i="6"/>
  <c r="C30" i="6"/>
  <c r="B30" i="6"/>
  <c r="A30" i="6"/>
  <c r="D29" i="6"/>
  <c r="C29" i="6"/>
  <c r="B29" i="6"/>
  <c r="A29" i="6"/>
  <c r="D28" i="6"/>
  <c r="C28" i="6"/>
  <c r="B28" i="6"/>
  <c r="A28" i="6"/>
  <c r="D27" i="6"/>
  <c r="C27" i="6"/>
  <c r="B27" i="6"/>
  <c r="A27" i="6"/>
  <c r="D26" i="6"/>
  <c r="C26" i="6"/>
  <c r="B26" i="6"/>
  <c r="A26" i="6"/>
  <c r="D25" i="6"/>
  <c r="C25" i="6"/>
  <c r="B25" i="6"/>
  <c r="A25" i="6"/>
  <c r="D24" i="6"/>
  <c r="C24" i="6"/>
  <c r="B24" i="6"/>
  <c r="A24" i="6"/>
  <c r="D23" i="6"/>
  <c r="C23" i="6"/>
  <c r="B23" i="6"/>
  <c r="A23" i="6"/>
  <c r="D22" i="6"/>
  <c r="C22" i="6"/>
  <c r="B22" i="6"/>
  <c r="A22" i="6"/>
  <c r="D21" i="6"/>
  <c r="C21" i="6"/>
  <c r="B21" i="6"/>
  <c r="A21" i="6"/>
  <c r="A20" i="6"/>
  <c r="A19" i="6"/>
  <c r="AD12" i="6"/>
  <c r="A11" i="6"/>
  <c r="A1" i="6"/>
  <c r="H335" i="5"/>
  <c r="H332" i="5"/>
  <c r="C335" i="5"/>
  <c r="C332" i="5"/>
  <c r="J30" i="5"/>
  <c r="J28" i="5"/>
  <c r="J27" i="5"/>
  <c r="J26" i="5"/>
  <c r="J25" i="5"/>
  <c r="J24" i="5"/>
  <c r="J23" i="5"/>
  <c r="I30" i="5"/>
  <c r="I28" i="5"/>
  <c r="I27" i="5"/>
  <c r="I26" i="5"/>
  <c r="I25" i="5"/>
  <c r="I24" i="5"/>
  <c r="I23" i="5"/>
  <c r="I329" i="5"/>
  <c r="J329" i="5"/>
  <c r="I328" i="5"/>
  <c r="J328" i="5"/>
  <c r="H327" i="5"/>
  <c r="J327" i="5"/>
  <c r="A327" i="5"/>
  <c r="I325" i="5"/>
  <c r="J325" i="5"/>
  <c r="I324" i="5"/>
  <c r="J324" i="5"/>
  <c r="H323" i="5"/>
  <c r="J323" i="5"/>
  <c r="A323" i="5"/>
  <c r="AA321" i="5"/>
  <c r="Z321" i="5"/>
  <c r="Y321" i="5"/>
  <c r="X321" i="5"/>
  <c r="O321" i="5"/>
  <c r="H321" i="5"/>
  <c r="P321" i="5"/>
  <c r="J321" i="5"/>
  <c r="I320" i="5"/>
  <c r="H320" i="5"/>
  <c r="G320" i="5"/>
  <c r="E320" i="5"/>
  <c r="K319" i="5"/>
  <c r="J319" i="5"/>
  <c r="I319" i="5"/>
  <c r="E319" i="5"/>
  <c r="K318" i="5"/>
  <c r="J318" i="5"/>
  <c r="I318" i="5"/>
  <c r="E318" i="5"/>
  <c r="K317" i="5"/>
  <c r="J317" i="5"/>
  <c r="I317" i="5"/>
  <c r="E317" i="5"/>
  <c r="K316" i="5"/>
  <c r="J316" i="5"/>
  <c r="H316" i="5"/>
  <c r="AA316" i="5"/>
  <c r="Z316" i="5"/>
  <c r="Y316" i="5"/>
  <c r="X316" i="5"/>
  <c r="I316" i="5"/>
  <c r="F316" i="5"/>
  <c r="V316" i="5"/>
  <c r="T316" i="5"/>
  <c r="R316" i="5"/>
  <c r="U316" i="5"/>
  <c r="S316" i="5"/>
  <c r="Q316" i="5"/>
  <c r="E316" i="5"/>
  <c r="D316" i="5"/>
  <c r="B316" i="5"/>
  <c r="A316" i="5"/>
  <c r="K315" i="5"/>
  <c r="J315" i="5"/>
  <c r="I315" i="5"/>
  <c r="H315" i="5"/>
  <c r="G315" i="5"/>
  <c r="F315" i="5"/>
  <c r="K314" i="5"/>
  <c r="J314" i="5"/>
  <c r="W314" i="5"/>
  <c r="I314" i="5"/>
  <c r="H314" i="5"/>
  <c r="G314" i="5"/>
  <c r="F314" i="5"/>
  <c r="K313" i="5"/>
  <c r="J313" i="5"/>
  <c r="I313" i="5"/>
  <c r="H313" i="5"/>
  <c r="G313" i="5"/>
  <c r="F313" i="5"/>
  <c r="K312" i="5"/>
  <c r="J312" i="5"/>
  <c r="W312" i="5"/>
  <c r="I312" i="5"/>
  <c r="H312" i="5"/>
  <c r="G312" i="5"/>
  <c r="F312" i="5"/>
  <c r="V311" i="5"/>
  <c r="T311" i="5"/>
  <c r="R311" i="5"/>
  <c r="U311" i="5"/>
  <c r="S311" i="5"/>
  <c r="Q311" i="5"/>
  <c r="E311" i="5"/>
  <c r="D311" i="5"/>
  <c r="B311" i="5"/>
  <c r="A311" i="5"/>
  <c r="AA310" i="5"/>
  <c r="Z310" i="5"/>
  <c r="Y310" i="5"/>
  <c r="X310" i="5"/>
  <c r="O310" i="5"/>
  <c r="H310" i="5"/>
  <c r="P310" i="5"/>
  <c r="J310" i="5"/>
  <c r="I309" i="5"/>
  <c r="H309" i="5"/>
  <c r="G309" i="5"/>
  <c r="E309" i="5"/>
  <c r="K308" i="5"/>
  <c r="J308" i="5"/>
  <c r="I308" i="5"/>
  <c r="E308" i="5"/>
  <c r="K307" i="5"/>
  <c r="J307" i="5"/>
  <c r="I307" i="5"/>
  <c r="E307" i="5"/>
  <c r="K306" i="5"/>
  <c r="J306" i="5"/>
  <c r="I306" i="5"/>
  <c r="E306" i="5"/>
  <c r="K305" i="5"/>
  <c r="J305" i="5"/>
  <c r="H305" i="5"/>
  <c r="AA305" i="5"/>
  <c r="Z305" i="5"/>
  <c r="Y305" i="5"/>
  <c r="X305" i="5"/>
  <c r="I305" i="5"/>
  <c r="F305" i="5"/>
  <c r="V305" i="5"/>
  <c r="T305" i="5"/>
  <c r="R305" i="5"/>
  <c r="U305" i="5"/>
  <c r="S305" i="5"/>
  <c r="Q305" i="5"/>
  <c r="E305" i="5"/>
  <c r="D305" i="5"/>
  <c r="B305" i="5"/>
  <c r="A305" i="5"/>
  <c r="K304" i="5"/>
  <c r="J304" i="5"/>
  <c r="I304" i="5"/>
  <c r="H304" i="5"/>
  <c r="G304" i="5"/>
  <c r="F304" i="5"/>
  <c r="K303" i="5"/>
  <c r="J303" i="5"/>
  <c r="W303" i="5"/>
  <c r="I303" i="5"/>
  <c r="H303" i="5"/>
  <c r="G303" i="5"/>
  <c r="F303" i="5"/>
  <c r="K302" i="5"/>
  <c r="J302" i="5"/>
  <c r="I302" i="5"/>
  <c r="H302" i="5"/>
  <c r="G302" i="5"/>
  <c r="F302" i="5"/>
  <c r="K301" i="5"/>
  <c r="J301" i="5"/>
  <c r="W301" i="5"/>
  <c r="I301" i="5"/>
  <c r="H301" i="5"/>
  <c r="G301" i="5"/>
  <c r="F301" i="5"/>
  <c r="V300" i="5"/>
  <c r="T300" i="5"/>
  <c r="R300" i="5"/>
  <c r="U300" i="5"/>
  <c r="S300" i="5"/>
  <c r="Q300" i="5"/>
  <c r="E300" i="5"/>
  <c r="D300" i="5"/>
  <c r="B300" i="5"/>
  <c r="A300" i="5"/>
  <c r="AA299" i="5"/>
  <c r="Z299" i="5"/>
  <c r="Y299" i="5"/>
  <c r="X299" i="5"/>
  <c r="O299" i="5"/>
  <c r="H299" i="5"/>
  <c r="P299" i="5"/>
  <c r="J299" i="5"/>
  <c r="I298" i="5"/>
  <c r="H298" i="5"/>
  <c r="G298" i="5"/>
  <c r="E298" i="5"/>
  <c r="K297" i="5"/>
  <c r="J297" i="5"/>
  <c r="I297" i="5"/>
  <c r="E297" i="5"/>
  <c r="K296" i="5"/>
  <c r="J296" i="5"/>
  <c r="I296" i="5"/>
  <c r="E296" i="5"/>
  <c r="K295" i="5"/>
  <c r="J295" i="5"/>
  <c r="I295" i="5"/>
  <c r="E295" i="5"/>
  <c r="K294" i="5"/>
  <c r="J294" i="5"/>
  <c r="H294" i="5"/>
  <c r="AA294" i="5"/>
  <c r="Z294" i="5"/>
  <c r="Y294" i="5"/>
  <c r="X294" i="5"/>
  <c r="I294" i="5"/>
  <c r="F294" i="5"/>
  <c r="V294" i="5"/>
  <c r="T294" i="5"/>
  <c r="R294" i="5"/>
  <c r="U294" i="5"/>
  <c r="S294" i="5"/>
  <c r="Q294" i="5"/>
  <c r="E294" i="5"/>
  <c r="D294" i="5"/>
  <c r="B294" i="5"/>
  <c r="A294" i="5"/>
  <c r="K293" i="5"/>
  <c r="J293" i="5"/>
  <c r="I293" i="5"/>
  <c r="H293" i="5"/>
  <c r="G293" i="5"/>
  <c r="F293" i="5"/>
  <c r="K292" i="5"/>
  <c r="J292" i="5"/>
  <c r="W292" i="5"/>
  <c r="I292" i="5"/>
  <c r="H292" i="5"/>
  <c r="G292" i="5"/>
  <c r="F292" i="5"/>
  <c r="K291" i="5"/>
  <c r="J291" i="5"/>
  <c r="I291" i="5"/>
  <c r="H291" i="5"/>
  <c r="G291" i="5"/>
  <c r="F291" i="5"/>
  <c r="K290" i="5"/>
  <c r="J290" i="5"/>
  <c r="W290" i="5"/>
  <c r="I290" i="5"/>
  <c r="H290" i="5"/>
  <c r="G290" i="5"/>
  <c r="F290" i="5"/>
  <c r="V289" i="5"/>
  <c r="T289" i="5"/>
  <c r="R289" i="5"/>
  <c r="U289" i="5"/>
  <c r="S289" i="5"/>
  <c r="Q289" i="5"/>
  <c r="E289" i="5"/>
  <c r="D289" i="5"/>
  <c r="B289" i="5"/>
  <c r="A289" i="5"/>
  <c r="AA288" i="5"/>
  <c r="Z288" i="5"/>
  <c r="Y288" i="5"/>
  <c r="X288" i="5"/>
  <c r="O288" i="5"/>
  <c r="H288" i="5"/>
  <c r="P288" i="5"/>
  <c r="J288" i="5"/>
  <c r="I287" i="5"/>
  <c r="H287" i="5"/>
  <c r="G287" i="5"/>
  <c r="E287" i="5"/>
  <c r="K286" i="5"/>
  <c r="J286" i="5"/>
  <c r="I286" i="5"/>
  <c r="E286" i="5"/>
  <c r="K285" i="5"/>
  <c r="J285" i="5"/>
  <c r="I285" i="5"/>
  <c r="E285" i="5"/>
  <c r="K284" i="5"/>
  <c r="J284" i="5"/>
  <c r="I284" i="5"/>
  <c r="E284" i="5"/>
  <c r="K283" i="5"/>
  <c r="J283" i="5"/>
  <c r="H283" i="5"/>
  <c r="AA283" i="5"/>
  <c r="Z283" i="5"/>
  <c r="Y283" i="5"/>
  <c r="X283" i="5"/>
  <c r="I283" i="5"/>
  <c r="F283" i="5"/>
  <c r="V283" i="5"/>
  <c r="T283" i="5"/>
  <c r="R283" i="5"/>
  <c r="U283" i="5"/>
  <c r="S283" i="5"/>
  <c r="Q283" i="5"/>
  <c r="E283" i="5"/>
  <c r="D283" i="5"/>
  <c r="B283" i="5"/>
  <c r="A283" i="5"/>
  <c r="K282" i="5"/>
  <c r="J282" i="5"/>
  <c r="I282" i="5"/>
  <c r="H282" i="5"/>
  <c r="G282" i="5"/>
  <c r="F282" i="5"/>
  <c r="K281" i="5"/>
  <c r="J281" i="5"/>
  <c r="W281" i="5"/>
  <c r="I281" i="5"/>
  <c r="H281" i="5"/>
  <c r="G281" i="5"/>
  <c r="F281" i="5"/>
  <c r="K280" i="5"/>
  <c r="J280" i="5"/>
  <c r="I280" i="5"/>
  <c r="H280" i="5"/>
  <c r="G280" i="5"/>
  <c r="F280" i="5"/>
  <c r="K279" i="5"/>
  <c r="J279" i="5"/>
  <c r="W279" i="5"/>
  <c r="I279" i="5"/>
  <c r="H279" i="5"/>
  <c r="G279" i="5"/>
  <c r="F279" i="5"/>
  <c r="V278" i="5"/>
  <c r="T278" i="5"/>
  <c r="R278" i="5"/>
  <c r="U278" i="5"/>
  <c r="S278" i="5"/>
  <c r="Q278" i="5"/>
  <c r="E278" i="5"/>
  <c r="D278" i="5"/>
  <c r="B278" i="5"/>
  <c r="A278" i="5"/>
  <c r="AA277" i="5"/>
  <c r="Z277" i="5"/>
  <c r="Y277" i="5"/>
  <c r="X277" i="5"/>
  <c r="O277" i="5"/>
  <c r="H277" i="5"/>
  <c r="P277" i="5"/>
  <c r="J277" i="5"/>
  <c r="I276" i="5"/>
  <c r="H276" i="5"/>
  <c r="G276" i="5"/>
  <c r="E276" i="5"/>
  <c r="K275" i="5"/>
  <c r="J275" i="5"/>
  <c r="I275" i="5"/>
  <c r="E275" i="5"/>
  <c r="K274" i="5"/>
  <c r="J274" i="5"/>
  <c r="I274" i="5"/>
  <c r="E274" i="5"/>
  <c r="K273" i="5"/>
  <c r="J273" i="5"/>
  <c r="I273" i="5"/>
  <c r="E273" i="5"/>
  <c r="K272" i="5"/>
  <c r="J272" i="5"/>
  <c r="H272" i="5"/>
  <c r="AA272" i="5"/>
  <c r="Z272" i="5"/>
  <c r="Y272" i="5"/>
  <c r="X272" i="5"/>
  <c r="I272" i="5"/>
  <c r="F272" i="5"/>
  <c r="V272" i="5"/>
  <c r="T272" i="5"/>
  <c r="R272" i="5"/>
  <c r="U272" i="5"/>
  <c r="S272" i="5"/>
  <c r="Q272" i="5"/>
  <c r="E272" i="5"/>
  <c r="D272" i="5"/>
  <c r="B272" i="5"/>
  <c r="A272" i="5"/>
  <c r="K271" i="5"/>
  <c r="J271" i="5"/>
  <c r="I271" i="5"/>
  <c r="H271" i="5"/>
  <c r="G271" i="5"/>
  <c r="F271" i="5"/>
  <c r="K270" i="5"/>
  <c r="J270" i="5"/>
  <c r="W270" i="5"/>
  <c r="I270" i="5"/>
  <c r="H270" i="5"/>
  <c r="G270" i="5"/>
  <c r="F270" i="5"/>
  <c r="K269" i="5"/>
  <c r="J269" i="5"/>
  <c r="I269" i="5"/>
  <c r="H269" i="5"/>
  <c r="G269" i="5"/>
  <c r="F269" i="5"/>
  <c r="K268" i="5"/>
  <c r="J268" i="5"/>
  <c r="W268" i="5"/>
  <c r="I268" i="5"/>
  <c r="H268" i="5"/>
  <c r="G268" i="5"/>
  <c r="F268" i="5"/>
  <c r="V267" i="5"/>
  <c r="T267" i="5"/>
  <c r="R267" i="5"/>
  <c r="U267" i="5"/>
  <c r="S267" i="5"/>
  <c r="Q267" i="5"/>
  <c r="E267" i="5"/>
  <c r="D267" i="5"/>
  <c r="B267" i="5"/>
  <c r="A267" i="5"/>
  <c r="AA266" i="5"/>
  <c r="Z266" i="5"/>
  <c r="Y266" i="5"/>
  <c r="X266" i="5"/>
  <c r="O266" i="5"/>
  <c r="H266" i="5"/>
  <c r="P266" i="5"/>
  <c r="J266" i="5"/>
  <c r="I265" i="5"/>
  <c r="H265" i="5"/>
  <c r="G265" i="5"/>
  <c r="E265" i="5"/>
  <c r="K264" i="5"/>
  <c r="J264" i="5"/>
  <c r="I264" i="5"/>
  <c r="E264" i="5"/>
  <c r="K263" i="5"/>
  <c r="J263" i="5"/>
  <c r="I263" i="5"/>
  <c r="E263" i="5"/>
  <c r="K262" i="5"/>
  <c r="J262" i="5"/>
  <c r="H262" i="5"/>
  <c r="AA262" i="5"/>
  <c r="Z262" i="5"/>
  <c r="Y262" i="5"/>
  <c r="X262" i="5"/>
  <c r="I262" i="5"/>
  <c r="F262" i="5"/>
  <c r="V262" i="5"/>
  <c r="T262" i="5"/>
  <c r="R262" i="5"/>
  <c r="U262" i="5"/>
  <c r="S262" i="5"/>
  <c r="Q262" i="5"/>
  <c r="E262" i="5"/>
  <c r="D262" i="5"/>
  <c r="B262" i="5"/>
  <c r="A262" i="5"/>
  <c r="K261" i="5"/>
  <c r="J261" i="5"/>
  <c r="I261" i="5"/>
  <c r="H261" i="5"/>
  <c r="G261" i="5"/>
  <c r="F261" i="5"/>
  <c r="K260" i="5"/>
  <c r="J260" i="5"/>
  <c r="W260" i="5"/>
  <c r="I260" i="5"/>
  <c r="H260" i="5"/>
  <c r="G260" i="5"/>
  <c r="F260" i="5"/>
  <c r="V259" i="5"/>
  <c r="T259" i="5"/>
  <c r="R259" i="5"/>
  <c r="U259" i="5"/>
  <c r="S259" i="5"/>
  <c r="Q259" i="5"/>
  <c r="E259" i="5"/>
  <c r="D259" i="5"/>
  <c r="B259" i="5"/>
  <c r="A259" i="5"/>
  <c r="AA258" i="5"/>
  <c r="Z258" i="5"/>
  <c r="Y258" i="5"/>
  <c r="X258" i="5"/>
  <c r="O258" i="5"/>
  <c r="H258" i="5"/>
  <c r="P258" i="5"/>
  <c r="J258" i="5"/>
  <c r="I257" i="5"/>
  <c r="H257" i="5"/>
  <c r="G257" i="5"/>
  <c r="E257" i="5"/>
  <c r="K256" i="5"/>
  <c r="J256" i="5"/>
  <c r="I256" i="5"/>
  <c r="E256" i="5"/>
  <c r="K255" i="5"/>
  <c r="J255" i="5"/>
  <c r="I255" i="5"/>
  <c r="E255" i="5"/>
  <c r="K254" i="5"/>
  <c r="J254" i="5"/>
  <c r="H254" i="5"/>
  <c r="AA254" i="5"/>
  <c r="Z254" i="5"/>
  <c r="Y254" i="5"/>
  <c r="X254" i="5"/>
  <c r="I254" i="5"/>
  <c r="F254" i="5"/>
  <c r="V254" i="5"/>
  <c r="T254" i="5"/>
  <c r="R254" i="5"/>
  <c r="U254" i="5"/>
  <c r="S254" i="5"/>
  <c r="Q254" i="5"/>
  <c r="E254" i="5"/>
  <c r="D254" i="5"/>
  <c r="B254" i="5"/>
  <c r="A254" i="5"/>
  <c r="K253" i="5"/>
  <c r="J253" i="5"/>
  <c r="W253" i="5"/>
  <c r="I253" i="5"/>
  <c r="H253" i="5"/>
  <c r="G253" i="5"/>
  <c r="F253" i="5"/>
  <c r="V252" i="5"/>
  <c r="T252" i="5"/>
  <c r="R252" i="5"/>
  <c r="U252" i="5"/>
  <c r="S252" i="5"/>
  <c r="Q252" i="5"/>
  <c r="E252" i="5"/>
  <c r="D252" i="5"/>
  <c r="B252" i="5"/>
  <c r="A252" i="5"/>
  <c r="AA251" i="5"/>
  <c r="Z251" i="5"/>
  <c r="Y251" i="5"/>
  <c r="X251" i="5"/>
  <c r="O251" i="5"/>
  <c r="H251" i="5"/>
  <c r="P251" i="5"/>
  <c r="J251" i="5"/>
  <c r="I250" i="5"/>
  <c r="H250" i="5"/>
  <c r="G250" i="5"/>
  <c r="E250" i="5"/>
  <c r="K249" i="5"/>
  <c r="J249" i="5"/>
  <c r="I249" i="5"/>
  <c r="E249" i="5"/>
  <c r="K248" i="5"/>
  <c r="J248" i="5"/>
  <c r="I248" i="5"/>
  <c r="E248" i="5"/>
  <c r="K247" i="5"/>
  <c r="J247" i="5"/>
  <c r="I247" i="5"/>
  <c r="E247" i="5"/>
  <c r="K246" i="5"/>
  <c r="J246" i="5"/>
  <c r="H246" i="5"/>
  <c r="AA246" i="5"/>
  <c r="Z246" i="5"/>
  <c r="Y246" i="5"/>
  <c r="X246" i="5"/>
  <c r="I246" i="5"/>
  <c r="F246" i="5"/>
  <c r="V246" i="5"/>
  <c r="T246" i="5"/>
  <c r="R246" i="5"/>
  <c r="U246" i="5"/>
  <c r="S246" i="5"/>
  <c r="Q246" i="5"/>
  <c r="E246" i="5"/>
  <c r="D246" i="5"/>
  <c r="B246" i="5"/>
  <c r="A246" i="5"/>
  <c r="K245" i="5"/>
  <c r="J245" i="5"/>
  <c r="H245" i="5"/>
  <c r="AA245" i="5"/>
  <c r="Z245" i="5"/>
  <c r="Y245" i="5"/>
  <c r="X245" i="5"/>
  <c r="I245" i="5"/>
  <c r="F245" i="5"/>
  <c r="V245" i="5"/>
  <c r="T245" i="5"/>
  <c r="R245" i="5"/>
  <c r="U245" i="5"/>
  <c r="S245" i="5"/>
  <c r="Q245" i="5"/>
  <c r="E245" i="5"/>
  <c r="D245" i="5"/>
  <c r="B245" i="5"/>
  <c r="A245" i="5"/>
  <c r="K244" i="5"/>
  <c r="J244" i="5"/>
  <c r="I244" i="5"/>
  <c r="H244" i="5"/>
  <c r="G244" i="5"/>
  <c r="F244" i="5"/>
  <c r="K243" i="5"/>
  <c r="J243" i="5"/>
  <c r="W243" i="5"/>
  <c r="I243" i="5"/>
  <c r="H243" i="5"/>
  <c r="G243" i="5"/>
  <c r="F243" i="5"/>
  <c r="K242" i="5"/>
  <c r="J242" i="5"/>
  <c r="I242" i="5"/>
  <c r="H242" i="5"/>
  <c r="G242" i="5"/>
  <c r="F242" i="5"/>
  <c r="K241" i="5"/>
  <c r="J241" i="5"/>
  <c r="W241" i="5"/>
  <c r="I241" i="5"/>
  <c r="H241" i="5"/>
  <c r="G241" i="5"/>
  <c r="F241" i="5"/>
  <c r="V240" i="5"/>
  <c r="T240" i="5"/>
  <c r="R240" i="5"/>
  <c r="U240" i="5"/>
  <c r="S240" i="5"/>
  <c r="Q240" i="5"/>
  <c r="E240" i="5"/>
  <c r="D240" i="5"/>
  <c r="B240" i="5"/>
  <c r="A240" i="5"/>
  <c r="AA239" i="5"/>
  <c r="Z239" i="5"/>
  <c r="Y239" i="5"/>
  <c r="X239" i="5"/>
  <c r="O239" i="5"/>
  <c r="H239" i="5"/>
  <c r="P239" i="5"/>
  <c r="J239" i="5"/>
  <c r="I238" i="5"/>
  <c r="H238" i="5"/>
  <c r="G238" i="5"/>
  <c r="E238" i="5"/>
  <c r="K237" i="5"/>
  <c r="J237" i="5"/>
  <c r="I237" i="5"/>
  <c r="E237" i="5"/>
  <c r="K236" i="5"/>
  <c r="J236" i="5"/>
  <c r="I236" i="5"/>
  <c r="E236" i="5"/>
  <c r="K235" i="5"/>
  <c r="J235" i="5"/>
  <c r="I235" i="5"/>
  <c r="E235" i="5"/>
  <c r="K234" i="5"/>
  <c r="J234" i="5"/>
  <c r="H234" i="5"/>
  <c r="AA234" i="5"/>
  <c r="Z234" i="5"/>
  <c r="Y234" i="5"/>
  <c r="X234" i="5"/>
  <c r="I234" i="5"/>
  <c r="F234" i="5"/>
  <c r="V234" i="5"/>
  <c r="T234" i="5"/>
  <c r="R234" i="5"/>
  <c r="U234" i="5"/>
  <c r="S234" i="5"/>
  <c r="Q234" i="5"/>
  <c r="E234" i="5"/>
  <c r="D234" i="5"/>
  <c r="B234" i="5"/>
  <c r="A234" i="5"/>
  <c r="K233" i="5"/>
  <c r="J233" i="5"/>
  <c r="H233" i="5"/>
  <c r="AA233" i="5"/>
  <c r="Z233" i="5"/>
  <c r="Y233" i="5"/>
  <c r="X233" i="5"/>
  <c r="I233" i="5"/>
  <c r="F233" i="5"/>
  <c r="V233" i="5"/>
  <c r="T233" i="5"/>
  <c r="R233" i="5"/>
  <c r="U233" i="5"/>
  <c r="S233" i="5"/>
  <c r="Q233" i="5"/>
  <c r="E233" i="5"/>
  <c r="D233" i="5"/>
  <c r="B233" i="5"/>
  <c r="A233" i="5"/>
  <c r="K232" i="5"/>
  <c r="J232" i="5"/>
  <c r="H232" i="5"/>
  <c r="AA232" i="5"/>
  <c r="Z232" i="5"/>
  <c r="Y232" i="5"/>
  <c r="X232" i="5"/>
  <c r="I232" i="5"/>
  <c r="F232" i="5"/>
  <c r="V232" i="5"/>
  <c r="T232" i="5"/>
  <c r="R232" i="5"/>
  <c r="U232" i="5"/>
  <c r="S232" i="5"/>
  <c r="Q232" i="5"/>
  <c r="E232" i="5"/>
  <c r="D232" i="5"/>
  <c r="B232" i="5"/>
  <c r="A232" i="5"/>
  <c r="K231" i="5"/>
  <c r="J231" i="5"/>
  <c r="H231" i="5"/>
  <c r="AA231" i="5"/>
  <c r="Z231" i="5"/>
  <c r="Y231" i="5"/>
  <c r="X231" i="5"/>
  <c r="I231" i="5"/>
  <c r="F231" i="5"/>
  <c r="V231" i="5"/>
  <c r="T231" i="5"/>
  <c r="R231" i="5"/>
  <c r="U231" i="5"/>
  <c r="S231" i="5"/>
  <c r="Q231" i="5"/>
  <c r="E231" i="5"/>
  <c r="D231" i="5"/>
  <c r="B231" i="5"/>
  <c r="A231" i="5"/>
  <c r="K230" i="5"/>
  <c r="J230" i="5"/>
  <c r="H230" i="5"/>
  <c r="AA230" i="5"/>
  <c r="Z230" i="5"/>
  <c r="Y230" i="5"/>
  <c r="X230" i="5"/>
  <c r="I230" i="5"/>
  <c r="F230" i="5"/>
  <c r="V230" i="5"/>
  <c r="T230" i="5"/>
  <c r="R230" i="5"/>
  <c r="U230" i="5"/>
  <c r="S230" i="5"/>
  <c r="Q230" i="5"/>
  <c r="E230" i="5"/>
  <c r="D230" i="5"/>
  <c r="B230" i="5"/>
  <c r="A230" i="5"/>
  <c r="K229" i="5"/>
  <c r="J229" i="5"/>
  <c r="I229" i="5"/>
  <c r="H229" i="5"/>
  <c r="G229" i="5"/>
  <c r="F229" i="5"/>
  <c r="K228" i="5"/>
  <c r="J228" i="5"/>
  <c r="W228" i="5"/>
  <c r="I228" i="5"/>
  <c r="H228" i="5"/>
  <c r="G228" i="5"/>
  <c r="F228" i="5"/>
  <c r="K227" i="5"/>
  <c r="J227" i="5"/>
  <c r="I227" i="5"/>
  <c r="H227" i="5"/>
  <c r="G227" i="5"/>
  <c r="F227" i="5"/>
  <c r="K226" i="5"/>
  <c r="J226" i="5"/>
  <c r="W226" i="5"/>
  <c r="I226" i="5"/>
  <c r="H226" i="5"/>
  <c r="G226" i="5"/>
  <c r="F226" i="5"/>
  <c r="V225" i="5"/>
  <c r="T225" i="5"/>
  <c r="R225" i="5"/>
  <c r="U225" i="5"/>
  <c r="S225" i="5"/>
  <c r="Q225" i="5"/>
  <c r="E225" i="5"/>
  <c r="D225" i="5"/>
  <c r="A225" i="5"/>
  <c r="AA224" i="5"/>
  <c r="Z224" i="5"/>
  <c r="Y224" i="5"/>
  <c r="X224" i="5"/>
  <c r="O224" i="5"/>
  <c r="H224" i="5"/>
  <c r="P224" i="5"/>
  <c r="J224" i="5"/>
  <c r="K223" i="5"/>
  <c r="J223" i="5"/>
  <c r="I223" i="5"/>
  <c r="H223" i="5"/>
  <c r="G223" i="5"/>
  <c r="F223" i="5"/>
  <c r="V223" i="5"/>
  <c r="T223" i="5"/>
  <c r="R223" i="5"/>
  <c r="U223" i="5"/>
  <c r="S223" i="5"/>
  <c r="Q223" i="5"/>
  <c r="E223" i="5"/>
  <c r="D223" i="5"/>
  <c r="B223" i="5"/>
  <c r="A223" i="5"/>
  <c r="AA222" i="5"/>
  <c r="Z222" i="5"/>
  <c r="Y222" i="5"/>
  <c r="X222" i="5"/>
  <c r="O222" i="5"/>
  <c r="H222" i="5"/>
  <c r="P222" i="5"/>
  <c r="J222" i="5"/>
  <c r="I221" i="5"/>
  <c r="H221" i="5"/>
  <c r="G221" i="5"/>
  <c r="E221" i="5"/>
  <c r="K220" i="5"/>
  <c r="J220" i="5"/>
  <c r="I220" i="5"/>
  <c r="E220" i="5"/>
  <c r="K219" i="5"/>
  <c r="J219" i="5"/>
  <c r="I219" i="5"/>
  <c r="E219" i="5"/>
  <c r="K218" i="5"/>
  <c r="J218" i="5"/>
  <c r="I218" i="5"/>
  <c r="E218" i="5"/>
  <c r="K217" i="5"/>
  <c r="J217" i="5"/>
  <c r="H217" i="5"/>
  <c r="AA217" i="5"/>
  <c r="Z217" i="5"/>
  <c r="Y217" i="5"/>
  <c r="X217" i="5"/>
  <c r="I217" i="5"/>
  <c r="F217" i="5"/>
  <c r="V217" i="5"/>
  <c r="T217" i="5"/>
  <c r="R217" i="5"/>
  <c r="U217" i="5"/>
  <c r="S217" i="5"/>
  <c r="Q217" i="5"/>
  <c r="E217" i="5"/>
  <c r="D217" i="5"/>
  <c r="B217" i="5"/>
  <c r="A217" i="5"/>
  <c r="K216" i="5"/>
  <c r="J216" i="5"/>
  <c r="I216" i="5"/>
  <c r="H216" i="5"/>
  <c r="G216" i="5"/>
  <c r="F216" i="5"/>
  <c r="K215" i="5"/>
  <c r="J215" i="5"/>
  <c r="W215" i="5"/>
  <c r="I215" i="5"/>
  <c r="H215" i="5"/>
  <c r="G215" i="5"/>
  <c r="F215" i="5"/>
  <c r="K214" i="5"/>
  <c r="J214" i="5"/>
  <c r="I214" i="5"/>
  <c r="H214" i="5"/>
  <c r="G214" i="5"/>
  <c r="F214" i="5"/>
  <c r="K213" i="5"/>
  <c r="J213" i="5"/>
  <c r="W213" i="5"/>
  <c r="I213" i="5"/>
  <c r="H213" i="5"/>
  <c r="G213" i="5"/>
  <c r="F213" i="5"/>
  <c r="V212" i="5"/>
  <c r="T212" i="5"/>
  <c r="R212" i="5"/>
  <c r="U212" i="5"/>
  <c r="S212" i="5"/>
  <c r="Q212" i="5"/>
  <c r="E212" i="5"/>
  <c r="D212" i="5"/>
  <c r="B212" i="5"/>
  <c r="A212" i="5"/>
  <c r="A211" i="5"/>
  <c r="I209" i="5"/>
  <c r="J209" i="5"/>
  <c r="I208" i="5"/>
  <c r="J208" i="5"/>
  <c r="H207" i="5"/>
  <c r="J207" i="5"/>
  <c r="A207" i="5"/>
  <c r="AA205" i="5"/>
  <c r="Z205" i="5"/>
  <c r="Y205" i="5"/>
  <c r="X205" i="5"/>
  <c r="O205" i="5"/>
  <c r="H205" i="5"/>
  <c r="P205" i="5"/>
  <c r="J205" i="5"/>
  <c r="I204" i="5"/>
  <c r="H204" i="5"/>
  <c r="G204" i="5"/>
  <c r="E204" i="5"/>
  <c r="K203" i="5"/>
  <c r="J203" i="5"/>
  <c r="I203" i="5"/>
  <c r="E203" i="5"/>
  <c r="K202" i="5"/>
  <c r="J202" i="5"/>
  <c r="I202" i="5"/>
  <c r="E202" i="5"/>
  <c r="K201" i="5"/>
  <c r="J201" i="5"/>
  <c r="I201" i="5"/>
  <c r="E201" i="5"/>
  <c r="K200" i="5"/>
  <c r="J200" i="5"/>
  <c r="H200" i="5"/>
  <c r="AA200" i="5"/>
  <c r="Z200" i="5"/>
  <c r="Y200" i="5"/>
  <c r="X200" i="5"/>
  <c r="I200" i="5"/>
  <c r="F200" i="5"/>
  <c r="V200" i="5"/>
  <c r="T200" i="5"/>
  <c r="R200" i="5"/>
  <c r="U200" i="5"/>
  <c r="S200" i="5"/>
  <c r="Q200" i="5"/>
  <c r="E200" i="5"/>
  <c r="D200" i="5"/>
  <c r="B200" i="5"/>
  <c r="A200" i="5"/>
  <c r="K199" i="5"/>
  <c r="J199" i="5"/>
  <c r="H199" i="5"/>
  <c r="AA199" i="5"/>
  <c r="Z199" i="5"/>
  <c r="Y199" i="5"/>
  <c r="X199" i="5"/>
  <c r="I199" i="5"/>
  <c r="F199" i="5"/>
  <c r="V199" i="5"/>
  <c r="T199" i="5"/>
  <c r="R199" i="5"/>
  <c r="U199" i="5"/>
  <c r="S199" i="5"/>
  <c r="Q199" i="5"/>
  <c r="E199" i="5"/>
  <c r="D199" i="5"/>
  <c r="B199" i="5"/>
  <c r="A199" i="5"/>
  <c r="K198" i="5"/>
  <c r="J198" i="5"/>
  <c r="H198" i="5"/>
  <c r="AA198" i="5"/>
  <c r="Z198" i="5"/>
  <c r="Y198" i="5"/>
  <c r="X198" i="5"/>
  <c r="I198" i="5"/>
  <c r="F198" i="5"/>
  <c r="V198" i="5"/>
  <c r="T198" i="5"/>
  <c r="R198" i="5"/>
  <c r="U198" i="5"/>
  <c r="S198" i="5"/>
  <c r="Q198" i="5"/>
  <c r="E198" i="5"/>
  <c r="D198" i="5"/>
  <c r="B198" i="5"/>
  <c r="A198" i="5"/>
  <c r="K197" i="5"/>
  <c r="J197" i="5"/>
  <c r="I197" i="5"/>
  <c r="H197" i="5"/>
  <c r="G197" i="5"/>
  <c r="F197" i="5"/>
  <c r="K196" i="5"/>
  <c r="J196" i="5"/>
  <c r="W196" i="5"/>
  <c r="I196" i="5"/>
  <c r="H196" i="5"/>
  <c r="G196" i="5"/>
  <c r="F196" i="5"/>
  <c r="K195" i="5"/>
  <c r="J195" i="5"/>
  <c r="I195" i="5"/>
  <c r="H195" i="5"/>
  <c r="G195" i="5"/>
  <c r="F195" i="5"/>
  <c r="K194" i="5"/>
  <c r="J194" i="5"/>
  <c r="W194" i="5"/>
  <c r="I194" i="5"/>
  <c r="H194" i="5"/>
  <c r="G194" i="5"/>
  <c r="F194" i="5"/>
  <c r="V193" i="5"/>
  <c r="T193" i="5"/>
  <c r="R193" i="5"/>
  <c r="U193" i="5"/>
  <c r="S193" i="5"/>
  <c r="Q193" i="5"/>
  <c r="E193" i="5"/>
  <c r="D193" i="5"/>
  <c r="B193" i="5"/>
  <c r="A193" i="5"/>
  <c r="AA192" i="5"/>
  <c r="Z192" i="5"/>
  <c r="Y192" i="5"/>
  <c r="X192" i="5"/>
  <c r="O192" i="5"/>
  <c r="H192" i="5"/>
  <c r="P192" i="5"/>
  <c r="J192" i="5"/>
  <c r="I191" i="5"/>
  <c r="H191" i="5"/>
  <c r="G191" i="5"/>
  <c r="E191" i="5"/>
  <c r="K190" i="5"/>
  <c r="J190" i="5"/>
  <c r="I190" i="5"/>
  <c r="E190" i="5"/>
  <c r="K189" i="5"/>
  <c r="J189" i="5"/>
  <c r="I189" i="5"/>
  <c r="E189" i="5"/>
  <c r="K188" i="5"/>
  <c r="J188" i="5"/>
  <c r="I188" i="5"/>
  <c r="E188" i="5"/>
  <c r="K187" i="5"/>
  <c r="J187" i="5"/>
  <c r="H187" i="5"/>
  <c r="AA187" i="5"/>
  <c r="Z187" i="5"/>
  <c r="Y187" i="5"/>
  <c r="X187" i="5"/>
  <c r="I187" i="5"/>
  <c r="F187" i="5"/>
  <c r="V187" i="5"/>
  <c r="T187" i="5"/>
  <c r="R187" i="5"/>
  <c r="U187" i="5"/>
  <c r="S187" i="5"/>
  <c r="Q187" i="5"/>
  <c r="E187" i="5"/>
  <c r="D187" i="5"/>
  <c r="B187" i="5"/>
  <c r="A187" i="5"/>
  <c r="K186" i="5"/>
  <c r="J186" i="5"/>
  <c r="I186" i="5"/>
  <c r="H186" i="5"/>
  <c r="G186" i="5"/>
  <c r="F186" i="5"/>
  <c r="K185" i="5"/>
  <c r="J185" i="5"/>
  <c r="W185" i="5"/>
  <c r="I185" i="5"/>
  <c r="H185" i="5"/>
  <c r="G185" i="5"/>
  <c r="F185" i="5"/>
  <c r="K184" i="5"/>
  <c r="J184" i="5"/>
  <c r="I184" i="5"/>
  <c r="H184" i="5"/>
  <c r="G184" i="5"/>
  <c r="F184" i="5"/>
  <c r="K183" i="5"/>
  <c r="J183" i="5"/>
  <c r="W183" i="5"/>
  <c r="I183" i="5"/>
  <c r="H183" i="5"/>
  <c r="G183" i="5"/>
  <c r="F183" i="5"/>
  <c r="V182" i="5"/>
  <c r="T182" i="5"/>
  <c r="R182" i="5"/>
  <c r="U182" i="5"/>
  <c r="S182" i="5"/>
  <c r="Q182" i="5"/>
  <c r="E182" i="5"/>
  <c r="D182" i="5"/>
  <c r="B182" i="5"/>
  <c r="A182" i="5"/>
  <c r="AA181" i="5"/>
  <c r="Z181" i="5"/>
  <c r="Y181" i="5"/>
  <c r="X181" i="5"/>
  <c r="O181" i="5"/>
  <c r="H181" i="5"/>
  <c r="P181" i="5"/>
  <c r="J181" i="5"/>
  <c r="I180" i="5"/>
  <c r="H180" i="5"/>
  <c r="G180" i="5"/>
  <c r="E180" i="5"/>
  <c r="K179" i="5"/>
  <c r="J179" i="5"/>
  <c r="I179" i="5"/>
  <c r="E179" i="5"/>
  <c r="K178" i="5"/>
  <c r="J178" i="5"/>
  <c r="I178" i="5"/>
  <c r="E178" i="5"/>
  <c r="K177" i="5"/>
  <c r="J177" i="5"/>
  <c r="I177" i="5"/>
  <c r="E177" i="5"/>
  <c r="K176" i="5"/>
  <c r="J176" i="5"/>
  <c r="H176" i="5"/>
  <c r="AA176" i="5"/>
  <c r="Z176" i="5"/>
  <c r="Y176" i="5"/>
  <c r="X176" i="5"/>
  <c r="I176" i="5"/>
  <c r="F176" i="5"/>
  <c r="V176" i="5"/>
  <c r="T176" i="5"/>
  <c r="R176" i="5"/>
  <c r="U176" i="5"/>
  <c r="S176" i="5"/>
  <c r="Q176" i="5"/>
  <c r="E176" i="5"/>
  <c r="D176" i="5"/>
  <c r="B176" i="5"/>
  <c r="A176" i="5"/>
  <c r="K175" i="5"/>
  <c r="J175" i="5"/>
  <c r="I175" i="5"/>
  <c r="H175" i="5"/>
  <c r="G175" i="5"/>
  <c r="F175" i="5"/>
  <c r="K174" i="5"/>
  <c r="J174" i="5"/>
  <c r="W174" i="5"/>
  <c r="I174" i="5"/>
  <c r="H174" i="5"/>
  <c r="G174" i="5"/>
  <c r="F174" i="5"/>
  <c r="K173" i="5"/>
  <c r="J173" i="5"/>
  <c r="I173" i="5"/>
  <c r="H173" i="5"/>
  <c r="G173" i="5"/>
  <c r="F173" i="5"/>
  <c r="K172" i="5"/>
  <c r="J172" i="5"/>
  <c r="W172" i="5"/>
  <c r="I172" i="5"/>
  <c r="H172" i="5"/>
  <c r="G172" i="5"/>
  <c r="F172" i="5"/>
  <c r="V171" i="5"/>
  <c r="T171" i="5"/>
  <c r="R171" i="5"/>
  <c r="U171" i="5"/>
  <c r="S171" i="5"/>
  <c r="Q171" i="5"/>
  <c r="E171" i="5"/>
  <c r="D171" i="5"/>
  <c r="B171" i="5"/>
  <c r="A171" i="5"/>
  <c r="AA170" i="5"/>
  <c r="Z170" i="5"/>
  <c r="Y170" i="5"/>
  <c r="X170" i="5"/>
  <c r="O170" i="5"/>
  <c r="H170" i="5"/>
  <c r="P170" i="5"/>
  <c r="J170" i="5"/>
  <c r="I169" i="5"/>
  <c r="H169" i="5"/>
  <c r="G169" i="5"/>
  <c r="E169" i="5"/>
  <c r="K168" i="5"/>
  <c r="J168" i="5"/>
  <c r="I168" i="5"/>
  <c r="E168" i="5"/>
  <c r="K167" i="5"/>
  <c r="J167" i="5"/>
  <c r="I167" i="5"/>
  <c r="E167" i="5"/>
  <c r="K166" i="5"/>
  <c r="J166" i="5"/>
  <c r="I166" i="5"/>
  <c r="E166" i="5"/>
  <c r="K165" i="5"/>
  <c r="J165" i="5"/>
  <c r="H165" i="5"/>
  <c r="AA165" i="5"/>
  <c r="Z165" i="5"/>
  <c r="Y165" i="5"/>
  <c r="X165" i="5"/>
  <c r="I165" i="5"/>
  <c r="F165" i="5"/>
  <c r="V165" i="5"/>
  <c r="T165" i="5"/>
  <c r="R165" i="5"/>
  <c r="U165" i="5"/>
  <c r="S165" i="5"/>
  <c r="Q165" i="5"/>
  <c r="E165" i="5"/>
  <c r="D165" i="5"/>
  <c r="B165" i="5"/>
  <c r="A165" i="5"/>
  <c r="K164" i="5"/>
  <c r="J164" i="5"/>
  <c r="W164" i="5"/>
  <c r="I164" i="5"/>
  <c r="H164" i="5"/>
  <c r="G164" i="5"/>
  <c r="F164" i="5"/>
  <c r="K163" i="5"/>
  <c r="J163" i="5"/>
  <c r="I163" i="5"/>
  <c r="H163" i="5"/>
  <c r="G163" i="5"/>
  <c r="F163" i="5"/>
  <c r="K162" i="5"/>
  <c r="J162" i="5"/>
  <c r="W162" i="5"/>
  <c r="I162" i="5"/>
  <c r="H162" i="5"/>
  <c r="G162" i="5"/>
  <c r="F162" i="5"/>
  <c r="V161" i="5"/>
  <c r="T161" i="5"/>
  <c r="R161" i="5"/>
  <c r="U161" i="5"/>
  <c r="S161" i="5"/>
  <c r="Q161" i="5"/>
  <c r="E161" i="5"/>
  <c r="D161" i="5"/>
  <c r="B161" i="5"/>
  <c r="A161" i="5"/>
  <c r="AA160" i="5"/>
  <c r="Z160" i="5"/>
  <c r="Y160" i="5"/>
  <c r="X160" i="5"/>
  <c r="O160" i="5"/>
  <c r="H160" i="5"/>
  <c r="P160" i="5"/>
  <c r="J160" i="5"/>
  <c r="I159" i="5"/>
  <c r="H159" i="5"/>
  <c r="G159" i="5"/>
  <c r="E159" i="5"/>
  <c r="K158" i="5"/>
  <c r="J158" i="5"/>
  <c r="I158" i="5"/>
  <c r="E158" i="5"/>
  <c r="K157" i="5"/>
  <c r="J157" i="5"/>
  <c r="I157" i="5"/>
  <c r="E157" i="5"/>
  <c r="K156" i="5"/>
  <c r="J156" i="5"/>
  <c r="I156" i="5"/>
  <c r="E156" i="5"/>
  <c r="K155" i="5"/>
  <c r="J155" i="5"/>
  <c r="W155" i="5"/>
  <c r="I155" i="5"/>
  <c r="H155" i="5"/>
  <c r="G155" i="5"/>
  <c r="F155" i="5"/>
  <c r="K154" i="5"/>
  <c r="J154" i="5"/>
  <c r="I154" i="5"/>
  <c r="H154" i="5"/>
  <c r="G154" i="5"/>
  <c r="F154" i="5"/>
  <c r="K153" i="5"/>
  <c r="J153" i="5"/>
  <c r="W153" i="5"/>
  <c r="I153" i="5"/>
  <c r="H153" i="5"/>
  <c r="G153" i="5"/>
  <c r="F153" i="5"/>
  <c r="V152" i="5"/>
  <c r="T152" i="5"/>
  <c r="R152" i="5"/>
  <c r="U152" i="5"/>
  <c r="S152" i="5"/>
  <c r="Q152" i="5"/>
  <c r="E152" i="5"/>
  <c r="D152" i="5"/>
  <c r="B152" i="5"/>
  <c r="A152" i="5"/>
  <c r="A151" i="5"/>
  <c r="I149" i="5"/>
  <c r="J149" i="5"/>
  <c r="I148" i="5"/>
  <c r="J148" i="5"/>
  <c r="H147" i="5"/>
  <c r="J147" i="5"/>
  <c r="A147" i="5"/>
  <c r="AA145" i="5"/>
  <c r="Z145" i="5"/>
  <c r="Y145" i="5"/>
  <c r="X145" i="5"/>
  <c r="O145" i="5"/>
  <c r="H145" i="5"/>
  <c r="P145" i="5"/>
  <c r="J145" i="5"/>
  <c r="I144" i="5"/>
  <c r="H144" i="5"/>
  <c r="G144" i="5"/>
  <c r="E144" i="5"/>
  <c r="K143" i="5"/>
  <c r="J143" i="5"/>
  <c r="I143" i="5"/>
  <c r="E143" i="5"/>
  <c r="K142" i="5"/>
  <c r="J142" i="5"/>
  <c r="I142" i="5"/>
  <c r="E142" i="5"/>
  <c r="K141" i="5"/>
  <c r="J141" i="5"/>
  <c r="I141" i="5"/>
  <c r="E141" i="5"/>
  <c r="K140" i="5"/>
  <c r="J140" i="5"/>
  <c r="H140" i="5"/>
  <c r="AA140" i="5"/>
  <c r="Z140" i="5"/>
  <c r="Y140" i="5"/>
  <c r="X140" i="5"/>
  <c r="I140" i="5"/>
  <c r="F140" i="5"/>
  <c r="V140" i="5"/>
  <c r="T140" i="5"/>
  <c r="R140" i="5"/>
  <c r="U140" i="5"/>
  <c r="S140" i="5"/>
  <c r="Q140" i="5"/>
  <c r="E140" i="5"/>
  <c r="D140" i="5"/>
  <c r="B140" i="5"/>
  <c r="A140" i="5"/>
  <c r="K139" i="5"/>
  <c r="J139" i="5"/>
  <c r="I139" i="5"/>
  <c r="H139" i="5"/>
  <c r="G139" i="5"/>
  <c r="F139" i="5"/>
  <c r="K138" i="5"/>
  <c r="J138" i="5"/>
  <c r="W138" i="5"/>
  <c r="I138" i="5"/>
  <c r="H138" i="5"/>
  <c r="G138" i="5"/>
  <c r="F138" i="5"/>
  <c r="K137" i="5"/>
  <c r="J137" i="5"/>
  <c r="I137" i="5"/>
  <c r="H137" i="5"/>
  <c r="G137" i="5"/>
  <c r="F137" i="5"/>
  <c r="K136" i="5"/>
  <c r="J136" i="5"/>
  <c r="W136" i="5"/>
  <c r="I136" i="5"/>
  <c r="H136" i="5"/>
  <c r="G136" i="5"/>
  <c r="F136" i="5"/>
  <c r="V135" i="5"/>
  <c r="T135" i="5"/>
  <c r="R135" i="5"/>
  <c r="U135" i="5"/>
  <c r="S135" i="5"/>
  <c r="Q135" i="5"/>
  <c r="E135" i="5"/>
  <c r="D135" i="5"/>
  <c r="B135" i="5"/>
  <c r="A135" i="5"/>
  <c r="AA134" i="5"/>
  <c r="Z134" i="5"/>
  <c r="Y134" i="5"/>
  <c r="X134" i="5"/>
  <c r="O134" i="5"/>
  <c r="H134" i="5"/>
  <c r="P134" i="5"/>
  <c r="J134" i="5"/>
  <c r="I133" i="5"/>
  <c r="H133" i="5"/>
  <c r="G133" i="5"/>
  <c r="E133" i="5"/>
  <c r="K132" i="5"/>
  <c r="J132" i="5"/>
  <c r="I132" i="5"/>
  <c r="E132" i="5"/>
  <c r="K131" i="5"/>
  <c r="J131" i="5"/>
  <c r="I131" i="5"/>
  <c r="E131" i="5"/>
  <c r="K130" i="5"/>
  <c r="J130" i="5"/>
  <c r="I130" i="5"/>
  <c r="E130" i="5"/>
  <c r="K129" i="5"/>
  <c r="J129" i="5"/>
  <c r="H129" i="5"/>
  <c r="AA129" i="5"/>
  <c r="Z129" i="5"/>
  <c r="Y129" i="5"/>
  <c r="X129" i="5"/>
  <c r="I129" i="5"/>
  <c r="F129" i="5"/>
  <c r="V129" i="5"/>
  <c r="T129" i="5"/>
  <c r="R129" i="5"/>
  <c r="U129" i="5"/>
  <c r="S129" i="5"/>
  <c r="Q129" i="5"/>
  <c r="E129" i="5"/>
  <c r="D129" i="5"/>
  <c r="B129" i="5"/>
  <c r="A129" i="5"/>
  <c r="K128" i="5"/>
  <c r="J128" i="5"/>
  <c r="H128" i="5"/>
  <c r="AA128" i="5"/>
  <c r="Z128" i="5"/>
  <c r="Y128" i="5"/>
  <c r="X128" i="5"/>
  <c r="I128" i="5"/>
  <c r="F128" i="5"/>
  <c r="V128" i="5"/>
  <c r="T128" i="5"/>
  <c r="R128" i="5"/>
  <c r="U128" i="5"/>
  <c r="S128" i="5"/>
  <c r="Q128" i="5"/>
  <c r="E128" i="5"/>
  <c r="D128" i="5"/>
  <c r="B128" i="5"/>
  <c r="A128" i="5"/>
  <c r="K127" i="5"/>
  <c r="J127" i="5"/>
  <c r="I127" i="5"/>
  <c r="H127" i="5"/>
  <c r="G127" i="5"/>
  <c r="F127" i="5"/>
  <c r="K126" i="5"/>
  <c r="J126" i="5"/>
  <c r="W126" i="5"/>
  <c r="I126" i="5"/>
  <c r="H126" i="5"/>
  <c r="G126" i="5"/>
  <c r="F126" i="5"/>
  <c r="K125" i="5"/>
  <c r="J125" i="5"/>
  <c r="I125" i="5"/>
  <c r="H125" i="5"/>
  <c r="G125" i="5"/>
  <c r="F125" i="5"/>
  <c r="K124" i="5"/>
  <c r="J124" i="5"/>
  <c r="W124" i="5"/>
  <c r="I124" i="5"/>
  <c r="H124" i="5"/>
  <c r="G124" i="5"/>
  <c r="F124" i="5"/>
  <c r="V123" i="5"/>
  <c r="T123" i="5"/>
  <c r="R123" i="5"/>
  <c r="U123" i="5"/>
  <c r="S123" i="5"/>
  <c r="Q123" i="5"/>
  <c r="E123" i="5"/>
  <c r="D123" i="5"/>
  <c r="B123" i="5"/>
  <c r="A123" i="5"/>
  <c r="AA122" i="5"/>
  <c r="Z122" i="5"/>
  <c r="Y122" i="5"/>
  <c r="X122" i="5"/>
  <c r="O122" i="5"/>
  <c r="H122" i="5"/>
  <c r="P122" i="5"/>
  <c r="J122" i="5"/>
  <c r="I121" i="5"/>
  <c r="H121" i="5"/>
  <c r="G121" i="5"/>
  <c r="E121" i="5"/>
  <c r="K120" i="5"/>
  <c r="J120" i="5"/>
  <c r="I120" i="5"/>
  <c r="E120" i="5"/>
  <c r="K119" i="5"/>
  <c r="J119" i="5"/>
  <c r="I119" i="5"/>
  <c r="E119" i="5"/>
  <c r="K118" i="5"/>
  <c r="J118" i="5"/>
  <c r="I118" i="5"/>
  <c r="E118" i="5"/>
  <c r="K117" i="5"/>
  <c r="J117" i="5"/>
  <c r="W117" i="5"/>
  <c r="I117" i="5"/>
  <c r="H117" i="5"/>
  <c r="G117" i="5"/>
  <c r="F117" i="5"/>
  <c r="K116" i="5"/>
  <c r="J116" i="5"/>
  <c r="I116" i="5"/>
  <c r="H116" i="5"/>
  <c r="G116" i="5"/>
  <c r="F116" i="5"/>
  <c r="K115" i="5"/>
  <c r="J115" i="5"/>
  <c r="W115" i="5"/>
  <c r="I115" i="5"/>
  <c r="H115" i="5"/>
  <c r="G115" i="5"/>
  <c r="F115" i="5"/>
  <c r="V114" i="5"/>
  <c r="T114" i="5"/>
  <c r="R114" i="5"/>
  <c r="U114" i="5"/>
  <c r="S114" i="5"/>
  <c r="Q114" i="5"/>
  <c r="E114" i="5"/>
  <c r="D114" i="5"/>
  <c r="B114" i="5"/>
  <c r="A114" i="5"/>
  <c r="AA113" i="5"/>
  <c r="Z113" i="5"/>
  <c r="Y113" i="5"/>
  <c r="X113" i="5"/>
  <c r="O113" i="5"/>
  <c r="H113" i="5"/>
  <c r="P113" i="5"/>
  <c r="J113" i="5"/>
  <c r="I112" i="5"/>
  <c r="H112" i="5"/>
  <c r="G112" i="5"/>
  <c r="E112" i="5"/>
  <c r="K111" i="5"/>
  <c r="J111" i="5"/>
  <c r="I111" i="5"/>
  <c r="E111" i="5"/>
  <c r="K110" i="5"/>
  <c r="J110" i="5"/>
  <c r="I110" i="5"/>
  <c r="E110" i="5"/>
  <c r="K109" i="5"/>
  <c r="J109" i="5"/>
  <c r="W109" i="5"/>
  <c r="I109" i="5"/>
  <c r="H109" i="5"/>
  <c r="G109" i="5"/>
  <c r="F109" i="5"/>
  <c r="V108" i="5"/>
  <c r="T108" i="5"/>
  <c r="R108" i="5"/>
  <c r="U108" i="5"/>
  <c r="S108" i="5"/>
  <c r="Q108" i="5"/>
  <c r="E108" i="5"/>
  <c r="D108" i="5"/>
  <c r="B108" i="5"/>
  <c r="A108" i="5"/>
  <c r="AA107" i="5"/>
  <c r="Z107" i="5"/>
  <c r="Y107" i="5"/>
  <c r="X107" i="5"/>
  <c r="O107" i="5"/>
  <c r="H107" i="5"/>
  <c r="P107" i="5"/>
  <c r="J107" i="5"/>
  <c r="K106" i="5"/>
  <c r="J106" i="5"/>
  <c r="I106" i="5"/>
  <c r="E106" i="5"/>
  <c r="K105" i="5"/>
  <c r="J105" i="5"/>
  <c r="W105" i="5"/>
  <c r="I105" i="5"/>
  <c r="H105" i="5"/>
  <c r="G105" i="5"/>
  <c r="F105" i="5"/>
  <c r="K104" i="5"/>
  <c r="J104" i="5"/>
  <c r="I104" i="5"/>
  <c r="H104" i="5"/>
  <c r="G104" i="5"/>
  <c r="F104" i="5"/>
  <c r="V103" i="5"/>
  <c r="T103" i="5"/>
  <c r="R103" i="5"/>
  <c r="U103" i="5"/>
  <c r="S103" i="5"/>
  <c r="Q103" i="5"/>
  <c r="E103" i="5"/>
  <c r="D103" i="5"/>
  <c r="B103" i="5"/>
  <c r="A103" i="5"/>
  <c r="AA102" i="5"/>
  <c r="Z102" i="5"/>
  <c r="Y102" i="5"/>
  <c r="X102" i="5"/>
  <c r="O102" i="5"/>
  <c r="H102" i="5"/>
  <c r="P102" i="5"/>
  <c r="J102" i="5"/>
  <c r="I101" i="5"/>
  <c r="H101" i="5"/>
  <c r="G101" i="5"/>
  <c r="E101" i="5"/>
  <c r="K100" i="5"/>
  <c r="J100" i="5"/>
  <c r="I100" i="5"/>
  <c r="E100" i="5"/>
  <c r="K99" i="5"/>
  <c r="J99" i="5"/>
  <c r="I99" i="5"/>
  <c r="E99" i="5"/>
  <c r="K98" i="5"/>
  <c r="J98" i="5"/>
  <c r="I98" i="5"/>
  <c r="E98" i="5"/>
  <c r="K97" i="5"/>
  <c r="J97" i="5"/>
  <c r="H97" i="5"/>
  <c r="AA97" i="5"/>
  <c r="Z97" i="5"/>
  <c r="Y97" i="5"/>
  <c r="X97" i="5"/>
  <c r="I97" i="5"/>
  <c r="F97" i="5"/>
  <c r="V97" i="5"/>
  <c r="T97" i="5"/>
  <c r="R97" i="5"/>
  <c r="U97" i="5"/>
  <c r="S97" i="5"/>
  <c r="Q97" i="5"/>
  <c r="E97" i="5"/>
  <c r="D97" i="5"/>
  <c r="B97" i="5"/>
  <c r="A97" i="5"/>
  <c r="K96" i="5"/>
  <c r="J96" i="5"/>
  <c r="I96" i="5"/>
  <c r="H96" i="5"/>
  <c r="G96" i="5"/>
  <c r="F96" i="5"/>
  <c r="K95" i="5"/>
  <c r="J95" i="5"/>
  <c r="W95" i="5"/>
  <c r="I95" i="5"/>
  <c r="H95" i="5"/>
  <c r="G95" i="5"/>
  <c r="F95" i="5"/>
  <c r="K94" i="5"/>
  <c r="J94" i="5"/>
  <c r="I94" i="5"/>
  <c r="H94" i="5"/>
  <c r="G94" i="5"/>
  <c r="F94" i="5"/>
  <c r="K93" i="5"/>
  <c r="J93" i="5"/>
  <c r="W93" i="5"/>
  <c r="I93" i="5"/>
  <c r="H93" i="5"/>
  <c r="G93" i="5"/>
  <c r="F93" i="5"/>
  <c r="V92" i="5"/>
  <c r="T92" i="5"/>
  <c r="R92" i="5"/>
  <c r="U92" i="5"/>
  <c r="S92" i="5"/>
  <c r="Q92" i="5"/>
  <c r="E92" i="5"/>
  <c r="D92" i="5"/>
  <c r="B92" i="5"/>
  <c r="A92" i="5"/>
  <c r="AA91" i="5"/>
  <c r="Z91" i="5"/>
  <c r="Y91" i="5"/>
  <c r="X91" i="5"/>
  <c r="O91" i="5"/>
  <c r="H91" i="5"/>
  <c r="P91" i="5"/>
  <c r="J91" i="5"/>
  <c r="I90" i="5"/>
  <c r="H90" i="5"/>
  <c r="G90" i="5"/>
  <c r="E90" i="5"/>
  <c r="K89" i="5"/>
  <c r="J89" i="5"/>
  <c r="I89" i="5"/>
  <c r="E89" i="5"/>
  <c r="K88" i="5"/>
  <c r="J88" i="5"/>
  <c r="I88" i="5"/>
  <c r="E88" i="5"/>
  <c r="K87" i="5"/>
  <c r="J87" i="5"/>
  <c r="I87" i="5"/>
  <c r="E87" i="5"/>
  <c r="K86" i="5"/>
  <c r="J86" i="5"/>
  <c r="H86" i="5"/>
  <c r="AA86" i="5"/>
  <c r="Z86" i="5"/>
  <c r="Y86" i="5"/>
  <c r="X86" i="5"/>
  <c r="I86" i="5"/>
  <c r="F86" i="5"/>
  <c r="V86" i="5"/>
  <c r="T86" i="5"/>
  <c r="R86" i="5"/>
  <c r="U86" i="5"/>
  <c r="S86" i="5"/>
  <c r="Q86" i="5"/>
  <c r="E86" i="5"/>
  <c r="D86" i="5"/>
  <c r="B86" i="5"/>
  <c r="A86" i="5"/>
  <c r="K85" i="5"/>
  <c r="J85" i="5"/>
  <c r="I85" i="5"/>
  <c r="H85" i="5"/>
  <c r="G85" i="5"/>
  <c r="F85" i="5"/>
  <c r="K84" i="5"/>
  <c r="J84" i="5"/>
  <c r="W84" i="5"/>
  <c r="I84" i="5"/>
  <c r="H84" i="5"/>
  <c r="G84" i="5"/>
  <c r="F84" i="5"/>
  <c r="K83" i="5"/>
  <c r="J83" i="5"/>
  <c r="I83" i="5"/>
  <c r="H83" i="5"/>
  <c r="G83" i="5"/>
  <c r="F83" i="5"/>
  <c r="K82" i="5"/>
  <c r="J82" i="5"/>
  <c r="W82" i="5"/>
  <c r="I82" i="5"/>
  <c r="H82" i="5"/>
  <c r="G82" i="5"/>
  <c r="F82" i="5"/>
  <c r="V81" i="5"/>
  <c r="T81" i="5"/>
  <c r="R81" i="5"/>
  <c r="U81" i="5"/>
  <c r="S81" i="5"/>
  <c r="Q81" i="5"/>
  <c r="E81" i="5"/>
  <c r="D81" i="5"/>
  <c r="B81" i="5"/>
  <c r="A81" i="5"/>
  <c r="AA80" i="5"/>
  <c r="Z80" i="5"/>
  <c r="Y80" i="5"/>
  <c r="X80" i="5"/>
  <c r="O80" i="5"/>
  <c r="H80" i="5"/>
  <c r="P80" i="5"/>
  <c r="J80" i="5"/>
  <c r="I79" i="5"/>
  <c r="H79" i="5"/>
  <c r="G79" i="5"/>
  <c r="E79" i="5"/>
  <c r="K78" i="5"/>
  <c r="J78" i="5"/>
  <c r="I78" i="5"/>
  <c r="E78" i="5"/>
  <c r="K77" i="5"/>
  <c r="J77" i="5"/>
  <c r="I77" i="5"/>
  <c r="E77" i="5"/>
  <c r="K76" i="5"/>
  <c r="J76" i="5"/>
  <c r="I76" i="5"/>
  <c r="E76" i="5"/>
  <c r="K75" i="5"/>
  <c r="J75" i="5"/>
  <c r="H75" i="5"/>
  <c r="AA75" i="5"/>
  <c r="Z75" i="5"/>
  <c r="Y75" i="5"/>
  <c r="X75" i="5"/>
  <c r="I75" i="5"/>
  <c r="F75" i="5"/>
  <c r="V75" i="5"/>
  <c r="T75" i="5"/>
  <c r="R75" i="5"/>
  <c r="U75" i="5"/>
  <c r="S75" i="5"/>
  <c r="Q75" i="5"/>
  <c r="E75" i="5"/>
  <c r="D75" i="5"/>
  <c r="B75" i="5"/>
  <c r="A75" i="5"/>
  <c r="K74" i="5"/>
  <c r="J74" i="5"/>
  <c r="H74" i="5"/>
  <c r="AA74" i="5"/>
  <c r="Z74" i="5"/>
  <c r="Y74" i="5"/>
  <c r="X74" i="5"/>
  <c r="I74" i="5"/>
  <c r="F74" i="5"/>
  <c r="V74" i="5"/>
  <c r="T74" i="5"/>
  <c r="R74" i="5"/>
  <c r="U74" i="5"/>
  <c r="S74" i="5"/>
  <c r="Q74" i="5"/>
  <c r="E74" i="5"/>
  <c r="D74" i="5"/>
  <c r="B74" i="5"/>
  <c r="A74" i="5"/>
  <c r="K73" i="5"/>
  <c r="J73" i="5"/>
  <c r="H73" i="5"/>
  <c r="AA73" i="5"/>
  <c r="Z73" i="5"/>
  <c r="Y73" i="5"/>
  <c r="X73" i="5"/>
  <c r="I73" i="5"/>
  <c r="F73" i="5"/>
  <c r="V73" i="5"/>
  <c r="T73" i="5"/>
  <c r="R73" i="5"/>
  <c r="U73" i="5"/>
  <c r="S73" i="5"/>
  <c r="Q73" i="5"/>
  <c r="E73" i="5"/>
  <c r="D73" i="5"/>
  <c r="B73" i="5"/>
  <c r="A73" i="5"/>
  <c r="K72" i="5"/>
  <c r="J72" i="5"/>
  <c r="I72" i="5"/>
  <c r="H72" i="5"/>
  <c r="G72" i="5"/>
  <c r="F72" i="5"/>
  <c r="K71" i="5"/>
  <c r="J71" i="5"/>
  <c r="W71" i="5"/>
  <c r="I71" i="5"/>
  <c r="H71" i="5"/>
  <c r="G71" i="5"/>
  <c r="F71" i="5"/>
  <c r="K70" i="5"/>
  <c r="J70" i="5"/>
  <c r="I70" i="5"/>
  <c r="H70" i="5"/>
  <c r="G70" i="5"/>
  <c r="F70" i="5"/>
  <c r="K69" i="5"/>
  <c r="J69" i="5"/>
  <c r="W69" i="5"/>
  <c r="I69" i="5"/>
  <c r="H69" i="5"/>
  <c r="G69" i="5"/>
  <c r="F69" i="5"/>
  <c r="V68" i="5"/>
  <c r="T68" i="5"/>
  <c r="R68" i="5"/>
  <c r="U68" i="5"/>
  <c r="S68" i="5"/>
  <c r="Q68" i="5"/>
  <c r="E68" i="5"/>
  <c r="D68" i="5"/>
  <c r="B68" i="5"/>
  <c r="A68" i="5"/>
  <c r="AA67" i="5"/>
  <c r="Z67" i="5"/>
  <c r="Y67" i="5"/>
  <c r="X67" i="5"/>
  <c r="O67" i="5"/>
  <c r="H67" i="5"/>
  <c r="P67" i="5"/>
  <c r="J67" i="5"/>
  <c r="I66" i="5"/>
  <c r="H66" i="5"/>
  <c r="G66" i="5"/>
  <c r="E66" i="5"/>
  <c r="K65" i="5"/>
  <c r="J65" i="5"/>
  <c r="I65" i="5"/>
  <c r="E65" i="5"/>
  <c r="K64" i="5"/>
  <c r="J64" i="5"/>
  <c r="I64" i="5"/>
  <c r="E64" i="5"/>
  <c r="K63" i="5"/>
  <c r="J63" i="5"/>
  <c r="I63" i="5"/>
  <c r="E63" i="5"/>
  <c r="K62" i="5"/>
  <c r="J62" i="5"/>
  <c r="H62" i="5"/>
  <c r="AA62" i="5"/>
  <c r="Z62" i="5"/>
  <c r="Y62" i="5"/>
  <c r="X62" i="5"/>
  <c r="I62" i="5"/>
  <c r="F62" i="5"/>
  <c r="V62" i="5"/>
  <c r="T62" i="5"/>
  <c r="R62" i="5"/>
  <c r="U62" i="5"/>
  <c r="S62" i="5"/>
  <c r="Q62" i="5"/>
  <c r="E62" i="5"/>
  <c r="D62" i="5"/>
  <c r="B62" i="5"/>
  <c r="A62" i="5"/>
  <c r="K61" i="5"/>
  <c r="J61" i="5"/>
  <c r="I61" i="5"/>
  <c r="H61" i="5"/>
  <c r="G61" i="5"/>
  <c r="F61" i="5"/>
  <c r="K60" i="5"/>
  <c r="J60" i="5"/>
  <c r="W60" i="5"/>
  <c r="I60" i="5"/>
  <c r="H60" i="5"/>
  <c r="G60" i="5"/>
  <c r="F60" i="5"/>
  <c r="K59" i="5"/>
  <c r="J59" i="5"/>
  <c r="I59" i="5"/>
  <c r="H59" i="5"/>
  <c r="G59" i="5"/>
  <c r="F59" i="5"/>
  <c r="K58" i="5"/>
  <c r="J58" i="5"/>
  <c r="W58" i="5"/>
  <c r="I58" i="5"/>
  <c r="H58" i="5"/>
  <c r="G58" i="5"/>
  <c r="F58" i="5"/>
  <c r="V57" i="5"/>
  <c r="T57" i="5"/>
  <c r="R57" i="5"/>
  <c r="U57" i="5"/>
  <c r="S57" i="5"/>
  <c r="Q57" i="5"/>
  <c r="E57" i="5"/>
  <c r="D57" i="5"/>
  <c r="B57" i="5"/>
  <c r="A57" i="5"/>
  <c r="AA56" i="5"/>
  <c r="Z56" i="5"/>
  <c r="Y56" i="5"/>
  <c r="X56" i="5"/>
  <c r="O56" i="5"/>
  <c r="H56" i="5"/>
  <c r="P56" i="5"/>
  <c r="J56" i="5"/>
  <c r="K55" i="5"/>
  <c r="J55" i="5"/>
  <c r="I55" i="5"/>
  <c r="H55" i="5"/>
  <c r="G55" i="5"/>
  <c r="F55" i="5"/>
  <c r="V54" i="5"/>
  <c r="T54" i="5"/>
  <c r="R54" i="5"/>
  <c r="U54" i="5"/>
  <c r="S54" i="5"/>
  <c r="Q54" i="5"/>
  <c r="E54" i="5"/>
  <c r="D54" i="5"/>
  <c r="B54" i="5"/>
  <c r="A54" i="5"/>
  <c r="AA53" i="5"/>
  <c r="Z53" i="5"/>
  <c r="Y53" i="5"/>
  <c r="X53" i="5"/>
  <c r="O53" i="5"/>
  <c r="H53" i="5"/>
  <c r="P53" i="5"/>
  <c r="J53" i="5"/>
  <c r="I52" i="5"/>
  <c r="H52" i="5"/>
  <c r="G52" i="5"/>
  <c r="E52" i="5"/>
  <c r="K51" i="5"/>
  <c r="J51" i="5"/>
  <c r="I51" i="5"/>
  <c r="E51" i="5"/>
  <c r="K50" i="5"/>
  <c r="J50" i="5"/>
  <c r="I50" i="5"/>
  <c r="E50" i="5"/>
  <c r="K49" i="5"/>
  <c r="J49" i="5"/>
  <c r="I49" i="5"/>
  <c r="E49" i="5"/>
  <c r="K48" i="5"/>
  <c r="J48" i="5"/>
  <c r="W48" i="5"/>
  <c r="I48" i="5"/>
  <c r="H48" i="5"/>
  <c r="G48" i="5"/>
  <c r="F48" i="5"/>
  <c r="K47" i="5"/>
  <c r="J47" i="5"/>
  <c r="I47" i="5"/>
  <c r="H47" i="5"/>
  <c r="G47" i="5"/>
  <c r="F47" i="5"/>
  <c r="K46" i="5"/>
  <c r="J46" i="5"/>
  <c r="W46" i="5"/>
  <c r="I46" i="5"/>
  <c r="H46" i="5"/>
  <c r="G46" i="5"/>
  <c r="F46" i="5"/>
  <c r="V45" i="5"/>
  <c r="T45" i="5"/>
  <c r="R45" i="5"/>
  <c r="U45" i="5"/>
  <c r="S45" i="5"/>
  <c r="Q45" i="5"/>
  <c r="E45" i="5"/>
  <c r="D45" i="5"/>
  <c r="B45" i="5"/>
  <c r="A45" i="5"/>
  <c r="AA44" i="5"/>
  <c r="Z44" i="5"/>
  <c r="Y44" i="5"/>
  <c r="X44" i="5"/>
  <c r="O44" i="5"/>
  <c r="H44" i="5"/>
  <c r="P44" i="5"/>
  <c r="J44" i="5"/>
  <c r="I43" i="5"/>
  <c r="H43" i="5"/>
  <c r="G43" i="5"/>
  <c r="E43" i="5"/>
  <c r="K42" i="5"/>
  <c r="J42" i="5"/>
  <c r="I42" i="5"/>
  <c r="E42" i="5"/>
  <c r="K41" i="5"/>
  <c r="J41" i="5"/>
  <c r="I41" i="5"/>
  <c r="E41" i="5"/>
  <c r="K40" i="5"/>
  <c r="J40" i="5"/>
  <c r="I40" i="5"/>
  <c r="E40" i="5"/>
  <c r="K39" i="5"/>
  <c r="J39" i="5"/>
  <c r="W39" i="5"/>
  <c r="I39" i="5"/>
  <c r="H39" i="5"/>
  <c r="G39" i="5"/>
  <c r="F39" i="5"/>
  <c r="K38" i="5"/>
  <c r="J38" i="5"/>
  <c r="I38" i="5"/>
  <c r="H38" i="5"/>
  <c r="G38" i="5"/>
  <c r="F38" i="5"/>
  <c r="K37" i="5"/>
  <c r="J37" i="5"/>
  <c r="W37" i="5"/>
  <c r="I37" i="5"/>
  <c r="H37" i="5"/>
  <c r="G37" i="5"/>
  <c r="F37" i="5"/>
  <c r="V36" i="5"/>
  <c r="T36" i="5"/>
  <c r="R36" i="5"/>
  <c r="U36" i="5"/>
  <c r="S36" i="5"/>
  <c r="Q36" i="5"/>
  <c r="E36" i="5"/>
  <c r="D36" i="5"/>
  <c r="B36" i="5"/>
  <c r="A36" i="5"/>
  <c r="A35" i="5"/>
  <c r="A21" i="5"/>
  <c r="A18" i="5"/>
  <c r="A16" i="5"/>
  <c r="A13" i="5"/>
  <c r="G6" i="5"/>
  <c r="A1" i="5"/>
  <c r="A1" i="4" l="1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1" i="3"/>
  <c r="CX1" i="3"/>
  <c r="CY1" i="3"/>
  <c r="CZ1" i="3"/>
  <c r="DA1" i="3"/>
  <c r="DB1" i="3"/>
  <c r="DC1" i="3"/>
  <c r="A2" i="3"/>
  <c r="CY2" i="3"/>
  <c r="CZ2" i="3"/>
  <c r="DB2" i="3" s="1"/>
  <c r="DA2" i="3"/>
  <c r="DC2" i="3"/>
  <c r="A3" i="3"/>
  <c r="CY3" i="3"/>
  <c r="CZ3" i="3"/>
  <c r="DB3" i="3" s="1"/>
  <c r="DA3" i="3"/>
  <c r="DC3" i="3"/>
  <c r="A4" i="3"/>
  <c r="CY4" i="3"/>
  <c r="CZ4" i="3"/>
  <c r="DA4" i="3"/>
  <c r="DB4" i="3"/>
  <c r="DC4" i="3"/>
  <c r="A5" i="3"/>
  <c r="CX5" i="3"/>
  <c r="CY5" i="3"/>
  <c r="CZ5" i="3"/>
  <c r="DA5" i="3"/>
  <c r="DB5" i="3"/>
  <c r="DC5" i="3"/>
  <c r="A6" i="3"/>
  <c r="CY6" i="3"/>
  <c r="CZ6" i="3"/>
  <c r="DB6" i="3" s="1"/>
  <c r="DA6" i="3"/>
  <c r="DC6" i="3"/>
  <c r="A7" i="3"/>
  <c r="CY7" i="3"/>
  <c r="CZ7" i="3"/>
  <c r="DB7" i="3" s="1"/>
  <c r="DA7" i="3"/>
  <c r="DC7" i="3"/>
  <c r="A8" i="3"/>
  <c r="CY8" i="3"/>
  <c r="CZ8" i="3"/>
  <c r="DA8" i="3"/>
  <c r="DB8" i="3"/>
  <c r="DC8" i="3"/>
  <c r="A9" i="3"/>
  <c r="CY9" i="3"/>
  <c r="CZ9" i="3"/>
  <c r="DA9" i="3"/>
  <c r="DB9" i="3"/>
  <c r="DC9" i="3"/>
  <c r="A10" i="3"/>
  <c r="CY10" i="3"/>
  <c r="CZ10" i="3"/>
  <c r="DB10" i="3" s="1"/>
  <c r="DA10" i="3"/>
  <c r="DC10" i="3"/>
  <c r="A11" i="3"/>
  <c r="CY11" i="3"/>
  <c r="CZ11" i="3"/>
  <c r="DB11" i="3" s="1"/>
  <c r="DA11" i="3"/>
  <c r="DC11" i="3"/>
  <c r="A12" i="3"/>
  <c r="CY12" i="3"/>
  <c r="CZ12" i="3"/>
  <c r="DA12" i="3"/>
  <c r="DB12" i="3"/>
  <c r="DC12" i="3"/>
  <c r="A13" i="3"/>
  <c r="CX13" i="3"/>
  <c r="CY13" i="3"/>
  <c r="CZ13" i="3"/>
  <c r="DA13" i="3"/>
  <c r="DB13" i="3"/>
  <c r="DC13" i="3"/>
  <c r="A14" i="3"/>
  <c r="CX14" i="3"/>
  <c r="CY14" i="3"/>
  <c r="CZ14" i="3"/>
  <c r="DB14" i="3" s="1"/>
  <c r="DA14" i="3"/>
  <c r="DC14" i="3"/>
  <c r="A15" i="3"/>
  <c r="CX15" i="3"/>
  <c r="CY15" i="3"/>
  <c r="CZ15" i="3"/>
  <c r="DB15" i="3" s="1"/>
  <c r="DA15" i="3"/>
  <c r="DC15" i="3"/>
  <c r="A16" i="3"/>
  <c r="CX16" i="3"/>
  <c r="CY16" i="3"/>
  <c r="CZ16" i="3"/>
  <c r="DA16" i="3"/>
  <c r="DB16" i="3"/>
  <c r="DC16" i="3"/>
  <c r="A17" i="3"/>
  <c r="CX17" i="3"/>
  <c r="CY17" i="3"/>
  <c r="CZ17" i="3"/>
  <c r="DA17" i="3"/>
  <c r="DB17" i="3"/>
  <c r="DC17" i="3"/>
  <c r="A18" i="3"/>
  <c r="CX18" i="3"/>
  <c r="CY18" i="3"/>
  <c r="CZ18" i="3"/>
  <c r="DB18" i="3" s="1"/>
  <c r="DA18" i="3"/>
  <c r="DC18" i="3"/>
  <c r="A19" i="3"/>
  <c r="CY19" i="3"/>
  <c r="CZ19" i="3"/>
  <c r="DB19" i="3" s="1"/>
  <c r="DA19" i="3"/>
  <c r="DC19" i="3"/>
  <c r="A20" i="3"/>
  <c r="CY20" i="3"/>
  <c r="CZ20" i="3"/>
  <c r="DA20" i="3"/>
  <c r="DB20" i="3"/>
  <c r="DC20" i="3"/>
  <c r="A21" i="3"/>
  <c r="CY21" i="3"/>
  <c r="CZ21" i="3"/>
  <c r="DA21" i="3"/>
  <c r="DB21" i="3"/>
  <c r="DC21" i="3"/>
  <c r="A22" i="3"/>
  <c r="CY22" i="3"/>
  <c r="CZ22" i="3"/>
  <c r="DB22" i="3" s="1"/>
  <c r="DA22" i="3"/>
  <c r="DC22" i="3"/>
  <c r="A23" i="3"/>
  <c r="CY23" i="3"/>
  <c r="CZ23" i="3"/>
  <c r="DB23" i="3" s="1"/>
  <c r="DA23" i="3"/>
  <c r="DC23" i="3"/>
  <c r="A24" i="3"/>
  <c r="CY24" i="3"/>
  <c r="CZ24" i="3"/>
  <c r="DA24" i="3"/>
  <c r="DB24" i="3"/>
  <c r="DC24" i="3"/>
  <c r="A25" i="3"/>
  <c r="CY25" i="3"/>
  <c r="CZ25" i="3"/>
  <c r="DA25" i="3"/>
  <c r="DB25" i="3"/>
  <c r="DC25" i="3"/>
  <c r="A26" i="3"/>
  <c r="CY26" i="3"/>
  <c r="CZ26" i="3"/>
  <c r="DB26" i="3" s="1"/>
  <c r="DA26" i="3"/>
  <c r="DC26" i="3"/>
  <c r="A27" i="3"/>
  <c r="CY27" i="3"/>
  <c r="CZ27" i="3"/>
  <c r="DB27" i="3" s="1"/>
  <c r="DA27" i="3"/>
  <c r="DC27" i="3"/>
  <c r="A28" i="3"/>
  <c r="CY28" i="3"/>
  <c r="CZ28" i="3"/>
  <c r="DA28" i="3"/>
  <c r="DB28" i="3"/>
  <c r="DC28" i="3"/>
  <c r="A29" i="3"/>
  <c r="CY29" i="3"/>
  <c r="CZ29" i="3"/>
  <c r="DA29" i="3"/>
  <c r="DB29" i="3"/>
  <c r="DC29" i="3"/>
  <c r="A30" i="3"/>
  <c r="CY30" i="3"/>
  <c r="CZ30" i="3"/>
  <c r="DB30" i="3" s="1"/>
  <c r="DA30" i="3"/>
  <c r="DC30" i="3"/>
  <c r="A31" i="3"/>
  <c r="CY31" i="3"/>
  <c r="CZ31" i="3"/>
  <c r="DB31" i="3" s="1"/>
  <c r="DA31" i="3"/>
  <c r="DC31" i="3"/>
  <c r="A32" i="3"/>
  <c r="CY32" i="3"/>
  <c r="CZ32" i="3"/>
  <c r="DA32" i="3"/>
  <c r="DB32" i="3"/>
  <c r="DC32" i="3"/>
  <c r="A33" i="3"/>
  <c r="CX33" i="3"/>
  <c r="CY33" i="3"/>
  <c r="CZ33" i="3"/>
  <c r="DA33" i="3"/>
  <c r="DB33" i="3"/>
  <c r="DC33" i="3"/>
  <c r="A34" i="3"/>
  <c r="CX34" i="3"/>
  <c r="CY34" i="3"/>
  <c r="CZ34" i="3"/>
  <c r="DB34" i="3" s="1"/>
  <c r="DA34" i="3"/>
  <c r="DC34" i="3"/>
  <c r="A35" i="3"/>
  <c r="CX35" i="3"/>
  <c r="CY35" i="3"/>
  <c r="CZ35" i="3"/>
  <c r="DB35" i="3" s="1"/>
  <c r="DA35" i="3"/>
  <c r="DC35" i="3"/>
  <c r="A36" i="3"/>
  <c r="CX36" i="3"/>
  <c r="CY36" i="3"/>
  <c r="CZ36" i="3"/>
  <c r="DA36" i="3"/>
  <c r="DB36" i="3"/>
  <c r="DC36" i="3"/>
  <c r="A37" i="3"/>
  <c r="CX37" i="3"/>
  <c r="CY37" i="3"/>
  <c r="CZ37" i="3"/>
  <c r="DA37" i="3"/>
  <c r="DB37" i="3"/>
  <c r="DC37" i="3"/>
  <c r="A38" i="3"/>
  <c r="CX38" i="3"/>
  <c r="CY38" i="3"/>
  <c r="CZ38" i="3"/>
  <c r="DB38" i="3" s="1"/>
  <c r="DA38" i="3"/>
  <c r="DC38" i="3"/>
  <c r="A39" i="3"/>
  <c r="CX39" i="3"/>
  <c r="CY39" i="3"/>
  <c r="CZ39" i="3"/>
  <c r="DB39" i="3" s="1"/>
  <c r="DA39" i="3"/>
  <c r="DC39" i="3"/>
  <c r="A40" i="3"/>
  <c r="CX40" i="3"/>
  <c r="CY40" i="3"/>
  <c r="CZ40" i="3"/>
  <c r="DA40" i="3"/>
  <c r="DB40" i="3"/>
  <c r="DC40" i="3"/>
  <c r="A41" i="3"/>
  <c r="CX41" i="3"/>
  <c r="CY41" i="3"/>
  <c r="CZ41" i="3"/>
  <c r="DA41" i="3"/>
  <c r="DB41" i="3"/>
  <c r="DC41" i="3"/>
  <c r="A42" i="3"/>
  <c r="CX42" i="3"/>
  <c r="CY42" i="3"/>
  <c r="CZ42" i="3"/>
  <c r="DB42" i="3" s="1"/>
  <c r="DA42" i="3"/>
  <c r="DC42" i="3"/>
  <c r="A43" i="3"/>
  <c r="CX43" i="3"/>
  <c r="CY43" i="3"/>
  <c r="CZ43" i="3"/>
  <c r="DB43" i="3" s="1"/>
  <c r="DA43" i="3"/>
  <c r="DC43" i="3"/>
  <c r="A44" i="3"/>
  <c r="CX44" i="3"/>
  <c r="CY44" i="3"/>
  <c r="CZ44" i="3"/>
  <c r="DA44" i="3"/>
  <c r="DB44" i="3"/>
  <c r="DC44" i="3"/>
  <c r="A45" i="3"/>
  <c r="CX45" i="3"/>
  <c r="CY45" i="3"/>
  <c r="CZ45" i="3"/>
  <c r="DA45" i="3"/>
  <c r="DB45" i="3"/>
  <c r="DC45" i="3"/>
  <c r="A46" i="3"/>
  <c r="CX46" i="3"/>
  <c r="CY46" i="3"/>
  <c r="CZ46" i="3"/>
  <c r="DB46" i="3" s="1"/>
  <c r="DA46" i="3"/>
  <c r="DC46" i="3"/>
  <c r="A47" i="3"/>
  <c r="CX47" i="3"/>
  <c r="CY47" i="3"/>
  <c r="CZ47" i="3"/>
  <c r="DB47" i="3" s="1"/>
  <c r="DA47" i="3"/>
  <c r="DC47" i="3"/>
  <c r="A48" i="3"/>
  <c r="CX48" i="3"/>
  <c r="CY48" i="3"/>
  <c r="CZ48" i="3"/>
  <c r="DA48" i="3"/>
  <c r="DB48" i="3"/>
  <c r="DC48" i="3"/>
  <c r="A49" i="3"/>
  <c r="CX49" i="3"/>
  <c r="CY49" i="3"/>
  <c r="CZ49" i="3"/>
  <c r="DA49" i="3"/>
  <c r="DB49" i="3"/>
  <c r="DC49" i="3"/>
  <c r="A50" i="3"/>
  <c r="CX50" i="3"/>
  <c r="CY50" i="3"/>
  <c r="CZ50" i="3"/>
  <c r="DB50" i="3" s="1"/>
  <c r="DA50" i="3"/>
  <c r="DC50" i="3"/>
  <c r="A51" i="3"/>
  <c r="CX51" i="3"/>
  <c r="CY51" i="3"/>
  <c r="CZ51" i="3"/>
  <c r="DB51" i="3" s="1"/>
  <c r="DA51" i="3"/>
  <c r="DC51" i="3"/>
  <c r="A52" i="3"/>
  <c r="CX52" i="3"/>
  <c r="CY52" i="3"/>
  <c r="CZ52" i="3"/>
  <c r="DA52" i="3"/>
  <c r="DB52" i="3"/>
  <c r="DC52" i="3"/>
  <c r="A53" i="3"/>
  <c r="CX53" i="3"/>
  <c r="CY53" i="3"/>
  <c r="CZ53" i="3"/>
  <c r="DA53" i="3"/>
  <c r="DB53" i="3"/>
  <c r="DC53" i="3"/>
  <c r="A54" i="3"/>
  <c r="CX54" i="3"/>
  <c r="CY54" i="3"/>
  <c r="CZ54" i="3"/>
  <c r="DB54" i="3" s="1"/>
  <c r="DA54" i="3"/>
  <c r="DC54" i="3"/>
  <c r="A55" i="3"/>
  <c r="CX55" i="3"/>
  <c r="CY55" i="3"/>
  <c r="CZ55" i="3"/>
  <c r="DB55" i="3" s="1"/>
  <c r="DA55" i="3"/>
  <c r="DC55" i="3"/>
  <c r="A56" i="3"/>
  <c r="CX56" i="3"/>
  <c r="CY56" i="3"/>
  <c r="CZ56" i="3"/>
  <c r="DA56" i="3"/>
  <c r="DB56" i="3"/>
  <c r="DC56" i="3"/>
  <c r="A57" i="3"/>
  <c r="CX57" i="3"/>
  <c r="CY57" i="3"/>
  <c r="CZ57" i="3"/>
  <c r="DA57" i="3"/>
  <c r="DB57" i="3"/>
  <c r="DC57" i="3"/>
  <c r="A58" i="3"/>
  <c r="CX58" i="3"/>
  <c r="CY58" i="3"/>
  <c r="CZ58" i="3"/>
  <c r="DB58" i="3" s="1"/>
  <c r="DA58" i="3"/>
  <c r="DC58" i="3"/>
  <c r="A59" i="3"/>
  <c r="CX59" i="3"/>
  <c r="CY59" i="3"/>
  <c r="CZ59" i="3"/>
  <c r="DB59" i="3" s="1"/>
  <c r="DA59" i="3"/>
  <c r="DC59" i="3"/>
  <c r="A60" i="3"/>
  <c r="CX60" i="3"/>
  <c r="CY60" i="3"/>
  <c r="CZ60" i="3"/>
  <c r="DA60" i="3"/>
  <c r="DB60" i="3"/>
  <c r="DC60" i="3"/>
  <c r="A61" i="3"/>
  <c r="CX61" i="3"/>
  <c r="CY61" i="3"/>
  <c r="CZ61" i="3"/>
  <c r="DA61" i="3"/>
  <c r="DB61" i="3"/>
  <c r="DC61" i="3"/>
  <c r="A62" i="3"/>
  <c r="CX62" i="3"/>
  <c r="CY62" i="3"/>
  <c r="CZ62" i="3"/>
  <c r="DB62" i="3" s="1"/>
  <c r="DA62" i="3"/>
  <c r="DC62" i="3"/>
  <c r="A63" i="3"/>
  <c r="CX63" i="3"/>
  <c r="CY63" i="3"/>
  <c r="CZ63" i="3"/>
  <c r="DB63" i="3" s="1"/>
  <c r="DA63" i="3"/>
  <c r="DC63" i="3"/>
  <c r="A64" i="3"/>
  <c r="CX64" i="3"/>
  <c r="CY64" i="3"/>
  <c r="CZ64" i="3"/>
  <c r="DA64" i="3"/>
  <c r="DB64" i="3"/>
  <c r="DC64" i="3"/>
  <c r="A65" i="3"/>
  <c r="CX65" i="3"/>
  <c r="CY65" i="3"/>
  <c r="CZ65" i="3"/>
  <c r="DA65" i="3"/>
  <c r="DB65" i="3"/>
  <c r="DC65" i="3"/>
  <c r="A66" i="3"/>
  <c r="CY66" i="3"/>
  <c r="CZ66" i="3"/>
  <c r="DB66" i="3" s="1"/>
  <c r="DA66" i="3"/>
  <c r="DC66" i="3"/>
  <c r="A67" i="3"/>
  <c r="CY67" i="3"/>
  <c r="CZ67" i="3"/>
  <c r="DB67" i="3" s="1"/>
  <c r="DA67" i="3"/>
  <c r="DC67" i="3"/>
  <c r="A68" i="3"/>
  <c r="CY68" i="3"/>
  <c r="CZ68" i="3"/>
  <c r="DA68" i="3"/>
  <c r="DB68" i="3"/>
  <c r="DC68" i="3"/>
  <c r="A69" i="3"/>
  <c r="CY69" i="3"/>
  <c r="CZ69" i="3"/>
  <c r="DA69" i="3"/>
  <c r="DB69" i="3"/>
  <c r="DC69" i="3"/>
  <c r="A70" i="3"/>
  <c r="CY70" i="3"/>
  <c r="CZ70" i="3"/>
  <c r="DB70" i="3" s="1"/>
  <c r="DA70" i="3"/>
  <c r="DC70" i="3"/>
  <c r="A71" i="3"/>
  <c r="CY71" i="3"/>
  <c r="CZ71" i="3"/>
  <c r="DB71" i="3" s="1"/>
  <c r="DA71" i="3"/>
  <c r="DC71" i="3"/>
  <c r="D12" i="1"/>
  <c r="E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R18" i="1"/>
  <c r="FS18" i="1"/>
  <c r="FT18" i="1"/>
  <c r="FU18" i="1"/>
  <c r="FV18" i="1"/>
  <c r="FW18" i="1"/>
  <c r="FX18" i="1"/>
  <c r="FY18" i="1"/>
  <c r="FZ18" i="1"/>
  <c r="GA18" i="1"/>
  <c r="GB18" i="1"/>
  <c r="GC18" i="1"/>
  <c r="GD18" i="1"/>
  <c r="GE18" i="1"/>
  <c r="GF18" i="1"/>
  <c r="GG18" i="1"/>
  <c r="GH18" i="1"/>
  <c r="GI18" i="1"/>
  <c r="GJ18" i="1"/>
  <c r="GK18" i="1"/>
  <c r="GL18" i="1"/>
  <c r="GM18" i="1"/>
  <c r="GN18" i="1"/>
  <c r="GO18" i="1"/>
  <c r="GP18" i="1"/>
  <c r="GQ18" i="1"/>
  <c r="GR18" i="1"/>
  <c r="GS18" i="1"/>
  <c r="GT18" i="1"/>
  <c r="GU18" i="1"/>
  <c r="GV18" i="1"/>
  <c r="GW18" i="1"/>
  <c r="GX18" i="1"/>
  <c r="D20" i="1"/>
  <c r="E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O22" i="1"/>
  <c r="FP22" i="1"/>
  <c r="FQ22" i="1"/>
  <c r="FR22" i="1"/>
  <c r="FS22" i="1"/>
  <c r="FT22" i="1"/>
  <c r="FU22" i="1"/>
  <c r="FV22" i="1"/>
  <c r="FW22" i="1"/>
  <c r="FX22" i="1"/>
  <c r="FY22" i="1"/>
  <c r="FZ22" i="1"/>
  <c r="GA22" i="1"/>
  <c r="GB22" i="1"/>
  <c r="GC22" i="1"/>
  <c r="GD22" i="1"/>
  <c r="GE22" i="1"/>
  <c r="GF22" i="1"/>
  <c r="GG22" i="1"/>
  <c r="GH22" i="1"/>
  <c r="GI22" i="1"/>
  <c r="GJ22" i="1"/>
  <c r="GK22" i="1"/>
  <c r="GL22" i="1"/>
  <c r="GM22" i="1"/>
  <c r="GN22" i="1"/>
  <c r="GO22" i="1"/>
  <c r="GP22" i="1"/>
  <c r="GQ22" i="1"/>
  <c r="GR22" i="1"/>
  <c r="GS22" i="1"/>
  <c r="GT22" i="1"/>
  <c r="GU22" i="1"/>
  <c r="GV22" i="1"/>
  <c r="GW22" i="1"/>
  <c r="GX22" i="1"/>
  <c r="D24" i="1"/>
  <c r="E26" i="1"/>
  <c r="Z26" i="1"/>
  <c r="AA26" i="1"/>
  <c r="AM26" i="1"/>
  <c r="AN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M26" i="1"/>
  <c r="FN26" i="1"/>
  <c r="FO26" i="1"/>
  <c r="FP26" i="1"/>
  <c r="FQ26" i="1"/>
  <c r="FR26" i="1"/>
  <c r="FS26" i="1"/>
  <c r="FT26" i="1"/>
  <c r="FU26" i="1"/>
  <c r="FV26" i="1"/>
  <c r="FW26" i="1"/>
  <c r="FX26" i="1"/>
  <c r="FY26" i="1"/>
  <c r="FZ26" i="1"/>
  <c r="GA26" i="1"/>
  <c r="GB26" i="1"/>
  <c r="GC26" i="1"/>
  <c r="GD26" i="1"/>
  <c r="GE26" i="1"/>
  <c r="GF26" i="1"/>
  <c r="GG26" i="1"/>
  <c r="GH26" i="1"/>
  <c r="GI26" i="1"/>
  <c r="GJ26" i="1"/>
  <c r="GK26" i="1"/>
  <c r="GL26" i="1"/>
  <c r="GM26" i="1"/>
  <c r="GN26" i="1"/>
  <c r="GO26" i="1"/>
  <c r="GP26" i="1"/>
  <c r="GQ26" i="1"/>
  <c r="GR26" i="1"/>
  <c r="GS26" i="1"/>
  <c r="GT26" i="1"/>
  <c r="GU26" i="1"/>
  <c r="GV26" i="1"/>
  <c r="GW26" i="1"/>
  <c r="GX26" i="1"/>
  <c r="C28" i="1"/>
  <c r="D28" i="1"/>
  <c r="I28" i="1"/>
  <c r="CX2" i="3" s="1"/>
  <c r="S28" i="1"/>
  <c r="AC28" i="1"/>
  <c r="AE28" i="1"/>
  <c r="AD28" i="1" s="1"/>
  <c r="AF28" i="1"/>
  <c r="AG28" i="1"/>
  <c r="CU28" i="1" s="1"/>
  <c r="T28" i="1" s="1"/>
  <c r="AH28" i="1"/>
  <c r="AI28" i="1"/>
  <c r="CW28" i="1" s="1"/>
  <c r="V28" i="1" s="1"/>
  <c r="AJ28" i="1"/>
  <c r="CR28" i="1"/>
  <c r="CT28" i="1"/>
  <c r="CV28" i="1"/>
  <c r="U28" i="1" s="1"/>
  <c r="CX28" i="1"/>
  <c r="W28" i="1" s="1"/>
  <c r="FR28" i="1"/>
  <c r="GL28" i="1"/>
  <c r="GO28" i="1"/>
  <c r="GP28" i="1"/>
  <c r="GV28" i="1"/>
  <c r="HC28" i="1"/>
  <c r="GX28" i="1" s="1"/>
  <c r="C29" i="1"/>
  <c r="D29" i="1"/>
  <c r="I29" i="1"/>
  <c r="CX4" i="3" s="1"/>
  <c r="R29" i="1"/>
  <c r="S29" i="1"/>
  <c r="W29" i="1"/>
  <c r="AC29" i="1"/>
  <c r="AD29" i="1"/>
  <c r="AE29" i="1"/>
  <c r="AF29" i="1"/>
  <c r="AG29" i="1"/>
  <c r="CU29" i="1" s="1"/>
  <c r="T29" i="1" s="1"/>
  <c r="AH29" i="1"/>
  <c r="CV29" i="1" s="1"/>
  <c r="U29" i="1" s="1"/>
  <c r="AI29" i="1"/>
  <c r="AJ29" i="1"/>
  <c r="CR29" i="1"/>
  <c r="CS29" i="1"/>
  <c r="CT29" i="1"/>
  <c r="CW29" i="1"/>
  <c r="V29" i="1" s="1"/>
  <c r="CX29" i="1"/>
  <c r="FR29" i="1"/>
  <c r="GK29" i="1"/>
  <c r="GL29" i="1"/>
  <c r="GO29" i="1"/>
  <c r="GP29" i="1"/>
  <c r="GV29" i="1"/>
  <c r="HC29" i="1"/>
  <c r="GX29" i="1" s="1"/>
  <c r="C30" i="1"/>
  <c r="D30" i="1"/>
  <c r="I30" i="1"/>
  <c r="R30" i="1"/>
  <c r="GK30" i="1" s="1"/>
  <c r="S30" i="1"/>
  <c r="CZ30" i="1" s="1"/>
  <c r="Y30" i="1" s="1"/>
  <c r="AC30" i="1"/>
  <c r="AD30" i="1"/>
  <c r="AE30" i="1"/>
  <c r="AF30" i="1"/>
  <c r="AG30" i="1"/>
  <c r="CU30" i="1" s="1"/>
  <c r="T30" i="1" s="1"/>
  <c r="AH30" i="1"/>
  <c r="CV30" i="1" s="1"/>
  <c r="U30" i="1" s="1"/>
  <c r="AI30" i="1"/>
  <c r="AJ30" i="1"/>
  <c r="CR30" i="1"/>
  <c r="CS30" i="1"/>
  <c r="CT30" i="1"/>
  <c r="CW30" i="1"/>
  <c r="V30" i="1" s="1"/>
  <c r="CX30" i="1"/>
  <c r="W30" i="1" s="1"/>
  <c r="FR30" i="1"/>
  <c r="GL30" i="1"/>
  <c r="GN30" i="1"/>
  <c r="GO30" i="1"/>
  <c r="GV30" i="1"/>
  <c r="GX30" i="1"/>
  <c r="HC30" i="1"/>
  <c r="C31" i="1"/>
  <c r="D31" i="1"/>
  <c r="I31" i="1"/>
  <c r="AC31" i="1"/>
  <c r="AD31" i="1"/>
  <c r="AB31" i="1" s="1"/>
  <c r="AE31" i="1"/>
  <c r="AF31" i="1"/>
  <c r="CT31" i="1" s="1"/>
  <c r="AG31" i="1"/>
  <c r="AH31" i="1"/>
  <c r="CV31" i="1" s="1"/>
  <c r="AI31" i="1"/>
  <c r="AJ31" i="1"/>
  <c r="CQ31" i="1"/>
  <c r="CR31" i="1"/>
  <c r="CS31" i="1"/>
  <c r="CU31" i="1"/>
  <c r="CW31" i="1"/>
  <c r="CX31" i="1"/>
  <c r="FR31" i="1"/>
  <c r="GL31" i="1"/>
  <c r="GN31" i="1"/>
  <c r="GP31" i="1"/>
  <c r="GV31" i="1"/>
  <c r="HC31" i="1"/>
  <c r="I32" i="1"/>
  <c r="AC32" i="1"/>
  <c r="AE32" i="1"/>
  <c r="AF32" i="1"/>
  <c r="AG32" i="1"/>
  <c r="AH32" i="1"/>
  <c r="CV32" i="1" s="1"/>
  <c r="AI32" i="1"/>
  <c r="CW32" i="1" s="1"/>
  <c r="V32" i="1" s="1"/>
  <c r="AJ32" i="1"/>
  <c r="CQ32" i="1"/>
  <c r="CU32" i="1"/>
  <c r="CX32" i="1"/>
  <c r="FR32" i="1"/>
  <c r="GL32" i="1"/>
  <c r="GN32" i="1"/>
  <c r="GP32" i="1"/>
  <c r="GV32" i="1"/>
  <c r="HC32" i="1"/>
  <c r="C33" i="1"/>
  <c r="D33" i="1"/>
  <c r="I33" i="1"/>
  <c r="R33" i="1"/>
  <c r="S33" i="1"/>
  <c r="W33" i="1"/>
  <c r="AC33" i="1"/>
  <c r="AD33" i="1"/>
  <c r="AE33" i="1"/>
  <c r="AF33" i="1"/>
  <c r="AG33" i="1"/>
  <c r="CU33" i="1" s="1"/>
  <c r="T33" i="1" s="1"/>
  <c r="AH33" i="1"/>
  <c r="AI33" i="1"/>
  <c r="AJ33" i="1"/>
  <c r="CR33" i="1"/>
  <c r="CS33" i="1"/>
  <c r="CT33" i="1"/>
  <c r="CV33" i="1"/>
  <c r="U33" i="1" s="1"/>
  <c r="CW33" i="1"/>
  <c r="V33" i="1" s="1"/>
  <c r="CX33" i="1"/>
  <c r="FR33" i="1"/>
  <c r="GK33" i="1"/>
  <c r="GL33" i="1"/>
  <c r="GN33" i="1"/>
  <c r="GP33" i="1"/>
  <c r="GV33" i="1"/>
  <c r="HC33" i="1"/>
  <c r="GX33" i="1" s="1"/>
  <c r="AC34" i="1"/>
  <c r="AE34" i="1"/>
  <c r="AF34" i="1"/>
  <c r="AG34" i="1"/>
  <c r="AH34" i="1"/>
  <c r="AI34" i="1"/>
  <c r="CW34" i="1" s="1"/>
  <c r="AJ34" i="1"/>
  <c r="CQ34" i="1"/>
  <c r="CT34" i="1"/>
  <c r="CU34" i="1"/>
  <c r="CV34" i="1"/>
  <c r="CX34" i="1"/>
  <c r="FR34" i="1"/>
  <c r="GL34" i="1"/>
  <c r="GN34" i="1"/>
  <c r="GP34" i="1"/>
  <c r="GV34" i="1"/>
  <c r="HC34" i="1" s="1"/>
  <c r="I35" i="1"/>
  <c r="Q35" i="1" s="1"/>
  <c r="R35" i="1"/>
  <c r="S35" i="1"/>
  <c r="AC35" i="1"/>
  <c r="AE35" i="1"/>
  <c r="AD35" i="1" s="1"/>
  <c r="AF35" i="1"/>
  <c r="AG35" i="1"/>
  <c r="CU35" i="1" s="1"/>
  <c r="T35" i="1" s="1"/>
  <c r="AH35" i="1"/>
  <c r="AI35" i="1"/>
  <c r="AJ35" i="1"/>
  <c r="CR35" i="1"/>
  <c r="CS35" i="1"/>
  <c r="CT35" i="1"/>
  <c r="CV35" i="1"/>
  <c r="U35" i="1" s="1"/>
  <c r="CW35" i="1"/>
  <c r="V35" i="1" s="1"/>
  <c r="CX35" i="1"/>
  <c r="W35" i="1" s="1"/>
  <c r="FR35" i="1"/>
  <c r="GK35" i="1"/>
  <c r="GL35" i="1"/>
  <c r="GN35" i="1"/>
  <c r="GP35" i="1"/>
  <c r="GV35" i="1"/>
  <c r="HC35" i="1"/>
  <c r="GX35" i="1" s="1"/>
  <c r="AC36" i="1"/>
  <c r="AE36" i="1"/>
  <c r="AF36" i="1"/>
  <c r="AG36" i="1"/>
  <c r="AH36" i="1"/>
  <c r="AI36" i="1"/>
  <c r="CW36" i="1" s="1"/>
  <c r="AJ36" i="1"/>
  <c r="CQ36" i="1"/>
  <c r="CR36" i="1"/>
  <c r="CT36" i="1"/>
  <c r="CU36" i="1"/>
  <c r="CV36" i="1"/>
  <c r="CX36" i="1"/>
  <c r="FR36" i="1"/>
  <c r="GL36" i="1"/>
  <c r="GN36" i="1"/>
  <c r="GP36" i="1"/>
  <c r="GV36" i="1"/>
  <c r="HC36" i="1" s="1"/>
  <c r="C37" i="1"/>
  <c r="D37" i="1"/>
  <c r="R37" i="1"/>
  <c r="GK37" i="1" s="1"/>
  <c r="V37" i="1"/>
  <c r="AC37" i="1"/>
  <c r="P37" i="1" s="1"/>
  <c r="AE37" i="1"/>
  <c r="AD37" i="1" s="1"/>
  <c r="AF37" i="1"/>
  <c r="AG37" i="1"/>
  <c r="AH37" i="1"/>
  <c r="AI37" i="1"/>
  <c r="AJ37" i="1"/>
  <c r="CX37" i="1" s="1"/>
  <c r="W37" i="1" s="1"/>
  <c r="CQ37" i="1"/>
  <c r="CR37" i="1"/>
  <c r="CS37" i="1"/>
  <c r="CU37" i="1"/>
  <c r="T37" i="1" s="1"/>
  <c r="CV37" i="1"/>
  <c r="U37" i="1" s="1"/>
  <c r="CW37" i="1"/>
  <c r="FR37" i="1"/>
  <c r="GL37" i="1"/>
  <c r="GO37" i="1"/>
  <c r="GP37" i="1"/>
  <c r="GV37" i="1"/>
  <c r="HC37" i="1" s="1"/>
  <c r="GX37" i="1" s="1"/>
  <c r="I38" i="1"/>
  <c r="Q38" i="1" s="1"/>
  <c r="P38" i="1"/>
  <c r="CP38" i="1" s="1"/>
  <c r="O38" i="1" s="1"/>
  <c r="R38" i="1"/>
  <c r="S38" i="1"/>
  <c r="CZ38" i="1" s="1"/>
  <c r="Y38" i="1" s="1"/>
  <c r="AC38" i="1"/>
  <c r="AB38" i="1" s="1"/>
  <c r="AD38" i="1"/>
  <c r="AE38" i="1"/>
  <c r="AF38" i="1"/>
  <c r="AG38" i="1"/>
  <c r="AH38" i="1"/>
  <c r="CV38" i="1" s="1"/>
  <c r="U38" i="1" s="1"/>
  <c r="AI38" i="1"/>
  <c r="AJ38" i="1"/>
  <c r="CQ38" i="1"/>
  <c r="CR38" i="1"/>
  <c r="CS38" i="1"/>
  <c r="CT38" i="1"/>
  <c r="CU38" i="1"/>
  <c r="T38" i="1" s="1"/>
  <c r="CW38" i="1"/>
  <c r="V38" i="1" s="1"/>
  <c r="CX38" i="1"/>
  <c r="W38" i="1" s="1"/>
  <c r="CY38" i="1"/>
  <c r="X38" i="1" s="1"/>
  <c r="FR38" i="1"/>
  <c r="GK38" i="1"/>
  <c r="GL38" i="1"/>
  <c r="GO38" i="1"/>
  <c r="GP38" i="1"/>
  <c r="GV38" i="1"/>
  <c r="HC38" i="1"/>
  <c r="GX38" i="1" s="1"/>
  <c r="C39" i="1"/>
  <c r="D39" i="1"/>
  <c r="I39" i="1"/>
  <c r="P39" i="1"/>
  <c r="S39" i="1"/>
  <c r="CZ39" i="1" s="1"/>
  <c r="Y39" i="1" s="1"/>
  <c r="T39" i="1"/>
  <c r="AC39" i="1"/>
  <c r="AD39" i="1"/>
  <c r="AE39" i="1"/>
  <c r="R39" i="1" s="1"/>
  <c r="GK39" i="1" s="1"/>
  <c r="AF39" i="1"/>
  <c r="AG39" i="1"/>
  <c r="AH39" i="1"/>
  <c r="CV39" i="1" s="1"/>
  <c r="U39" i="1" s="1"/>
  <c r="AI39" i="1"/>
  <c r="AJ39" i="1"/>
  <c r="CQ39" i="1"/>
  <c r="CR39" i="1"/>
  <c r="CS39" i="1"/>
  <c r="CT39" i="1"/>
  <c r="CU39" i="1"/>
  <c r="CW39" i="1"/>
  <c r="V39" i="1" s="1"/>
  <c r="CX39" i="1"/>
  <c r="W39" i="1" s="1"/>
  <c r="CY39" i="1"/>
  <c r="X39" i="1" s="1"/>
  <c r="FR39" i="1"/>
  <c r="GL39" i="1"/>
  <c r="GN39" i="1"/>
  <c r="GP39" i="1"/>
  <c r="GV39" i="1"/>
  <c r="HC39" i="1"/>
  <c r="GX39" i="1" s="1"/>
  <c r="I40" i="1"/>
  <c r="Q40" i="1" s="1"/>
  <c r="AB40" i="1"/>
  <c r="AC40" i="1"/>
  <c r="AE40" i="1"/>
  <c r="AD40" i="1" s="1"/>
  <c r="AF40" i="1"/>
  <c r="AG40" i="1"/>
  <c r="CU40" i="1" s="1"/>
  <c r="T40" i="1" s="1"/>
  <c r="AH40" i="1"/>
  <c r="AI40" i="1"/>
  <c r="AJ40" i="1"/>
  <c r="CX40" i="1" s="1"/>
  <c r="CR40" i="1"/>
  <c r="CS40" i="1"/>
  <c r="CV40" i="1"/>
  <c r="CW40" i="1"/>
  <c r="V40" i="1" s="1"/>
  <c r="FR40" i="1"/>
  <c r="GL40" i="1"/>
  <c r="GN40" i="1"/>
  <c r="GP40" i="1"/>
  <c r="GV40" i="1"/>
  <c r="HC40" i="1" s="1"/>
  <c r="C41" i="1"/>
  <c r="D41" i="1"/>
  <c r="I41" i="1"/>
  <c r="CX21" i="3" s="1"/>
  <c r="Q41" i="1"/>
  <c r="R41" i="1"/>
  <c r="GK41" i="1" s="1"/>
  <c r="AB41" i="1"/>
  <c r="AC41" i="1"/>
  <c r="P41" i="1" s="1"/>
  <c r="AE41" i="1"/>
  <c r="AD41" i="1" s="1"/>
  <c r="AF41" i="1"/>
  <c r="AG41" i="1"/>
  <c r="AH41" i="1"/>
  <c r="AI41" i="1"/>
  <c r="AJ41" i="1"/>
  <c r="CX41" i="1" s="1"/>
  <c r="W41" i="1" s="1"/>
  <c r="CQ41" i="1"/>
  <c r="CR41" i="1"/>
  <c r="CS41" i="1"/>
  <c r="CU41" i="1"/>
  <c r="T41" i="1" s="1"/>
  <c r="CV41" i="1"/>
  <c r="U41" i="1" s="1"/>
  <c r="CW41" i="1"/>
  <c r="V41" i="1" s="1"/>
  <c r="FR41" i="1"/>
  <c r="GL41" i="1"/>
  <c r="GO41" i="1"/>
  <c r="GP41" i="1"/>
  <c r="GV41" i="1"/>
  <c r="HC41" i="1" s="1"/>
  <c r="GX41" i="1" s="1"/>
  <c r="C42" i="1"/>
  <c r="D42" i="1"/>
  <c r="I42" i="1"/>
  <c r="CX22" i="3" s="1"/>
  <c r="AC42" i="1"/>
  <c r="AE42" i="1"/>
  <c r="R42" i="1" s="1"/>
  <c r="GK42" i="1" s="1"/>
  <c r="AF42" i="1"/>
  <c r="S42" i="1" s="1"/>
  <c r="AG42" i="1"/>
  <c r="AH42" i="1"/>
  <c r="AI42" i="1"/>
  <c r="CW42" i="1" s="1"/>
  <c r="V42" i="1" s="1"/>
  <c r="AJ42" i="1"/>
  <c r="CX42" i="1" s="1"/>
  <c r="W42" i="1" s="1"/>
  <c r="CQ42" i="1"/>
  <c r="CR42" i="1"/>
  <c r="CU42" i="1"/>
  <c r="T42" i="1" s="1"/>
  <c r="CV42" i="1"/>
  <c r="U42" i="1" s="1"/>
  <c r="FR42" i="1"/>
  <c r="GL42" i="1"/>
  <c r="GO42" i="1"/>
  <c r="GP42" i="1"/>
  <c r="GV42" i="1"/>
  <c r="HC42" i="1" s="1"/>
  <c r="GX42" i="1" s="1"/>
  <c r="C43" i="1"/>
  <c r="D43" i="1"/>
  <c r="I43" i="1"/>
  <c r="P43" i="1" s="1"/>
  <c r="AC43" i="1"/>
  <c r="AE43" i="1"/>
  <c r="R43" i="1" s="1"/>
  <c r="GK43" i="1" s="1"/>
  <c r="AF43" i="1"/>
  <c r="S43" i="1" s="1"/>
  <c r="AG43" i="1"/>
  <c r="AH43" i="1"/>
  <c r="AI43" i="1"/>
  <c r="CW43" i="1" s="1"/>
  <c r="V43" i="1" s="1"/>
  <c r="AJ43" i="1"/>
  <c r="CX43" i="1" s="1"/>
  <c r="W43" i="1" s="1"/>
  <c r="CQ43" i="1"/>
  <c r="CR43" i="1"/>
  <c r="CU43" i="1"/>
  <c r="T43" i="1" s="1"/>
  <c r="CV43" i="1"/>
  <c r="U43" i="1" s="1"/>
  <c r="FR43" i="1"/>
  <c r="GL43" i="1"/>
  <c r="GO43" i="1"/>
  <c r="GP43" i="1"/>
  <c r="GV43" i="1"/>
  <c r="HC43" i="1" s="1"/>
  <c r="GX43" i="1" s="1"/>
  <c r="C44" i="1"/>
  <c r="D44" i="1"/>
  <c r="I44" i="1"/>
  <c r="P44" i="1" s="1"/>
  <c r="AC44" i="1"/>
  <c r="AE44" i="1"/>
  <c r="R44" i="1" s="1"/>
  <c r="GK44" i="1" s="1"/>
  <c r="AF44" i="1"/>
  <c r="S44" i="1" s="1"/>
  <c r="AG44" i="1"/>
  <c r="AH44" i="1"/>
  <c r="AI44" i="1"/>
  <c r="CW44" i="1" s="1"/>
  <c r="V44" i="1" s="1"/>
  <c r="AJ44" i="1"/>
  <c r="CX44" i="1" s="1"/>
  <c r="W44" i="1" s="1"/>
  <c r="CQ44" i="1"/>
  <c r="CR44" i="1"/>
  <c r="CU44" i="1"/>
  <c r="T44" i="1" s="1"/>
  <c r="CV44" i="1"/>
  <c r="U44" i="1" s="1"/>
  <c r="FR44" i="1"/>
  <c r="GL44" i="1"/>
  <c r="GN44" i="1"/>
  <c r="GP44" i="1"/>
  <c r="GV44" i="1"/>
  <c r="HC44" i="1" s="1"/>
  <c r="GX44" i="1" s="1"/>
  <c r="AC45" i="1"/>
  <c r="AD45" i="1"/>
  <c r="AE45" i="1"/>
  <c r="AF45" i="1"/>
  <c r="AG45" i="1"/>
  <c r="CU45" i="1" s="1"/>
  <c r="AH45" i="1"/>
  <c r="CV45" i="1" s="1"/>
  <c r="AI45" i="1"/>
  <c r="AJ45" i="1"/>
  <c r="CR45" i="1"/>
  <c r="CS45" i="1"/>
  <c r="CT45" i="1"/>
  <c r="CW45" i="1"/>
  <c r="CX45" i="1"/>
  <c r="FR45" i="1"/>
  <c r="GL45" i="1"/>
  <c r="GN45" i="1"/>
  <c r="GP45" i="1"/>
  <c r="GV45" i="1"/>
  <c r="HC45" i="1"/>
  <c r="I46" i="1"/>
  <c r="P46" i="1" s="1"/>
  <c r="AC46" i="1"/>
  <c r="AE46" i="1"/>
  <c r="R46" i="1" s="1"/>
  <c r="GK46" i="1" s="1"/>
  <c r="AF46" i="1"/>
  <c r="S46" i="1" s="1"/>
  <c r="AG46" i="1"/>
  <c r="AH46" i="1"/>
  <c r="AI46" i="1"/>
  <c r="CW46" i="1" s="1"/>
  <c r="V46" i="1" s="1"/>
  <c r="AJ46" i="1"/>
  <c r="CX46" i="1" s="1"/>
  <c r="W46" i="1" s="1"/>
  <c r="CQ46" i="1"/>
  <c r="CR46" i="1"/>
  <c r="CU46" i="1"/>
  <c r="T46" i="1" s="1"/>
  <c r="CV46" i="1"/>
  <c r="U46" i="1" s="1"/>
  <c r="FR46" i="1"/>
  <c r="GL46" i="1"/>
  <c r="GN46" i="1"/>
  <c r="GP46" i="1"/>
  <c r="GV46" i="1"/>
  <c r="HC46" i="1" s="1"/>
  <c r="GX46" i="1" s="1"/>
  <c r="C47" i="1"/>
  <c r="D47" i="1"/>
  <c r="I47" i="1"/>
  <c r="P47" i="1" s="1"/>
  <c r="AC47" i="1"/>
  <c r="AE47" i="1"/>
  <c r="R47" i="1" s="1"/>
  <c r="GK47" i="1" s="1"/>
  <c r="AF47" i="1"/>
  <c r="S47" i="1" s="1"/>
  <c r="AG47" i="1"/>
  <c r="AH47" i="1"/>
  <c r="AI47" i="1"/>
  <c r="CW47" i="1" s="1"/>
  <c r="V47" i="1" s="1"/>
  <c r="AJ47" i="1"/>
  <c r="CX47" i="1" s="1"/>
  <c r="W47" i="1" s="1"/>
  <c r="CQ47" i="1"/>
  <c r="CR47" i="1"/>
  <c r="CU47" i="1"/>
  <c r="T47" i="1" s="1"/>
  <c r="CV47" i="1"/>
  <c r="U47" i="1" s="1"/>
  <c r="FR47" i="1"/>
  <c r="GL47" i="1"/>
  <c r="GN47" i="1"/>
  <c r="GP47" i="1"/>
  <c r="GV47" i="1"/>
  <c r="HC47" i="1" s="1"/>
  <c r="GX47" i="1" s="1"/>
  <c r="AC48" i="1"/>
  <c r="AD48" i="1"/>
  <c r="AE48" i="1"/>
  <c r="AF48" i="1"/>
  <c r="AG48" i="1"/>
  <c r="CU48" i="1" s="1"/>
  <c r="AH48" i="1"/>
  <c r="CV48" i="1" s="1"/>
  <c r="AI48" i="1"/>
  <c r="AJ48" i="1"/>
  <c r="CR48" i="1"/>
  <c r="CS48" i="1"/>
  <c r="CT48" i="1"/>
  <c r="CW48" i="1"/>
  <c r="CX48" i="1"/>
  <c r="FR48" i="1"/>
  <c r="GL48" i="1"/>
  <c r="GN48" i="1"/>
  <c r="GP48" i="1"/>
  <c r="GV48" i="1"/>
  <c r="HC48" i="1"/>
  <c r="B50" i="1"/>
  <c r="B26" i="1" s="1"/>
  <c r="C50" i="1"/>
  <c r="C26" i="1" s="1"/>
  <c r="D50" i="1"/>
  <c r="D26" i="1" s="1"/>
  <c r="F50" i="1"/>
  <c r="F26" i="1" s="1"/>
  <c r="G50" i="1"/>
  <c r="G26" i="1" s="1"/>
  <c r="BX50" i="1"/>
  <c r="BX26" i="1" s="1"/>
  <c r="BY50" i="1"/>
  <c r="BY26" i="1" s="1"/>
  <c r="BZ50" i="1"/>
  <c r="BZ26" i="1" s="1"/>
  <c r="CG50" i="1"/>
  <c r="CG26" i="1" s="1"/>
  <c r="CK50" i="1"/>
  <c r="CK26" i="1" s="1"/>
  <c r="CL50" i="1"/>
  <c r="CL26" i="1" s="1"/>
  <c r="CM50" i="1"/>
  <c r="CM26" i="1" s="1"/>
  <c r="D80" i="1"/>
  <c r="E82" i="1"/>
  <c r="Z82" i="1"/>
  <c r="AA82" i="1"/>
  <c r="AM82" i="1"/>
  <c r="AN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DA82" i="1"/>
  <c r="DB82" i="1"/>
  <c r="DC82" i="1"/>
  <c r="DD82" i="1"/>
  <c r="DE82" i="1"/>
  <c r="DF82" i="1"/>
  <c r="DG82" i="1"/>
  <c r="DH82" i="1"/>
  <c r="DI82" i="1"/>
  <c r="DJ82" i="1"/>
  <c r="DK82" i="1"/>
  <c r="DL82" i="1"/>
  <c r="DM82" i="1"/>
  <c r="DN82" i="1"/>
  <c r="DO82" i="1"/>
  <c r="DP82" i="1"/>
  <c r="DQ82" i="1"/>
  <c r="DR82" i="1"/>
  <c r="DS82" i="1"/>
  <c r="DT82" i="1"/>
  <c r="DU82" i="1"/>
  <c r="DV82" i="1"/>
  <c r="DW82" i="1"/>
  <c r="DX82" i="1"/>
  <c r="DY82" i="1"/>
  <c r="DZ82" i="1"/>
  <c r="EA82" i="1"/>
  <c r="EB82" i="1"/>
  <c r="EC82" i="1"/>
  <c r="ED82" i="1"/>
  <c r="EE82" i="1"/>
  <c r="EF82" i="1"/>
  <c r="EG82" i="1"/>
  <c r="EH82" i="1"/>
  <c r="EI82" i="1"/>
  <c r="EJ82" i="1"/>
  <c r="EK82" i="1"/>
  <c r="EL82" i="1"/>
  <c r="EM82" i="1"/>
  <c r="EN82" i="1"/>
  <c r="EO82" i="1"/>
  <c r="EP82" i="1"/>
  <c r="EQ82" i="1"/>
  <c r="ER82" i="1"/>
  <c r="ES82" i="1"/>
  <c r="ET82" i="1"/>
  <c r="EU82" i="1"/>
  <c r="EV82" i="1"/>
  <c r="EW82" i="1"/>
  <c r="EX82" i="1"/>
  <c r="EY82" i="1"/>
  <c r="EZ82" i="1"/>
  <c r="FA82" i="1"/>
  <c r="FB82" i="1"/>
  <c r="FC82" i="1"/>
  <c r="FD82" i="1"/>
  <c r="FE82" i="1"/>
  <c r="FF82" i="1"/>
  <c r="FG82" i="1"/>
  <c r="FH82" i="1"/>
  <c r="FI82" i="1"/>
  <c r="FJ82" i="1"/>
  <c r="FK82" i="1"/>
  <c r="FL82" i="1"/>
  <c r="FM82" i="1"/>
  <c r="FN82" i="1"/>
  <c r="FO82" i="1"/>
  <c r="FP82" i="1"/>
  <c r="FQ82" i="1"/>
  <c r="FR82" i="1"/>
  <c r="FS82" i="1"/>
  <c r="FT82" i="1"/>
  <c r="FU82" i="1"/>
  <c r="FV82" i="1"/>
  <c r="FW82" i="1"/>
  <c r="FX82" i="1"/>
  <c r="FY82" i="1"/>
  <c r="FZ82" i="1"/>
  <c r="GA82" i="1"/>
  <c r="GB82" i="1"/>
  <c r="GC82" i="1"/>
  <c r="GD82" i="1"/>
  <c r="GE82" i="1"/>
  <c r="GF82" i="1"/>
  <c r="GG82" i="1"/>
  <c r="GH82" i="1"/>
  <c r="GI82" i="1"/>
  <c r="GJ82" i="1"/>
  <c r="GK82" i="1"/>
  <c r="GL82" i="1"/>
  <c r="GM82" i="1"/>
  <c r="GN82" i="1"/>
  <c r="GO82" i="1"/>
  <c r="GP82" i="1"/>
  <c r="GQ82" i="1"/>
  <c r="GR82" i="1"/>
  <c r="GS82" i="1"/>
  <c r="GT82" i="1"/>
  <c r="GU82" i="1"/>
  <c r="GV82" i="1"/>
  <c r="GW82" i="1"/>
  <c r="GX82" i="1"/>
  <c r="C84" i="1"/>
  <c r="D84" i="1"/>
  <c r="I84" i="1"/>
  <c r="Q84" i="1" s="1"/>
  <c r="P84" i="1"/>
  <c r="R84" i="1"/>
  <c r="AC84" i="1"/>
  <c r="AB84" i="1" s="1"/>
  <c r="AD84" i="1"/>
  <c r="AE84" i="1"/>
  <c r="AF84" i="1"/>
  <c r="S84" i="1" s="1"/>
  <c r="AG84" i="1"/>
  <c r="AH84" i="1"/>
  <c r="CV84" i="1" s="1"/>
  <c r="U84" i="1" s="1"/>
  <c r="AI84" i="1"/>
  <c r="AJ84" i="1"/>
  <c r="CQ84" i="1"/>
  <c r="CR84" i="1"/>
  <c r="CS84" i="1"/>
  <c r="CT84" i="1"/>
  <c r="CU84" i="1"/>
  <c r="T84" i="1" s="1"/>
  <c r="CW84" i="1"/>
  <c r="V84" i="1" s="1"/>
  <c r="CX84" i="1"/>
  <c r="W84" i="1" s="1"/>
  <c r="FR84" i="1"/>
  <c r="GK84" i="1"/>
  <c r="GL84" i="1"/>
  <c r="GO84" i="1"/>
  <c r="GP84" i="1"/>
  <c r="GV84" i="1"/>
  <c r="HC84" i="1"/>
  <c r="GX84" i="1" s="1"/>
  <c r="C85" i="1"/>
  <c r="D85" i="1"/>
  <c r="S85" i="1"/>
  <c r="AC85" i="1"/>
  <c r="P85" i="1" s="1"/>
  <c r="AE85" i="1"/>
  <c r="AD85" i="1" s="1"/>
  <c r="AF85" i="1"/>
  <c r="AG85" i="1"/>
  <c r="CU85" i="1" s="1"/>
  <c r="T85" i="1" s="1"/>
  <c r="AH85" i="1"/>
  <c r="AI85" i="1"/>
  <c r="CW85" i="1" s="1"/>
  <c r="V85" i="1" s="1"/>
  <c r="AJ85" i="1"/>
  <c r="CR85" i="1"/>
  <c r="CT85" i="1"/>
  <c r="CV85" i="1"/>
  <c r="U85" i="1" s="1"/>
  <c r="CX85" i="1"/>
  <c r="W85" i="1" s="1"/>
  <c r="CY85" i="1"/>
  <c r="X85" i="1" s="1"/>
  <c r="CZ85" i="1"/>
  <c r="Y85" i="1" s="1"/>
  <c r="FR85" i="1"/>
  <c r="GL85" i="1"/>
  <c r="GO85" i="1"/>
  <c r="GP85" i="1"/>
  <c r="GV85" i="1"/>
  <c r="HC85" i="1" s="1"/>
  <c r="GX85" i="1" s="1"/>
  <c r="I86" i="1"/>
  <c r="S86" i="1"/>
  <c r="CZ86" i="1" s="1"/>
  <c r="Y86" i="1" s="1"/>
  <c r="AC86" i="1"/>
  <c r="AE86" i="1"/>
  <c r="Q86" i="1" s="1"/>
  <c r="AF86" i="1"/>
  <c r="AG86" i="1"/>
  <c r="CU86" i="1" s="1"/>
  <c r="T86" i="1" s="1"/>
  <c r="AH86" i="1"/>
  <c r="AI86" i="1"/>
  <c r="AJ86" i="1"/>
  <c r="CR86" i="1"/>
  <c r="CS86" i="1"/>
  <c r="CT86" i="1"/>
  <c r="CV86" i="1"/>
  <c r="U86" i="1" s="1"/>
  <c r="CW86" i="1"/>
  <c r="V86" i="1" s="1"/>
  <c r="CX86" i="1"/>
  <c r="W86" i="1" s="1"/>
  <c r="FR86" i="1"/>
  <c r="GL86" i="1"/>
  <c r="GO86" i="1"/>
  <c r="GP86" i="1"/>
  <c r="GV86" i="1"/>
  <c r="HC86" i="1"/>
  <c r="GX86" i="1" s="1"/>
  <c r="CJ96" i="1" s="1"/>
  <c r="C87" i="1"/>
  <c r="D87" i="1"/>
  <c r="P87" i="1"/>
  <c r="R87" i="1"/>
  <c r="AC87" i="1"/>
  <c r="AD87" i="1"/>
  <c r="AB87" i="1" s="1"/>
  <c r="AE87" i="1"/>
  <c r="Q87" i="1" s="1"/>
  <c r="AF87" i="1"/>
  <c r="S87" i="1" s="1"/>
  <c r="AG87" i="1"/>
  <c r="AH87" i="1"/>
  <c r="CV87" i="1" s="1"/>
  <c r="U87" i="1" s="1"/>
  <c r="AI87" i="1"/>
  <c r="AJ87" i="1"/>
  <c r="CX87" i="1" s="1"/>
  <c r="W87" i="1" s="1"/>
  <c r="CQ87" i="1"/>
  <c r="CR87" i="1"/>
  <c r="CS87" i="1"/>
  <c r="CU87" i="1"/>
  <c r="T87" i="1" s="1"/>
  <c r="CW87" i="1"/>
  <c r="V87" i="1" s="1"/>
  <c r="FR87" i="1"/>
  <c r="GK87" i="1"/>
  <c r="GL87" i="1"/>
  <c r="GN87" i="1"/>
  <c r="GP87" i="1"/>
  <c r="GV87" i="1"/>
  <c r="GX87" i="1"/>
  <c r="HC87" i="1"/>
  <c r="I88" i="1"/>
  <c r="Q88" i="1" s="1"/>
  <c r="R88" i="1"/>
  <c r="GK88" i="1" s="1"/>
  <c r="AC88" i="1"/>
  <c r="P88" i="1" s="1"/>
  <c r="CP88" i="1" s="1"/>
  <c r="O88" i="1" s="1"/>
  <c r="AE88" i="1"/>
  <c r="AD88" i="1" s="1"/>
  <c r="AB88" i="1" s="1"/>
  <c r="AF88" i="1"/>
  <c r="S88" i="1" s="1"/>
  <c r="AG88" i="1"/>
  <c r="AH88" i="1"/>
  <c r="AI88" i="1"/>
  <c r="AJ88" i="1"/>
  <c r="CX88" i="1" s="1"/>
  <c r="W88" i="1" s="1"/>
  <c r="CQ88" i="1"/>
  <c r="CR88" i="1"/>
  <c r="CS88" i="1"/>
  <c r="CU88" i="1"/>
  <c r="T88" i="1" s="1"/>
  <c r="CV88" i="1"/>
  <c r="U88" i="1" s="1"/>
  <c r="CW88" i="1"/>
  <c r="V88" i="1" s="1"/>
  <c r="FR88" i="1"/>
  <c r="GL88" i="1"/>
  <c r="GN88" i="1"/>
  <c r="GP88" i="1"/>
  <c r="GV88" i="1"/>
  <c r="HC88" i="1" s="1"/>
  <c r="GX88" i="1" s="1"/>
  <c r="C89" i="1"/>
  <c r="D89" i="1"/>
  <c r="S89" i="1"/>
  <c r="CZ89" i="1" s="1"/>
  <c r="Y89" i="1" s="1"/>
  <c r="AC89" i="1"/>
  <c r="AE89" i="1"/>
  <c r="Q89" i="1" s="1"/>
  <c r="AF89" i="1"/>
  <c r="AG89" i="1"/>
  <c r="CU89" i="1" s="1"/>
  <c r="T89" i="1" s="1"/>
  <c r="AH89" i="1"/>
  <c r="AI89" i="1"/>
  <c r="AJ89" i="1"/>
  <c r="CR89" i="1"/>
  <c r="CS89" i="1"/>
  <c r="CT89" i="1"/>
  <c r="CV89" i="1"/>
  <c r="U89" i="1" s="1"/>
  <c r="CW89" i="1"/>
  <c r="V89" i="1" s="1"/>
  <c r="CX89" i="1"/>
  <c r="W89" i="1" s="1"/>
  <c r="FR89" i="1"/>
  <c r="GL89" i="1"/>
  <c r="GN89" i="1"/>
  <c r="GP89" i="1"/>
  <c r="GV89" i="1"/>
  <c r="HC89" i="1"/>
  <c r="GX89" i="1" s="1"/>
  <c r="I90" i="1"/>
  <c r="S90" i="1"/>
  <c r="AC90" i="1"/>
  <c r="P90" i="1" s="1"/>
  <c r="AE90" i="1"/>
  <c r="AD90" i="1" s="1"/>
  <c r="AF90" i="1"/>
  <c r="AG90" i="1"/>
  <c r="AH90" i="1"/>
  <c r="AI90" i="1"/>
  <c r="CW90" i="1" s="1"/>
  <c r="V90" i="1" s="1"/>
  <c r="AJ90" i="1"/>
  <c r="CQ90" i="1"/>
  <c r="CR90" i="1"/>
  <c r="CT90" i="1"/>
  <c r="CU90" i="1"/>
  <c r="T90" i="1" s="1"/>
  <c r="CV90" i="1"/>
  <c r="U90" i="1" s="1"/>
  <c r="CX90" i="1"/>
  <c r="W90" i="1" s="1"/>
  <c r="CY90" i="1"/>
  <c r="X90" i="1" s="1"/>
  <c r="CZ90" i="1"/>
  <c r="Y90" i="1" s="1"/>
  <c r="FR90" i="1"/>
  <c r="GL90" i="1"/>
  <c r="GN90" i="1"/>
  <c r="GP90" i="1"/>
  <c r="GV90" i="1"/>
  <c r="HC90" i="1" s="1"/>
  <c r="GX90" i="1" s="1"/>
  <c r="C91" i="1"/>
  <c r="D91" i="1"/>
  <c r="P91" i="1"/>
  <c r="R91" i="1"/>
  <c r="GK91" i="1" s="1"/>
  <c r="V91" i="1"/>
  <c r="AB91" i="1"/>
  <c r="AC91" i="1"/>
  <c r="AE91" i="1"/>
  <c r="AD91" i="1" s="1"/>
  <c r="AF91" i="1"/>
  <c r="AG91" i="1"/>
  <c r="AH91" i="1"/>
  <c r="AI91" i="1"/>
  <c r="AJ91" i="1"/>
  <c r="CX91" i="1" s="1"/>
  <c r="W91" i="1" s="1"/>
  <c r="CQ91" i="1"/>
  <c r="CR91" i="1"/>
  <c r="CS91" i="1"/>
  <c r="CU91" i="1"/>
  <c r="T91" i="1" s="1"/>
  <c r="CV91" i="1"/>
  <c r="U91" i="1" s="1"/>
  <c r="CW91" i="1"/>
  <c r="FR91" i="1"/>
  <c r="GL91" i="1"/>
  <c r="GN91" i="1"/>
  <c r="GP91" i="1"/>
  <c r="GV91" i="1"/>
  <c r="HC91" i="1" s="1"/>
  <c r="GX91" i="1" s="1"/>
  <c r="I92" i="1"/>
  <c r="Q92" i="1" s="1"/>
  <c r="P92" i="1"/>
  <c r="CP92" i="1" s="1"/>
  <c r="O92" i="1" s="1"/>
  <c r="S92" i="1"/>
  <c r="CZ92" i="1" s="1"/>
  <c r="Y92" i="1" s="1"/>
  <c r="V92" i="1"/>
  <c r="AC92" i="1"/>
  <c r="AD92" i="1"/>
  <c r="AE92" i="1"/>
  <c r="AF92" i="1"/>
  <c r="AG92" i="1"/>
  <c r="CU92" i="1" s="1"/>
  <c r="T92" i="1" s="1"/>
  <c r="AH92" i="1"/>
  <c r="CV92" i="1" s="1"/>
  <c r="AI92" i="1"/>
  <c r="AJ92" i="1"/>
  <c r="CR92" i="1"/>
  <c r="CS92" i="1"/>
  <c r="CT92" i="1"/>
  <c r="CW92" i="1"/>
  <c r="CX92" i="1"/>
  <c r="W92" i="1" s="1"/>
  <c r="CY92" i="1"/>
  <c r="X92" i="1" s="1"/>
  <c r="FR92" i="1"/>
  <c r="GL92" i="1"/>
  <c r="GN92" i="1"/>
  <c r="GP92" i="1"/>
  <c r="GV92" i="1"/>
  <c r="GX92" i="1"/>
  <c r="HC92" i="1"/>
  <c r="I93" i="1"/>
  <c r="Q93" i="1"/>
  <c r="S93" i="1"/>
  <c r="CY93" i="1" s="1"/>
  <c r="X93" i="1" s="1"/>
  <c r="U93" i="1"/>
  <c r="AC93" i="1"/>
  <c r="P93" i="1" s="1"/>
  <c r="CP93" i="1" s="1"/>
  <c r="O93" i="1" s="1"/>
  <c r="AE93" i="1"/>
  <c r="AF93" i="1"/>
  <c r="AG93" i="1"/>
  <c r="CU93" i="1" s="1"/>
  <c r="T93" i="1" s="1"/>
  <c r="AH93" i="1"/>
  <c r="AI93" i="1"/>
  <c r="CW93" i="1" s="1"/>
  <c r="V93" i="1" s="1"/>
  <c r="AJ93" i="1"/>
  <c r="CR93" i="1"/>
  <c r="CT93" i="1"/>
  <c r="CV93" i="1"/>
  <c r="CX93" i="1"/>
  <c r="W93" i="1" s="1"/>
  <c r="CZ93" i="1"/>
  <c r="Y93" i="1" s="1"/>
  <c r="FR93" i="1"/>
  <c r="GL93" i="1"/>
  <c r="GN93" i="1"/>
  <c r="GP93" i="1"/>
  <c r="GV93" i="1"/>
  <c r="HC93" i="1" s="1"/>
  <c r="GX93" i="1" s="1"/>
  <c r="I94" i="1"/>
  <c r="S94" i="1"/>
  <c r="AC94" i="1"/>
  <c r="AE94" i="1"/>
  <c r="Q94" i="1" s="1"/>
  <c r="AF94" i="1"/>
  <c r="AG94" i="1"/>
  <c r="CU94" i="1" s="1"/>
  <c r="T94" i="1" s="1"/>
  <c r="AH94" i="1"/>
  <c r="AI94" i="1"/>
  <c r="CW94" i="1" s="1"/>
  <c r="V94" i="1" s="1"/>
  <c r="AJ94" i="1"/>
  <c r="CR94" i="1"/>
  <c r="CT94" i="1"/>
  <c r="CV94" i="1"/>
  <c r="U94" i="1" s="1"/>
  <c r="CX94" i="1"/>
  <c r="W94" i="1" s="1"/>
  <c r="FR94" i="1"/>
  <c r="GL94" i="1"/>
  <c r="GN94" i="1"/>
  <c r="GP94" i="1"/>
  <c r="GV94" i="1"/>
  <c r="HC94" i="1"/>
  <c r="GX94" i="1" s="1"/>
  <c r="B96" i="1"/>
  <c r="B82" i="1" s="1"/>
  <c r="C96" i="1"/>
  <c r="C82" i="1" s="1"/>
  <c r="D96" i="1"/>
  <c r="D82" i="1" s="1"/>
  <c r="F96" i="1"/>
  <c r="F82" i="1" s="1"/>
  <c r="G96" i="1"/>
  <c r="G82" i="1" s="1"/>
  <c r="AI96" i="1"/>
  <c r="BX96" i="1"/>
  <c r="BY96" i="1"/>
  <c r="BY82" i="1" s="1"/>
  <c r="BZ96" i="1"/>
  <c r="BZ82" i="1" s="1"/>
  <c r="CD96" i="1"/>
  <c r="CD82" i="1" s="1"/>
  <c r="CK96" i="1"/>
  <c r="CK82" i="1" s="1"/>
  <c r="CL96" i="1"/>
  <c r="CL82" i="1" s="1"/>
  <c r="CM96" i="1"/>
  <c r="CM82" i="1" s="1"/>
  <c r="D126" i="1"/>
  <c r="E128" i="1"/>
  <c r="Z128" i="1"/>
  <c r="AA128" i="1"/>
  <c r="AM128" i="1"/>
  <c r="AN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CZ128" i="1"/>
  <c r="DA128" i="1"/>
  <c r="DB128" i="1"/>
  <c r="DC128" i="1"/>
  <c r="DD128" i="1"/>
  <c r="DE128" i="1"/>
  <c r="DF128" i="1"/>
  <c r="DG128" i="1"/>
  <c r="DH128" i="1"/>
  <c r="DI128" i="1"/>
  <c r="DJ128" i="1"/>
  <c r="DK128" i="1"/>
  <c r="DL128" i="1"/>
  <c r="DM128" i="1"/>
  <c r="DN128" i="1"/>
  <c r="DO128" i="1"/>
  <c r="DP128" i="1"/>
  <c r="DQ128" i="1"/>
  <c r="DR128" i="1"/>
  <c r="DS128" i="1"/>
  <c r="DT128" i="1"/>
  <c r="DU128" i="1"/>
  <c r="DV128" i="1"/>
  <c r="DW128" i="1"/>
  <c r="DX128" i="1"/>
  <c r="DY128" i="1"/>
  <c r="DZ128" i="1"/>
  <c r="EA128" i="1"/>
  <c r="EB128" i="1"/>
  <c r="EC128" i="1"/>
  <c r="ED128" i="1"/>
  <c r="EE128" i="1"/>
  <c r="EF128" i="1"/>
  <c r="EG128" i="1"/>
  <c r="EH128" i="1"/>
  <c r="EI128" i="1"/>
  <c r="EJ128" i="1"/>
  <c r="EK128" i="1"/>
  <c r="EL128" i="1"/>
  <c r="EM128" i="1"/>
  <c r="EN128" i="1"/>
  <c r="EO128" i="1"/>
  <c r="EP128" i="1"/>
  <c r="EQ128" i="1"/>
  <c r="ER128" i="1"/>
  <c r="ES128" i="1"/>
  <c r="ET128" i="1"/>
  <c r="EU128" i="1"/>
  <c r="EV128" i="1"/>
  <c r="EW128" i="1"/>
  <c r="EX128" i="1"/>
  <c r="EY128" i="1"/>
  <c r="EZ128" i="1"/>
  <c r="FA128" i="1"/>
  <c r="FB128" i="1"/>
  <c r="FC128" i="1"/>
  <c r="FD128" i="1"/>
  <c r="FE128" i="1"/>
  <c r="FF128" i="1"/>
  <c r="FG128" i="1"/>
  <c r="FH128" i="1"/>
  <c r="FI128" i="1"/>
  <c r="FJ128" i="1"/>
  <c r="FK128" i="1"/>
  <c r="FL128" i="1"/>
  <c r="FM128" i="1"/>
  <c r="FN128" i="1"/>
  <c r="FO128" i="1"/>
  <c r="FP128" i="1"/>
  <c r="FQ128" i="1"/>
  <c r="FR128" i="1"/>
  <c r="FS128" i="1"/>
  <c r="FT128" i="1"/>
  <c r="FU128" i="1"/>
  <c r="FV128" i="1"/>
  <c r="FW128" i="1"/>
  <c r="FX128" i="1"/>
  <c r="FY128" i="1"/>
  <c r="FZ128" i="1"/>
  <c r="GA128" i="1"/>
  <c r="GB128" i="1"/>
  <c r="GC128" i="1"/>
  <c r="GD128" i="1"/>
  <c r="GE128" i="1"/>
  <c r="GF128" i="1"/>
  <c r="GG128" i="1"/>
  <c r="GH128" i="1"/>
  <c r="GI128" i="1"/>
  <c r="GJ128" i="1"/>
  <c r="GK128" i="1"/>
  <c r="GL128" i="1"/>
  <c r="GM128" i="1"/>
  <c r="GN128" i="1"/>
  <c r="GO128" i="1"/>
  <c r="GP128" i="1"/>
  <c r="GQ128" i="1"/>
  <c r="GR128" i="1"/>
  <c r="GS128" i="1"/>
  <c r="GT128" i="1"/>
  <c r="GU128" i="1"/>
  <c r="GV128" i="1"/>
  <c r="GW128" i="1"/>
  <c r="GX128" i="1"/>
  <c r="C130" i="1"/>
  <c r="D130" i="1"/>
  <c r="S130" i="1"/>
  <c r="AC130" i="1"/>
  <c r="AE130" i="1"/>
  <c r="Q130" i="1" s="1"/>
  <c r="AF130" i="1"/>
  <c r="AG130" i="1"/>
  <c r="CU130" i="1" s="1"/>
  <c r="T130" i="1" s="1"/>
  <c r="AH130" i="1"/>
  <c r="AI130" i="1"/>
  <c r="CW130" i="1" s="1"/>
  <c r="V130" i="1" s="1"/>
  <c r="AJ130" i="1"/>
  <c r="CR130" i="1"/>
  <c r="CT130" i="1"/>
  <c r="CV130" i="1"/>
  <c r="U130" i="1" s="1"/>
  <c r="CX130" i="1"/>
  <c r="W130" i="1" s="1"/>
  <c r="FR130" i="1"/>
  <c r="GL130" i="1"/>
  <c r="GN130" i="1"/>
  <c r="GP130" i="1"/>
  <c r="GV130" i="1"/>
  <c r="HC130" i="1"/>
  <c r="GX130" i="1" s="1"/>
  <c r="I131" i="1"/>
  <c r="Q131" i="1"/>
  <c r="S131" i="1"/>
  <c r="CY131" i="1" s="1"/>
  <c r="X131" i="1" s="1"/>
  <c r="AC131" i="1"/>
  <c r="P131" i="1" s="1"/>
  <c r="CP131" i="1" s="1"/>
  <c r="O131" i="1" s="1"/>
  <c r="AE131" i="1"/>
  <c r="AF131" i="1"/>
  <c r="AG131" i="1"/>
  <c r="CU131" i="1" s="1"/>
  <c r="T131" i="1" s="1"/>
  <c r="AH131" i="1"/>
  <c r="AI131" i="1"/>
  <c r="CW131" i="1" s="1"/>
  <c r="V131" i="1" s="1"/>
  <c r="AJ131" i="1"/>
  <c r="CT131" i="1"/>
  <c r="CV131" i="1"/>
  <c r="U131" i="1" s="1"/>
  <c r="CX131" i="1"/>
  <c r="W131" i="1" s="1"/>
  <c r="CZ131" i="1"/>
  <c r="Y131" i="1" s="1"/>
  <c r="FR131" i="1"/>
  <c r="GL131" i="1"/>
  <c r="GN131" i="1"/>
  <c r="GP131" i="1"/>
  <c r="GV131" i="1"/>
  <c r="HC131" i="1" s="1"/>
  <c r="GX131" i="1" s="1"/>
  <c r="P132" i="1"/>
  <c r="R132" i="1"/>
  <c r="GK132" i="1" s="1"/>
  <c r="T132" i="1"/>
  <c r="AC132" i="1"/>
  <c r="AD132" i="1"/>
  <c r="AB132" i="1" s="1"/>
  <c r="AE132" i="1"/>
  <c r="Q132" i="1" s="1"/>
  <c r="AF132" i="1"/>
  <c r="S132" i="1" s="1"/>
  <c r="CZ132" i="1" s="1"/>
  <c r="Y132" i="1" s="1"/>
  <c r="AG132" i="1"/>
  <c r="AH132" i="1"/>
  <c r="CV132" i="1" s="1"/>
  <c r="U132" i="1" s="1"/>
  <c r="AI132" i="1"/>
  <c r="AJ132" i="1"/>
  <c r="CX132" i="1" s="1"/>
  <c r="W132" i="1" s="1"/>
  <c r="CQ132" i="1"/>
  <c r="CR132" i="1"/>
  <c r="CS132" i="1"/>
  <c r="CU132" i="1"/>
  <c r="CW132" i="1"/>
  <c r="V132" i="1" s="1"/>
  <c r="FR132" i="1"/>
  <c r="GL132" i="1"/>
  <c r="GN132" i="1"/>
  <c r="GP132" i="1"/>
  <c r="GV132" i="1"/>
  <c r="HC132" i="1" s="1"/>
  <c r="GX132" i="1" s="1"/>
  <c r="C133" i="1"/>
  <c r="D133" i="1"/>
  <c r="S133" i="1"/>
  <c r="CY133" i="1" s="1"/>
  <c r="X133" i="1" s="1"/>
  <c r="AC133" i="1"/>
  <c r="P133" i="1" s="1"/>
  <c r="AE133" i="1"/>
  <c r="AF133" i="1"/>
  <c r="AG133" i="1"/>
  <c r="CU133" i="1" s="1"/>
  <c r="T133" i="1" s="1"/>
  <c r="AH133" i="1"/>
  <c r="AI133" i="1"/>
  <c r="CW133" i="1" s="1"/>
  <c r="V133" i="1" s="1"/>
  <c r="AJ133" i="1"/>
  <c r="CT133" i="1"/>
  <c r="CV133" i="1"/>
  <c r="U133" i="1" s="1"/>
  <c r="CX133" i="1"/>
  <c r="W133" i="1" s="1"/>
  <c r="CZ133" i="1"/>
  <c r="Y133" i="1" s="1"/>
  <c r="FR133" i="1"/>
  <c r="GL133" i="1"/>
  <c r="GN133" i="1"/>
  <c r="GP133" i="1"/>
  <c r="GV133" i="1"/>
  <c r="HC133" i="1" s="1"/>
  <c r="GX133" i="1" s="1"/>
  <c r="I134" i="1"/>
  <c r="S134" i="1"/>
  <c r="AC134" i="1"/>
  <c r="AE134" i="1"/>
  <c r="Q134" i="1" s="1"/>
  <c r="AF134" i="1"/>
  <c r="AG134" i="1"/>
  <c r="CU134" i="1" s="1"/>
  <c r="T134" i="1" s="1"/>
  <c r="AH134" i="1"/>
  <c r="AI134" i="1"/>
  <c r="CW134" i="1" s="1"/>
  <c r="V134" i="1" s="1"/>
  <c r="AJ134" i="1"/>
  <c r="CR134" i="1"/>
  <c r="CT134" i="1"/>
  <c r="CV134" i="1"/>
  <c r="U134" i="1" s="1"/>
  <c r="CX134" i="1"/>
  <c r="W134" i="1" s="1"/>
  <c r="FR134" i="1"/>
  <c r="GL134" i="1"/>
  <c r="GN134" i="1"/>
  <c r="GP134" i="1"/>
  <c r="GV134" i="1"/>
  <c r="HC134" i="1"/>
  <c r="GX134" i="1" s="1"/>
  <c r="I135" i="1"/>
  <c r="S135" i="1"/>
  <c r="CY135" i="1" s="1"/>
  <c r="X135" i="1" s="1"/>
  <c r="U135" i="1"/>
  <c r="AC135" i="1"/>
  <c r="P135" i="1" s="1"/>
  <c r="AE135" i="1"/>
  <c r="AF135" i="1"/>
  <c r="AG135" i="1"/>
  <c r="CU135" i="1" s="1"/>
  <c r="T135" i="1" s="1"/>
  <c r="AH135" i="1"/>
  <c r="AI135" i="1"/>
  <c r="CW135" i="1" s="1"/>
  <c r="V135" i="1" s="1"/>
  <c r="AJ135" i="1"/>
  <c r="CR135" i="1"/>
  <c r="CT135" i="1"/>
  <c r="CV135" i="1"/>
  <c r="CX135" i="1"/>
  <c r="W135" i="1" s="1"/>
  <c r="CZ135" i="1"/>
  <c r="Y135" i="1" s="1"/>
  <c r="FR135" i="1"/>
  <c r="GL135" i="1"/>
  <c r="GN135" i="1"/>
  <c r="GP135" i="1"/>
  <c r="GV135" i="1"/>
  <c r="HC135" i="1" s="1"/>
  <c r="GX135" i="1" s="1"/>
  <c r="I136" i="1"/>
  <c r="S136" i="1"/>
  <c r="AC136" i="1"/>
  <c r="AE136" i="1"/>
  <c r="Q136" i="1" s="1"/>
  <c r="AF136" i="1"/>
  <c r="AG136" i="1"/>
  <c r="CU136" i="1" s="1"/>
  <c r="T136" i="1" s="1"/>
  <c r="AH136" i="1"/>
  <c r="AI136" i="1"/>
  <c r="CW136" i="1" s="1"/>
  <c r="V136" i="1" s="1"/>
  <c r="AJ136" i="1"/>
  <c r="CR136" i="1"/>
  <c r="CT136" i="1"/>
  <c r="CV136" i="1"/>
  <c r="U136" i="1" s="1"/>
  <c r="CX136" i="1"/>
  <c r="W136" i="1" s="1"/>
  <c r="FR136" i="1"/>
  <c r="GL136" i="1"/>
  <c r="GN136" i="1"/>
  <c r="GP136" i="1"/>
  <c r="GV136" i="1"/>
  <c r="HC136" i="1"/>
  <c r="GX136" i="1" s="1"/>
  <c r="I137" i="1"/>
  <c r="Q137" i="1"/>
  <c r="S137" i="1"/>
  <c r="CY137" i="1" s="1"/>
  <c r="X137" i="1" s="1"/>
  <c r="U137" i="1"/>
  <c r="AC137" i="1"/>
  <c r="P137" i="1" s="1"/>
  <c r="CP137" i="1" s="1"/>
  <c r="O137" i="1" s="1"/>
  <c r="AE137" i="1"/>
  <c r="AF137" i="1"/>
  <c r="AG137" i="1"/>
  <c r="CU137" i="1" s="1"/>
  <c r="T137" i="1" s="1"/>
  <c r="AH137" i="1"/>
  <c r="AI137" i="1"/>
  <c r="CW137" i="1" s="1"/>
  <c r="V137" i="1" s="1"/>
  <c r="AJ137" i="1"/>
  <c r="CR137" i="1"/>
  <c r="CT137" i="1"/>
  <c r="CV137" i="1"/>
  <c r="CX137" i="1"/>
  <c r="W137" i="1" s="1"/>
  <c r="CZ137" i="1"/>
  <c r="Y137" i="1" s="1"/>
  <c r="FR137" i="1"/>
  <c r="GL137" i="1"/>
  <c r="GN137" i="1"/>
  <c r="GP137" i="1"/>
  <c r="GV137" i="1"/>
  <c r="HC137" i="1" s="1"/>
  <c r="GX137" i="1" s="1"/>
  <c r="I138" i="1"/>
  <c r="S138" i="1"/>
  <c r="AC138" i="1"/>
  <c r="AE138" i="1"/>
  <c r="Q138" i="1" s="1"/>
  <c r="AF138" i="1"/>
  <c r="AG138" i="1"/>
  <c r="CU138" i="1" s="1"/>
  <c r="T138" i="1" s="1"/>
  <c r="AH138" i="1"/>
  <c r="AI138" i="1"/>
  <c r="CW138" i="1" s="1"/>
  <c r="V138" i="1" s="1"/>
  <c r="AJ138" i="1"/>
  <c r="CR138" i="1"/>
  <c r="CT138" i="1"/>
  <c r="CV138" i="1"/>
  <c r="U138" i="1" s="1"/>
  <c r="CX138" i="1"/>
  <c r="W138" i="1" s="1"/>
  <c r="FR138" i="1"/>
  <c r="GL138" i="1"/>
  <c r="GN138" i="1"/>
  <c r="GP138" i="1"/>
  <c r="GV138" i="1"/>
  <c r="HC138" i="1"/>
  <c r="GX138" i="1" s="1"/>
  <c r="C139" i="1"/>
  <c r="D139" i="1"/>
  <c r="P139" i="1"/>
  <c r="R139" i="1"/>
  <c r="GK139" i="1" s="1"/>
  <c r="AC139" i="1"/>
  <c r="AD139" i="1"/>
  <c r="AB139" i="1" s="1"/>
  <c r="AE139" i="1"/>
  <c r="Q139" i="1" s="1"/>
  <c r="AF139" i="1"/>
  <c r="S139" i="1" s="1"/>
  <c r="CZ139" i="1" s="1"/>
  <c r="Y139" i="1" s="1"/>
  <c r="AG139" i="1"/>
  <c r="AH139" i="1"/>
  <c r="CV139" i="1" s="1"/>
  <c r="U139" i="1" s="1"/>
  <c r="AI139" i="1"/>
  <c r="AJ139" i="1"/>
  <c r="CX139" i="1" s="1"/>
  <c r="W139" i="1" s="1"/>
  <c r="CQ139" i="1"/>
  <c r="CR139" i="1"/>
  <c r="CS139" i="1"/>
  <c r="CU139" i="1"/>
  <c r="T139" i="1" s="1"/>
  <c r="CW139" i="1"/>
  <c r="V139" i="1" s="1"/>
  <c r="FR139" i="1"/>
  <c r="GL139" i="1"/>
  <c r="GN139" i="1"/>
  <c r="GP139" i="1"/>
  <c r="GV139" i="1"/>
  <c r="HC139" i="1" s="1"/>
  <c r="GX139" i="1" s="1"/>
  <c r="I140" i="1"/>
  <c r="R140" i="1" s="1"/>
  <c r="GK140" i="1" s="1"/>
  <c r="AC140" i="1"/>
  <c r="AD140" i="1"/>
  <c r="AE140" i="1"/>
  <c r="AF140" i="1"/>
  <c r="AG140" i="1"/>
  <c r="AH140" i="1"/>
  <c r="CV140" i="1" s="1"/>
  <c r="AI140" i="1"/>
  <c r="AJ140" i="1"/>
  <c r="CX140" i="1" s="1"/>
  <c r="CQ140" i="1"/>
  <c r="CR140" i="1"/>
  <c r="CS140" i="1"/>
  <c r="CU140" i="1"/>
  <c r="CW140" i="1"/>
  <c r="V140" i="1" s="1"/>
  <c r="FR140" i="1"/>
  <c r="GL140" i="1"/>
  <c r="GN140" i="1"/>
  <c r="GP140" i="1"/>
  <c r="GV140" i="1"/>
  <c r="HC140" i="1"/>
  <c r="I141" i="1"/>
  <c r="Q141" i="1" s="1"/>
  <c r="P141" i="1"/>
  <c r="R141" i="1"/>
  <c r="GK141" i="1" s="1"/>
  <c r="AC141" i="1"/>
  <c r="AD141" i="1"/>
  <c r="AB141" i="1" s="1"/>
  <c r="AE141" i="1"/>
  <c r="AF141" i="1"/>
  <c r="S141" i="1" s="1"/>
  <c r="CZ141" i="1" s="1"/>
  <c r="Y141" i="1" s="1"/>
  <c r="AG141" i="1"/>
  <c r="AH141" i="1"/>
  <c r="CV141" i="1" s="1"/>
  <c r="U141" i="1" s="1"/>
  <c r="AI141" i="1"/>
  <c r="AJ141" i="1"/>
  <c r="CX141" i="1" s="1"/>
  <c r="W141" i="1" s="1"/>
  <c r="CQ141" i="1"/>
  <c r="CR141" i="1"/>
  <c r="CS141" i="1"/>
  <c r="CU141" i="1"/>
  <c r="T141" i="1" s="1"/>
  <c r="CW141" i="1"/>
  <c r="V141" i="1" s="1"/>
  <c r="FR141" i="1"/>
  <c r="GL141" i="1"/>
  <c r="GN141" i="1"/>
  <c r="GP141" i="1"/>
  <c r="GV141" i="1"/>
  <c r="HC141" i="1" s="1"/>
  <c r="GX141" i="1" s="1"/>
  <c r="C142" i="1"/>
  <c r="D142" i="1"/>
  <c r="S142" i="1"/>
  <c r="CY142" i="1" s="1"/>
  <c r="X142" i="1" s="1"/>
  <c r="U142" i="1"/>
  <c r="AC142" i="1"/>
  <c r="P142" i="1" s="1"/>
  <c r="AE142" i="1"/>
  <c r="AF142" i="1"/>
  <c r="AG142" i="1"/>
  <c r="CU142" i="1" s="1"/>
  <c r="T142" i="1" s="1"/>
  <c r="AH142" i="1"/>
  <c r="AI142" i="1"/>
  <c r="CW142" i="1" s="1"/>
  <c r="V142" i="1" s="1"/>
  <c r="AJ142" i="1"/>
  <c r="CR142" i="1"/>
  <c r="CT142" i="1"/>
  <c r="CV142" i="1"/>
  <c r="CX142" i="1"/>
  <c r="W142" i="1" s="1"/>
  <c r="CZ142" i="1"/>
  <c r="Y142" i="1" s="1"/>
  <c r="FR142" i="1"/>
  <c r="GL142" i="1"/>
  <c r="GN142" i="1"/>
  <c r="GP142" i="1"/>
  <c r="GV142" i="1"/>
  <c r="HC142" i="1" s="1"/>
  <c r="GX142" i="1" s="1"/>
  <c r="I143" i="1"/>
  <c r="S143" i="1"/>
  <c r="AC143" i="1"/>
  <c r="AE143" i="1"/>
  <c r="Q143" i="1" s="1"/>
  <c r="AF143" i="1"/>
  <c r="AG143" i="1"/>
  <c r="CU143" i="1" s="1"/>
  <c r="T143" i="1" s="1"/>
  <c r="AH143" i="1"/>
  <c r="AI143" i="1"/>
  <c r="CW143" i="1" s="1"/>
  <c r="V143" i="1" s="1"/>
  <c r="AJ143" i="1"/>
  <c r="CR143" i="1"/>
  <c r="CT143" i="1"/>
  <c r="CV143" i="1"/>
  <c r="U143" i="1" s="1"/>
  <c r="CX143" i="1"/>
  <c r="W143" i="1" s="1"/>
  <c r="FR143" i="1"/>
  <c r="GL143" i="1"/>
  <c r="GN143" i="1"/>
  <c r="GP143" i="1"/>
  <c r="GV143" i="1"/>
  <c r="HC143" i="1"/>
  <c r="GX143" i="1" s="1"/>
  <c r="C144" i="1"/>
  <c r="D144" i="1"/>
  <c r="P144" i="1"/>
  <c r="R144" i="1"/>
  <c r="GK144" i="1" s="1"/>
  <c r="T144" i="1"/>
  <c r="AC144" i="1"/>
  <c r="AD144" i="1"/>
  <c r="AB144" i="1" s="1"/>
  <c r="AE144" i="1"/>
  <c r="Q144" i="1" s="1"/>
  <c r="AF144" i="1"/>
  <c r="AG144" i="1"/>
  <c r="AH144" i="1"/>
  <c r="CV144" i="1" s="1"/>
  <c r="U144" i="1" s="1"/>
  <c r="AI144" i="1"/>
  <c r="AJ144" i="1"/>
  <c r="CX144" i="1" s="1"/>
  <c r="W144" i="1" s="1"/>
  <c r="CQ144" i="1"/>
  <c r="CR144" i="1"/>
  <c r="CS144" i="1"/>
  <c r="CU144" i="1"/>
  <c r="CW144" i="1"/>
  <c r="V144" i="1" s="1"/>
  <c r="FR144" i="1"/>
  <c r="GL144" i="1"/>
  <c r="GN144" i="1"/>
  <c r="GP144" i="1"/>
  <c r="GV144" i="1"/>
  <c r="HC144" i="1" s="1"/>
  <c r="GX144" i="1"/>
  <c r="I145" i="1"/>
  <c r="Q145" i="1" s="1"/>
  <c r="V145" i="1"/>
  <c r="AC145" i="1"/>
  <c r="AD145" i="1"/>
  <c r="AB145" i="1" s="1"/>
  <c r="AE145" i="1"/>
  <c r="AF145" i="1"/>
  <c r="AG145" i="1"/>
  <c r="AH145" i="1"/>
  <c r="CV145" i="1" s="1"/>
  <c r="U145" i="1" s="1"/>
  <c r="AI145" i="1"/>
  <c r="AJ145" i="1"/>
  <c r="CX145" i="1" s="1"/>
  <c r="CQ145" i="1"/>
  <c r="CR145" i="1"/>
  <c r="CS145" i="1"/>
  <c r="CU145" i="1"/>
  <c r="CW145" i="1"/>
  <c r="FR145" i="1"/>
  <c r="GL145" i="1"/>
  <c r="GN145" i="1"/>
  <c r="GP145" i="1"/>
  <c r="GV145" i="1"/>
  <c r="HC145" i="1"/>
  <c r="C146" i="1"/>
  <c r="D146" i="1"/>
  <c r="S146" i="1"/>
  <c r="CY146" i="1" s="1"/>
  <c r="X146" i="1" s="1"/>
  <c r="U146" i="1"/>
  <c r="AC146" i="1"/>
  <c r="AE146" i="1"/>
  <c r="AF146" i="1"/>
  <c r="AG146" i="1"/>
  <c r="CU146" i="1" s="1"/>
  <c r="T146" i="1" s="1"/>
  <c r="AH146" i="1"/>
  <c r="AI146" i="1"/>
  <c r="CW146" i="1" s="1"/>
  <c r="V146" i="1" s="1"/>
  <c r="AJ146" i="1"/>
  <c r="CR146" i="1"/>
  <c r="CT146" i="1"/>
  <c r="CV146" i="1"/>
  <c r="CX146" i="1"/>
  <c r="W146" i="1" s="1"/>
  <c r="CZ146" i="1"/>
  <c r="Y146" i="1" s="1"/>
  <c r="FR146" i="1"/>
  <c r="GL146" i="1"/>
  <c r="GN146" i="1"/>
  <c r="GP146" i="1"/>
  <c r="GV146" i="1"/>
  <c r="HC146" i="1" s="1"/>
  <c r="GX146" i="1" s="1"/>
  <c r="I147" i="1"/>
  <c r="Q147" i="1" s="1"/>
  <c r="R147" i="1"/>
  <c r="S147" i="1"/>
  <c r="CZ147" i="1" s="1"/>
  <c r="Y147" i="1" s="1"/>
  <c r="AC147" i="1"/>
  <c r="AB147" i="1" s="1"/>
  <c r="AD147" i="1"/>
  <c r="AE147" i="1"/>
  <c r="AF147" i="1"/>
  <c r="AG147" i="1"/>
  <c r="CU147" i="1" s="1"/>
  <c r="T147" i="1" s="1"/>
  <c r="AH147" i="1"/>
  <c r="CV147" i="1" s="1"/>
  <c r="U147" i="1" s="1"/>
  <c r="AI147" i="1"/>
  <c r="AJ147" i="1"/>
  <c r="CR147" i="1"/>
  <c r="CS147" i="1"/>
  <c r="CT147" i="1"/>
  <c r="CW147" i="1"/>
  <c r="V147" i="1" s="1"/>
  <c r="CX147" i="1"/>
  <c r="W147" i="1" s="1"/>
  <c r="FR147" i="1"/>
  <c r="GK147" i="1"/>
  <c r="GL147" i="1"/>
  <c r="GN147" i="1"/>
  <c r="GP147" i="1"/>
  <c r="GV147" i="1"/>
  <c r="HC147" i="1"/>
  <c r="GX147" i="1" s="1"/>
  <c r="C148" i="1"/>
  <c r="D148" i="1"/>
  <c r="P148" i="1"/>
  <c r="S148" i="1"/>
  <c r="AC148" i="1"/>
  <c r="AB148" i="1" s="1"/>
  <c r="AD148" i="1"/>
  <c r="AE148" i="1"/>
  <c r="R148" i="1" s="1"/>
  <c r="GK148" i="1" s="1"/>
  <c r="AF148" i="1"/>
  <c r="AG148" i="1"/>
  <c r="AH148" i="1"/>
  <c r="CV148" i="1" s="1"/>
  <c r="U148" i="1" s="1"/>
  <c r="AI148" i="1"/>
  <c r="CW148" i="1" s="1"/>
  <c r="V148" i="1" s="1"/>
  <c r="AJ148" i="1"/>
  <c r="CQ148" i="1"/>
  <c r="CR148" i="1"/>
  <c r="CT148" i="1"/>
  <c r="CU148" i="1"/>
  <c r="T148" i="1" s="1"/>
  <c r="CX148" i="1"/>
  <c r="W148" i="1" s="1"/>
  <c r="CY148" i="1"/>
  <c r="X148" i="1" s="1"/>
  <c r="CZ148" i="1"/>
  <c r="Y148" i="1" s="1"/>
  <c r="FR148" i="1"/>
  <c r="GL148" i="1"/>
  <c r="GN148" i="1"/>
  <c r="GP148" i="1"/>
  <c r="GV148" i="1"/>
  <c r="HC148" i="1" s="1"/>
  <c r="GX148" i="1" s="1"/>
  <c r="I149" i="1"/>
  <c r="Q149" i="1" s="1"/>
  <c r="R149" i="1"/>
  <c r="GK149" i="1" s="1"/>
  <c r="AC149" i="1"/>
  <c r="P149" i="1" s="1"/>
  <c r="AE149" i="1"/>
  <c r="AD149" i="1" s="1"/>
  <c r="AB149" i="1" s="1"/>
  <c r="AF149" i="1"/>
  <c r="S149" i="1" s="1"/>
  <c r="AG149" i="1"/>
  <c r="CU149" i="1" s="1"/>
  <c r="T149" i="1" s="1"/>
  <c r="AH149" i="1"/>
  <c r="AI149" i="1"/>
  <c r="AJ149" i="1"/>
  <c r="CX149" i="1" s="1"/>
  <c r="W149" i="1" s="1"/>
  <c r="CR149" i="1"/>
  <c r="CS149" i="1"/>
  <c r="CV149" i="1"/>
  <c r="U149" i="1" s="1"/>
  <c r="CW149" i="1"/>
  <c r="V149" i="1" s="1"/>
  <c r="FR149" i="1"/>
  <c r="GL149" i="1"/>
  <c r="GN149" i="1"/>
  <c r="CB157" i="1" s="1"/>
  <c r="GP149" i="1"/>
  <c r="GV149" i="1"/>
  <c r="GX149" i="1"/>
  <c r="HC149" i="1"/>
  <c r="C150" i="1"/>
  <c r="D150" i="1"/>
  <c r="I150" i="1"/>
  <c r="R150" i="1"/>
  <c r="GK150" i="1" s="1"/>
  <c r="V150" i="1"/>
  <c r="AC150" i="1"/>
  <c r="P150" i="1" s="1"/>
  <c r="AE150" i="1"/>
  <c r="AD150" i="1" s="1"/>
  <c r="AB150" i="1" s="1"/>
  <c r="AF150" i="1"/>
  <c r="S150" i="1" s="1"/>
  <c r="AG150" i="1"/>
  <c r="CU150" i="1" s="1"/>
  <c r="T150" i="1" s="1"/>
  <c r="AH150" i="1"/>
  <c r="AI150" i="1"/>
  <c r="AJ150" i="1"/>
  <c r="CX150" i="1" s="1"/>
  <c r="W150" i="1" s="1"/>
  <c r="CR150" i="1"/>
  <c r="CS150" i="1"/>
  <c r="CV150" i="1"/>
  <c r="U150" i="1" s="1"/>
  <c r="CW150" i="1"/>
  <c r="FR150" i="1"/>
  <c r="GL150" i="1"/>
  <c r="GN150" i="1"/>
  <c r="GP150" i="1"/>
  <c r="GV150" i="1"/>
  <c r="GX150" i="1"/>
  <c r="HC150" i="1"/>
  <c r="AC151" i="1"/>
  <c r="AB151" i="1" s="1"/>
  <c r="AD151" i="1"/>
  <c r="AE151" i="1"/>
  <c r="AF151" i="1"/>
  <c r="AG151" i="1"/>
  <c r="AH151" i="1"/>
  <c r="CV151" i="1" s="1"/>
  <c r="AI151" i="1"/>
  <c r="CW151" i="1" s="1"/>
  <c r="AJ151" i="1"/>
  <c r="CQ151" i="1"/>
  <c r="CR151" i="1"/>
  <c r="CT151" i="1"/>
  <c r="CU151" i="1"/>
  <c r="CX151" i="1"/>
  <c r="FR151" i="1"/>
  <c r="GL151" i="1"/>
  <c r="BZ157" i="1" s="1"/>
  <c r="GN151" i="1"/>
  <c r="GP151" i="1"/>
  <c r="CD157" i="1" s="1"/>
  <c r="GV151" i="1"/>
  <c r="HC151" i="1" s="1"/>
  <c r="C152" i="1"/>
  <c r="D152" i="1"/>
  <c r="I152" i="1"/>
  <c r="P152" i="1"/>
  <c r="S152" i="1"/>
  <c r="AC152" i="1"/>
  <c r="AB152" i="1" s="1"/>
  <c r="AD152" i="1"/>
  <c r="AE152" i="1"/>
  <c r="R152" i="1" s="1"/>
  <c r="GK152" i="1" s="1"/>
  <c r="AF152" i="1"/>
  <c r="AG152" i="1"/>
  <c r="AH152" i="1"/>
  <c r="CV152" i="1" s="1"/>
  <c r="U152" i="1" s="1"/>
  <c r="AI152" i="1"/>
  <c r="CW152" i="1" s="1"/>
  <c r="V152" i="1" s="1"/>
  <c r="AJ152" i="1"/>
  <c r="CQ152" i="1"/>
  <c r="CR152" i="1"/>
  <c r="CT152" i="1"/>
  <c r="CU152" i="1"/>
  <c r="T152" i="1" s="1"/>
  <c r="CX152" i="1"/>
  <c r="W152" i="1" s="1"/>
  <c r="CY152" i="1"/>
  <c r="X152" i="1" s="1"/>
  <c r="CZ152" i="1"/>
  <c r="Y152" i="1" s="1"/>
  <c r="FR152" i="1"/>
  <c r="GL152" i="1"/>
  <c r="GN152" i="1"/>
  <c r="GP152" i="1"/>
  <c r="GV152" i="1"/>
  <c r="HC152" i="1" s="1"/>
  <c r="GX152" i="1" s="1"/>
  <c r="I153" i="1"/>
  <c r="R153" i="1" s="1"/>
  <c r="GK153" i="1" s="1"/>
  <c r="AC153" i="1"/>
  <c r="P153" i="1" s="1"/>
  <c r="AE153" i="1"/>
  <c r="AD153" i="1" s="1"/>
  <c r="AB153" i="1" s="1"/>
  <c r="AF153" i="1"/>
  <c r="S153" i="1" s="1"/>
  <c r="AG153" i="1"/>
  <c r="CU153" i="1" s="1"/>
  <c r="T153" i="1" s="1"/>
  <c r="AH153" i="1"/>
  <c r="AI153" i="1"/>
  <c r="AJ153" i="1"/>
  <c r="CX153" i="1" s="1"/>
  <c r="W153" i="1" s="1"/>
  <c r="CR153" i="1"/>
  <c r="CS153" i="1"/>
  <c r="CV153" i="1"/>
  <c r="U153" i="1" s="1"/>
  <c r="CW153" i="1"/>
  <c r="V153" i="1" s="1"/>
  <c r="FR153" i="1"/>
  <c r="GL153" i="1"/>
  <c r="GN153" i="1"/>
  <c r="GP153" i="1"/>
  <c r="GV153" i="1"/>
  <c r="GX153" i="1"/>
  <c r="HC153" i="1"/>
  <c r="C154" i="1"/>
  <c r="D154" i="1"/>
  <c r="I154" i="1"/>
  <c r="AC154" i="1"/>
  <c r="P154" i="1" s="1"/>
  <c r="AE154" i="1"/>
  <c r="AD154" i="1" s="1"/>
  <c r="AB154" i="1" s="1"/>
  <c r="AF154" i="1"/>
  <c r="S154" i="1" s="1"/>
  <c r="AG154" i="1"/>
  <c r="CU154" i="1" s="1"/>
  <c r="T154" i="1" s="1"/>
  <c r="AH154" i="1"/>
  <c r="AI154" i="1"/>
  <c r="AJ154" i="1"/>
  <c r="CX154" i="1" s="1"/>
  <c r="W154" i="1" s="1"/>
  <c r="CR154" i="1"/>
  <c r="CS154" i="1"/>
  <c r="CV154" i="1"/>
  <c r="U154" i="1" s="1"/>
  <c r="CW154" i="1"/>
  <c r="V154" i="1" s="1"/>
  <c r="FR154" i="1"/>
  <c r="GL154" i="1"/>
  <c r="GN154" i="1"/>
  <c r="GP154" i="1"/>
  <c r="GV154" i="1"/>
  <c r="GX154" i="1"/>
  <c r="HC154" i="1"/>
  <c r="AC155" i="1"/>
  <c r="AB155" i="1" s="1"/>
  <c r="AD155" i="1"/>
  <c r="AE155" i="1"/>
  <c r="AF155" i="1"/>
  <c r="AG155" i="1"/>
  <c r="AH155" i="1"/>
  <c r="CV155" i="1" s="1"/>
  <c r="AI155" i="1"/>
  <c r="CW155" i="1" s="1"/>
  <c r="AJ155" i="1"/>
  <c r="CQ155" i="1"/>
  <c r="CR155" i="1"/>
  <c r="CT155" i="1"/>
  <c r="CU155" i="1"/>
  <c r="CX155" i="1"/>
  <c r="FR155" i="1"/>
  <c r="GL155" i="1"/>
  <c r="GN155" i="1"/>
  <c r="GP155" i="1"/>
  <c r="GV155" i="1"/>
  <c r="HC155" i="1" s="1"/>
  <c r="B157" i="1"/>
  <c r="B128" i="1" s="1"/>
  <c r="C157" i="1"/>
  <c r="C128" i="1" s="1"/>
  <c r="D157" i="1"/>
  <c r="D128" i="1" s="1"/>
  <c r="F157" i="1"/>
  <c r="F128" i="1" s="1"/>
  <c r="G157" i="1"/>
  <c r="G128" i="1" s="1"/>
  <c r="BX157" i="1"/>
  <c r="BX128" i="1" s="1"/>
  <c r="BY157" i="1"/>
  <c r="CI157" i="1" s="1"/>
  <c r="CK157" i="1"/>
  <c r="CK128" i="1" s="1"/>
  <c r="CL157" i="1"/>
  <c r="CL128" i="1" s="1"/>
  <c r="CM157" i="1"/>
  <c r="CM128" i="1" s="1"/>
  <c r="B187" i="1"/>
  <c r="B22" i="1" s="1"/>
  <c r="C187" i="1"/>
  <c r="C22" i="1" s="1"/>
  <c r="D187" i="1"/>
  <c r="D22" i="1" s="1"/>
  <c r="F187" i="1"/>
  <c r="F22" i="1" s="1"/>
  <c r="G187" i="1"/>
  <c r="G22" i="1" s="1"/>
  <c r="B217" i="1"/>
  <c r="B18" i="1" s="1"/>
  <c r="C217" i="1"/>
  <c r="C18" i="1" s="1"/>
  <c r="D217" i="1"/>
  <c r="D18" i="1" s="1"/>
  <c r="F217" i="1"/>
  <c r="F18" i="1" s="1"/>
  <c r="G217" i="1"/>
  <c r="G18" i="1" s="1"/>
  <c r="CP152" i="1" l="1"/>
  <c r="O152" i="1" s="1"/>
  <c r="CY149" i="1"/>
  <c r="X149" i="1" s="1"/>
  <c r="CZ149" i="1"/>
  <c r="Y149" i="1" s="1"/>
  <c r="CP153" i="1"/>
  <c r="O153" i="1" s="1"/>
  <c r="CD128" i="1"/>
  <c r="AU157" i="1"/>
  <c r="CY150" i="1"/>
  <c r="X150" i="1" s="1"/>
  <c r="CZ150" i="1"/>
  <c r="Y150" i="1" s="1"/>
  <c r="CB128" i="1"/>
  <c r="AS157" i="1"/>
  <c r="CJ82" i="1"/>
  <c r="BA96" i="1"/>
  <c r="CI128" i="1"/>
  <c r="AZ157" i="1"/>
  <c r="CY154" i="1"/>
  <c r="X154" i="1" s="1"/>
  <c r="CZ154" i="1"/>
  <c r="Y154" i="1" s="1"/>
  <c r="CP149" i="1"/>
  <c r="O149" i="1" s="1"/>
  <c r="CP148" i="1"/>
  <c r="O148" i="1" s="1"/>
  <c r="CY153" i="1"/>
  <c r="X153" i="1" s="1"/>
  <c r="CZ153" i="1"/>
  <c r="Y153" i="1" s="1"/>
  <c r="BZ128" i="1"/>
  <c r="CG157" i="1"/>
  <c r="AQ157" i="1"/>
  <c r="BC157" i="1"/>
  <c r="CT154" i="1"/>
  <c r="CT153" i="1"/>
  <c r="Q152" i="1"/>
  <c r="CT150" i="1"/>
  <c r="CT149" i="1"/>
  <c r="Q148" i="1"/>
  <c r="CY147" i="1"/>
  <c r="X147" i="1" s="1"/>
  <c r="CQ147" i="1"/>
  <c r="P147" i="1"/>
  <c r="CP147" i="1" s="1"/>
  <c r="O147" i="1" s="1"/>
  <c r="R146" i="1"/>
  <c r="GK146" i="1" s="1"/>
  <c r="CS146" i="1"/>
  <c r="AD146" i="1"/>
  <c r="AB146" i="1" s="1"/>
  <c r="P145" i="1"/>
  <c r="CP141" i="1"/>
  <c r="O141" i="1" s="1"/>
  <c r="U140" i="1"/>
  <c r="CP139" i="1"/>
  <c r="O139" i="1" s="1"/>
  <c r="CZ138" i="1"/>
  <c r="Y138" i="1" s="1"/>
  <c r="CY138" i="1"/>
  <c r="X138" i="1" s="1"/>
  <c r="P134" i="1"/>
  <c r="CP134" i="1" s="1"/>
  <c r="O134" i="1" s="1"/>
  <c r="CQ134" i="1"/>
  <c r="AD131" i="1"/>
  <c r="R131" i="1"/>
  <c r="GK131" i="1" s="1"/>
  <c r="GO131" i="1" s="1"/>
  <c r="CS131" i="1"/>
  <c r="CZ130" i="1"/>
  <c r="Y130" i="1" s="1"/>
  <c r="CY130" i="1"/>
  <c r="X130" i="1" s="1"/>
  <c r="BX82" i="1"/>
  <c r="CG96" i="1"/>
  <c r="AO96" i="1"/>
  <c r="CZ94" i="1"/>
  <c r="Y94" i="1" s="1"/>
  <c r="CY94" i="1"/>
  <c r="X94" i="1" s="1"/>
  <c r="AP157" i="1"/>
  <c r="CX71" i="3"/>
  <c r="CX70" i="3"/>
  <c r="CX67" i="3"/>
  <c r="CX66" i="3"/>
  <c r="P146" i="1"/>
  <c r="CP146" i="1" s="1"/>
  <c r="O146" i="1" s="1"/>
  <c r="CQ146" i="1"/>
  <c r="P143" i="1"/>
  <c r="CP143" i="1" s="1"/>
  <c r="O143" i="1" s="1"/>
  <c r="CQ143" i="1"/>
  <c r="P140" i="1"/>
  <c r="Q140" i="1"/>
  <c r="P136" i="1"/>
  <c r="CP136" i="1" s="1"/>
  <c r="O136" i="1" s="1"/>
  <c r="CQ136" i="1"/>
  <c r="AD133" i="1"/>
  <c r="R133" i="1"/>
  <c r="GK133" i="1" s="1"/>
  <c r="CS133" i="1"/>
  <c r="AI82" i="1"/>
  <c r="V96" i="1"/>
  <c r="AG96" i="1"/>
  <c r="CY87" i="1"/>
  <c r="X87" i="1" s="1"/>
  <c r="CZ87" i="1"/>
  <c r="Y87" i="1" s="1"/>
  <c r="AJ96" i="1"/>
  <c r="CY84" i="1"/>
  <c r="X84" i="1" s="1"/>
  <c r="CZ84" i="1"/>
  <c r="Y84" i="1" s="1"/>
  <c r="R154" i="1"/>
  <c r="GK154" i="1" s="1"/>
  <c r="AO157" i="1"/>
  <c r="Q154" i="1"/>
  <c r="CP154" i="1" s="1"/>
  <c r="O154" i="1" s="1"/>
  <c r="Q153" i="1"/>
  <c r="Q150" i="1"/>
  <c r="CP150" i="1" s="1"/>
  <c r="O150" i="1" s="1"/>
  <c r="Q146" i="1"/>
  <c r="T145" i="1"/>
  <c r="S144" i="1"/>
  <c r="CT144" i="1"/>
  <c r="AD142" i="1"/>
  <c r="R142" i="1"/>
  <c r="GK142" i="1" s="1"/>
  <c r="CS142" i="1"/>
  <c r="T140" i="1"/>
  <c r="W140" i="1"/>
  <c r="S140" i="1"/>
  <c r="CT140" i="1"/>
  <c r="AB140" i="1"/>
  <c r="P138" i="1"/>
  <c r="CP138" i="1" s="1"/>
  <c r="O138" i="1" s="1"/>
  <c r="CQ138" i="1"/>
  <c r="AD135" i="1"/>
  <c r="R135" i="1"/>
  <c r="GK135" i="1" s="1"/>
  <c r="CS135" i="1"/>
  <c r="CZ134" i="1"/>
  <c r="Y134" i="1" s="1"/>
  <c r="CY134" i="1"/>
  <c r="X134" i="1" s="1"/>
  <c r="CP133" i="1"/>
  <c r="O133" i="1" s="1"/>
  <c r="Q133" i="1"/>
  <c r="CY132" i="1"/>
  <c r="X132" i="1" s="1"/>
  <c r="CR131" i="1"/>
  <c r="AB130" i="1"/>
  <c r="P130" i="1"/>
  <c r="CQ130" i="1"/>
  <c r="BY128" i="1"/>
  <c r="AB94" i="1"/>
  <c r="P94" i="1"/>
  <c r="CP94" i="1" s="1"/>
  <c r="O94" i="1" s="1"/>
  <c r="CQ94" i="1"/>
  <c r="BB157" i="1"/>
  <c r="BD157" i="1"/>
  <c r="CS155" i="1"/>
  <c r="I155" i="1"/>
  <c r="CQ154" i="1"/>
  <c r="CQ153" i="1"/>
  <c r="CS152" i="1"/>
  <c r="CX68" i="3"/>
  <c r="CX69" i="3"/>
  <c r="CS151" i="1"/>
  <c r="I151" i="1"/>
  <c r="W151" i="1" s="1"/>
  <c r="CQ150" i="1"/>
  <c r="CQ149" i="1"/>
  <c r="CS148" i="1"/>
  <c r="GX145" i="1"/>
  <c r="W145" i="1"/>
  <c r="S145" i="1"/>
  <c r="CT145" i="1"/>
  <c r="R145" i="1"/>
  <c r="GK145" i="1" s="1"/>
  <c r="CP144" i="1"/>
  <c r="O144" i="1" s="1"/>
  <c r="CZ143" i="1"/>
  <c r="Y143" i="1" s="1"/>
  <c r="CY143" i="1"/>
  <c r="X143" i="1" s="1"/>
  <c r="Q142" i="1"/>
  <c r="CP142" i="1" s="1"/>
  <c r="O142" i="1" s="1"/>
  <c r="CY141" i="1"/>
  <c r="X141" i="1" s="1"/>
  <c r="GX140" i="1"/>
  <c r="CY139" i="1"/>
  <c r="X139" i="1" s="1"/>
  <c r="AD137" i="1"/>
  <c r="AB137" i="1" s="1"/>
  <c r="R137" i="1"/>
  <c r="GK137" i="1" s="1"/>
  <c r="GM137" i="1" s="1"/>
  <c r="CS137" i="1"/>
  <c r="CZ136" i="1"/>
  <c r="Y136" i="1" s="1"/>
  <c r="CY136" i="1"/>
  <c r="X136" i="1" s="1"/>
  <c r="CP135" i="1"/>
  <c r="O135" i="1" s="1"/>
  <c r="Q135" i="1"/>
  <c r="CR133" i="1"/>
  <c r="CP132" i="1"/>
  <c r="O132" i="1" s="1"/>
  <c r="GM131" i="1"/>
  <c r="AD93" i="1"/>
  <c r="R93" i="1"/>
  <c r="GK93" i="1" s="1"/>
  <c r="GO93" i="1" s="1"/>
  <c r="CS93" i="1"/>
  <c r="AB92" i="1"/>
  <c r="CQ92" i="1"/>
  <c r="AD143" i="1"/>
  <c r="AB143" i="1" s="1"/>
  <c r="AB142" i="1"/>
  <c r="AD138" i="1"/>
  <c r="AB138" i="1" s="1"/>
  <c r="AD136" i="1"/>
  <c r="AB136" i="1" s="1"/>
  <c r="AB135" i="1"/>
  <c r="AD134" i="1"/>
  <c r="AB134" i="1" s="1"/>
  <c r="AB133" i="1"/>
  <c r="AB131" i="1"/>
  <c r="AD130" i="1"/>
  <c r="BB96" i="1"/>
  <c r="AP96" i="1"/>
  <c r="AD94" i="1"/>
  <c r="AB93" i="1"/>
  <c r="U92" i="1"/>
  <c r="AH96" i="1" s="1"/>
  <c r="R92" i="1"/>
  <c r="GK92" i="1" s="1"/>
  <c r="GM92" i="1" s="1"/>
  <c r="CS143" i="1"/>
  <c r="R143" i="1"/>
  <c r="GK143" i="1" s="1"/>
  <c r="CQ142" i="1"/>
  <c r="CT141" i="1"/>
  <c r="CT139" i="1"/>
  <c r="CS138" i="1"/>
  <c r="R138" i="1"/>
  <c r="GK138" i="1" s="1"/>
  <c r="CQ137" i="1"/>
  <c r="CS136" i="1"/>
  <c r="R136" i="1"/>
  <c r="GK136" i="1" s="1"/>
  <c r="CQ135" i="1"/>
  <c r="CS134" i="1"/>
  <c r="R134" i="1"/>
  <c r="GK134" i="1" s="1"/>
  <c r="CQ133" i="1"/>
  <c r="CT132" i="1"/>
  <c r="CQ131" i="1"/>
  <c r="CS130" i="1"/>
  <c r="R130" i="1"/>
  <c r="CI96" i="1"/>
  <c r="BD96" i="1"/>
  <c r="CS94" i="1"/>
  <c r="R94" i="1"/>
  <c r="GK94" i="1" s="1"/>
  <c r="CQ93" i="1"/>
  <c r="S91" i="1"/>
  <c r="CT91" i="1"/>
  <c r="CP87" i="1"/>
  <c r="O87" i="1" s="1"/>
  <c r="CP84" i="1"/>
  <c r="O84" i="1" s="1"/>
  <c r="BC96" i="1"/>
  <c r="AU96" i="1"/>
  <c r="AQ96" i="1"/>
  <c r="CY88" i="1"/>
  <c r="X88" i="1" s="1"/>
  <c r="GO88" i="1" s="1"/>
  <c r="CZ88" i="1"/>
  <c r="Y88" i="1" s="1"/>
  <c r="GM88" i="1" s="1"/>
  <c r="CS90" i="1"/>
  <c r="AB90" i="1"/>
  <c r="R90" i="1"/>
  <c r="GK90" i="1" s="1"/>
  <c r="CY89" i="1"/>
  <c r="X89" i="1" s="1"/>
  <c r="CQ89" i="1"/>
  <c r="AD89" i="1"/>
  <c r="AB89" i="1" s="1"/>
  <c r="P89" i="1"/>
  <c r="CP89" i="1" s="1"/>
  <c r="O89" i="1" s="1"/>
  <c r="CT88" i="1"/>
  <c r="CY86" i="1"/>
  <c r="X86" i="1" s="1"/>
  <c r="CQ86" i="1"/>
  <c r="AD86" i="1"/>
  <c r="AB86" i="1" s="1"/>
  <c r="P86" i="1"/>
  <c r="CS85" i="1"/>
  <c r="AB85" i="1"/>
  <c r="R85" i="1"/>
  <c r="P48" i="1"/>
  <c r="CP44" i="1"/>
  <c r="O44" i="1" s="1"/>
  <c r="CY43" i="1"/>
  <c r="X43" i="1" s="1"/>
  <c r="CZ43" i="1"/>
  <c r="Y43" i="1" s="1"/>
  <c r="Q90" i="1"/>
  <c r="CP90" i="1" s="1"/>
  <c r="O90" i="1" s="1"/>
  <c r="Q85" i="1"/>
  <c r="V48" i="1"/>
  <c r="CY46" i="1"/>
  <c r="X46" i="1" s="1"/>
  <c r="CZ46" i="1"/>
  <c r="Y46" i="1" s="1"/>
  <c r="GX45" i="1"/>
  <c r="CY44" i="1"/>
  <c r="X44" i="1" s="1"/>
  <c r="CZ44" i="1"/>
  <c r="Y44" i="1" s="1"/>
  <c r="Q91" i="1"/>
  <c r="CP91" i="1" s="1"/>
  <c r="O91" i="1" s="1"/>
  <c r="R89" i="1"/>
  <c r="GK89" i="1" s="1"/>
  <c r="CT87" i="1"/>
  <c r="R86" i="1"/>
  <c r="GK86" i="1" s="1"/>
  <c r="CQ85" i="1"/>
  <c r="GX48" i="1"/>
  <c r="CY47" i="1"/>
  <c r="X47" i="1" s="1"/>
  <c r="CZ47" i="1"/>
  <c r="Y47" i="1" s="1"/>
  <c r="CX32" i="3"/>
  <c r="CX31" i="3"/>
  <c r="W45" i="1"/>
  <c r="CP43" i="1"/>
  <c r="O43" i="1" s="1"/>
  <c r="CY42" i="1"/>
  <c r="X42" i="1" s="1"/>
  <c r="CZ42" i="1"/>
  <c r="Y42" i="1" s="1"/>
  <c r="AO50" i="1"/>
  <c r="Q47" i="1"/>
  <c r="CP47" i="1" s="1"/>
  <c r="O47" i="1" s="1"/>
  <c r="Q46" i="1"/>
  <c r="CP46" i="1" s="1"/>
  <c r="O46" i="1" s="1"/>
  <c r="Q44" i="1"/>
  <c r="Q43" i="1"/>
  <c r="Q42" i="1"/>
  <c r="S37" i="1"/>
  <c r="CT37" i="1"/>
  <c r="P35" i="1"/>
  <c r="CP35" i="1" s="1"/>
  <c r="O35" i="1" s="1"/>
  <c r="CQ35" i="1"/>
  <c r="AB35" i="1"/>
  <c r="R34" i="1"/>
  <c r="GK34" i="1" s="1"/>
  <c r="CS34" i="1"/>
  <c r="AD34" i="1"/>
  <c r="R32" i="1"/>
  <c r="GK32" i="1" s="1"/>
  <c r="AD32" i="1"/>
  <c r="AB32" i="1" s="1"/>
  <c r="CR32" i="1"/>
  <c r="P32" i="1"/>
  <c r="Q32" i="1"/>
  <c r="CX8" i="3"/>
  <c r="CX7" i="3"/>
  <c r="Q31" i="1"/>
  <c r="R31" i="1"/>
  <c r="GK31" i="1" s="1"/>
  <c r="W31" i="1"/>
  <c r="P30" i="1"/>
  <c r="CQ30" i="1"/>
  <c r="AB30" i="1"/>
  <c r="CI50" i="1"/>
  <c r="BD50" i="1"/>
  <c r="AB48" i="1"/>
  <c r="I48" i="1"/>
  <c r="T48" i="1" s="1"/>
  <c r="AD47" i="1"/>
  <c r="AB47" i="1" s="1"/>
  <c r="AD46" i="1"/>
  <c r="AB46" i="1" s="1"/>
  <c r="AB45" i="1"/>
  <c r="I45" i="1"/>
  <c r="U45" i="1" s="1"/>
  <c r="AD44" i="1"/>
  <c r="AB44" i="1" s="1"/>
  <c r="AD43" i="1"/>
  <c r="AB43" i="1" s="1"/>
  <c r="AD42" i="1"/>
  <c r="AB42" i="1" s="1"/>
  <c r="P42" i="1"/>
  <c r="S41" i="1"/>
  <c r="CT41" i="1"/>
  <c r="GX40" i="1"/>
  <c r="W40" i="1"/>
  <c r="S40" i="1"/>
  <c r="CT40" i="1"/>
  <c r="GM38" i="1"/>
  <c r="GN38" i="1"/>
  <c r="W34" i="1"/>
  <c r="CR34" i="1"/>
  <c r="AB34" i="1"/>
  <c r="CY33" i="1"/>
  <c r="X33" i="1" s="1"/>
  <c r="CZ33" i="1"/>
  <c r="Y33" i="1" s="1"/>
  <c r="CS32" i="1"/>
  <c r="U32" i="1"/>
  <c r="GX31" i="1"/>
  <c r="V31" i="1"/>
  <c r="P31" i="1"/>
  <c r="BC50" i="1"/>
  <c r="AQ50" i="1"/>
  <c r="CT47" i="1"/>
  <c r="CT46" i="1"/>
  <c r="CT44" i="1"/>
  <c r="CT43" i="1"/>
  <c r="CT42" i="1"/>
  <c r="U40" i="1"/>
  <c r="AB39" i="1"/>
  <c r="CS36" i="1"/>
  <c r="AD36" i="1"/>
  <c r="CY35" i="1"/>
  <c r="X35" i="1" s="1"/>
  <c r="CZ35" i="1"/>
  <c r="Y35" i="1" s="1"/>
  <c r="GX34" i="1"/>
  <c r="T31" i="1"/>
  <c r="CY30" i="1"/>
  <c r="X30" i="1" s="1"/>
  <c r="P29" i="1"/>
  <c r="CQ29" i="1"/>
  <c r="AB29" i="1"/>
  <c r="BB50" i="1"/>
  <c r="AX50" i="1"/>
  <c r="AP50" i="1"/>
  <c r="CQ48" i="1"/>
  <c r="CS47" i="1"/>
  <c r="CX30" i="3"/>
  <c r="CX29" i="3"/>
  <c r="CS46" i="1"/>
  <c r="CQ45" i="1"/>
  <c r="CS44" i="1"/>
  <c r="CX28" i="3"/>
  <c r="CX27" i="3"/>
  <c r="CX26" i="3"/>
  <c r="CS43" i="1"/>
  <c r="CX24" i="3"/>
  <c r="CX23" i="3"/>
  <c r="CX25" i="3"/>
  <c r="CS42" i="1"/>
  <c r="CP41" i="1"/>
  <c r="O41" i="1" s="1"/>
  <c r="P40" i="1"/>
  <c r="CP40" i="1" s="1"/>
  <c r="O40" i="1" s="1"/>
  <c r="R40" i="1"/>
  <c r="GK40" i="1" s="1"/>
  <c r="AB37" i="1"/>
  <c r="AB36" i="1"/>
  <c r="S34" i="1"/>
  <c r="P33" i="1"/>
  <c r="CQ33" i="1"/>
  <c r="AB33" i="1"/>
  <c r="GX32" i="1"/>
  <c r="W32" i="1"/>
  <c r="T32" i="1"/>
  <c r="S31" i="1"/>
  <c r="CY28" i="1"/>
  <c r="X28" i="1" s="1"/>
  <c r="CZ28" i="1"/>
  <c r="Y28" i="1" s="1"/>
  <c r="Q37" i="1"/>
  <c r="CP37" i="1" s="1"/>
  <c r="O37" i="1" s="1"/>
  <c r="CX12" i="3"/>
  <c r="CX11" i="3"/>
  <c r="CX10" i="3"/>
  <c r="U31" i="1"/>
  <c r="CQ40" i="1"/>
  <c r="CX20" i="3"/>
  <c r="CX19" i="3"/>
  <c r="Q33" i="1"/>
  <c r="CY29" i="1"/>
  <c r="X29" i="1" s="1"/>
  <c r="CZ29" i="1"/>
  <c r="Y29" i="1" s="1"/>
  <c r="P28" i="1"/>
  <c r="CQ28" i="1"/>
  <c r="AB28" i="1"/>
  <c r="CX9" i="3"/>
  <c r="Q39" i="1"/>
  <c r="CP39" i="1" s="1"/>
  <c r="O39" i="1" s="1"/>
  <c r="I36" i="1"/>
  <c r="I34" i="1"/>
  <c r="V34" i="1" s="1"/>
  <c r="S32" i="1"/>
  <c r="CT32" i="1"/>
  <c r="Q30" i="1"/>
  <c r="CX6" i="3"/>
  <c r="CS28" i="1"/>
  <c r="R28" i="1"/>
  <c r="Q29" i="1"/>
  <c r="Q28" i="1"/>
  <c r="CX3" i="3"/>
  <c r="GO47" i="1" l="1"/>
  <c r="GM47" i="1"/>
  <c r="AH82" i="1"/>
  <c r="U96" i="1"/>
  <c r="GO142" i="1"/>
  <c r="GM142" i="1"/>
  <c r="GM39" i="1"/>
  <c r="GO39" i="1"/>
  <c r="GM150" i="1"/>
  <c r="GO150" i="1"/>
  <c r="GO46" i="1"/>
  <c r="GM46" i="1"/>
  <c r="GO90" i="1"/>
  <c r="GM90" i="1"/>
  <c r="GM154" i="1"/>
  <c r="GO154" i="1"/>
  <c r="S36" i="1"/>
  <c r="P36" i="1"/>
  <c r="CP36" i="1" s="1"/>
  <c r="O36" i="1" s="1"/>
  <c r="Q36" i="1"/>
  <c r="CY37" i="1"/>
  <c r="X37" i="1" s="1"/>
  <c r="GM37" i="1" s="1"/>
  <c r="CZ37" i="1"/>
  <c r="Y37" i="1" s="1"/>
  <c r="GN37" i="1" s="1"/>
  <c r="AU82" i="1"/>
  <c r="F115" i="1"/>
  <c r="GM138" i="1"/>
  <c r="GO138" i="1"/>
  <c r="GO146" i="1"/>
  <c r="GM146" i="1"/>
  <c r="T36" i="1"/>
  <c r="CY41" i="1"/>
  <c r="X41" i="1" s="1"/>
  <c r="GN41" i="1" s="1"/>
  <c r="CZ41" i="1"/>
  <c r="Y41" i="1" s="1"/>
  <c r="CI26" i="1"/>
  <c r="AZ50" i="1"/>
  <c r="AJ50" i="1"/>
  <c r="GM35" i="1"/>
  <c r="GO35" i="1"/>
  <c r="GN43" i="1"/>
  <c r="GM43" i="1"/>
  <c r="U48" i="1"/>
  <c r="AD96" i="1"/>
  <c r="GO44" i="1"/>
  <c r="GM44" i="1"/>
  <c r="BC82" i="1"/>
  <c r="F112" i="1"/>
  <c r="CY91" i="1"/>
  <c r="X91" i="1" s="1"/>
  <c r="GO91" i="1" s="1"/>
  <c r="CZ91" i="1"/>
  <c r="Y91" i="1" s="1"/>
  <c r="GM91" i="1" s="1"/>
  <c r="BD82" i="1"/>
  <c r="F121" i="1"/>
  <c r="GO132" i="1"/>
  <c r="GM132" i="1"/>
  <c r="S155" i="1"/>
  <c r="P155" i="1"/>
  <c r="CP155" i="1" s="1"/>
  <c r="O155" i="1" s="1"/>
  <c r="Q155" i="1"/>
  <c r="GM93" i="1"/>
  <c r="AO128" i="1"/>
  <c r="F161" i="1"/>
  <c r="AK96" i="1"/>
  <c r="V82" i="1"/>
  <c r="F119" i="1"/>
  <c r="GM143" i="1"/>
  <c r="GO143" i="1"/>
  <c r="GO137" i="1"/>
  <c r="AX157" i="1"/>
  <c r="CG128" i="1"/>
  <c r="T155" i="1"/>
  <c r="GO148" i="1"/>
  <c r="GM148" i="1"/>
  <c r="BA82" i="1"/>
  <c r="F116" i="1"/>
  <c r="F174" i="1"/>
  <c r="AS128" i="1"/>
  <c r="U155" i="1"/>
  <c r="CP30" i="1"/>
  <c r="O30" i="1" s="1"/>
  <c r="GO135" i="1"/>
  <c r="GM135" i="1"/>
  <c r="GO133" i="1"/>
  <c r="GM133" i="1"/>
  <c r="CY140" i="1"/>
  <c r="X140" i="1" s="1"/>
  <c r="CZ140" i="1"/>
  <c r="Y140" i="1" s="1"/>
  <c r="AF157" i="1"/>
  <c r="GM136" i="1"/>
  <c r="GO136" i="1"/>
  <c r="GO139" i="1"/>
  <c r="GM139" i="1"/>
  <c r="BC128" i="1"/>
  <c r="F173" i="1"/>
  <c r="AQ128" i="1"/>
  <c r="F167" i="1"/>
  <c r="GM153" i="1"/>
  <c r="GO153" i="1"/>
  <c r="GK28" i="1"/>
  <c r="AP26" i="1"/>
  <c r="F59" i="1"/>
  <c r="AP187" i="1"/>
  <c r="AQ26" i="1"/>
  <c r="F60" i="1"/>
  <c r="AQ187" i="1"/>
  <c r="CY34" i="1"/>
  <c r="X34" i="1" s="1"/>
  <c r="CZ34" i="1"/>
  <c r="Y34" i="1" s="1"/>
  <c r="F57" i="1"/>
  <c r="AX26" i="1"/>
  <c r="CP29" i="1"/>
  <c r="O29" i="1" s="1"/>
  <c r="R36" i="1"/>
  <c r="GK36" i="1" s="1"/>
  <c r="BC26" i="1"/>
  <c r="F66" i="1"/>
  <c r="BC187" i="1"/>
  <c r="CP42" i="1"/>
  <c r="O42" i="1" s="1"/>
  <c r="Q45" i="1"/>
  <c r="R45" i="1"/>
  <c r="GK45" i="1" s="1"/>
  <c r="S45" i="1"/>
  <c r="Q48" i="1"/>
  <c r="CP48" i="1" s="1"/>
  <c r="O48" i="1" s="1"/>
  <c r="R48" i="1"/>
  <c r="GK48" i="1" s="1"/>
  <c r="S48" i="1"/>
  <c r="GX36" i="1"/>
  <c r="AO26" i="1"/>
  <c r="F54" i="1"/>
  <c r="AO187" i="1"/>
  <c r="P45" i="1"/>
  <c r="V45" i="1"/>
  <c r="W48" i="1"/>
  <c r="CP86" i="1"/>
  <c r="O86" i="1" s="1"/>
  <c r="AC96" i="1"/>
  <c r="CP85" i="1"/>
  <c r="O85" i="1" s="1"/>
  <c r="AB96" i="1" s="1"/>
  <c r="GN84" i="1"/>
  <c r="GM84" i="1"/>
  <c r="CI82" i="1"/>
  <c r="AZ96" i="1"/>
  <c r="P151" i="1"/>
  <c r="S151" i="1"/>
  <c r="Q151" i="1"/>
  <c r="AD157" i="1" s="1"/>
  <c r="AJ82" i="1"/>
  <c r="W96" i="1"/>
  <c r="AG82" i="1"/>
  <c r="T96" i="1"/>
  <c r="AP128" i="1"/>
  <c r="F166" i="1"/>
  <c r="AO82" i="1"/>
  <c r="F100" i="1"/>
  <c r="GO141" i="1"/>
  <c r="GM141" i="1"/>
  <c r="R151" i="1"/>
  <c r="GK151" i="1" s="1"/>
  <c r="GO92" i="1"/>
  <c r="GM149" i="1"/>
  <c r="GO149" i="1"/>
  <c r="W155" i="1"/>
  <c r="AJ157" i="1" s="1"/>
  <c r="AU128" i="1"/>
  <c r="F176" i="1"/>
  <c r="GX155" i="1"/>
  <c r="U151" i="1"/>
  <c r="AH157" i="1" s="1"/>
  <c r="R155" i="1"/>
  <c r="GK155" i="1" s="1"/>
  <c r="AG50" i="1"/>
  <c r="BD26" i="1"/>
  <c r="F75" i="1"/>
  <c r="BD187" i="1"/>
  <c r="U36" i="1"/>
  <c r="AH50" i="1" s="1"/>
  <c r="BB82" i="1"/>
  <c r="F109" i="1"/>
  <c r="CZ145" i="1"/>
  <c r="Y145" i="1" s="1"/>
  <c r="CY145" i="1"/>
  <c r="X145" i="1" s="1"/>
  <c r="BB128" i="1"/>
  <c r="F170" i="1"/>
  <c r="GO152" i="1"/>
  <c r="GM152" i="1"/>
  <c r="CP28" i="1"/>
  <c r="O28" i="1" s="1"/>
  <c r="CP33" i="1"/>
  <c r="O33" i="1" s="1"/>
  <c r="W36" i="1"/>
  <c r="CJ50" i="1"/>
  <c r="CY40" i="1"/>
  <c r="X40" i="1" s="1"/>
  <c r="GM40" i="1" s="1"/>
  <c r="CZ40" i="1"/>
  <c r="Y40" i="1" s="1"/>
  <c r="GO40" i="1" s="1"/>
  <c r="CY32" i="1"/>
  <c r="X32" i="1" s="1"/>
  <c r="CZ32" i="1"/>
  <c r="Y32" i="1" s="1"/>
  <c r="P34" i="1"/>
  <c r="CP34" i="1" s="1"/>
  <c r="O34" i="1" s="1"/>
  <c r="U34" i="1"/>
  <c r="Q34" i="1"/>
  <c r="AD50" i="1" s="1"/>
  <c r="CZ31" i="1"/>
  <c r="Y31" i="1" s="1"/>
  <c r="CY31" i="1"/>
  <c r="X31" i="1" s="1"/>
  <c r="T34" i="1"/>
  <c r="BB26" i="1"/>
  <c r="F63" i="1"/>
  <c r="BB187" i="1"/>
  <c r="V36" i="1"/>
  <c r="AI50" i="1" s="1"/>
  <c r="CP31" i="1"/>
  <c r="O31" i="1" s="1"/>
  <c r="CP32" i="1"/>
  <c r="O32" i="1" s="1"/>
  <c r="T45" i="1"/>
  <c r="GK85" i="1"/>
  <c r="AE96" i="1"/>
  <c r="GM89" i="1"/>
  <c r="GO89" i="1"/>
  <c r="AQ82" i="1"/>
  <c r="F106" i="1"/>
  <c r="GO87" i="1"/>
  <c r="GM87" i="1"/>
  <c r="GK130" i="1"/>
  <c r="AP82" i="1"/>
  <c r="F105" i="1"/>
  <c r="CJ157" i="1"/>
  <c r="BD128" i="1"/>
  <c r="F182" i="1"/>
  <c r="GM94" i="1"/>
  <c r="GO94" i="1"/>
  <c r="CP130" i="1"/>
  <c r="O130" i="1" s="1"/>
  <c r="AC157" i="1"/>
  <c r="CZ144" i="1"/>
  <c r="Y144" i="1" s="1"/>
  <c r="CY144" i="1"/>
  <c r="X144" i="1" s="1"/>
  <c r="GO144" i="1" s="1"/>
  <c r="AF96" i="1"/>
  <c r="CP140" i="1"/>
  <c r="O140" i="1" s="1"/>
  <c r="CG82" i="1"/>
  <c r="AX96" i="1"/>
  <c r="GM134" i="1"/>
  <c r="GO134" i="1"/>
  <c r="CP145" i="1"/>
  <c r="O145" i="1" s="1"/>
  <c r="GM147" i="1"/>
  <c r="GO147" i="1"/>
  <c r="V151" i="1"/>
  <c r="T151" i="1"/>
  <c r="AG157" i="1" s="1"/>
  <c r="AZ128" i="1"/>
  <c r="F168" i="1"/>
  <c r="GX151" i="1"/>
  <c r="V155" i="1"/>
  <c r="AD128" i="1" l="1"/>
  <c r="Q157" i="1"/>
  <c r="AK157" i="1"/>
  <c r="AI26" i="1"/>
  <c r="V50" i="1"/>
  <c r="AJ128" i="1"/>
  <c r="W157" i="1"/>
  <c r="AK50" i="1"/>
  <c r="T157" i="1"/>
  <c r="AG128" i="1"/>
  <c r="AH26" i="1"/>
  <c r="U50" i="1"/>
  <c r="AB82" i="1"/>
  <c r="O96" i="1"/>
  <c r="GM48" i="1"/>
  <c r="AD26" i="1"/>
  <c r="Q50" i="1"/>
  <c r="P157" i="1"/>
  <c r="CE157" i="1"/>
  <c r="AC128" i="1"/>
  <c r="CF157" i="1"/>
  <c r="CH157" i="1"/>
  <c r="GM32" i="1"/>
  <c r="GO32" i="1"/>
  <c r="GM33" i="1"/>
  <c r="GO33" i="1"/>
  <c r="AG26" i="1"/>
  <c r="T50" i="1"/>
  <c r="T82" i="1"/>
  <c r="F117" i="1"/>
  <c r="AX128" i="1"/>
  <c r="F164" i="1"/>
  <c r="GO155" i="1"/>
  <c r="GM155" i="1"/>
  <c r="AJ26" i="1"/>
  <c r="W50" i="1"/>
  <c r="GM36" i="1"/>
  <c r="AX82" i="1"/>
  <c r="F103" i="1"/>
  <c r="GM130" i="1"/>
  <c r="GO130" i="1"/>
  <c r="AE82" i="1"/>
  <c r="R96" i="1"/>
  <c r="GM31" i="1"/>
  <c r="GO31" i="1"/>
  <c r="AC50" i="1"/>
  <c r="BD22" i="1"/>
  <c r="F212" i="1"/>
  <c r="BD217" i="1"/>
  <c r="CY151" i="1"/>
  <c r="X151" i="1" s="1"/>
  <c r="CZ151" i="1"/>
  <c r="Y151" i="1" s="1"/>
  <c r="AL157" i="1" s="1"/>
  <c r="AC82" i="1"/>
  <c r="CH96" i="1"/>
  <c r="P96" i="1"/>
  <c r="CE96" i="1"/>
  <c r="CF96" i="1"/>
  <c r="CP45" i="1"/>
  <c r="O45" i="1" s="1"/>
  <c r="CY45" i="1"/>
  <c r="X45" i="1" s="1"/>
  <c r="CZ45" i="1"/>
  <c r="Y45" i="1" s="1"/>
  <c r="BC22" i="1"/>
  <c r="BC217" i="1"/>
  <c r="F203" i="1"/>
  <c r="GM29" i="1"/>
  <c r="GN29" i="1"/>
  <c r="AE50" i="1"/>
  <c r="AL96" i="1"/>
  <c r="GM30" i="1"/>
  <c r="GP30" i="1"/>
  <c r="CD50" i="1" s="1"/>
  <c r="CY155" i="1"/>
  <c r="X155" i="1" s="1"/>
  <c r="CZ155" i="1"/>
  <c r="Y155" i="1" s="1"/>
  <c r="AZ26" i="1"/>
  <c r="F61" i="1"/>
  <c r="AZ187" i="1"/>
  <c r="CY36" i="1"/>
  <c r="X36" i="1" s="1"/>
  <c r="CZ36" i="1"/>
  <c r="Y36" i="1" s="1"/>
  <c r="AF82" i="1"/>
  <c r="S96" i="1"/>
  <c r="CC96" i="1"/>
  <c r="GO34" i="1"/>
  <c r="GM34" i="1"/>
  <c r="AH128" i="1"/>
  <c r="U157" i="1"/>
  <c r="GM85" i="1"/>
  <c r="GN85" i="1"/>
  <c r="CB96" i="1" s="1"/>
  <c r="GN42" i="1"/>
  <c r="GM42" i="1"/>
  <c r="AQ22" i="1"/>
  <c r="F197" i="1"/>
  <c r="AQ217" i="1"/>
  <c r="AE157" i="1"/>
  <c r="GM28" i="1"/>
  <c r="GN28" i="1"/>
  <c r="CB50" i="1" s="1"/>
  <c r="AB50" i="1"/>
  <c r="W82" i="1"/>
  <c r="F120" i="1"/>
  <c r="CA96" i="1"/>
  <c r="AX187" i="1"/>
  <c r="GM41" i="1"/>
  <c r="AF128" i="1"/>
  <c r="S157" i="1"/>
  <c r="GM144" i="1"/>
  <c r="AD82" i="1"/>
  <c r="Q96" i="1"/>
  <c r="U82" i="1"/>
  <c r="F118" i="1"/>
  <c r="GM145" i="1"/>
  <c r="GO145" i="1"/>
  <c r="CJ128" i="1"/>
  <c r="BA157" i="1"/>
  <c r="CJ26" i="1"/>
  <c r="BA50" i="1"/>
  <c r="CP151" i="1"/>
  <c r="O151" i="1" s="1"/>
  <c r="GM86" i="1"/>
  <c r="GN86" i="1"/>
  <c r="AO22" i="1"/>
  <c r="AO217" i="1"/>
  <c r="F191" i="1"/>
  <c r="CY48" i="1"/>
  <c r="X48" i="1" s="1"/>
  <c r="GO48" i="1" s="1"/>
  <c r="CZ48" i="1"/>
  <c r="Y48" i="1" s="1"/>
  <c r="AI157" i="1"/>
  <c r="GM140" i="1"/>
  <c r="GO140" i="1"/>
  <c r="BB22" i="1"/>
  <c r="BB217" i="1"/>
  <c r="F200" i="1"/>
  <c r="AF50" i="1"/>
  <c r="AZ82" i="1"/>
  <c r="F107" i="1"/>
  <c r="AP22" i="1"/>
  <c r="AP217" i="1"/>
  <c r="F196" i="1"/>
  <c r="G16" i="2" s="1"/>
  <c r="G18" i="2" s="1"/>
  <c r="AK82" i="1"/>
  <c r="X96" i="1"/>
  <c r="AL128" i="1" l="1"/>
  <c r="Y157" i="1"/>
  <c r="CB82" i="1"/>
  <c r="AS96" i="1"/>
  <c r="BB18" i="1"/>
  <c r="F230" i="1"/>
  <c r="AO18" i="1"/>
  <c r="F221" i="1"/>
  <c r="CB26" i="1"/>
  <c r="AS50" i="1"/>
  <c r="CH128" i="1"/>
  <c r="AY157" i="1"/>
  <c r="P128" i="1"/>
  <c r="F160" i="1"/>
  <c r="BA26" i="1"/>
  <c r="F70" i="1"/>
  <c r="BA187" i="1"/>
  <c r="Q82" i="1"/>
  <c r="F108" i="1"/>
  <c r="AL50" i="1"/>
  <c r="CE82" i="1"/>
  <c r="AV96" i="1"/>
  <c r="R82" i="1"/>
  <c r="F110" i="1"/>
  <c r="CF128" i="1"/>
  <c r="AW157" i="1"/>
  <c r="W128" i="1"/>
  <c r="F181" i="1"/>
  <c r="AF26" i="1"/>
  <c r="S50" i="1"/>
  <c r="AE128" i="1"/>
  <c r="R157" i="1"/>
  <c r="U128" i="1"/>
  <c r="F179" i="1"/>
  <c r="CC82" i="1"/>
  <c r="AT96" i="1"/>
  <c r="AL82" i="1"/>
  <c r="Y96" i="1"/>
  <c r="P82" i="1"/>
  <c r="F99" i="1"/>
  <c r="AC26" i="1"/>
  <c r="CH50" i="1"/>
  <c r="P50" i="1"/>
  <c r="CE50" i="1"/>
  <c r="CF50" i="1"/>
  <c r="W26" i="1"/>
  <c r="F74" i="1"/>
  <c r="W187" i="1"/>
  <c r="T26" i="1"/>
  <c r="F71" i="1"/>
  <c r="T187" i="1"/>
  <c r="Q128" i="1"/>
  <c r="F169" i="1"/>
  <c r="AI128" i="1"/>
  <c r="V157" i="1"/>
  <c r="GO151" i="1"/>
  <c r="GM151" i="1"/>
  <c r="S128" i="1"/>
  <c r="F172" i="1"/>
  <c r="CA82" i="1"/>
  <c r="AR96" i="1"/>
  <c r="CD26" i="1"/>
  <c r="AU50" i="1"/>
  <c r="CF82" i="1"/>
  <c r="AW96" i="1"/>
  <c r="AB157" i="1"/>
  <c r="AK26" i="1"/>
  <c r="X50" i="1"/>
  <c r="AP18" i="1"/>
  <c r="F226" i="1"/>
  <c r="CA50" i="1"/>
  <c r="CA157" i="1"/>
  <c r="GO36" i="1"/>
  <c r="Q26" i="1"/>
  <c r="F62" i="1"/>
  <c r="Q187" i="1"/>
  <c r="O82" i="1"/>
  <c r="F98" i="1"/>
  <c r="X157" i="1"/>
  <c r="AK128" i="1"/>
  <c r="X82" i="1"/>
  <c r="F122" i="1"/>
  <c r="BA128" i="1"/>
  <c r="F177" i="1"/>
  <c r="AX22" i="1"/>
  <c r="AX217" i="1"/>
  <c r="F194" i="1"/>
  <c r="AB26" i="1"/>
  <c r="O50" i="1"/>
  <c r="AQ18" i="1"/>
  <c r="F227" i="1"/>
  <c r="S82" i="1"/>
  <c r="F111" i="1"/>
  <c r="AZ22" i="1"/>
  <c r="F198" i="1"/>
  <c r="AZ217" i="1"/>
  <c r="AE26" i="1"/>
  <c r="R50" i="1"/>
  <c r="BC18" i="1"/>
  <c r="F233" i="1"/>
  <c r="GM45" i="1"/>
  <c r="GO45" i="1"/>
  <c r="CH82" i="1"/>
  <c r="AY96" i="1"/>
  <c r="BD18" i="1"/>
  <c r="F242" i="1"/>
  <c r="CC50" i="1"/>
  <c r="CC157" i="1"/>
  <c r="CE128" i="1"/>
  <c r="AV157" i="1"/>
  <c r="U26" i="1"/>
  <c r="F72" i="1"/>
  <c r="U187" i="1"/>
  <c r="T128" i="1"/>
  <c r="F178" i="1"/>
  <c r="V26" i="1"/>
  <c r="F73" i="1"/>
  <c r="AT157" i="1" l="1"/>
  <c r="CC128" i="1"/>
  <c r="AZ18" i="1"/>
  <c r="F228" i="1"/>
  <c r="Q22" i="1"/>
  <c r="Q217" i="1"/>
  <c r="F199" i="1"/>
  <c r="X26" i="1"/>
  <c r="F76" i="1"/>
  <c r="X187" i="1"/>
  <c r="W22" i="1"/>
  <c r="W217" i="1"/>
  <c r="F211" i="1"/>
  <c r="CE26" i="1"/>
  <c r="AV50" i="1"/>
  <c r="AT82" i="1"/>
  <c r="F114" i="1"/>
  <c r="R128" i="1"/>
  <c r="F171" i="1"/>
  <c r="AY128" i="1"/>
  <c r="F165" i="1"/>
  <c r="AS82" i="1"/>
  <c r="F113" i="1"/>
  <c r="CC26" i="1"/>
  <c r="AT50" i="1"/>
  <c r="X128" i="1"/>
  <c r="F183" i="1"/>
  <c r="V128" i="1"/>
  <c r="F180" i="1"/>
  <c r="P26" i="1"/>
  <c r="F53" i="1"/>
  <c r="P187" i="1"/>
  <c r="V187" i="1"/>
  <c r="AX18" i="1"/>
  <c r="F224" i="1"/>
  <c r="AB128" i="1"/>
  <c r="O157" i="1"/>
  <c r="O187" i="1" s="1"/>
  <c r="CH26" i="1"/>
  <c r="AY50" i="1"/>
  <c r="Y82" i="1"/>
  <c r="F123" i="1"/>
  <c r="S26" i="1"/>
  <c r="F65" i="1"/>
  <c r="S187" i="1"/>
  <c r="AW128" i="1"/>
  <c r="F163" i="1"/>
  <c r="AV82" i="1"/>
  <c r="F101" i="1"/>
  <c r="AS26" i="1"/>
  <c r="F67" i="1"/>
  <c r="AS187" i="1"/>
  <c r="F184" i="1"/>
  <c r="Y128" i="1"/>
  <c r="AY82" i="1"/>
  <c r="F104" i="1"/>
  <c r="CA128" i="1"/>
  <c r="AR157" i="1"/>
  <c r="AL26" i="1"/>
  <c r="Y50" i="1"/>
  <c r="CA26" i="1"/>
  <c r="AR50" i="1"/>
  <c r="AU26" i="1"/>
  <c r="F69" i="1"/>
  <c r="AU187" i="1"/>
  <c r="T22" i="1"/>
  <c r="T217" i="1"/>
  <c r="F208" i="1"/>
  <c r="AV128" i="1"/>
  <c r="F162" i="1"/>
  <c r="R26" i="1"/>
  <c r="F64" i="1"/>
  <c r="R187" i="1"/>
  <c r="U22" i="1"/>
  <c r="F209" i="1"/>
  <c r="U217" i="1"/>
  <c r="O26" i="1"/>
  <c r="F52" i="1"/>
  <c r="AW82" i="1"/>
  <c r="F102" i="1"/>
  <c r="AR82" i="1"/>
  <c r="F124" i="1"/>
  <c r="CF26" i="1"/>
  <c r="AW50" i="1"/>
  <c r="BA22" i="1"/>
  <c r="BA217" i="1"/>
  <c r="F207" i="1"/>
  <c r="O22" i="1" l="1"/>
  <c r="F189" i="1"/>
  <c r="O217" i="1"/>
  <c r="AU22" i="1"/>
  <c r="F206" i="1"/>
  <c r="H16" i="2" s="1"/>
  <c r="H18" i="2" s="1"/>
  <c r="AU217" i="1"/>
  <c r="P22" i="1"/>
  <c r="F190" i="1"/>
  <c r="P217" i="1"/>
  <c r="W18" i="1"/>
  <c r="F241" i="1"/>
  <c r="U18" i="1"/>
  <c r="F239" i="1"/>
  <c r="Y26" i="1"/>
  <c r="F77" i="1"/>
  <c r="Y187" i="1"/>
  <c r="AS22" i="1"/>
  <c r="F204" i="1"/>
  <c r="E16" i="2" s="1"/>
  <c r="AS217" i="1"/>
  <c r="AY26" i="1"/>
  <c r="F58" i="1"/>
  <c r="AY187" i="1"/>
  <c r="AV26" i="1"/>
  <c r="F55" i="1"/>
  <c r="AV187" i="1"/>
  <c r="BA18" i="1"/>
  <c r="F237" i="1"/>
  <c r="T18" i="1"/>
  <c r="F238" i="1"/>
  <c r="X22" i="1"/>
  <c r="F213" i="1"/>
  <c r="X217" i="1"/>
  <c r="Q18" i="1"/>
  <c r="F229" i="1"/>
  <c r="AW26" i="1"/>
  <c r="F56" i="1"/>
  <c r="AW187" i="1"/>
  <c r="R22" i="1"/>
  <c r="F201" i="1"/>
  <c r="R217" i="1"/>
  <c r="S22" i="1"/>
  <c r="S217" i="1"/>
  <c r="F202" i="1"/>
  <c r="J16" i="2" s="1"/>
  <c r="J18" i="2" s="1"/>
  <c r="AR26" i="1"/>
  <c r="F78" i="1"/>
  <c r="AR187" i="1"/>
  <c r="AR128" i="1"/>
  <c r="F185" i="1"/>
  <c r="O128" i="1"/>
  <c r="F159" i="1"/>
  <c r="V22" i="1"/>
  <c r="F210" i="1"/>
  <c r="V217" i="1"/>
  <c r="AT26" i="1"/>
  <c r="F68" i="1"/>
  <c r="AT187" i="1"/>
  <c r="AT128" i="1"/>
  <c r="F175" i="1"/>
  <c r="R18" i="1" l="1"/>
  <c r="F231" i="1"/>
  <c r="X18" i="1"/>
  <c r="F243" i="1"/>
  <c r="O18" i="1"/>
  <c r="F219" i="1"/>
  <c r="AR22" i="1"/>
  <c r="AR217" i="1"/>
  <c r="F215" i="1"/>
  <c r="S18" i="1"/>
  <c r="F232" i="1"/>
  <c r="AY22" i="1"/>
  <c r="AY217" i="1"/>
  <c r="F195" i="1"/>
  <c r="E18" i="2"/>
  <c r="AU18" i="1"/>
  <c r="F236" i="1"/>
  <c r="AT22" i="1"/>
  <c r="F205" i="1"/>
  <c r="F16" i="2" s="1"/>
  <c r="F18" i="2" s="1"/>
  <c r="AT217" i="1"/>
  <c r="Y22" i="1"/>
  <c r="F214" i="1"/>
  <c r="Y217" i="1"/>
  <c r="AS18" i="1"/>
  <c r="F234" i="1"/>
  <c r="V18" i="1"/>
  <c r="F240" i="1"/>
  <c r="AW22" i="1"/>
  <c r="F193" i="1"/>
  <c r="AW217" i="1"/>
  <c r="AV22" i="1"/>
  <c r="F192" i="1"/>
  <c r="AV217" i="1"/>
  <c r="P18" i="1"/>
  <c r="F220" i="1"/>
  <c r="I16" i="2" l="1"/>
  <c r="I18" i="2" s="1"/>
  <c r="AR18" i="1"/>
  <c r="F245" i="1"/>
  <c r="AW18" i="1"/>
  <c r="F223" i="1"/>
  <c r="AV18" i="1"/>
  <c r="F222" i="1"/>
  <c r="Y18" i="1"/>
  <c r="F244" i="1"/>
  <c r="AT18" i="1"/>
  <c r="F235" i="1"/>
  <c r="AY18" i="1"/>
  <c r="F225" i="1"/>
</calcChain>
</file>

<file path=xl/sharedStrings.xml><?xml version="1.0" encoding="utf-8"?>
<sst xmlns="http://schemas.openxmlformats.org/spreadsheetml/2006/main" count="3830" uniqueCount="471">
  <si>
    <t>Smeta.RU  (495) 974-1589</t>
  </si>
  <si>
    <t>_PS_</t>
  </si>
  <si>
    <t>Smeta.RU</t>
  </si>
  <si>
    <t/>
  </si>
  <si>
    <t>04-01-01_(Копия)</t>
  </si>
  <si>
    <t>Выполнение работ по благоустройству прилегающей территории</t>
  </si>
  <si>
    <t>Дефектная ведомость</t>
  </si>
  <si>
    <t>Сметные нормы списания</t>
  </si>
  <si>
    <t>Коды ОКП для ТСН-2001 МГЭ</t>
  </si>
  <si>
    <t>ТСН-2001 (МГЭ) - Новое строительство</t>
  </si>
  <si>
    <t>Типовой расчет для ТСН-2001 МГЭ, Новая методика с выпуска доп. 43 (Строительство), Доп 55</t>
  </si>
  <si>
    <t>Территориальные сметные нормативы для Москвы ТСН-2001 (МГЭ)</t>
  </si>
  <si>
    <t>Поправки для ТСН-2001 от 27.01.2020 г.</t>
  </si>
  <si>
    <t>04-01-01</t>
  </si>
  <si>
    <t>Устройство наружного освещения</t>
  </si>
  <si>
    <t>Новый раздел</t>
  </si>
  <si>
    <t>Пракладка кабеля в траншеи</t>
  </si>
  <si>
    <t>1</t>
  </si>
  <si>
    <t>3.1-2-7</t>
  </si>
  <si>
    <t>Разработка грунта в отвал экскаваторами с ковшом вместимостью 0,65 м3 группа грунтов 1-3</t>
  </si>
  <si>
    <t>100 м3 грунта</t>
  </si>
  <si>
    <t>ТСН-2001.3. Доп. 1-42. Сб. 1, т. 2, поз. 7</t>
  </si>
  <si>
    <t>Строительные работы</t>
  </si>
  <si>
    <t>ТСН-2001.3-1. 1-1...1-7</t>
  </si>
  <si>
    <t>ТСН-2001.3-1-1</t>
  </si>
  <si>
    <t>2</t>
  </si>
  <si>
    <t>3.1-6-10</t>
  </si>
  <si>
    <t>Разработка грунта с погрузкой на автомобили-самосвалы экскаваторами с ковшом вместимостью 0,5 м3 группа грунтов 1-3</t>
  </si>
  <si>
    <t>ТСН-2001.3. Доп. 1-42. Сб. 1, т. 6, поз. 10</t>
  </si>
  <si>
    <t>3</t>
  </si>
  <si>
    <t>15.2-41-2</t>
  </si>
  <si>
    <t>Перевозка грунтов растительного слоя и торфов на расстояние до 41 км автосамосвалами грузоподъемностью до 20 т</t>
  </si>
  <si>
    <t>т</t>
  </si>
  <si>
    <t>ТСН-2001.15 Доп. 54, Сб. 2, т. 41, поз. 2</t>
  </si>
  <si>
    <t>Транспортные затраты</t>
  </si>
  <si>
    <t>ТСН-2001.15-1. Перевозка грунта</t>
  </si>
  <si>
    <t>ТСН-2001.15-1-3</t>
  </si>
  <si>
    <t>4</t>
  </si>
  <si>
    <t>4.8-74-1</t>
  </si>
  <si>
    <t>Устройство постели при одном кабеле в траншее</t>
  </si>
  <si>
    <t>100 М КАБЕЛЯ</t>
  </si>
  <si>
    <t>ТСН-2001.4. Доп. 1-42. Сб. 8, т. 74, поз. 1</t>
  </si>
  <si>
    <t>Монтаж оборудования</t>
  </si>
  <si>
    <t>ТСН-2001.4-8. 8-73...8-80</t>
  </si>
  <si>
    <t>ТСН-2001.4-8-3</t>
  </si>
  <si>
    <t>4,1</t>
  </si>
  <si>
    <t>1.1-1-766</t>
  </si>
  <si>
    <t>Песок для строительных работ, рядовой</t>
  </si>
  <si>
    <t>м3</t>
  </si>
  <si>
    <t>ТСН-2001.1. Доп. 1-42. Р. 1, о. 1, поз. 766</t>
  </si>
  <si>
    <t>5</t>
  </si>
  <si>
    <t>4.8-73-2</t>
  </si>
  <si>
    <t>Кабели до 35 кВ в готовых траншеях без покрытий, кабель массой до 2 кг</t>
  </si>
  <si>
    <t>ТСН-2001.4. Доп. 1-42. Сб. 8, т. 73, поз. 2</t>
  </si>
  <si>
    <t>5,1</t>
  </si>
  <si>
    <t>1.23-8-41</t>
  </si>
  <si>
    <t>Кабели силовые с медными жилами, напряжение 660 В, марка ВБШв, число жил и сечение 2х4+1х2,5 или 3х4 мм2</t>
  </si>
  <si>
    <t>км</t>
  </si>
  <si>
    <t>ТСН-2001.1 Доп. 46, Р. 23, о. 8, поз. 41</t>
  </si>
  <si>
    <t>5,2</t>
  </si>
  <si>
    <t>1.23-8-483</t>
  </si>
  <si>
    <t>Кабели силовые с медными жилами, напряжение 1000 В, марка ВБШвнг(А)-LS, число жил и сечение 5х2,5 мм2</t>
  </si>
  <si>
    <t>ТСН-2001.1 Доп. 46, Р. 23, о. 8, поз. 483</t>
  </si>
  <si>
    <t>5,3</t>
  </si>
  <si>
    <t>1.1-1-3587</t>
  </si>
  <si>
    <t>Лента полиэтиленовая сигнальная, ширина 200 мм, толщина 50 мкм</t>
  </si>
  <si>
    <t>м</t>
  </si>
  <si>
    <t>ТСН-2001.1. Доп. 1-42. Р. 1, о. 1, поз. 3587</t>
  </si>
  <si>
    <t>6</t>
  </si>
  <si>
    <t>3.34-47-1</t>
  </si>
  <si>
    <t>Устройство трубопроводов из труб гофрированных полиэтиленовых жестких диаметром 100 - 160 мм до двух отверстий</t>
  </si>
  <si>
    <t>1 КМ</t>
  </si>
  <si>
    <t>ТСН-2001.3 Доп. 47, Сб. 34, т. 47, поз. 1</t>
  </si>
  <si>
    <t>ТСН-2001.3-34. 34-47 (доп. 22)</t>
  </si>
  <si>
    <t>ТСН-2001.3-34-11</t>
  </si>
  <si>
    <t>6,1</t>
  </si>
  <si>
    <t>1.12-5-375</t>
  </si>
  <si>
    <t>Трубы электротехнические гофрированные, поливинилхлоридные, негорючие, с зондом, наружный диаметр 40 мм</t>
  </si>
  <si>
    <t>ТСН-2001.1. Доп. 1-42. Р. 12, о. 5, поз. 375</t>
  </si>
  <si>
    <t>7</t>
  </si>
  <si>
    <t>4.8-175-3</t>
  </si>
  <si>
    <t>Затягивание проводов и кабелей в проложенные трубы и металлические рукава, провод первый одножильный или многожильный в общей оплетке, суммарное сечение до 16 мм2</t>
  </si>
  <si>
    <t>100 м</t>
  </si>
  <si>
    <t>ТСН-2001.4. Доп. 1-42. Сб. 8, т. 175, поз. 3</t>
  </si>
  <si>
    <t>ТСН-2001.4-8. 8-155...8-184</t>
  </si>
  <si>
    <t>ТСН-2001.4-8-16</t>
  </si>
  <si>
    <t>7,1</t>
  </si>
  <si>
    <t>8</t>
  </si>
  <si>
    <t>3.1-14-1</t>
  </si>
  <si>
    <t>Засыпка траншей и котлованов бульдозерами мощностью 59 (80) кВт (л.с.) при перемещении грунта до 5 м группа грунтов 1-3</t>
  </si>
  <si>
    <t>ТСН-2001.3. Доп. 1-42. Сб. 1, т. 14, поз. 1</t>
  </si>
  <si>
    <t>ТСН-2001.3-1. 1-11...1-17</t>
  </si>
  <si>
    <t>ТСН-2001.3-1-4</t>
  </si>
  <si>
    <t>9</t>
  </si>
  <si>
    <t>3.1-53-1</t>
  </si>
  <si>
    <t>Засыпка вручную траншей, пазух котлованов и ям группа грунтов 1-3</t>
  </si>
  <si>
    <t>ТСН-2001.3. Доп. 1-42. Сб. 1, т. 53, поз. 1</t>
  </si>
  <si>
    <t>ТСН-2001.3-1. 1-49...1-55</t>
  </si>
  <si>
    <t>ТСН-2001.3-1-15</t>
  </si>
  <si>
    <t>10</t>
  </si>
  <si>
    <t>3.1-29-1</t>
  </si>
  <si>
    <t>Уплотнение грунта пневматическими трамбовками группа грунтов 1,2</t>
  </si>
  <si>
    <t>100 м3 уплотненного грунта</t>
  </si>
  <si>
    <t>ТСН-2001.3. Доп. 1-42. Сб. 1, т. 29, поз. 1</t>
  </si>
  <si>
    <t>ТСН-2001.3-1. 1-29...1-33</t>
  </si>
  <si>
    <t>ТСН-2001.3-1-9</t>
  </si>
  <si>
    <t>11</t>
  </si>
  <si>
    <t>4.8-288-2</t>
  </si>
  <si>
    <t>Трубы гофрированные поливинилхлоридные наружным диаметром 20 мм открыто по стенам и потолкам с установкой соединительных коробок</t>
  </si>
  <si>
    <t>ТСН-2001.4. Доп. 1-42. Сб. 8, т. 288, поз. 2</t>
  </si>
  <si>
    <t>ТСН-2001.4-8. 8-288 (доп. 19)</t>
  </si>
  <si>
    <t>ТСН-2001.4-8-27</t>
  </si>
  <si>
    <t>11,1</t>
  </si>
  <si>
    <t>1.12-5-42</t>
  </si>
  <si>
    <t>Трубы поливинилхлоридные для электропроводок, гладкие, усиленного типа из отходов ПВХ, наружный диаметр 20 мм, толщина стенки 1,5 мм</t>
  </si>
  <si>
    <t>ТСН-2001.1. Доп. 1-42. Р. 12, о. 5, поз. 42</t>
  </si>
  <si>
    <t>11,2</t>
  </si>
  <si>
    <t>1.21-5-1136</t>
  </si>
  <si>
    <t>Держатели пластиковые с защелкой для крепления труб, рукавов и гибких вводов диаметром 20 мм</t>
  </si>
  <si>
    <t>100 шт.</t>
  </si>
  <si>
    <t>ТСН-2001.1. Доп. 1-42. Р. 21, о. 5, поз. 1136</t>
  </si>
  <si>
    <t>12</t>
  </si>
  <si>
    <t>12,1</t>
  </si>
  <si>
    <t>1.23-8-88</t>
  </si>
  <si>
    <t>Кабели силовые с медными жилами, напряжение 660 В, марка ВВГнг(А), число жил и сечение 3х2,5 мм2</t>
  </si>
  <si>
    <t>ТСН-2001.1 Доп. 46, Р. 23, о. 8, поз. 88</t>
  </si>
  <si>
    <t>ПЗ</t>
  </si>
  <si>
    <t>Прямые затраты</t>
  </si>
  <si>
    <t>СтМатОб</t>
  </si>
  <si>
    <t>Стоимость материальных ресурсов (всего)</t>
  </si>
  <si>
    <t>СтМатОбЗак</t>
  </si>
  <si>
    <t>Стоимость материалов и оборудования заказчика</t>
  </si>
  <si>
    <t>СтМатОбПод</t>
  </si>
  <si>
    <t>Стоимость материалов и оборудования подрядчика</t>
  </si>
  <si>
    <t>СтМат</t>
  </si>
  <si>
    <t>Стоимость материалов (всего)</t>
  </si>
  <si>
    <t>СтМатЗак</t>
  </si>
  <si>
    <t>Стоимость материалов заказчика</t>
  </si>
  <si>
    <t>СтМатПод</t>
  </si>
  <si>
    <t>Стоимость материалов подрядчика</t>
  </si>
  <si>
    <t>Оборуд</t>
  </si>
  <si>
    <t>Стоимость оборудования (всего)</t>
  </si>
  <si>
    <t>ОборудЗак</t>
  </si>
  <si>
    <t>Стоимость оборудования заказчика</t>
  </si>
  <si>
    <t>ОборудПод</t>
  </si>
  <si>
    <t>Стоимость оборудования подрядчика</t>
  </si>
  <si>
    <t>ЭММ</t>
  </si>
  <si>
    <t>Эксплуатация машин</t>
  </si>
  <si>
    <t>ЭММсНРиСП</t>
  </si>
  <si>
    <t>Эксплуатация машин по ТСН-2001.16</t>
  </si>
  <si>
    <t>ЗПМ</t>
  </si>
  <si>
    <t>ЗП машинистов</t>
  </si>
  <si>
    <t>ОЗП</t>
  </si>
  <si>
    <t>Основная ЗП рабочих</t>
  </si>
  <si>
    <t>ОЗПсНРиСП</t>
  </si>
  <si>
    <t>Основная ЗП рабочих по ТСН-2001.16</t>
  </si>
  <si>
    <t>Строит</t>
  </si>
  <si>
    <t>Строительные работы с НР и СП</t>
  </si>
  <si>
    <t>Монтаж</t>
  </si>
  <si>
    <t>Монтажные работы с НР и СП</t>
  </si>
  <si>
    <t>Прочие</t>
  </si>
  <si>
    <t>Прочие работы с НР и СП</t>
  </si>
  <si>
    <t>ПрочиеЗатр</t>
  </si>
  <si>
    <t>Прочие затраты по ТСН-2001.16</t>
  </si>
  <si>
    <t>ВозврМат</t>
  </si>
  <si>
    <t>Возврат материалов</t>
  </si>
  <si>
    <t>ТрудСтр</t>
  </si>
  <si>
    <t>Трудозатраты строителей</t>
  </si>
  <si>
    <t>ТрудМаш</t>
  </si>
  <si>
    <t>Трудозатраты машинистов</t>
  </si>
  <si>
    <t>ТранспМат</t>
  </si>
  <si>
    <t>Транспорт материалов</t>
  </si>
  <si>
    <t>Перевозка</t>
  </si>
  <si>
    <t>Перевозка грузов</t>
  </si>
  <si>
    <t>НР</t>
  </si>
  <si>
    <t>Накладные расходы</t>
  </si>
  <si>
    <t>СмПриб</t>
  </si>
  <si>
    <t>Сметная прибыль</t>
  </si>
  <si>
    <t>Всего</t>
  </si>
  <si>
    <t>Всего с НР и СП</t>
  </si>
  <si>
    <t>Монтаж опор и приборов освещения.</t>
  </si>
  <si>
    <t>13</t>
  </si>
  <si>
    <t>3.33-36-1</t>
  </si>
  <si>
    <t>Земляные работы при сборке и установке железобетонных одностоечных опор с кабельным и воздушными вводами</t>
  </si>
  <si>
    <t>100 опор</t>
  </si>
  <si>
    <t>ТСН-2001.3. Доп. 1-42. Сб. 33, т. 36, поз. 1</t>
  </si>
  <si>
    <t>ТСН-2001.3-33. 33-1...33-36</t>
  </si>
  <si>
    <t>ТСН-2001.3-33-1</t>
  </si>
  <si>
    <t>14</t>
  </si>
  <si>
    <t>3.33-38-2</t>
  </si>
  <si>
    <t>Установка металлических фланцевых опор наружного освещения</t>
  </si>
  <si>
    <t>1  ШТ.</t>
  </si>
  <si>
    <t>ТСН-2001.3 Доп. 49, Сб. 33, т. 38, поз. 2</t>
  </si>
  <si>
    <t>ТСН-2001.3-33. 33-38 (доп. 14)</t>
  </si>
  <si>
    <t>ТСН-2001.3-33-3</t>
  </si>
  <si>
    <t>14,1</t>
  </si>
  <si>
    <t>П. 26 Конъюнктурного анализа</t>
  </si>
  <si>
    <t>Опора парковая ОП-2, Н=4 м</t>
  </si>
  <si>
    <t>опора</t>
  </si>
  <si>
    <t>[4 541,69 /  5,43]</t>
  </si>
  <si>
    <t>15</t>
  </si>
  <si>
    <t>4.8-149-1</t>
  </si>
  <si>
    <t>Светильники, устанавливаемые вне здания с лампами накаливания</t>
  </si>
  <si>
    <t>ТСН-2001.4. Доп. 1-42. Сб. 8, т. 149, поз. 1</t>
  </si>
  <si>
    <t>ТСН-2001.4-8. 8-141...8-153</t>
  </si>
  <si>
    <t>ТСН-2001.4-8-14</t>
  </si>
  <si>
    <t>15,1</t>
  </si>
  <si>
    <t>П. 29 Конъюнктурного анализа</t>
  </si>
  <si>
    <t>Светильник RC-P1-080</t>
  </si>
  <si>
    <t>шт.</t>
  </si>
  <si>
    <t>гараж</t>
  </si>
  <si>
    <t>ТСН-2001.4-8. 8-188...8-272</t>
  </si>
  <si>
    <t>ТСН-2001.4-8-18</t>
  </si>
  <si>
    <t>[8 166,66 /  5,43]</t>
  </si>
  <si>
    <t>16</t>
  </si>
  <si>
    <t>4.8-312-1</t>
  </si>
  <si>
    <t>Светодиодный неуправляемый прожектор с уровня земли, масса прожектора до 10 кг</t>
  </si>
  <si>
    <t>ТСН-2001.4. Доп. 1-42. Сб. 8, т. 312, поз. 1</t>
  </si>
  <si>
    <t>ТСН-2001.4-8. 8-291...292 (доп. 24)</t>
  </si>
  <si>
    <t>ТСН-2001.4-8-29</t>
  </si>
  <si>
    <t>16,1</t>
  </si>
  <si>
    <t>П. 30 Конъюнктурного анализа</t>
  </si>
  <si>
    <t>Светильник RC-AX150-080</t>
  </si>
  <si>
    <t>[3 750,02 /  5,43]</t>
  </si>
  <si>
    <t>17</t>
  </si>
  <si>
    <t>4.8-311-1</t>
  </si>
  <si>
    <t>Линейный светодиодный осветительный неуправляемый прибор с уровня земли</t>
  </si>
  <si>
    <t>ТСН-2001.4. Доп. 1-42. Сб. 8, т. 311, поз. 1</t>
  </si>
  <si>
    <t>17,1</t>
  </si>
  <si>
    <t>П. 31 Конъюнктурного анализа</t>
  </si>
  <si>
    <t>Светильник RC-AX-600-30,30-90-080</t>
  </si>
  <si>
    <t>[21 275 /  5,43]</t>
  </si>
  <si>
    <t>17,2</t>
  </si>
  <si>
    <t>П. 32 Конъюнктурного анализа</t>
  </si>
  <si>
    <t>Светильник RC-AX-GR600-30.30-90-080</t>
  </si>
  <si>
    <t>[21 225,01 /  5,43]</t>
  </si>
  <si>
    <t>17,3</t>
  </si>
  <si>
    <t>П. 33 Конъюнктурного анализа</t>
  </si>
  <si>
    <t>Светильник RC-AX-1000-30.0-080 (аналог AGB LN-36W)</t>
  </si>
  <si>
    <t>[4 374,99 /  5,43]</t>
  </si>
  <si>
    <t>Щиты освещения.</t>
  </si>
  <si>
    <t>18</t>
  </si>
  <si>
    <t>4.8-240-4</t>
  </si>
  <si>
    <t>Пульты и шкафы управления, шкаф (пульт) управления навесной, высота, ширина, глубина до 600х600х350 мм</t>
  </si>
  <si>
    <t>ТСН-2001.4. Доп. 1-42. Сб. 8, т. 240, поз. 4</t>
  </si>
  <si>
    <t>18,1</t>
  </si>
  <si>
    <t>1.21-4-116</t>
  </si>
  <si>
    <t>Щиты групповые, навесные, управления освещением, степень защиты IP54, размер 250х300х120 мм, в составе: выключатель-разъединитель (2 полюса) - 1 шт., пост кнопочный 2 кнопки - 1 шт.</t>
  </si>
  <si>
    <t>КОМПЛЕКТ</t>
  </si>
  <si>
    <t>ТСН-2001.1 Доп. 51, Р. 21, о. 4, поз. 116</t>
  </si>
  <si>
    <t>19</t>
  </si>
  <si>
    <t>1.14-2-38</t>
  </si>
  <si>
    <t>Коробки разветвительные 4-х клеммные, тип КРС-1-4</t>
  </si>
  <si>
    <t>ТСН-2001.1. Доп. 1-42. Р. 14, о. 2, поз. 38</t>
  </si>
  <si>
    <t>20</t>
  </si>
  <si>
    <t>4.8-218-1</t>
  </si>
  <si>
    <t>Выключатели установочные автоматические (автоматы) или неавтоматические, автомат одно-,двух-,трехполюсный, устанавливаемый на конструкции на стене или колонне на ток до 25 А</t>
  </si>
  <si>
    <t>ТСН-2001.4. Доп. 1-42. Сб. 8, т. 218, поз. 1</t>
  </si>
  <si>
    <t>Поправка: ТСН-2001.4-8. о3. р3. п.6  Наименование: При монтаже выключателей автоматических, выключателей нагрузки (рубильников) на рейку</t>
  </si>
  <si>
    <t>)*0,8</t>
  </si>
  <si>
    <t>Поправка: ТСН-2001.4-8. о3. р3. п.6</t>
  </si>
  <si>
    <t>20,1</t>
  </si>
  <si>
    <t>1.21-5-1041</t>
  </si>
  <si>
    <t>Выключатели автоматические, тип S203, трехполюсные, на ток 20-40 А</t>
  </si>
  <si>
    <t>ТСН-2001.1. Доп. 1-42. Р. 21, о. 5, поз. 1041</t>
  </si>
  <si>
    <t>20,2</t>
  </si>
  <si>
    <t>1.21-5-1040</t>
  </si>
  <si>
    <t>Выключатели автоматические, тип S203, трехполюсные, на ток 10 А, 16 А</t>
  </si>
  <si>
    <t>ТСН-2001.1. Доп. 1-42. Р. 21, о. 5, поз. 1040</t>
  </si>
  <si>
    <t>20,3</t>
  </si>
  <si>
    <t>1.21-5-1037</t>
  </si>
  <si>
    <t>Выключатели автоматические, тип S201, однополюсные, на ток 10-25 А (10А)</t>
  </si>
  <si>
    <t>ТСН-2001.1. Доп. 1-42. Р. 21, о. 5, поз. 1037</t>
  </si>
  <si>
    <t>20,4</t>
  </si>
  <si>
    <t>Выключатели автоматические, тип S201, однополюсные, на ток 10-25 А (6А)</t>
  </si>
  <si>
    <t>20,5</t>
  </si>
  <si>
    <t>П. 34 Конъюнктурного анализа</t>
  </si>
  <si>
    <t>Блок шин J413/40B 4 полюса 40А</t>
  </si>
  <si>
    <t>[615,01 /  5,43]</t>
  </si>
  <si>
    <t>21</t>
  </si>
  <si>
    <t>4.8-57-1</t>
  </si>
  <si>
    <t>Приборы измерения и защиты, прибор, до 2 подключаемых концов</t>
  </si>
  <si>
    <t>ТСН-2001.4. Доп. 1-42. Сб. 8, т. 57, поз. 1</t>
  </si>
  <si>
    <t>ТСН-2001.4-8. 8-28...8-72</t>
  </si>
  <si>
    <t>ТСН-2001.4-8-2</t>
  </si>
  <si>
    <t>21,1</t>
  </si>
  <si>
    <t>1.21-5-584</t>
  </si>
  <si>
    <t>Устройства защитного отключения, тип АСТРО УЗО.16 А, 220 В, 2-х полюсное</t>
  </si>
  <si>
    <t>ТСН-2001.1. Доп. 1-42. Р. 21, о. 5, поз. 584</t>
  </si>
  <si>
    <t>21,2</t>
  </si>
  <si>
    <t>1.21-5-588</t>
  </si>
  <si>
    <t>Устройства защитного отключения, тип АСТРО УЗО.40 А, 380 В, 4-х полюсное</t>
  </si>
  <si>
    <t>ТСН-2001.1. Доп. 1-42. Р. 21, о. 5, поз. 588</t>
  </si>
  <si>
    <t>22</t>
  </si>
  <si>
    <t>4.10-59-2</t>
  </si>
  <si>
    <t>Детали на пультах и панелях - реле</t>
  </si>
  <si>
    <t>ТСН-2001.4. Доп. 1-42. Сб. 10, т. 59, поз. 2</t>
  </si>
  <si>
    <t>ТСН-2001.4-10. 10-1...10-91</t>
  </si>
  <si>
    <t>ТСН-2001.4-10-1</t>
  </si>
  <si>
    <t>22,1</t>
  </si>
  <si>
    <t>1.21-5-455</t>
  </si>
  <si>
    <t>Фотовыключатели, тип ФР-2УЗ, фотореле</t>
  </si>
  <si>
    <t>ТСН-2001.1. Доп. 1-42. Р. 21, о. 5, поз. 455</t>
  </si>
  <si>
    <t>23</t>
  </si>
  <si>
    <t>4.10-89-3</t>
  </si>
  <si>
    <t>Прочее оборудование электрочасофикации, секундомер электронный с таймерным выходом, тип СТЦ-1</t>
  </si>
  <si>
    <t>ТСН-2001.4. Доп. 1-42. Сб. 10, т. 89, поз. 3</t>
  </si>
  <si>
    <t>23,1</t>
  </si>
  <si>
    <t>П. 35 Конъюнктурного анализа</t>
  </si>
  <si>
    <t>Реле времени суточное AT2e-R артикул производителя 2CSM231235R0601</t>
  </si>
  <si>
    <t>[3 407,52 /  5,43]</t>
  </si>
  <si>
    <t>24</t>
  </si>
  <si>
    <t>4.8-213-1</t>
  </si>
  <si>
    <t>Рубильники (выключатели, разъединители), рубильник на плите с центральной или боковой рукояткой или управлением штангой, устанавливаемый на металлическом основании, однополюсный, на ток до 250 А</t>
  </si>
  <si>
    <t>ТСН-2001.4. Доп. 1-42. Сб. 8, т. 213, поз. 1</t>
  </si>
  <si>
    <t>24,1</t>
  </si>
  <si>
    <t>1.21-5-1048</t>
  </si>
  <si>
    <t>Выключатели нагрузки (рубильники) трехполюсные для установки на DIN-рейку или монтажную плату, тип ОТ16 F3, номинальный ток 16 А</t>
  </si>
  <si>
    <t>ТСН-2001.1. Доп. 1-42. Р. 21, о. 5, поз. 1048</t>
  </si>
  <si>
    <t>25</t>
  </si>
  <si>
    <t>4.8-57-4</t>
  </si>
  <si>
    <t>Приборы измерения и защиты, блок-контактор</t>
  </si>
  <si>
    <t>ТСН-2001.4. Доп. 1-42. Сб. 8, т. 57, поз. 4</t>
  </si>
  <si>
    <t>25,1</t>
  </si>
  <si>
    <t>П. 36 Конъюнктурного анализа</t>
  </si>
  <si>
    <t>Контактор ESB40-40 GHE34911102R0006 Модульный 220В 40А (АВВ)</t>
  </si>
  <si>
    <t>[3 488,88 /  5,43]</t>
  </si>
  <si>
    <t>26</t>
  </si>
  <si>
    <t>4.8-243-10</t>
  </si>
  <si>
    <t>Розетка штепсельная полугерметическая и герметическая</t>
  </si>
  <si>
    <t>ТСН-2001.4. Доп. 1-42. Сб. 8, т. 243, поз. 10</t>
  </si>
  <si>
    <t>26,1</t>
  </si>
  <si>
    <t>1.21-5-747</t>
  </si>
  <si>
    <t>Розетки штепсельные, серия "Прима", напряжение 250 В, сила тока 16 А, одноместная, с боковыми заземляющими контактами, с защитными шторками, тип РА16-003/1, открытой установки</t>
  </si>
  <si>
    <t>ТСН-2001.1. Доп. 1-42. Р. 21, о. 5, поз. 747</t>
  </si>
  <si>
    <t>27</t>
  </si>
  <si>
    <t>4.8-165-2</t>
  </si>
  <si>
    <t>Кабели по установленным конструкциям и лоткам с установкой ответвительных коробок, кабель двух-четырехжильный во взрывоопасных и пожароопасных помещениях сечением жилы до 6 мм2</t>
  </si>
  <si>
    <t>ТСН-2001.4. Доп. 1-42. Сб. 8, т. 165, поз. 2</t>
  </si>
  <si>
    <t>27,1</t>
  </si>
  <si>
    <t>1.23-8-410</t>
  </si>
  <si>
    <t>Кабели силовые с медными жилами, напряжение 660 В, марка ВВГнг(А)-LS, число жил и сечение 5х6 мм2</t>
  </si>
  <si>
    <t>ТСН-2001.1 Доп. 46, Р. 23, о. 8, поз. 410</t>
  </si>
  <si>
    <t>Материалы монтажные</t>
  </si>
  <si>
    <t>ТСН-2001.1 Материалы монтажные</t>
  </si>
  <si>
    <t>ТСН-2001.1-2</t>
  </si>
  <si>
    <t>28</t>
  </si>
  <si>
    <t>4.8-168-1</t>
  </si>
  <si>
    <t>Провода и кабели по стальным конструкциям и панелям, провод, сечением до 16 мм2</t>
  </si>
  <si>
    <t>100 М ТРАССЫ</t>
  </si>
  <si>
    <t>ТСН-2001.4. Доп. 1-42. Сб. 8, т. 168, поз. 1</t>
  </si>
  <si>
    <t>28,1</t>
  </si>
  <si>
    <t>Текущий уровень цен</t>
  </si>
  <si>
    <t>Сборник индексов</t>
  </si>
  <si>
    <t>Коэффициенты к ТСН-2001 МГЭ</t>
  </si>
  <si>
    <t>162</t>
  </si>
  <si>
    <t>_OBSM_</t>
  </si>
  <si>
    <t>9999990008</t>
  </si>
  <si>
    <t>Трудозатраты рабочих</t>
  </si>
  <si>
    <t>чел.-ч.</t>
  </si>
  <si>
    <t>2.1-1-5</t>
  </si>
  <si>
    <t>ТСН-2001.2. Доп. 1-42, п. 1-1-5 (010109)</t>
  </si>
  <si>
    <t>Экскаваторы на гусеничном ходу гидравлические, объем ковша до 0,65 м3</t>
  </si>
  <si>
    <t>маш.-ч.</t>
  </si>
  <si>
    <t>2.1-1-4</t>
  </si>
  <si>
    <t>ТСН-2001.2. Доп. 1-42, п. 1-1-4 (010105)</t>
  </si>
  <si>
    <t>Экскаваторы на гусеничном ходу гидравлические, объем ковша до 0,5 м3</t>
  </si>
  <si>
    <t>2.1-1-44</t>
  </si>
  <si>
    <t>ТСН-2001.2. Доп. 1-42, п. 1-1-44 (012103)</t>
  </si>
  <si>
    <t>Бульдозеры гусеничные, мощность до 79 кВт (108 л.с.)</t>
  </si>
  <si>
    <t>9999990007</t>
  </si>
  <si>
    <t>Стоимость прочих машин (ЭСН)</t>
  </si>
  <si>
    <t>руб.</t>
  </si>
  <si>
    <t>2.1-18-7</t>
  </si>
  <si>
    <t>ТСН-2001.2. Доп. 47. п.1-18-7 (183001)</t>
  </si>
  <si>
    <t>Автомобили грузовые бортовые, грузоподъемность до 5 т</t>
  </si>
  <si>
    <t>1.1-1-115</t>
  </si>
  <si>
    <t>ТСН-2001.1. Доп. 1-42. Р. 1, о. 1, поз. 115</t>
  </si>
  <si>
    <t>Ветошь</t>
  </si>
  <si>
    <t>кг</t>
  </si>
  <si>
    <t>1.1-1-659</t>
  </si>
  <si>
    <t>ТСН-2001.1. Доп. 1-42. Р. 1, о. 1, поз. 659</t>
  </si>
  <si>
    <t>Мыло жидкое (мыловар)</t>
  </si>
  <si>
    <t>1.12-5-64</t>
  </si>
  <si>
    <t>ТСН-2001.1. Доп. 1-42. Р. 12, о. 5, поз. 64</t>
  </si>
  <si>
    <t>Кольца резиновые уплотнительные для канализации из поливинилхлоридных труб</t>
  </si>
  <si>
    <t>2.1-1-43</t>
  </si>
  <si>
    <t>ТСН-2001.2. Доп. 1-42, п. 1-1-43 (012102)</t>
  </si>
  <si>
    <t>Бульдозеры гусеничные, мощность до 59 кВт (80 л.с.)</t>
  </si>
  <si>
    <t>2.1-10-5</t>
  </si>
  <si>
    <t>ТСН-2001.2. Доп. 46. п.1-10-5 (101002)</t>
  </si>
  <si>
    <t>Компрессоры прицепные с двигателем внутреннего сгорания, производительность до 5 м3/мин, мощность двигателя до 29 кВт (39,4 л.с.)</t>
  </si>
  <si>
    <t>2.1-30-1</t>
  </si>
  <si>
    <t>ТСН-2001.2. Доп. 1-42, п. 1-30-1 (301201)</t>
  </si>
  <si>
    <t>Трамбовки пневматические</t>
  </si>
  <si>
    <t>2.1-9-2</t>
  </si>
  <si>
    <t>ТСН-2001.2. Доп. 1-42, п. 1-9-2 (090201)</t>
  </si>
  <si>
    <t>Машины бурильно-крановые на базе автомобиля, глубина бурения до 5 м</t>
  </si>
  <si>
    <t>2.1-18-20</t>
  </si>
  <si>
    <t>ТСН-2001.2. Доп. 47. п.1-18-20 (185002)</t>
  </si>
  <si>
    <t>Тягачи седельные, грузоподъемность до 12 т</t>
  </si>
  <si>
    <t>2.1-18-3</t>
  </si>
  <si>
    <t>ТСН-2001.2. Доп. 1-42, п. 1-18-3 (182201)</t>
  </si>
  <si>
    <t>Полуприцепы общего назначения, грузоподъемность до 12 т</t>
  </si>
  <si>
    <t>2.1-3-38</t>
  </si>
  <si>
    <t>ТСН-2001.2. Доп. 1-42, п. 1-3-38 (032009)</t>
  </si>
  <si>
    <t>Краны на автомобильном ходу, грузоподъемность до 16 т</t>
  </si>
  <si>
    <t>9999990002</t>
  </si>
  <si>
    <t>Масса оборудования</t>
  </si>
  <si>
    <t>2248111000</t>
  </si>
  <si>
    <t>Трубы полиэтиленовые гофрированные электротехнические с муфтами</t>
  </si>
  <si>
    <t>2248200000</t>
  </si>
  <si>
    <t>Трубы поливинилхлоридные гофрированные</t>
  </si>
  <si>
    <t>3434200000</t>
  </si>
  <si>
    <t>Коробки соединительные</t>
  </si>
  <si>
    <t>3449651000</t>
  </si>
  <si>
    <t>Держатели пластиковые для труб</t>
  </si>
  <si>
    <t>3449660000</t>
  </si>
  <si>
    <t>Опора с комплектом крепления</t>
  </si>
  <si>
    <t>"УТВЕРЖДАЮ"</t>
  </si>
  <si>
    <t>Форма № 1б</t>
  </si>
  <si>
    <t>"_____"________________ 2020 г.</t>
  </si>
  <si>
    <t>(наименование стройки)</t>
  </si>
  <si>
    <t>(локальный сметный расчет)</t>
  </si>
  <si>
    <t>(наименование работ и затрат, наименование объекта)</t>
  </si>
  <si>
    <t>базовая    цена</t>
  </si>
  <si>
    <t>текущая   цена</t>
  </si>
  <si>
    <t>Сметная стоимость</t>
  </si>
  <si>
    <t>Монтажные работы</t>
  </si>
  <si>
    <t>Оборудование</t>
  </si>
  <si>
    <t>Прочие работы</t>
  </si>
  <si>
    <t>Средства на оплату труда</t>
  </si>
  <si>
    <t xml:space="preserve">Кроме того: </t>
  </si>
  <si>
    <t>№№ п/п</t>
  </si>
  <si>
    <t>Шифр расценки и коды ресурсов</t>
  </si>
  <si>
    <t>Наименование работ и затрат</t>
  </si>
  <si>
    <t>Единица измерения</t>
  </si>
  <si>
    <t>Кол-во единиц</t>
  </si>
  <si>
    <t>Цена на ед. изм. руб.</t>
  </si>
  <si>
    <t>Попра-вочные коэфф.</t>
  </si>
  <si>
    <t>Коэфф. зимних удоро-жаний</t>
  </si>
  <si>
    <t>ВСЕГО в базисном уровне цен, руб.</t>
  </si>
  <si>
    <t>Коэфф. пересчета и нормы НР и СП</t>
  </si>
  <si>
    <t>Всего в текущем уровне цен, руб.</t>
  </si>
  <si>
    <t>Составлен(а) в уровне текущих (прогнозных) цен Коэффициенты к ТСН-2001 МГЭ №162 март 2020 года</t>
  </si>
  <si>
    <t>ЗП</t>
  </si>
  <si>
    <t>ЭМ</t>
  </si>
  <si>
    <t>в т.ч. ЗПМ</t>
  </si>
  <si>
    <t>НР от ЗП</t>
  </si>
  <si>
    <t>%</t>
  </si>
  <si>
    <t>СП от ЗП</t>
  </si>
  <si>
    <t>НР и СП от ЗПМ</t>
  </si>
  <si>
    <t>ЗТР</t>
  </si>
  <si>
    <t>чел-ч</t>
  </si>
  <si>
    <t>МР</t>
  </si>
  <si>
    <t xml:space="preserve">   Итого по ТСН-2001.16</t>
  </si>
  <si>
    <t xml:space="preserve">   Итого возвратных сумм</t>
  </si>
  <si>
    <r>
      <t>4.8-218-1</t>
    </r>
    <r>
      <rPr>
        <i/>
        <sz val="10"/>
        <rFont val="Arial"/>
        <family val="2"/>
        <charset val="204"/>
      </rPr>
      <t xml:space="preserve">
Поправка: ТСН-2001.4-8. о3. р3. п.6</t>
    </r>
  </si>
  <si>
    <t xml:space="preserve">  тыс.руб</t>
  </si>
  <si>
    <t xml:space="preserve">Составил   </t>
  </si>
  <si>
    <t>[должность,подпись(инициалы,фамилия)]</t>
  </si>
  <si>
    <t xml:space="preserve">Проверил   </t>
  </si>
  <si>
    <t>___________________________</t>
  </si>
  <si>
    <t>" ___ " ___________ 20 ___ г.</t>
  </si>
  <si>
    <t xml:space="preserve">Мы, нижеподписавшиеся, произвели осмотр объекта </t>
  </si>
  <si>
    <t xml:space="preserve">и постановили произвести ремонт объекта в </t>
  </si>
  <si>
    <t>следующем объеме:</t>
  </si>
  <si>
    <t>№ п/п</t>
  </si>
  <si>
    <t>Количество</t>
  </si>
  <si>
    <t>Примечание</t>
  </si>
  <si>
    <t>Заказчик 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</si>
</sst>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\-\ #,##0.00"/>
  </numFmts>
  <fonts count="19" x14ac:knownFonts="1">
    <font>
      <sz val="10"/>
      <name val="Arial"/>
      <charset val="204"/>
    </font>
    <font>
      <b/>
      <sz val="10"/>
      <color indexed="12"/>
      <name val="Arial"/>
      <family val="2"/>
      <charset val="204"/>
    </font>
    <font>
      <b/>
      <sz val="10"/>
      <color indexed="16"/>
      <name val="Arial"/>
      <family val="2"/>
      <charset val="204"/>
    </font>
    <font>
      <b/>
      <sz val="10"/>
      <color indexed="20"/>
      <name val="Arial"/>
      <family val="2"/>
      <charset val="204"/>
    </font>
    <font>
      <b/>
      <sz val="10"/>
      <color indexed="17"/>
      <name val="Arial"/>
      <family val="2"/>
      <charset val="204"/>
    </font>
    <font>
      <sz val="10"/>
      <color indexed="17"/>
      <name val="Arial"/>
      <family val="2"/>
      <charset val="204"/>
    </font>
    <font>
      <sz val="10"/>
      <color indexed="12"/>
      <name val="Arial"/>
      <family val="2"/>
      <charset val="204"/>
    </font>
    <font>
      <sz val="10"/>
      <color indexed="14"/>
      <name val="Arial"/>
      <family val="2"/>
      <charset val="204"/>
    </font>
    <font>
      <b/>
      <sz val="10"/>
      <color indexed="14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11"/>
      <name val="Arial"/>
      <family val="2"/>
      <charset val="204"/>
    </font>
    <font>
      <b/>
      <sz val="13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i/>
      <sz val="11"/>
      <name val="Arial"/>
      <family val="2"/>
      <charset val="204"/>
    </font>
    <font>
      <b/>
      <sz val="11"/>
      <name val="Arial"/>
      <family val="2"/>
      <charset val="204"/>
    </font>
    <font>
      <i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9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 applyAlignment="1">
      <alignment horizontal="right"/>
    </xf>
    <xf numFmtId="0" fontId="11" fillId="0" borderId="0" xfId="0" applyFo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Border="1" applyAlignment="1">
      <alignment wrapText="1"/>
    </xf>
    <xf numFmtId="0" fontId="11" fillId="0" borderId="0" xfId="0" applyFont="1" applyAlignment="1">
      <alignment horizontal="center" wrapText="1"/>
    </xf>
    <xf numFmtId="164" fontId="11" fillId="0" borderId="0" xfId="0" applyNumberFormat="1" applyFont="1"/>
    <xf numFmtId="0" fontId="11" fillId="0" borderId="0" xfId="0" applyFont="1" applyFill="1" applyAlignment="1">
      <alignment horizontal="left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6" fillId="0" borderId="0" xfId="0" applyFont="1" applyAlignment="1">
      <alignment horizontal="right" wrapText="1"/>
    </xf>
    <xf numFmtId="0" fontId="11" fillId="0" borderId="0" xfId="0" applyFont="1" applyAlignment="1">
      <alignment horizontal="right" wrapText="1"/>
    </xf>
    <xf numFmtId="164" fontId="11" fillId="0" borderId="0" xfId="0" applyNumberFormat="1" applyFont="1" applyAlignment="1">
      <alignment horizontal="right"/>
    </xf>
    <xf numFmtId="164" fontId="16" fillId="0" borderId="0" xfId="0" applyNumberFormat="1" applyFont="1" applyAlignment="1">
      <alignment horizontal="right"/>
    </xf>
    <xf numFmtId="164" fontId="0" fillId="0" borderId="0" xfId="0" applyNumberFormat="1"/>
    <xf numFmtId="0" fontId="0" fillId="0" borderId="5" xfId="0" applyBorder="1"/>
    <xf numFmtId="0" fontId="11" fillId="0" borderId="0" xfId="0" quotePrefix="1" applyFont="1" applyAlignment="1">
      <alignment horizontal="right" wrapText="1"/>
    </xf>
    <xf numFmtId="0" fontId="17" fillId="0" borderId="0" xfId="0" applyFont="1"/>
    <xf numFmtId="0" fontId="17" fillId="0" borderId="0" xfId="0" applyFont="1" applyAlignment="1">
      <alignment horizontal="right"/>
    </xf>
    <xf numFmtId="0" fontId="11" fillId="0" borderId="1" xfId="0" applyFont="1" applyBorder="1"/>
    <xf numFmtId="0" fontId="17" fillId="0" borderId="0" xfId="0" applyFont="1" applyBorder="1" applyAlignment="1">
      <alignment horizontal="right"/>
    </xf>
    <xf numFmtId="0" fontId="17" fillId="0" borderId="0" xfId="0" applyFont="1" applyAlignment="1">
      <alignment horizontal="left" vertical="top"/>
    </xf>
    <xf numFmtId="0" fontId="17" fillId="0" borderId="0" xfId="0" applyFont="1" applyAlignment="1">
      <alignment horizontal="center" wrapText="1"/>
    </xf>
    <xf numFmtId="0" fontId="11" fillId="0" borderId="4" xfId="0" applyFont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wrapText="1"/>
    </xf>
    <xf numFmtId="0" fontId="11" fillId="0" borderId="3" xfId="0" applyFont="1" applyBorder="1" applyAlignment="1">
      <alignment horizontal="right" wrapText="1"/>
    </xf>
    <xf numFmtId="0" fontId="11" fillId="0" borderId="3" xfId="0" applyFont="1" applyBorder="1" applyAlignment="1">
      <alignment horizontal="right"/>
    </xf>
    <xf numFmtId="0" fontId="11" fillId="0" borderId="4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wrapText="1"/>
    </xf>
    <xf numFmtId="0" fontId="11" fillId="0" borderId="4" xfId="0" applyFont="1" applyBorder="1" applyAlignment="1">
      <alignment horizontal="right" wrapText="1"/>
    </xf>
    <xf numFmtId="0" fontId="11" fillId="0" borderId="4" xfId="0" applyFont="1" applyBorder="1" applyAlignment="1">
      <alignment horizontal="right"/>
    </xf>
    <xf numFmtId="0" fontId="13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Border="1" applyAlignment="1">
      <alignment horizontal="left" wrapText="1"/>
    </xf>
    <xf numFmtId="0" fontId="13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4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0" fontId="15" fillId="0" borderId="0" xfId="0" applyFont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0" fillId="0" borderId="0" xfId="0" applyAlignment="1"/>
    <xf numFmtId="0" fontId="11" fillId="0" borderId="0" xfId="0" applyFont="1" applyAlignment="1">
      <alignment horizontal="left" wrapText="1"/>
    </xf>
    <xf numFmtId="164" fontId="17" fillId="0" borderId="5" xfId="0" applyNumberFormat="1" applyFont="1" applyBorder="1" applyAlignment="1">
      <alignment horizontal="right"/>
    </xf>
    <xf numFmtId="0" fontId="11" fillId="0" borderId="0" xfId="1" applyFont="1" applyFill="1" applyAlignment="1">
      <alignment horizontal="left"/>
    </xf>
    <xf numFmtId="0" fontId="9" fillId="0" borderId="0" xfId="1" applyFont="1" applyFill="1" applyAlignment="1">
      <alignment horizontal="left"/>
    </xf>
    <xf numFmtId="0" fontId="11" fillId="0" borderId="1" xfId="0" applyFont="1" applyBorder="1" applyAlignment="1">
      <alignment horizontal="left" wrapText="1"/>
    </xf>
    <xf numFmtId="0" fontId="12" fillId="0" borderId="0" xfId="0" applyFont="1" applyAlignment="1">
      <alignment horizontal="center" wrapText="1"/>
    </xf>
    <xf numFmtId="164" fontId="17" fillId="0" borderId="0" xfId="0" applyNumberFormat="1" applyFont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 applyAlignment="1">
      <alignment horizontal="left" wrapText="1"/>
    </xf>
    <xf numFmtId="0" fontId="11" fillId="0" borderId="0" xfId="0" applyFont="1" applyAlignment="1">
      <alignment horizontal="right" vertical="center"/>
    </xf>
    <xf numFmtId="0" fontId="12" fillId="0" borderId="4" xfId="0" applyFont="1" applyBorder="1" applyAlignment="1">
      <alignment horizontal="center" wrapText="1"/>
    </xf>
    <xf numFmtId="0" fontId="17" fillId="0" borderId="0" xfId="0" applyFont="1" applyBorder="1" applyAlignment="1">
      <alignment horizontal="right"/>
    </xf>
    <xf numFmtId="0" fontId="13" fillId="0" borderId="0" xfId="0" applyFont="1" applyAlignment="1">
      <alignment horizontal="center" wrapText="1"/>
    </xf>
    <xf numFmtId="0" fontId="17" fillId="0" borderId="0" xfId="0" applyFont="1" applyAlignment="1">
      <alignment horizontal="center" wrapText="1"/>
    </xf>
  </cellXfs>
  <cellStyles count="2">
    <cellStyle name="Обычный" xfId="0" builtinId="0"/>
    <cellStyle name="Обычн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36"/>
  <sheetViews>
    <sheetView tabSelected="1" topLeftCell="A19" zoomScaleNormal="100" workbookViewId="0">
      <selection activeCell="C47" sqref="C47"/>
    </sheetView>
  </sheetViews>
  <sheetFormatPr defaultRowHeight="12.75" x14ac:dyDescent="0.2"/>
  <cols>
    <col min="1" max="1" width="5.7109375" customWidth="1"/>
    <col min="2" max="2" width="11.7109375" customWidth="1"/>
    <col min="3" max="3" width="40.7109375" customWidth="1"/>
    <col min="4" max="6" width="11.7109375" customWidth="1"/>
    <col min="7" max="7" width="12.7109375" customWidth="1"/>
    <col min="8" max="8" width="10.7109375" customWidth="1"/>
    <col min="9" max="11" width="12.7109375" customWidth="1"/>
    <col min="15" max="42" width="0" hidden="1" customWidth="1"/>
  </cols>
  <sheetData>
    <row r="1" spans="1:11" x14ac:dyDescent="0.2">
      <c r="A1" s="9" t="str">
        <f>Source!B1</f>
        <v>Smeta.RU  (495) 974-1589</v>
      </c>
    </row>
    <row r="2" spans="1:11" ht="14.25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1" t="s">
        <v>420</v>
      </c>
    </row>
    <row r="3" spans="1:11" ht="16.5" x14ac:dyDescent="0.25">
      <c r="A3" s="12"/>
      <c r="B3" s="47"/>
      <c r="C3" s="47"/>
      <c r="D3" s="47"/>
      <c r="E3" s="47"/>
      <c r="F3" s="11"/>
      <c r="G3" s="47" t="s">
        <v>419</v>
      </c>
      <c r="H3" s="47"/>
      <c r="I3" s="47"/>
      <c r="J3" s="47"/>
      <c r="K3" s="47"/>
    </row>
    <row r="4" spans="1:11" ht="14.25" x14ac:dyDescent="0.2">
      <c r="A4" s="11"/>
      <c r="B4" s="48"/>
      <c r="C4" s="48"/>
      <c r="D4" s="48"/>
      <c r="E4" s="48"/>
      <c r="F4" s="11"/>
      <c r="G4" s="48"/>
      <c r="H4" s="48"/>
      <c r="I4" s="48"/>
      <c r="J4" s="48"/>
      <c r="K4" s="48"/>
    </row>
    <row r="5" spans="1:11" ht="14.25" x14ac:dyDescent="0.2">
      <c r="A5" s="13"/>
      <c r="B5" s="13"/>
      <c r="C5" s="14"/>
      <c r="D5" s="14"/>
      <c r="E5" s="14"/>
      <c r="F5" s="11"/>
      <c r="G5" s="15"/>
      <c r="H5" s="14"/>
      <c r="I5" s="14"/>
      <c r="J5" s="14"/>
      <c r="K5" s="15"/>
    </row>
    <row r="6" spans="1:11" ht="14.25" x14ac:dyDescent="0.2">
      <c r="A6" s="15"/>
      <c r="B6" s="48"/>
      <c r="C6" s="48"/>
      <c r="D6" s="48"/>
      <c r="E6" s="48"/>
      <c r="F6" s="11"/>
      <c r="G6" s="48" t="str">
        <f>CONCATENATE("______________________ ", IF(Source!AH12&lt;&gt;"", Source!AH12, ""))</f>
        <v xml:space="preserve">______________________ </v>
      </c>
      <c r="H6" s="48"/>
      <c r="I6" s="48"/>
      <c r="J6" s="48"/>
      <c r="K6" s="48"/>
    </row>
    <row r="7" spans="1:11" ht="14.25" x14ac:dyDescent="0.2">
      <c r="A7" s="16"/>
      <c r="B7" s="49"/>
      <c r="C7" s="49"/>
      <c r="D7" s="49"/>
      <c r="E7" s="49"/>
      <c r="F7" s="11"/>
      <c r="G7" s="49" t="s">
        <v>421</v>
      </c>
      <c r="H7" s="49"/>
      <c r="I7" s="49"/>
      <c r="J7" s="49"/>
      <c r="K7" s="49"/>
    </row>
    <row r="9" spans="1:11" ht="14.25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ht="15.75" x14ac:dyDescent="0.25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</row>
    <row r="11" spans="1:11" x14ac:dyDescent="0.2">
      <c r="A11" s="51" t="s">
        <v>422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</row>
    <row r="12" spans="1:11" ht="14.25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 ht="15.75" x14ac:dyDescent="0.25">
      <c r="A13" s="50" t="str">
        <f>CONCATENATE( "ЛОКАЛЬНАЯ СМЕТА № ",IF(Source!F20&lt;&gt;"Новая локальная смета", Source!F20, ""))</f>
        <v>ЛОКАЛЬНАЯ СМЕТА № 04-01-01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</row>
    <row r="14" spans="1:11" x14ac:dyDescent="0.2">
      <c r="A14" s="53" t="s">
        <v>423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</row>
    <row r="15" spans="1:11" ht="14.25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ht="18" x14ac:dyDescent="0.25">
      <c r="A16" s="54" t="str">
        <f>IF(Source!G20&lt;&gt;"Новая локальная смета", Source!G20, "")</f>
        <v>Устройство наружного освещения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</row>
    <row r="17" spans="1:11" ht="14.25" hidden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ht="18" hidden="1" x14ac:dyDescent="0.25">
      <c r="A18" s="55" t="str">
        <f>IF(Source!G12&lt;&gt;"Новый объект", Source!G12, "")</f>
        <v>Выполнение работ по благоустройству прилегающей территории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</row>
    <row r="19" spans="1:11" x14ac:dyDescent="0.2">
      <c r="A19" s="53" t="s">
        <v>424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</row>
    <row r="20" spans="1:11" ht="14.25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t="14.25" x14ac:dyDescent="0.2">
      <c r="A21" s="57" t="str">
        <f>CONCATENATE( "Основание: чертежи № ", Source!J20)</f>
        <v xml:space="preserve">Основание: чертежи № 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</row>
    <row r="22" spans="1:11" ht="28.5" x14ac:dyDescent="0.2">
      <c r="A22" s="11"/>
      <c r="B22" s="11"/>
      <c r="C22" s="11"/>
      <c r="D22" s="11"/>
      <c r="E22" s="11"/>
      <c r="F22" s="11"/>
      <c r="G22" s="11"/>
      <c r="H22" s="11"/>
      <c r="I22" s="17" t="s">
        <v>425</v>
      </c>
      <c r="J22" s="17" t="s">
        <v>426</v>
      </c>
      <c r="K22" s="11"/>
    </row>
    <row r="23" spans="1:11" ht="14.25" x14ac:dyDescent="0.2">
      <c r="A23" s="11"/>
      <c r="B23" s="11"/>
      <c r="C23" s="11"/>
      <c r="D23" s="11"/>
      <c r="E23" s="11"/>
      <c r="F23" s="48" t="s">
        <v>427</v>
      </c>
      <c r="G23" s="48"/>
      <c r="H23" s="48"/>
      <c r="I23" s="18">
        <f>SUM(O34:O329)/1000</f>
        <v>541.87260000000015</v>
      </c>
      <c r="J23" s="18">
        <f>(Source!F215/1000)</f>
        <v>4106.0610500000003</v>
      </c>
      <c r="K23" s="11" t="s">
        <v>458</v>
      </c>
    </row>
    <row r="24" spans="1:11" ht="14.25" x14ac:dyDescent="0.2">
      <c r="A24" s="11"/>
      <c r="B24" s="11"/>
      <c r="C24" s="11"/>
      <c r="D24" s="11"/>
      <c r="E24" s="11"/>
      <c r="F24" s="48" t="s">
        <v>22</v>
      </c>
      <c r="G24" s="48"/>
      <c r="H24" s="48"/>
      <c r="I24" s="18">
        <f>SUM(X34:X329)/1000</f>
        <v>92.329729999999998</v>
      </c>
      <c r="J24" s="18">
        <f>(Source!F204)/1000</f>
        <v>825.83542</v>
      </c>
      <c r="K24" s="11" t="s">
        <v>458</v>
      </c>
    </row>
    <row r="25" spans="1:11" ht="14.25" x14ac:dyDescent="0.2">
      <c r="A25" s="11"/>
      <c r="B25" s="11"/>
      <c r="C25" s="11"/>
      <c r="D25" s="11"/>
      <c r="E25" s="11"/>
      <c r="F25" s="48" t="s">
        <v>428</v>
      </c>
      <c r="G25" s="48"/>
      <c r="H25" s="48"/>
      <c r="I25" s="18">
        <f>SUM(Y34:Y329)/1000</f>
        <v>439.62788999999992</v>
      </c>
      <c r="J25" s="18">
        <f>(Source!F205)/1000</f>
        <v>3178.2996400000002</v>
      </c>
      <c r="K25" s="11" t="s">
        <v>458</v>
      </c>
    </row>
    <row r="26" spans="1:11" ht="14.25" x14ac:dyDescent="0.2">
      <c r="A26" s="11"/>
      <c r="B26" s="11"/>
      <c r="C26" s="11"/>
      <c r="D26" s="11"/>
      <c r="E26" s="11"/>
      <c r="F26" s="48" t="s">
        <v>429</v>
      </c>
      <c r="G26" s="48"/>
      <c r="H26" s="48"/>
      <c r="I26" s="18">
        <f>SUM(Z34:Z329)/1000</f>
        <v>0</v>
      </c>
      <c r="J26" s="18">
        <f>(Source!F196)/1000</f>
        <v>0</v>
      </c>
      <c r="K26" s="11" t="s">
        <v>458</v>
      </c>
    </row>
    <row r="27" spans="1:11" ht="14.25" x14ac:dyDescent="0.2">
      <c r="A27" s="11"/>
      <c r="B27" s="11"/>
      <c r="C27" s="11"/>
      <c r="D27" s="11"/>
      <c r="E27" s="11"/>
      <c r="F27" s="48" t="s">
        <v>430</v>
      </c>
      <c r="G27" s="48"/>
      <c r="H27" s="48"/>
      <c r="I27" s="18">
        <f>SUM(AA34:AA329)/1000</f>
        <v>9.9149799999999999</v>
      </c>
      <c r="J27" s="18">
        <f>(Source!F206+Source!F207)/1000</f>
        <v>101.92599</v>
      </c>
      <c r="K27" s="11" t="s">
        <v>458</v>
      </c>
    </row>
    <row r="28" spans="1:11" ht="14.25" x14ac:dyDescent="0.2">
      <c r="A28" s="11"/>
      <c r="B28" s="11"/>
      <c r="C28" s="11"/>
      <c r="D28" s="11"/>
      <c r="E28" s="11"/>
      <c r="F28" s="48" t="s">
        <v>431</v>
      </c>
      <c r="G28" s="48"/>
      <c r="H28" s="48"/>
      <c r="I28" s="18">
        <f>SUM(W34:W329)/1000</f>
        <v>30.275459999999999</v>
      </c>
      <c r="J28" s="18">
        <f>(Source!F202+ Source!F201)/1000</f>
        <v>724.79452000000003</v>
      </c>
      <c r="K28" s="11" t="s">
        <v>458</v>
      </c>
    </row>
    <row r="29" spans="1:11" ht="14.25" hidden="1" x14ac:dyDescent="0.2">
      <c r="A29" s="11"/>
      <c r="B29" s="11"/>
      <c r="C29" s="11"/>
      <c r="D29" s="11"/>
      <c r="E29" s="11"/>
      <c r="F29" s="19" t="s">
        <v>432</v>
      </c>
      <c r="G29" s="19"/>
      <c r="H29" s="19"/>
      <c r="I29" s="18"/>
      <c r="J29" s="18"/>
      <c r="K29" s="11"/>
    </row>
    <row r="30" spans="1:11" ht="14.25" hidden="1" x14ac:dyDescent="0.2">
      <c r="A30" s="11"/>
      <c r="B30" s="11"/>
      <c r="C30" s="11"/>
      <c r="D30" s="11"/>
      <c r="E30" s="11"/>
      <c r="F30" s="59" t="s">
        <v>165</v>
      </c>
      <c r="G30" s="60"/>
      <c r="H30" s="60"/>
      <c r="I30" s="18">
        <f>SUM(AE34:AE329)/1000</f>
        <v>0</v>
      </c>
      <c r="J30" s="18">
        <f>SUM(AF34:AF329)/1000</f>
        <v>0</v>
      </c>
      <c r="K30" s="11" t="s">
        <v>458</v>
      </c>
    </row>
    <row r="31" spans="1:11" ht="14.25" x14ac:dyDescent="0.2">
      <c r="A31" s="61" t="s">
        <v>444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</row>
    <row r="32" spans="1:11" ht="57" x14ac:dyDescent="0.2">
      <c r="A32" s="20" t="s">
        <v>433</v>
      </c>
      <c r="B32" s="20" t="s">
        <v>434</v>
      </c>
      <c r="C32" s="20" t="s">
        <v>435</v>
      </c>
      <c r="D32" s="20" t="s">
        <v>436</v>
      </c>
      <c r="E32" s="20" t="s">
        <v>437</v>
      </c>
      <c r="F32" s="20" t="s">
        <v>438</v>
      </c>
      <c r="G32" s="21" t="s">
        <v>439</v>
      </c>
      <c r="H32" s="21" t="s">
        <v>440</v>
      </c>
      <c r="I32" s="20" t="s">
        <v>441</v>
      </c>
      <c r="J32" s="20" t="s">
        <v>442</v>
      </c>
      <c r="K32" s="20" t="s">
        <v>443</v>
      </c>
    </row>
    <row r="33" spans="1:27" ht="14.25" x14ac:dyDescent="0.2">
      <c r="A33" s="20">
        <v>1</v>
      </c>
      <c r="B33" s="20">
        <v>2</v>
      </c>
      <c r="C33" s="20">
        <v>3</v>
      </c>
      <c r="D33" s="20">
        <v>4</v>
      </c>
      <c r="E33" s="20">
        <v>5</v>
      </c>
      <c r="F33" s="20">
        <v>6</v>
      </c>
      <c r="G33" s="20">
        <v>7</v>
      </c>
      <c r="H33" s="20">
        <v>8</v>
      </c>
      <c r="I33" s="20">
        <v>9</v>
      </c>
      <c r="J33" s="20">
        <v>10</v>
      </c>
      <c r="K33" s="20">
        <v>11</v>
      </c>
    </row>
    <row r="35" spans="1:27" ht="16.5" x14ac:dyDescent="0.25">
      <c r="A35" s="62" t="str">
        <f>CONCATENATE("Раздел: ",IF(Source!G24&lt;&gt;"Новый раздел", Source!G24, ""))</f>
        <v>Раздел: Пракладка кабеля в траншеи</v>
      </c>
      <c r="B35" s="62"/>
      <c r="C35" s="62"/>
      <c r="D35" s="62"/>
      <c r="E35" s="62"/>
      <c r="F35" s="62"/>
      <c r="G35" s="62"/>
      <c r="H35" s="62"/>
      <c r="I35" s="62"/>
      <c r="J35" s="62"/>
      <c r="K35" s="62"/>
    </row>
    <row r="36" spans="1:27" ht="57" x14ac:dyDescent="0.2">
      <c r="A36" s="22" t="str">
        <f>Source!E28</f>
        <v>1</v>
      </c>
      <c r="B36" s="23" t="str">
        <f>Source!F28</f>
        <v>3.1-2-7</v>
      </c>
      <c r="C36" s="23" t="s">
        <v>19</v>
      </c>
      <c r="D36" s="24" t="str">
        <f>Source!H28</f>
        <v>100 м3 грунта</v>
      </c>
      <c r="E36" s="10">
        <f>Source!I28</f>
        <v>3.2669999999999999</v>
      </c>
      <c r="F36" s="26"/>
      <c r="G36" s="25"/>
      <c r="H36" s="10"/>
      <c r="I36" s="26"/>
      <c r="J36" s="10"/>
      <c r="K36" s="26"/>
      <c r="Q36">
        <f>ROUND((Source!DN28/100)*ROUND((ROUND((Source!AF28*Source!AV28*Source!I28),2)),2), 2)</f>
        <v>30.42</v>
      </c>
      <c r="R36">
        <f>Source!X28</f>
        <v>683.65</v>
      </c>
      <c r="S36">
        <f>ROUND((Source!DO28/100)*ROUND((ROUND((Source!AF28*Source!AV28*Source!I28),2)),2), 2)</f>
        <v>23.9</v>
      </c>
      <c r="T36">
        <f>Source!Y28</f>
        <v>371.55</v>
      </c>
      <c r="U36">
        <f>ROUND((175/100)*ROUND((ROUND((Source!AE28*Source!AV28*Source!I28),2)),2), 2)</f>
        <v>402.15</v>
      </c>
      <c r="V36">
        <f>ROUND((157/100)*ROUND(ROUND((ROUND((Source!AE28*Source!AV28*Source!I28),2)*Source!BS28),2), 2), 2)</f>
        <v>8637.2099999999991</v>
      </c>
    </row>
    <row r="37" spans="1:27" ht="14.25" x14ac:dyDescent="0.2">
      <c r="A37" s="22"/>
      <c r="B37" s="23"/>
      <c r="C37" s="23" t="s">
        <v>445</v>
      </c>
      <c r="D37" s="24"/>
      <c r="E37" s="10"/>
      <c r="F37" s="26">
        <f>Source!AO28</f>
        <v>9.5</v>
      </c>
      <c r="G37" s="25" t="str">
        <f>Source!DG28</f>
        <v/>
      </c>
      <c r="H37" s="10">
        <f>Source!AV28</f>
        <v>1</v>
      </c>
      <c r="I37" s="26">
        <f>ROUND((ROUND((Source!AF28*Source!AV28*Source!I28),2)),2)</f>
        <v>31.04</v>
      </c>
      <c r="J37" s="10">
        <f>IF(Source!BA28&lt;&gt; 0, Source!BA28, 1)</f>
        <v>23.94</v>
      </c>
      <c r="K37" s="26">
        <f>Source!S28</f>
        <v>743.1</v>
      </c>
      <c r="W37">
        <f>I37</f>
        <v>31.04</v>
      </c>
    </row>
    <row r="38" spans="1:27" ht="14.25" x14ac:dyDescent="0.2">
      <c r="A38" s="22"/>
      <c r="B38" s="23"/>
      <c r="C38" s="23" t="s">
        <v>446</v>
      </c>
      <c r="D38" s="24"/>
      <c r="E38" s="10"/>
      <c r="F38" s="26">
        <f>Source!AM28</f>
        <v>422.23</v>
      </c>
      <c r="G38" s="25" t="str">
        <f>Source!DE28</f>
        <v/>
      </c>
      <c r="H38" s="10">
        <f>Source!AV28</f>
        <v>1</v>
      </c>
      <c r="I38" s="26">
        <f>(ROUND((ROUND(((Source!ET28)*Source!AV28*Source!I28),2)),2)+ROUND((ROUND(((Source!AE28-(Source!EU28))*Source!AV28*Source!I28),2)),2))</f>
        <v>1379.43</v>
      </c>
      <c r="J38" s="10">
        <f>IF(Source!BB28&lt;&gt; 0, Source!BB28, 1)</f>
        <v>9.7200000000000006</v>
      </c>
      <c r="K38" s="26">
        <f>Source!Q28</f>
        <v>13408.06</v>
      </c>
    </row>
    <row r="39" spans="1:27" ht="14.25" x14ac:dyDescent="0.2">
      <c r="A39" s="22"/>
      <c r="B39" s="23"/>
      <c r="C39" s="23" t="s">
        <v>447</v>
      </c>
      <c r="D39" s="24"/>
      <c r="E39" s="10"/>
      <c r="F39" s="26">
        <f>Source!AN28</f>
        <v>70.34</v>
      </c>
      <c r="G39" s="25" t="str">
        <f>Source!DF28</f>
        <v/>
      </c>
      <c r="H39" s="10">
        <f>Source!AV28</f>
        <v>1</v>
      </c>
      <c r="I39" s="27">
        <f>ROUND((ROUND((Source!AE28*Source!AV28*Source!I28),2)),2)</f>
        <v>229.8</v>
      </c>
      <c r="J39" s="10">
        <f>IF(Source!BS28&lt;&gt; 0, Source!BS28, 1)</f>
        <v>23.94</v>
      </c>
      <c r="K39" s="27">
        <f>Source!R28</f>
        <v>5501.41</v>
      </c>
      <c r="W39">
        <f>I39</f>
        <v>229.8</v>
      </c>
    </row>
    <row r="40" spans="1:27" ht="14.25" x14ac:dyDescent="0.2">
      <c r="A40" s="22"/>
      <c r="B40" s="23"/>
      <c r="C40" s="23" t="s">
        <v>448</v>
      </c>
      <c r="D40" s="24" t="s">
        <v>449</v>
      </c>
      <c r="E40" s="10">
        <f>Source!DN28</f>
        <v>98</v>
      </c>
      <c r="F40" s="26"/>
      <c r="G40" s="25"/>
      <c r="H40" s="10"/>
      <c r="I40" s="26">
        <f>SUM(Q36:Q39)</f>
        <v>30.42</v>
      </c>
      <c r="J40" s="10">
        <f>Source!BZ28</f>
        <v>92</v>
      </c>
      <c r="K40" s="26">
        <f>SUM(R36:R39)</f>
        <v>683.65</v>
      </c>
    </row>
    <row r="41" spans="1:27" ht="14.25" x14ac:dyDescent="0.2">
      <c r="A41" s="22"/>
      <c r="B41" s="23"/>
      <c r="C41" s="23" t="s">
        <v>450</v>
      </c>
      <c r="D41" s="24" t="s">
        <v>449</v>
      </c>
      <c r="E41" s="10">
        <f>Source!DO28</f>
        <v>77</v>
      </c>
      <c r="F41" s="26"/>
      <c r="G41" s="25"/>
      <c r="H41" s="10"/>
      <c r="I41" s="26">
        <f>SUM(S36:S40)</f>
        <v>23.9</v>
      </c>
      <c r="J41" s="10">
        <f>Source!CA28</f>
        <v>50</v>
      </c>
      <c r="K41" s="26">
        <f>SUM(T36:T40)</f>
        <v>371.55</v>
      </c>
    </row>
    <row r="42" spans="1:27" ht="14.25" x14ac:dyDescent="0.2">
      <c r="A42" s="22"/>
      <c r="B42" s="23"/>
      <c r="C42" s="23" t="s">
        <v>451</v>
      </c>
      <c r="D42" s="24" t="s">
        <v>449</v>
      </c>
      <c r="E42" s="10">
        <f>175</f>
        <v>175</v>
      </c>
      <c r="F42" s="26"/>
      <c r="G42" s="25"/>
      <c r="H42" s="10"/>
      <c r="I42" s="26">
        <f>SUM(U36:U41)</f>
        <v>402.15</v>
      </c>
      <c r="J42" s="10">
        <f>157</f>
        <v>157</v>
      </c>
      <c r="K42" s="26">
        <f>SUM(V36:V41)</f>
        <v>8637.2099999999991</v>
      </c>
    </row>
    <row r="43" spans="1:27" ht="14.25" x14ac:dyDescent="0.2">
      <c r="A43" s="22"/>
      <c r="B43" s="23"/>
      <c r="C43" s="23" t="s">
        <v>452</v>
      </c>
      <c r="D43" s="24" t="s">
        <v>453</v>
      </c>
      <c r="E43" s="10">
        <f>Source!AQ28</f>
        <v>0.93</v>
      </c>
      <c r="F43" s="26"/>
      <c r="G43" s="25" t="str">
        <f>Source!DI28</f>
        <v/>
      </c>
      <c r="H43" s="10">
        <f>Source!AV28</f>
        <v>1</v>
      </c>
      <c r="I43" s="26">
        <f>Source!U28</f>
        <v>3.0383100000000001</v>
      </c>
      <c r="J43" s="10"/>
      <c r="K43" s="26"/>
    </row>
    <row r="44" spans="1:27" ht="15" x14ac:dyDescent="0.25">
      <c r="A44" s="29"/>
      <c r="B44" s="29"/>
      <c r="C44" s="29"/>
      <c r="D44" s="29"/>
      <c r="E44" s="29"/>
      <c r="F44" s="29"/>
      <c r="G44" s="29"/>
      <c r="H44" s="58">
        <f>I37+I38+I40+I41+I42</f>
        <v>1866.94</v>
      </c>
      <c r="I44" s="58"/>
      <c r="J44" s="58">
        <f>K37+K38+K40+K41+K42</f>
        <v>23843.57</v>
      </c>
      <c r="K44" s="58"/>
      <c r="O44" s="28">
        <f>I37+I38+I40+I41+I42</f>
        <v>1866.94</v>
      </c>
      <c r="P44" s="28">
        <f>K37+K38+K40+K41+K42</f>
        <v>23843.57</v>
      </c>
      <c r="X44">
        <f>IF(Source!BI28&lt;=1,I37+I38+I40+I41+I42-0, 0)</f>
        <v>1866.94</v>
      </c>
      <c r="Y44">
        <f>IF(Source!BI28=2,I37+I38+I40+I41+I42-0, 0)</f>
        <v>0</v>
      </c>
      <c r="Z44">
        <f>IF(Source!BI28=3,I37+I38+I40+I41+I42-0, 0)</f>
        <v>0</v>
      </c>
      <c r="AA44">
        <f>IF(Source!BI28=4,I37+I38+I40+I41+I42,0)</f>
        <v>0</v>
      </c>
    </row>
    <row r="45" spans="1:27" ht="57" x14ac:dyDescent="0.2">
      <c r="A45" s="22" t="str">
        <f>Source!E29</f>
        <v>2</v>
      </c>
      <c r="B45" s="23" t="str">
        <f>Source!F29</f>
        <v>3.1-6-10</v>
      </c>
      <c r="C45" s="23" t="s">
        <v>27</v>
      </c>
      <c r="D45" s="24" t="str">
        <f>Source!H29</f>
        <v>100 м3 грунта</v>
      </c>
      <c r="E45" s="10">
        <f>Source!I29</f>
        <v>1.8149999999999999</v>
      </c>
      <c r="F45" s="26"/>
      <c r="G45" s="25"/>
      <c r="H45" s="10"/>
      <c r="I45" s="26"/>
      <c r="J45" s="10"/>
      <c r="K45" s="26"/>
      <c r="Q45">
        <f>ROUND((Source!DN29/100)*ROUND((ROUND((Source!AF29*Source!AV29*Source!I29),2)),2), 2)</f>
        <v>25.08</v>
      </c>
      <c r="R45">
        <f>Source!X29</f>
        <v>563.61</v>
      </c>
      <c r="S45">
        <f>ROUND((Source!DO29/100)*ROUND((ROUND((Source!AF29*Source!AV29*Source!I29),2)),2), 2)</f>
        <v>19.7</v>
      </c>
      <c r="T45">
        <f>Source!Y29</f>
        <v>306.31</v>
      </c>
      <c r="U45">
        <f>ROUND((175/100)*ROUND((ROUND((Source!AE29*Source!AV29*Source!I29),2)),2), 2)</f>
        <v>446.2</v>
      </c>
      <c r="V45">
        <f>ROUND((157/100)*ROUND(ROUND((ROUND((Source!AE29*Source!AV29*Source!I29),2)*Source!BS29),2), 2), 2)</f>
        <v>9583.25</v>
      </c>
    </row>
    <row r="46" spans="1:27" ht="14.25" x14ac:dyDescent="0.2">
      <c r="A46" s="22"/>
      <c r="B46" s="23"/>
      <c r="C46" s="23" t="s">
        <v>445</v>
      </c>
      <c r="D46" s="24"/>
      <c r="E46" s="10"/>
      <c r="F46" s="26">
        <f>Source!AO29</f>
        <v>14.1</v>
      </c>
      <c r="G46" s="25" t="str">
        <f>Source!DG29</f>
        <v/>
      </c>
      <c r="H46" s="10">
        <f>Source!AV29</f>
        <v>1</v>
      </c>
      <c r="I46" s="26">
        <f>ROUND((ROUND((Source!AF29*Source!AV29*Source!I29),2)),2)</f>
        <v>25.59</v>
      </c>
      <c r="J46" s="10">
        <f>IF(Source!BA29&lt;&gt; 0, Source!BA29, 1)</f>
        <v>23.94</v>
      </c>
      <c r="K46" s="26">
        <f>Source!S29</f>
        <v>612.62</v>
      </c>
      <c r="W46">
        <f>I46</f>
        <v>25.59</v>
      </c>
    </row>
    <row r="47" spans="1:27" ht="14.25" x14ac:dyDescent="0.2">
      <c r="A47" s="22"/>
      <c r="B47" s="23"/>
      <c r="C47" s="23" t="s">
        <v>446</v>
      </c>
      <c r="D47" s="24"/>
      <c r="E47" s="10"/>
      <c r="F47" s="26">
        <f>Source!AM29</f>
        <v>757.55</v>
      </c>
      <c r="G47" s="25" t="str">
        <f>Source!DE29</f>
        <v/>
      </c>
      <c r="H47" s="10">
        <f>Source!AV29</f>
        <v>1</v>
      </c>
      <c r="I47" s="26">
        <f>(ROUND((ROUND(((Source!ET29)*Source!AV29*Source!I29),2)),2)+ROUND((ROUND(((Source!AE29-(Source!EU29))*Source!AV29*Source!I29),2)),2))</f>
        <v>1374.95</v>
      </c>
      <c r="J47" s="10">
        <f>IF(Source!BB29&lt;&gt; 0, Source!BB29, 1)</f>
        <v>9.5399999999999991</v>
      </c>
      <c r="K47" s="26">
        <f>Source!Q29</f>
        <v>13117.02</v>
      </c>
    </row>
    <row r="48" spans="1:27" ht="14.25" x14ac:dyDescent="0.2">
      <c r="A48" s="22"/>
      <c r="B48" s="23"/>
      <c r="C48" s="23" t="s">
        <v>447</v>
      </c>
      <c r="D48" s="24"/>
      <c r="E48" s="10"/>
      <c r="F48" s="26">
        <f>Source!AN29</f>
        <v>140.47999999999999</v>
      </c>
      <c r="G48" s="25" t="str">
        <f>Source!DF29</f>
        <v/>
      </c>
      <c r="H48" s="10">
        <f>Source!AV29</f>
        <v>1</v>
      </c>
      <c r="I48" s="27">
        <f>ROUND((ROUND((Source!AE29*Source!AV29*Source!I29),2)),2)</f>
        <v>254.97</v>
      </c>
      <c r="J48" s="10">
        <f>IF(Source!BS29&lt;&gt; 0, Source!BS29, 1)</f>
        <v>23.94</v>
      </c>
      <c r="K48" s="27">
        <f>Source!R29</f>
        <v>6103.98</v>
      </c>
      <c r="W48">
        <f>I48</f>
        <v>254.97</v>
      </c>
    </row>
    <row r="49" spans="1:27" ht="14.25" x14ac:dyDescent="0.2">
      <c r="A49" s="22"/>
      <c r="B49" s="23"/>
      <c r="C49" s="23" t="s">
        <v>448</v>
      </c>
      <c r="D49" s="24" t="s">
        <v>449</v>
      </c>
      <c r="E49" s="10">
        <f>Source!DN29</f>
        <v>98</v>
      </c>
      <c r="F49" s="26"/>
      <c r="G49" s="25"/>
      <c r="H49" s="10"/>
      <c r="I49" s="26">
        <f>SUM(Q45:Q48)</f>
        <v>25.08</v>
      </c>
      <c r="J49" s="10">
        <f>Source!BZ29</f>
        <v>92</v>
      </c>
      <c r="K49" s="26">
        <f>SUM(R45:R48)</f>
        <v>563.61</v>
      </c>
    </row>
    <row r="50" spans="1:27" ht="14.25" x14ac:dyDescent="0.2">
      <c r="A50" s="22"/>
      <c r="B50" s="23"/>
      <c r="C50" s="23" t="s">
        <v>450</v>
      </c>
      <c r="D50" s="24" t="s">
        <v>449</v>
      </c>
      <c r="E50" s="10">
        <f>Source!DO29</f>
        <v>77</v>
      </c>
      <c r="F50" s="26"/>
      <c r="G50" s="25"/>
      <c r="H50" s="10"/>
      <c r="I50" s="26">
        <f>SUM(S45:S49)</f>
        <v>19.7</v>
      </c>
      <c r="J50" s="10">
        <f>Source!CA29</f>
        <v>50</v>
      </c>
      <c r="K50" s="26">
        <f>SUM(T45:T49)</f>
        <v>306.31</v>
      </c>
    </row>
    <row r="51" spans="1:27" ht="14.25" x14ac:dyDescent="0.2">
      <c r="A51" s="22"/>
      <c r="B51" s="23"/>
      <c r="C51" s="23" t="s">
        <v>451</v>
      </c>
      <c r="D51" s="24" t="s">
        <v>449</v>
      </c>
      <c r="E51" s="10">
        <f>175</f>
        <v>175</v>
      </c>
      <c r="F51" s="26"/>
      <c r="G51" s="25"/>
      <c r="H51" s="10"/>
      <c r="I51" s="26">
        <f>SUM(U45:U50)</f>
        <v>446.2</v>
      </c>
      <c r="J51" s="10">
        <f>157</f>
        <v>157</v>
      </c>
      <c r="K51" s="26">
        <f>SUM(V45:V50)</f>
        <v>9583.25</v>
      </c>
    </row>
    <row r="52" spans="1:27" ht="14.25" x14ac:dyDescent="0.2">
      <c r="A52" s="22"/>
      <c r="B52" s="23"/>
      <c r="C52" s="23" t="s">
        <v>452</v>
      </c>
      <c r="D52" s="24" t="s">
        <v>453</v>
      </c>
      <c r="E52" s="10">
        <f>Source!AQ29</f>
        <v>1.38</v>
      </c>
      <c r="F52" s="26"/>
      <c r="G52" s="25" t="str">
        <f>Source!DI29</f>
        <v/>
      </c>
      <c r="H52" s="10">
        <f>Source!AV29</f>
        <v>1</v>
      </c>
      <c r="I52" s="26">
        <f>Source!U29</f>
        <v>2.5046999999999997</v>
      </c>
      <c r="J52" s="10"/>
      <c r="K52" s="26"/>
    </row>
    <row r="53" spans="1:27" ht="15" x14ac:dyDescent="0.25">
      <c r="A53" s="29"/>
      <c r="B53" s="29"/>
      <c r="C53" s="29"/>
      <c r="D53" s="29"/>
      <c r="E53" s="29"/>
      <c r="F53" s="29"/>
      <c r="G53" s="29"/>
      <c r="H53" s="58">
        <f>I46+I47+I49+I50+I51</f>
        <v>1891.52</v>
      </c>
      <c r="I53" s="58"/>
      <c r="J53" s="58">
        <f>K46+K47+K49+K50+K51</f>
        <v>24182.81</v>
      </c>
      <c r="K53" s="58"/>
      <c r="O53" s="28">
        <f>I46+I47+I49+I50+I51</f>
        <v>1891.52</v>
      </c>
      <c r="P53" s="28">
        <f>K46+K47+K49+K50+K51</f>
        <v>24182.81</v>
      </c>
      <c r="X53">
        <f>IF(Source!BI29&lt;=1,I46+I47+I49+I50+I51-0, 0)</f>
        <v>1891.52</v>
      </c>
      <c r="Y53">
        <f>IF(Source!BI29=2,I46+I47+I49+I50+I51-0, 0)</f>
        <v>0</v>
      </c>
      <c r="Z53">
        <f>IF(Source!BI29=3,I46+I47+I49+I50+I51-0, 0)</f>
        <v>0</v>
      </c>
      <c r="AA53">
        <f>IF(Source!BI29=4,I46+I47+I49+I50+I51,0)</f>
        <v>0</v>
      </c>
    </row>
    <row r="54" spans="1:27" ht="57" x14ac:dyDescent="0.2">
      <c r="A54" s="22" t="str">
        <f>Source!E30</f>
        <v>3</v>
      </c>
      <c r="B54" s="23" t="str">
        <f>Source!F30</f>
        <v>15.2-41-2</v>
      </c>
      <c r="C54" s="23" t="s">
        <v>31</v>
      </c>
      <c r="D54" s="24" t="str">
        <f>Source!H30</f>
        <v>т</v>
      </c>
      <c r="E54" s="10">
        <f>Source!I30</f>
        <v>254.1</v>
      </c>
      <c r="F54" s="26"/>
      <c r="G54" s="25"/>
      <c r="H54" s="10"/>
      <c r="I54" s="26"/>
      <c r="J54" s="10"/>
      <c r="K54" s="26"/>
      <c r="Q54">
        <f>ROUND((Source!DN30/100)*ROUND((ROUND((Source!AF30*Source!AV30*Source!I30),2)),2), 2)</f>
        <v>0</v>
      </c>
      <c r="R54">
        <f>Source!X30</f>
        <v>0</v>
      </c>
      <c r="S54">
        <f>ROUND((Source!DO30/100)*ROUND((ROUND((Source!AF30*Source!AV30*Source!I30),2)),2), 2)</f>
        <v>0</v>
      </c>
      <c r="T54">
        <f>Source!Y30</f>
        <v>0</v>
      </c>
      <c r="U54">
        <f>ROUND((175/100)*ROUND((ROUND((Source!AE30*Source!AV30*Source!I30),2)),2), 2)</f>
        <v>0</v>
      </c>
      <c r="V54">
        <f>ROUND((157/100)*ROUND(ROUND((ROUND((Source!AE30*Source!AV30*Source!I30),2)*Source!BS30),2), 2), 2)</f>
        <v>0</v>
      </c>
    </row>
    <row r="55" spans="1:27" ht="14.25" x14ac:dyDescent="0.2">
      <c r="A55" s="22"/>
      <c r="B55" s="23"/>
      <c r="C55" s="23" t="s">
        <v>446</v>
      </c>
      <c r="D55" s="24"/>
      <c r="E55" s="10"/>
      <c r="F55" s="26">
        <f>Source!AM30</f>
        <v>39.020000000000003</v>
      </c>
      <c r="G55" s="25" t="str">
        <f>Source!DE30</f>
        <v/>
      </c>
      <c r="H55" s="10">
        <f>Source!AV30</f>
        <v>1</v>
      </c>
      <c r="I55" s="26">
        <f>(ROUND((ROUND(((Source!ET30)*Source!AV30*Source!I30),2)),2)+ROUND((ROUND(((Source!AE30-(Source!EU30))*Source!AV30*Source!I30),2)),2))</f>
        <v>9914.98</v>
      </c>
      <c r="J55" s="10">
        <f>IF(Source!BB30&lt;&gt; 0, Source!BB30, 1)</f>
        <v>10.28</v>
      </c>
      <c r="K55" s="26">
        <f>Source!Q30</f>
        <v>101925.99</v>
      </c>
    </row>
    <row r="56" spans="1:27" ht="15" x14ac:dyDescent="0.25">
      <c r="A56" s="29"/>
      <c r="B56" s="29"/>
      <c r="C56" s="29"/>
      <c r="D56" s="29"/>
      <c r="E56" s="29"/>
      <c r="F56" s="29"/>
      <c r="G56" s="29"/>
      <c r="H56" s="58">
        <f>I55</f>
        <v>9914.98</v>
      </c>
      <c r="I56" s="58"/>
      <c r="J56" s="58">
        <f>K55</f>
        <v>101925.99</v>
      </c>
      <c r="K56" s="58"/>
      <c r="O56" s="28">
        <f>I55</f>
        <v>9914.98</v>
      </c>
      <c r="P56" s="28">
        <f>K55</f>
        <v>101925.99</v>
      </c>
      <c r="X56">
        <f>IF(Source!BI30&lt;=1,I55-0, 0)</f>
        <v>0</v>
      </c>
      <c r="Y56">
        <f>IF(Source!BI30=2,I55-0, 0)</f>
        <v>0</v>
      </c>
      <c r="Z56">
        <f>IF(Source!BI30=3,I55-0, 0)</f>
        <v>0</v>
      </c>
      <c r="AA56">
        <f>IF(Source!BI30=4,I55,0)</f>
        <v>9914.98</v>
      </c>
    </row>
    <row r="57" spans="1:27" ht="28.5" x14ac:dyDescent="0.2">
      <c r="A57" s="22" t="str">
        <f>Source!E31</f>
        <v>4</v>
      </c>
      <c r="B57" s="23" t="str">
        <f>Source!F31</f>
        <v>4.8-74-1</v>
      </c>
      <c r="C57" s="23" t="s">
        <v>39</v>
      </c>
      <c r="D57" s="24" t="str">
        <f>Source!H31</f>
        <v>100 М КАБЕЛЯ</v>
      </c>
      <c r="E57" s="10">
        <f>Source!I31</f>
        <v>24.2</v>
      </c>
      <c r="F57" s="26"/>
      <c r="G57" s="25"/>
      <c r="H57" s="10"/>
      <c r="I57" s="26"/>
      <c r="J57" s="10"/>
      <c r="K57" s="26"/>
      <c r="Q57">
        <f>ROUND((Source!DN31/100)*ROUND((ROUND((Source!AF31*Source!AV31*Source!I31),2)),2), 2)</f>
        <v>2031.98</v>
      </c>
      <c r="R57">
        <f>Source!X31</f>
        <v>39090.26</v>
      </c>
      <c r="S57">
        <f>ROUND((Source!DO31/100)*ROUND((ROUND((Source!AF31*Source!AV31*Source!I31),2)),2), 2)</f>
        <v>1269.99</v>
      </c>
      <c r="T57">
        <f>Source!Y31</f>
        <v>18676.46</v>
      </c>
      <c r="U57">
        <f>ROUND((175/100)*ROUND((ROUND((Source!AE31*Source!AV31*Source!I31),2)),2), 2)</f>
        <v>3805.15</v>
      </c>
      <c r="V57">
        <f>ROUND((157/100)*ROUND(ROUND((ROUND((Source!AE31*Source!AV31*Source!I31),2)*Source!BS31),2), 2), 2)</f>
        <v>81725.440000000002</v>
      </c>
    </row>
    <row r="58" spans="1:27" ht="14.25" x14ac:dyDescent="0.2">
      <c r="A58" s="22"/>
      <c r="B58" s="23"/>
      <c r="C58" s="23" t="s">
        <v>445</v>
      </c>
      <c r="D58" s="24"/>
      <c r="E58" s="10"/>
      <c r="F58" s="26">
        <f>Source!AO31</f>
        <v>74.97</v>
      </c>
      <c r="G58" s="25" t="str">
        <f>Source!DG31</f>
        <v/>
      </c>
      <c r="H58" s="10">
        <f>Source!AV31</f>
        <v>1</v>
      </c>
      <c r="I58" s="26">
        <f>ROUND((ROUND((Source!AF31*Source!AV31*Source!I31),2)),2)</f>
        <v>1814.27</v>
      </c>
      <c r="J58" s="10">
        <f>IF(Source!BA31&lt;&gt; 0, Source!BA31, 1)</f>
        <v>23.94</v>
      </c>
      <c r="K58" s="26">
        <f>Source!S31</f>
        <v>43433.62</v>
      </c>
      <c r="W58">
        <f>I58</f>
        <v>1814.27</v>
      </c>
    </row>
    <row r="59" spans="1:27" ht="14.25" x14ac:dyDescent="0.2">
      <c r="A59" s="22"/>
      <c r="B59" s="23"/>
      <c r="C59" s="23" t="s">
        <v>446</v>
      </c>
      <c r="D59" s="24"/>
      <c r="E59" s="10"/>
      <c r="F59" s="26">
        <f>Source!AM31</f>
        <v>386.9</v>
      </c>
      <c r="G59" s="25" t="str">
        <f>Source!DE31</f>
        <v/>
      </c>
      <c r="H59" s="10">
        <f>Source!AV31</f>
        <v>1</v>
      </c>
      <c r="I59" s="26">
        <f>(ROUND((ROUND(((Source!ET31)*Source!AV31*Source!I31),2)),2)+ROUND((ROUND(((Source!AE31-(Source!EU31))*Source!AV31*Source!I31),2)),2))</f>
        <v>9362.98</v>
      </c>
      <c r="J59" s="10">
        <f>IF(Source!BB31&lt;&gt; 0, Source!BB31, 1)</f>
        <v>9.61</v>
      </c>
      <c r="K59" s="26">
        <f>Source!Q31</f>
        <v>89978.240000000005</v>
      </c>
    </row>
    <row r="60" spans="1:27" ht="14.25" x14ac:dyDescent="0.2">
      <c r="A60" s="22"/>
      <c r="B60" s="23"/>
      <c r="C60" s="23" t="s">
        <v>447</v>
      </c>
      <c r="D60" s="24"/>
      <c r="E60" s="10"/>
      <c r="F60" s="26">
        <f>Source!AN31</f>
        <v>89.85</v>
      </c>
      <c r="G60" s="25" t="str">
        <f>Source!DF31</f>
        <v/>
      </c>
      <c r="H60" s="10">
        <f>Source!AV31</f>
        <v>1</v>
      </c>
      <c r="I60" s="27">
        <f>ROUND((ROUND((Source!AE31*Source!AV31*Source!I31),2)),2)</f>
        <v>2174.37</v>
      </c>
      <c r="J60" s="10">
        <f>IF(Source!BS31&lt;&gt; 0, Source!BS31, 1)</f>
        <v>23.94</v>
      </c>
      <c r="K60" s="27">
        <f>Source!R31</f>
        <v>52054.42</v>
      </c>
      <c r="W60">
        <f>I60</f>
        <v>2174.37</v>
      </c>
    </row>
    <row r="61" spans="1:27" ht="14.25" x14ac:dyDescent="0.2">
      <c r="A61" s="22"/>
      <c r="B61" s="23"/>
      <c r="C61" s="23" t="s">
        <v>454</v>
      </c>
      <c r="D61" s="24"/>
      <c r="E61" s="10"/>
      <c r="F61" s="26">
        <f>Source!AL31</f>
        <v>0.56000000000000005</v>
      </c>
      <c r="G61" s="25" t="str">
        <f>Source!DD31</f>
        <v/>
      </c>
      <c r="H61" s="10">
        <f>Source!AW31</f>
        <v>1</v>
      </c>
      <c r="I61" s="26">
        <f>ROUND((ROUND((Source!AC31*Source!AW31*Source!I31),2)),2)</f>
        <v>13.55</v>
      </c>
      <c r="J61" s="10">
        <f>IF(Source!BC31&lt;&gt; 0, Source!BC31, 1)</f>
        <v>5.48</v>
      </c>
      <c r="K61" s="26">
        <f>Source!P31</f>
        <v>74.25</v>
      </c>
    </row>
    <row r="62" spans="1:27" ht="28.5" x14ac:dyDescent="0.2">
      <c r="A62" s="22" t="str">
        <f>Source!E32</f>
        <v>4,1</v>
      </c>
      <c r="B62" s="23" t="str">
        <f>Source!F32</f>
        <v>1.1-1-766</v>
      </c>
      <c r="C62" s="23" t="s">
        <v>47</v>
      </c>
      <c r="D62" s="24" t="str">
        <f>Source!H32</f>
        <v>м3</v>
      </c>
      <c r="E62" s="10">
        <f>Source!I32</f>
        <v>181.5</v>
      </c>
      <c r="F62" s="26">
        <f>Source!AK32</f>
        <v>104.99</v>
      </c>
      <c r="G62" s="30" t="s">
        <v>3</v>
      </c>
      <c r="H62" s="10">
        <f>Source!AW32</f>
        <v>1</v>
      </c>
      <c r="I62" s="26">
        <f>ROUND((ROUND((Source!AC32*Source!AW32*Source!I32),2)),2)+(ROUND((ROUND(((Source!ET32)*Source!AV32*Source!I32),2)),2)+ROUND((ROUND(((Source!AE32-(Source!EU32))*Source!AV32*Source!I32),2)),2))+ROUND((ROUND((Source!AF32*Source!AV32*Source!I32),2)),2)</f>
        <v>19055.689999999999</v>
      </c>
      <c r="J62" s="10">
        <f>IF(Source!BC32&lt;&gt; 0, Source!BC32, 1)</f>
        <v>5.26</v>
      </c>
      <c r="K62" s="26">
        <f>Source!O32</f>
        <v>100232.93</v>
      </c>
      <c r="Q62">
        <f>ROUND((Source!DN32/100)*ROUND((ROUND((Source!AF32*Source!AV32*Source!I32),2)),2), 2)</f>
        <v>0</v>
      </c>
      <c r="R62">
        <f>Source!X32</f>
        <v>0</v>
      </c>
      <c r="S62">
        <f>ROUND((Source!DO32/100)*ROUND((ROUND((Source!AF32*Source!AV32*Source!I32),2)),2), 2)</f>
        <v>0</v>
      </c>
      <c r="T62">
        <f>Source!Y32</f>
        <v>0</v>
      </c>
      <c r="U62">
        <f>ROUND((175/100)*ROUND((ROUND((Source!AE32*Source!AV32*Source!I32),2)),2), 2)</f>
        <v>0</v>
      </c>
      <c r="V62">
        <f>ROUND((157/100)*ROUND(ROUND((ROUND((Source!AE32*Source!AV32*Source!I32),2)*Source!BS32),2), 2), 2)</f>
        <v>0</v>
      </c>
      <c r="X62">
        <f>IF(Source!BI32&lt;=1,I62, 0)</f>
        <v>0</v>
      </c>
      <c r="Y62">
        <f>IF(Source!BI32=2,I62, 0)</f>
        <v>19055.689999999999</v>
      </c>
      <c r="Z62">
        <f>IF(Source!BI32=3,I62, 0)</f>
        <v>0</v>
      </c>
      <c r="AA62">
        <f>IF(Source!BI32=4,I62, 0)</f>
        <v>0</v>
      </c>
    </row>
    <row r="63" spans="1:27" ht="14.25" x14ac:dyDescent="0.2">
      <c r="A63" s="22"/>
      <c r="B63" s="23"/>
      <c r="C63" s="23" t="s">
        <v>448</v>
      </c>
      <c r="D63" s="24" t="s">
        <v>449</v>
      </c>
      <c r="E63" s="10">
        <f>Source!DN31</f>
        <v>112</v>
      </c>
      <c r="F63" s="26"/>
      <c r="G63" s="25"/>
      <c r="H63" s="10"/>
      <c r="I63" s="26">
        <f>SUM(Q57:Q62)</f>
        <v>2031.98</v>
      </c>
      <c r="J63" s="10">
        <f>Source!BZ31</f>
        <v>90</v>
      </c>
      <c r="K63" s="26">
        <f>SUM(R57:R62)</f>
        <v>39090.26</v>
      </c>
    </row>
    <row r="64" spans="1:27" ht="14.25" x14ac:dyDescent="0.2">
      <c r="A64" s="22"/>
      <c r="B64" s="23"/>
      <c r="C64" s="23" t="s">
        <v>450</v>
      </c>
      <c r="D64" s="24" t="s">
        <v>449</v>
      </c>
      <c r="E64" s="10">
        <f>Source!DO31</f>
        <v>70</v>
      </c>
      <c r="F64" s="26"/>
      <c r="G64" s="25"/>
      <c r="H64" s="10"/>
      <c r="I64" s="26">
        <f>SUM(S57:S63)</f>
        <v>1269.99</v>
      </c>
      <c r="J64" s="10">
        <f>Source!CA31</f>
        <v>43</v>
      </c>
      <c r="K64" s="26">
        <f>SUM(T57:T63)</f>
        <v>18676.46</v>
      </c>
    </row>
    <row r="65" spans="1:27" ht="14.25" x14ac:dyDescent="0.2">
      <c r="A65" s="22"/>
      <c r="B65" s="23"/>
      <c r="C65" s="23" t="s">
        <v>451</v>
      </c>
      <c r="D65" s="24" t="s">
        <v>449</v>
      </c>
      <c r="E65" s="10">
        <f>175</f>
        <v>175</v>
      </c>
      <c r="F65" s="26"/>
      <c r="G65" s="25"/>
      <c r="H65" s="10"/>
      <c r="I65" s="26">
        <f>SUM(U57:U64)</f>
        <v>3805.15</v>
      </c>
      <c r="J65" s="10">
        <f>157</f>
        <v>157</v>
      </c>
      <c r="K65" s="26">
        <f>SUM(V57:V64)</f>
        <v>81725.440000000002</v>
      </c>
    </row>
    <row r="66" spans="1:27" ht="14.25" x14ac:dyDescent="0.2">
      <c r="A66" s="22"/>
      <c r="B66" s="23"/>
      <c r="C66" s="23" t="s">
        <v>452</v>
      </c>
      <c r="D66" s="24" t="s">
        <v>453</v>
      </c>
      <c r="E66" s="10">
        <f>Source!AQ31</f>
        <v>6.08</v>
      </c>
      <c r="F66" s="26"/>
      <c r="G66" s="25" t="str">
        <f>Source!DI31</f>
        <v/>
      </c>
      <c r="H66" s="10">
        <f>Source!AV31</f>
        <v>1</v>
      </c>
      <c r="I66" s="26">
        <f>Source!U31</f>
        <v>147.136</v>
      </c>
      <c r="J66" s="10"/>
      <c r="K66" s="26"/>
    </row>
    <row r="67" spans="1:27" ht="15" x14ac:dyDescent="0.25">
      <c r="A67" s="29"/>
      <c r="B67" s="29"/>
      <c r="C67" s="29"/>
      <c r="D67" s="29"/>
      <c r="E67" s="29"/>
      <c r="F67" s="29"/>
      <c r="G67" s="29"/>
      <c r="H67" s="58">
        <f>I58+I59+I61+I63+I64+I65+SUM(I62:I62)</f>
        <v>37353.61</v>
      </c>
      <c r="I67" s="58"/>
      <c r="J67" s="58">
        <f>K58+K59+K61+K63+K64+K65+SUM(K62:K62)</f>
        <v>373211.2</v>
      </c>
      <c r="K67" s="58"/>
      <c r="O67" s="28">
        <f>I58+I59+I61+I63+I64+I65+SUM(I62:I62)</f>
        <v>37353.61</v>
      </c>
      <c r="P67" s="28">
        <f>K58+K59+K61+K63+K64+K65+SUM(K62:K62)</f>
        <v>373211.2</v>
      </c>
      <c r="X67">
        <f>IF(Source!BI31&lt;=1,I58+I59+I61+I63+I64+I65-0, 0)</f>
        <v>0</v>
      </c>
      <c r="Y67">
        <f>IF(Source!BI31=2,I58+I59+I61+I63+I64+I65-0, 0)</f>
        <v>18297.919999999998</v>
      </c>
      <c r="Z67">
        <f>IF(Source!BI31=3,I58+I59+I61+I63+I64+I65-0, 0)</f>
        <v>0</v>
      </c>
      <c r="AA67">
        <f>IF(Source!BI31=4,I58+I59+I61+I63+I64+I65,0)</f>
        <v>0</v>
      </c>
    </row>
    <row r="68" spans="1:27" ht="28.5" x14ac:dyDescent="0.2">
      <c r="A68" s="22" t="str">
        <f>Source!E33</f>
        <v>5</v>
      </c>
      <c r="B68" s="23" t="str">
        <f>Source!F33</f>
        <v>4.8-73-2</v>
      </c>
      <c r="C68" s="23" t="s">
        <v>52</v>
      </c>
      <c r="D68" s="24" t="str">
        <f>Source!H33</f>
        <v>100 М КАБЕЛЯ</v>
      </c>
      <c r="E68" s="10">
        <f>Source!I33</f>
        <v>19.2</v>
      </c>
      <c r="F68" s="26"/>
      <c r="G68" s="25"/>
      <c r="H68" s="10"/>
      <c r="I68" s="26"/>
      <c r="J68" s="10"/>
      <c r="K68" s="26"/>
      <c r="Q68">
        <f>ROUND((Source!DN33/100)*ROUND((ROUND((Source!AF33*Source!AV33*Source!I33),2)),2), 2)</f>
        <v>3128.62</v>
      </c>
      <c r="R68">
        <f>Source!X33</f>
        <v>60186.82</v>
      </c>
      <c r="S68">
        <f>ROUND((Source!DO33/100)*ROUND((ROUND((Source!AF33*Source!AV33*Source!I33),2)),2), 2)</f>
        <v>1955.39</v>
      </c>
      <c r="T68">
        <f>Source!Y33</f>
        <v>28755.919999999998</v>
      </c>
      <c r="U68">
        <f>ROUND((175/100)*ROUND((ROUND((Source!AE33*Source!AV33*Source!I33),2)),2), 2)</f>
        <v>1928.31</v>
      </c>
      <c r="V68">
        <f>ROUND((157/100)*ROUND(ROUND((ROUND((Source!AE33*Source!AV33*Source!I33),2)*Source!BS33),2), 2), 2)</f>
        <v>41415.42</v>
      </c>
    </row>
    <row r="69" spans="1:27" ht="14.25" x14ac:dyDescent="0.2">
      <c r="A69" s="22"/>
      <c r="B69" s="23"/>
      <c r="C69" s="23" t="s">
        <v>445</v>
      </c>
      <c r="D69" s="24"/>
      <c r="E69" s="10"/>
      <c r="F69" s="26">
        <f>Source!AO33</f>
        <v>145.49</v>
      </c>
      <c r="G69" s="25" t="str">
        <f>Source!DG33</f>
        <v/>
      </c>
      <c r="H69" s="10">
        <f>Source!AV33</f>
        <v>1</v>
      </c>
      <c r="I69" s="26">
        <f>ROUND((ROUND((Source!AF33*Source!AV33*Source!I33),2)),2)</f>
        <v>2793.41</v>
      </c>
      <c r="J69" s="10">
        <f>IF(Source!BA33&lt;&gt; 0, Source!BA33, 1)</f>
        <v>23.94</v>
      </c>
      <c r="K69" s="26">
        <f>Source!S33</f>
        <v>66874.240000000005</v>
      </c>
      <c r="W69">
        <f>I69</f>
        <v>2793.41</v>
      </c>
    </row>
    <row r="70" spans="1:27" ht="14.25" x14ac:dyDescent="0.2">
      <c r="A70" s="22"/>
      <c r="B70" s="23"/>
      <c r="C70" s="23" t="s">
        <v>446</v>
      </c>
      <c r="D70" s="24"/>
      <c r="E70" s="10"/>
      <c r="F70" s="26">
        <f>Source!AM33</f>
        <v>350.31</v>
      </c>
      <c r="G70" s="25" t="str">
        <f>Source!DE33</f>
        <v/>
      </c>
      <c r="H70" s="10">
        <f>Source!AV33</f>
        <v>1</v>
      </c>
      <c r="I70" s="26">
        <f>(ROUND((ROUND(((Source!ET33)*Source!AV33*Source!I33),2)),2)+ROUND((ROUND(((Source!AE33-(Source!EU33))*Source!AV33*Source!I33),2)),2))</f>
        <v>6725.95</v>
      </c>
      <c r="J70" s="10">
        <f>IF(Source!BB33&lt;&gt; 0, Source!BB33, 1)</f>
        <v>8.33</v>
      </c>
      <c r="K70" s="26">
        <f>Source!Q33</f>
        <v>56027.16</v>
      </c>
    </row>
    <row r="71" spans="1:27" ht="14.25" x14ac:dyDescent="0.2">
      <c r="A71" s="22"/>
      <c r="B71" s="23"/>
      <c r="C71" s="23" t="s">
        <v>447</v>
      </c>
      <c r="D71" s="24"/>
      <c r="E71" s="10"/>
      <c r="F71" s="26">
        <f>Source!AN33</f>
        <v>57.39</v>
      </c>
      <c r="G71" s="25" t="str">
        <f>Source!DF33</f>
        <v/>
      </c>
      <c r="H71" s="10">
        <f>Source!AV33</f>
        <v>1</v>
      </c>
      <c r="I71" s="27">
        <f>ROUND((ROUND((Source!AE33*Source!AV33*Source!I33),2)),2)</f>
        <v>1101.8900000000001</v>
      </c>
      <c r="J71" s="10">
        <f>IF(Source!BS33&lt;&gt; 0, Source!BS33, 1)</f>
        <v>23.94</v>
      </c>
      <c r="K71" s="27">
        <f>Source!R33</f>
        <v>26379.25</v>
      </c>
      <c r="W71">
        <f>I71</f>
        <v>1101.8900000000001</v>
      </c>
    </row>
    <row r="72" spans="1:27" ht="14.25" x14ac:dyDescent="0.2">
      <c r="A72" s="22"/>
      <c r="B72" s="23"/>
      <c r="C72" s="23" t="s">
        <v>454</v>
      </c>
      <c r="D72" s="24"/>
      <c r="E72" s="10"/>
      <c r="F72" s="26">
        <f>Source!AL33</f>
        <v>24.92</v>
      </c>
      <c r="G72" s="25" t="str">
        <f>Source!DD33</f>
        <v/>
      </c>
      <c r="H72" s="10">
        <f>Source!AW33</f>
        <v>1</v>
      </c>
      <c r="I72" s="26">
        <f>ROUND((ROUND((Source!AC33*Source!AW33*Source!I33),2)),2)</f>
        <v>478.46</v>
      </c>
      <c r="J72" s="10">
        <f>IF(Source!BC33&lt;&gt; 0, Source!BC33, 1)</f>
        <v>5.48</v>
      </c>
      <c r="K72" s="26">
        <f>Source!P33</f>
        <v>2621.96</v>
      </c>
    </row>
    <row r="73" spans="1:27" ht="42.75" x14ac:dyDescent="0.2">
      <c r="A73" s="22" t="str">
        <f>Source!E34</f>
        <v>5,1</v>
      </c>
      <c r="B73" s="23" t="str">
        <f>Source!F34</f>
        <v>1.23-8-41</v>
      </c>
      <c r="C73" s="23" t="s">
        <v>56</v>
      </c>
      <c r="D73" s="24" t="str">
        <f>Source!H34</f>
        <v>км</v>
      </c>
      <c r="E73" s="10">
        <f>Source!I34</f>
        <v>0.51</v>
      </c>
      <c r="F73" s="26">
        <f>Source!AK34</f>
        <v>18860.52</v>
      </c>
      <c r="G73" s="30" t="s">
        <v>3</v>
      </c>
      <c r="H73" s="10">
        <f>Source!AW34</f>
        <v>1</v>
      </c>
      <c r="I73" s="26">
        <f>ROUND((ROUND((Source!AC34*Source!AW34*Source!I34),2)),2)+(ROUND((ROUND(((Source!ET34)*Source!AV34*Source!I34),2)),2)+ROUND((ROUND(((Source!AE34-(Source!EU34))*Source!AV34*Source!I34),2)),2))+ROUND((ROUND((Source!AF34*Source!AV34*Source!I34),2)),2)</f>
        <v>9618.8700000000008</v>
      </c>
      <c r="J73" s="10">
        <f>IF(Source!BC34&lt;&gt; 0, Source!BC34, 1)</f>
        <v>4.0599999999999996</v>
      </c>
      <c r="K73" s="26">
        <f>Source!O34</f>
        <v>39052.61</v>
      </c>
      <c r="Q73">
        <f>ROUND((Source!DN34/100)*ROUND((ROUND((Source!AF34*Source!AV34*Source!I34),2)),2), 2)</f>
        <v>0</v>
      </c>
      <c r="R73">
        <f>Source!X34</f>
        <v>0</v>
      </c>
      <c r="S73">
        <f>ROUND((Source!DO34/100)*ROUND((ROUND((Source!AF34*Source!AV34*Source!I34),2)),2), 2)</f>
        <v>0</v>
      </c>
      <c r="T73">
        <f>Source!Y34</f>
        <v>0</v>
      </c>
      <c r="U73">
        <f>ROUND((175/100)*ROUND((ROUND((Source!AE34*Source!AV34*Source!I34),2)),2), 2)</f>
        <v>0</v>
      </c>
      <c r="V73">
        <f>ROUND((157/100)*ROUND(ROUND((ROUND((Source!AE34*Source!AV34*Source!I34),2)*Source!BS34),2), 2), 2)</f>
        <v>0</v>
      </c>
      <c r="X73">
        <f>IF(Source!BI34&lt;=1,I73, 0)</f>
        <v>0</v>
      </c>
      <c r="Y73">
        <f>IF(Source!BI34=2,I73, 0)</f>
        <v>9618.8700000000008</v>
      </c>
      <c r="Z73">
        <f>IF(Source!BI34=3,I73, 0)</f>
        <v>0</v>
      </c>
      <c r="AA73">
        <f>IF(Source!BI34=4,I73, 0)</f>
        <v>0</v>
      </c>
    </row>
    <row r="74" spans="1:27" ht="42.75" x14ac:dyDescent="0.2">
      <c r="A74" s="22" t="str">
        <f>Source!E35</f>
        <v>5,2</v>
      </c>
      <c r="B74" s="23" t="str">
        <f>Source!F35</f>
        <v>1.23-8-483</v>
      </c>
      <c r="C74" s="23" t="s">
        <v>61</v>
      </c>
      <c r="D74" s="24" t="str">
        <f>Source!H35</f>
        <v>км</v>
      </c>
      <c r="E74" s="10">
        <f>Source!I35</f>
        <v>1.44</v>
      </c>
      <c r="F74" s="26">
        <f>Source!AK35</f>
        <v>28826.09</v>
      </c>
      <c r="G74" s="30" t="s">
        <v>3</v>
      </c>
      <c r="H74" s="10">
        <f>Source!AW35</f>
        <v>1</v>
      </c>
      <c r="I74" s="26">
        <f>ROUND((ROUND((Source!AC35*Source!AW35*Source!I35),2)),2)+(ROUND((ROUND(((Source!ET35)*Source!AV35*Source!I35),2)),2)+ROUND((ROUND(((Source!AE35-(Source!EU35))*Source!AV35*Source!I35),2)),2))+ROUND((ROUND((Source!AF35*Source!AV35*Source!I35),2)),2)</f>
        <v>41509.57</v>
      </c>
      <c r="J74" s="10">
        <f>IF(Source!BC35&lt;&gt; 0, Source!BC35, 1)</f>
        <v>2.93</v>
      </c>
      <c r="K74" s="26">
        <f>Source!O35</f>
        <v>121623.03999999999</v>
      </c>
      <c r="Q74">
        <f>ROUND((Source!DN35/100)*ROUND((ROUND((Source!AF35*Source!AV35*Source!I35),2)),2), 2)</f>
        <v>0</v>
      </c>
      <c r="R74">
        <f>Source!X35</f>
        <v>0</v>
      </c>
      <c r="S74">
        <f>ROUND((Source!DO35/100)*ROUND((ROUND((Source!AF35*Source!AV35*Source!I35),2)),2), 2)</f>
        <v>0</v>
      </c>
      <c r="T74">
        <f>Source!Y35</f>
        <v>0</v>
      </c>
      <c r="U74">
        <f>ROUND((175/100)*ROUND((ROUND((Source!AE35*Source!AV35*Source!I35),2)),2), 2)</f>
        <v>0</v>
      </c>
      <c r="V74">
        <f>ROUND((157/100)*ROUND(ROUND((ROUND((Source!AE35*Source!AV35*Source!I35),2)*Source!BS35),2), 2), 2)</f>
        <v>0</v>
      </c>
      <c r="X74">
        <f>IF(Source!BI35&lt;=1,I74, 0)</f>
        <v>0</v>
      </c>
      <c r="Y74">
        <f>IF(Source!BI35=2,I74, 0)</f>
        <v>41509.57</v>
      </c>
      <c r="Z74">
        <f>IF(Source!BI35=3,I74, 0)</f>
        <v>0</v>
      </c>
      <c r="AA74">
        <f>IF(Source!BI35=4,I74, 0)</f>
        <v>0</v>
      </c>
    </row>
    <row r="75" spans="1:27" ht="28.5" x14ac:dyDescent="0.2">
      <c r="A75" s="22" t="str">
        <f>Source!E36</f>
        <v>5,3</v>
      </c>
      <c r="B75" s="23" t="str">
        <f>Source!F36</f>
        <v>1.1-1-3587</v>
      </c>
      <c r="C75" s="23" t="s">
        <v>65</v>
      </c>
      <c r="D75" s="24" t="str">
        <f>Source!H36</f>
        <v>м</v>
      </c>
      <c r="E75" s="10">
        <f>Source!I36</f>
        <v>1920</v>
      </c>
      <c r="F75" s="26">
        <f>Source!AK36</f>
        <v>0.49</v>
      </c>
      <c r="G75" s="30" t="s">
        <v>3</v>
      </c>
      <c r="H75" s="10">
        <f>Source!AW36</f>
        <v>1</v>
      </c>
      <c r="I75" s="26">
        <f>ROUND((ROUND((Source!AC36*Source!AW36*Source!I36),2)),2)+(ROUND((ROUND(((Source!ET36)*Source!AV36*Source!I36),2)),2)+ROUND((ROUND(((Source!AE36-(Source!EU36))*Source!AV36*Source!I36),2)),2))+ROUND((ROUND((Source!AF36*Source!AV36*Source!I36),2)),2)</f>
        <v>940.8</v>
      </c>
      <c r="J75" s="10">
        <f>IF(Source!BC36&lt;&gt; 0, Source!BC36, 1)</f>
        <v>2.4300000000000002</v>
      </c>
      <c r="K75" s="26">
        <f>Source!O36</f>
        <v>2286.14</v>
      </c>
      <c r="Q75">
        <f>ROUND((Source!DN36/100)*ROUND((ROUND((Source!AF36*Source!AV36*Source!I36),2)),2), 2)</f>
        <v>0</v>
      </c>
      <c r="R75">
        <f>Source!X36</f>
        <v>0</v>
      </c>
      <c r="S75">
        <f>ROUND((Source!DO36/100)*ROUND((ROUND((Source!AF36*Source!AV36*Source!I36),2)),2), 2)</f>
        <v>0</v>
      </c>
      <c r="T75">
        <f>Source!Y36</f>
        <v>0</v>
      </c>
      <c r="U75">
        <f>ROUND((175/100)*ROUND((ROUND((Source!AE36*Source!AV36*Source!I36),2)),2), 2)</f>
        <v>0</v>
      </c>
      <c r="V75">
        <f>ROUND((157/100)*ROUND(ROUND((ROUND((Source!AE36*Source!AV36*Source!I36),2)*Source!BS36),2), 2), 2)</f>
        <v>0</v>
      </c>
      <c r="X75">
        <f>IF(Source!BI36&lt;=1,I75, 0)</f>
        <v>0</v>
      </c>
      <c r="Y75">
        <f>IF(Source!BI36=2,I75, 0)</f>
        <v>940.8</v>
      </c>
      <c r="Z75">
        <f>IF(Source!BI36=3,I75, 0)</f>
        <v>0</v>
      </c>
      <c r="AA75">
        <f>IF(Source!BI36=4,I75, 0)</f>
        <v>0</v>
      </c>
    </row>
    <row r="76" spans="1:27" ht="14.25" x14ac:dyDescent="0.2">
      <c r="A76" s="22"/>
      <c r="B76" s="23"/>
      <c r="C76" s="23" t="s">
        <v>448</v>
      </c>
      <c r="D76" s="24" t="s">
        <v>449</v>
      </c>
      <c r="E76" s="10">
        <f>Source!DN33</f>
        <v>112</v>
      </c>
      <c r="F76" s="26"/>
      <c r="G76" s="25"/>
      <c r="H76" s="10"/>
      <c r="I76" s="26">
        <f>SUM(Q68:Q75)</f>
        <v>3128.62</v>
      </c>
      <c r="J76" s="10">
        <f>Source!BZ33</f>
        <v>90</v>
      </c>
      <c r="K76" s="26">
        <f>SUM(R68:R75)</f>
        <v>60186.82</v>
      </c>
    </row>
    <row r="77" spans="1:27" ht="14.25" x14ac:dyDescent="0.2">
      <c r="A77" s="22"/>
      <c r="B77" s="23"/>
      <c r="C77" s="23" t="s">
        <v>450</v>
      </c>
      <c r="D77" s="24" t="s">
        <v>449</v>
      </c>
      <c r="E77" s="10">
        <f>Source!DO33</f>
        <v>70</v>
      </c>
      <c r="F77" s="26"/>
      <c r="G77" s="25"/>
      <c r="H77" s="10"/>
      <c r="I77" s="26">
        <f>SUM(S68:S76)</f>
        <v>1955.39</v>
      </c>
      <c r="J77" s="10">
        <f>Source!CA33</f>
        <v>43</v>
      </c>
      <c r="K77" s="26">
        <f>SUM(T68:T76)</f>
        <v>28755.919999999998</v>
      </c>
    </row>
    <row r="78" spans="1:27" ht="14.25" x14ac:dyDescent="0.2">
      <c r="A78" s="22"/>
      <c r="B78" s="23"/>
      <c r="C78" s="23" t="s">
        <v>451</v>
      </c>
      <c r="D78" s="24" t="s">
        <v>449</v>
      </c>
      <c r="E78" s="10">
        <f>175</f>
        <v>175</v>
      </c>
      <c r="F78" s="26"/>
      <c r="G78" s="25"/>
      <c r="H78" s="10"/>
      <c r="I78" s="26">
        <f>SUM(U68:U77)</f>
        <v>1928.31</v>
      </c>
      <c r="J78" s="10">
        <f>157</f>
        <v>157</v>
      </c>
      <c r="K78" s="26">
        <f>SUM(V68:V77)</f>
        <v>41415.42</v>
      </c>
    </row>
    <row r="79" spans="1:27" ht="14.25" x14ac:dyDescent="0.2">
      <c r="A79" s="22"/>
      <c r="B79" s="23"/>
      <c r="C79" s="23" t="s">
        <v>452</v>
      </c>
      <c r="D79" s="24" t="s">
        <v>453</v>
      </c>
      <c r="E79" s="10">
        <f>Source!AQ33</f>
        <v>11.8</v>
      </c>
      <c r="F79" s="26"/>
      <c r="G79" s="25" t="str">
        <f>Source!DI33</f>
        <v/>
      </c>
      <c r="H79" s="10">
        <f>Source!AV33</f>
        <v>1</v>
      </c>
      <c r="I79" s="26">
        <f>Source!U33</f>
        <v>226.56</v>
      </c>
      <c r="J79" s="10"/>
      <c r="K79" s="26"/>
    </row>
    <row r="80" spans="1:27" ht="15" x14ac:dyDescent="0.25">
      <c r="A80" s="29"/>
      <c r="B80" s="29"/>
      <c r="C80" s="29"/>
      <c r="D80" s="29"/>
      <c r="E80" s="29"/>
      <c r="F80" s="29"/>
      <c r="G80" s="29"/>
      <c r="H80" s="58">
        <f>I69+I70+I72+I76+I77+I78+SUM(I73:I75)</f>
        <v>69079.38</v>
      </c>
      <c r="I80" s="58"/>
      <c r="J80" s="58">
        <f>K69+K70+K72+K76+K77+K78+SUM(K73:K75)</f>
        <v>418843.31000000006</v>
      </c>
      <c r="K80" s="58"/>
      <c r="O80" s="28">
        <f>I69+I70+I72+I76+I77+I78+SUM(I73:I75)</f>
        <v>69079.38</v>
      </c>
      <c r="P80" s="28">
        <f>K69+K70+K72+K76+K77+K78+SUM(K73:K75)</f>
        <v>418843.31000000006</v>
      </c>
      <c r="X80">
        <f>IF(Source!BI33&lt;=1,I69+I70+I72+I76+I77+I78-0, 0)</f>
        <v>0</v>
      </c>
      <c r="Y80">
        <f>IF(Source!BI33=2,I69+I70+I72+I76+I77+I78-0, 0)</f>
        <v>17010.14</v>
      </c>
      <c r="Z80">
        <f>IF(Source!BI33=3,I69+I70+I72+I76+I77+I78-0, 0)</f>
        <v>0</v>
      </c>
      <c r="AA80">
        <f>IF(Source!BI33=4,I69+I70+I72+I76+I77+I78,0)</f>
        <v>0</v>
      </c>
    </row>
    <row r="81" spans="1:27" ht="57" x14ac:dyDescent="0.2">
      <c r="A81" s="22" t="str">
        <f>Source!E37</f>
        <v>6</v>
      </c>
      <c r="B81" s="23" t="str">
        <f>Source!F37</f>
        <v>3.34-47-1</v>
      </c>
      <c r="C81" s="23" t="s">
        <v>70</v>
      </c>
      <c r="D81" s="24" t="str">
        <f>Source!H37</f>
        <v>1 КМ</v>
      </c>
      <c r="E81" s="10">
        <f>Source!I37</f>
        <v>0.05</v>
      </c>
      <c r="F81" s="26"/>
      <c r="G81" s="25"/>
      <c r="H81" s="10"/>
      <c r="I81" s="26"/>
      <c r="J81" s="10"/>
      <c r="K81" s="26"/>
      <c r="Q81">
        <f>ROUND((Source!DN37/100)*ROUND((ROUND((Source!AF37*Source!AV37*Source!I37),2)),2), 2)</f>
        <v>93.28</v>
      </c>
      <c r="R81">
        <f>Source!X37</f>
        <v>1794.56</v>
      </c>
      <c r="S81">
        <f>ROUND((Source!DO37/100)*ROUND((ROUND((Source!AF37*Source!AV37*Source!I37),2)),2), 2)</f>
        <v>58.3</v>
      </c>
      <c r="T81">
        <f>Source!Y37</f>
        <v>817.52</v>
      </c>
      <c r="U81">
        <f>ROUND((175/100)*ROUND((ROUND((Source!AE37*Source!AV37*Source!I37),2)),2), 2)</f>
        <v>1.03</v>
      </c>
      <c r="V81">
        <f>ROUND((157/100)*ROUND(ROUND((ROUND((Source!AE37*Source!AV37*Source!I37),2)*Source!BS37),2), 2), 2)</f>
        <v>22.17</v>
      </c>
    </row>
    <row r="82" spans="1:27" ht="14.25" x14ac:dyDescent="0.2">
      <c r="A82" s="22"/>
      <c r="B82" s="23"/>
      <c r="C82" s="23" t="s">
        <v>445</v>
      </c>
      <c r="D82" s="24"/>
      <c r="E82" s="10"/>
      <c r="F82" s="26">
        <f>Source!AO37</f>
        <v>1665.84</v>
      </c>
      <c r="G82" s="25" t="str">
        <f>Source!DG37</f>
        <v/>
      </c>
      <c r="H82" s="10">
        <f>Source!AV37</f>
        <v>1</v>
      </c>
      <c r="I82" s="26">
        <f>ROUND((ROUND((Source!AF37*Source!AV37*Source!I37),2)),2)</f>
        <v>83.29</v>
      </c>
      <c r="J82" s="10">
        <f>IF(Source!BA37&lt;&gt; 0, Source!BA37, 1)</f>
        <v>23.94</v>
      </c>
      <c r="K82" s="26">
        <f>Source!S37</f>
        <v>1993.96</v>
      </c>
      <c r="W82">
        <f>I82</f>
        <v>83.29</v>
      </c>
    </row>
    <row r="83" spans="1:27" ht="14.25" x14ac:dyDescent="0.2">
      <c r="A83" s="22"/>
      <c r="B83" s="23"/>
      <c r="C83" s="23" t="s">
        <v>446</v>
      </c>
      <c r="D83" s="24"/>
      <c r="E83" s="10"/>
      <c r="F83" s="26">
        <f>Source!AM37</f>
        <v>62.98</v>
      </c>
      <c r="G83" s="25" t="str">
        <f>Source!DE37</f>
        <v/>
      </c>
      <c r="H83" s="10">
        <f>Source!AV37</f>
        <v>1</v>
      </c>
      <c r="I83" s="26">
        <f>(ROUND((ROUND(((Source!ET37)*Source!AV37*Source!I37),2)),2)+ROUND((ROUND(((Source!AE37-(Source!EU37))*Source!AV37*Source!I37),2)),2))</f>
        <v>3.15</v>
      </c>
      <c r="J83" s="10">
        <f>IF(Source!BB37&lt;&gt; 0, Source!BB37, 1)</f>
        <v>9</v>
      </c>
      <c r="K83" s="26">
        <f>Source!Q37</f>
        <v>28.35</v>
      </c>
    </row>
    <row r="84" spans="1:27" ht="14.25" x14ac:dyDescent="0.2">
      <c r="A84" s="22"/>
      <c r="B84" s="23"/>
      <c r="C84" s="23" t="s">
        <v>447</v>
      </c>
      <c r="D84" s="24"/>
      <c r="E84" s="10"/>
      <c r="F84" s="26">
        <f>Source!AN37</f>
        <v>11.78</v>
      </c>
      <c r="G84" s="25" t="str">
        <f>Source!DF37</f>
        <v/>
      </c>
      <c r="H84" s="10">
        <f>Source!AV37</f>
        <v>1</v>
      </c>
      <c r="I84" s="27">
        <f>ROUND((ROUND((Source!AE37*Source!AV37*Source!I37),2)),2)</f>
        <v>0.59</v>
      </c>
      <c r="J84" s="10">
        <f>IF(Source!BS37&lt;&gt; 0, Source!BS37, 1)</f>
        <v>23.94</v>
      </c>
      <c r="K84" s="27">
        <f>Source!R37</f>
        <v>14.12</v>
      </c>
      <c r="W84">
        <f>I84</f>
        <v>0.59</v>
      </c>
    </row>
    <row r="85" spans="1:27" ht="14.25" x14ac:dyDescent="0.2">
      <c r="A85" s="22"/>
      <c r="B85" s="23"/>
      <c r="C85" s="23" t="s">
        <v>454</v>
      </c>
      <c r="D85" s="24"/>
      <c r="E85" s="10"/>
      <c r="F85" s="26">
        <f>Source!AL37</f>
        <v>570.49</v>
      </c>
      <c r="G85" s="25" t="str">
        <f>Source!DD37</f>
        <v/>
      </c>
      <c r="H85" s="10">
        <f>Source!AW37</f>
        <v>1</v>
      </c>
      <c r="I85" s="26">
        <f>ROUND((ROUND((Source!AC37*Source!AW37*Source!I37),2)),2)</f>
        <v>28.52</v>
      </c>
      <c r="J85" s="10">
        <f>IF(Source!BC37&lt;&gt; 0, Source!BC37, 1)</f>
        <v>8.99</v>
      </c>
      <c r="K85" s="26">
        <f>Source!P37</f>
        <v>256.39</v>
      </c>
    </row>
    <row r="86" spans="1:27" ht="57" x14ac:dyDescent="0.2">
      <c r="A86" s="22" t="str">
        <f>Source!E38</f>
        <v>6,1</v>
      </c>
      <c r="B86" s="23" t="str">
        <f>Source!F38</f>
        <v>1.12-5-375</v>
      </c>
      <c r="C86" s="23" t="s">
        <v>77</v>
      </c>
      <c r="D86" s="24" t="str">
        <f>Source!H38</f>
        <v>м</v>
      </c>
      <c r="E86" s="10">
        <f>Source!I38</f>
        <v>51.5</v>
      </c>
      <c r="F86" s="26">
        <f>Source!AK38</f>
        <v>10.35</v>
      </c>
      <c r="G86" s="30" t="s">
        <v>3</v>
      </c>
      <c r="H86" s="10">
        <f>Source!AW38</f>
        <v>1</v>
      </c>
      <c r="I86" s="26">
        <f>ROUND((ROUND((Source!AC38*Source!AW38*Source!I38),2)),2)+(ROUND((ROUND(((Source!ET38)*Source!AV38*Source!I38),2)),2)+ROUND((ROUND(((Source!AE38-(Source!EU38))*Source!AV38*Source!I38),2)),2))+ROUND((ROUND((Source!AF38*Source!AV38*Source!I38),2)),2)</f>
        <v>533.03</v>
      </c>
      <c r="J86" s="10">
        <f>IF(Source!BC38&lt;&gt; 0, Source!BC38, 1)</f>
        <v>6.25</v>
      </c>
      <c r="K86" s="26">
        <f>Source!O38</f>
        <v>3331.44</v>
      </c>
      <c r="Q86">
        <f>ROUND((Source!DN38/100)*ROUND((ROUND((Source!AF38*Source!AV38*Source!I38),2)),2), 2)</f>
        <v>0</v>
      </c>
      <c r="R86">
        <f>Source!X38</f>
        <v>0</v>
      </c>
      <c r="S86">
        <f>ROUND((Source!DO38/100)*ROUND((ROUND((Source!AF38*Source!AV38*Source!I38),2)),2), 2)</f>
        <v>0</v>
      </c>
      <c r="T86">
        <f>Source!Y38</f>
        <v>0</v>
      </c>
      <c r="U86">
        <f>ROUND((175/100)*ROUND((ROUND((Source!AE38*Source!AV38*Source!I38),2)),2), 2)</f>
        <v>0</v>
      </c>
      <c r="V86">
        <f>ROUND((157/100)*ROUND(ROUND((ROUND((Source!AE38*Source!AV38*Source!I38),2)*Source!BS38),2), 2), 2)</f>
        <v>0</v>
      </c>
      <c r="X86">
        <f>IF(Source!BI38&lt;=1,I86, 0)</f>
        <v>533.03</v>
      </c>
      <c r="Y86">
        <f>IF(Source!BI38=2,I86, 0)</f>
        <v>0</v>
      </c>
      <c r="Z86">
        <f>IF(Source!BI38=3,I86, 0)</f>
        <v>0</v>
      </c>
      <c r="AA86">
        <f>IF(Source!BI38=4,I86, 0)</f>
        <v>0</v>
      </c>
    </row>
    <row r="87" spans="1:27" ht="14.25" x14ac:dyDescent="0.2">
      <c r="A87" s="22"/>
      <c r="B87" s="23"/>
      <c r="C87" s="23" t="s">
        <v>448</v>
      </c>
      <c r="D87" s="24" t="s">
        <v>449</v>
      </c>
      <c r="E87" s="10">
        <f>Source!DN37</f>
        <v>112</v>
      </c>
      <c r="F87" s="26"/>
      <c r="G87" s="25"/>
      <c r="H87" s="10"/>
      <c r="I87" s="26">
        <f>SUM(Q81:Q86)</f>
        <v>93.28</v>
      </c>
      <c r="J87" s="10">
        <f>Source!BZ37</f>
        <v>90</v>
      </c>
      <c r="K87" s="26">
        <f>SUM(R81:R86)</f>
        <v>1794.56</v>
      </c>
    </row>
    <row r="88" spans="1:27" ht="14.25" x14ac:dyDescent="0.2">
      <c r="A88" s="22"/>
      <c r="B88" s="23"/>
      <c r="C88" s="23" t="s">
        <v>450</v>
      </c>
      <c r="D88" s="24" t="s">
        <v>449</v>
      </c>
      <c r="E88" s="10">
        <f>Source!DO37</f>
        <v>70</v>
      </c>
      <c r="F88" s="26"/>
      <c r="G88" s="25"/>
      <c r="H88" s="10"/>
      <c r="I88" s="26">
        <f>SUM(S81:S87)</f>
        <v>58.3</v>
      </c>
      <c r="J88" s="10">
        <f>Source!CA37</f>
        <v>41</v>
      </c>
      <c r="K88" s="26">
        <f>SUM(T81:T87)</f>
        <v>817.52</v>
      </c>
    </row>
    <row r="89" spans="1:27" ht="14.25" x14ac:dyDescent="0.2">
      <c r="A89" s="22"/>
      <c r="B89" s="23"/>
      <c r="C89" s="23" t="s">
        <v>451</v>
      </c>
      <c r="D89" s="24" t="s">
        <v>449</v>
      </c>
      <c r="E89" s="10">
        <f>175</f>
        <v>175</v>
      </c>
      <c r="F89" s="26"/>
      <c r="G89" s="25"/>
      <c r="H89" s="10"/>
      <c r="I89" s="26">
        <f>SUM(U81:U88)</f>
        <v>1.03</v>
      </c>
      <c r="J89" s="10">
        <f>157</f>
        <v>157</v>
      </c>
      <c r="K89" s="26">
        <f>SUM(V81:V88)</f>
        <v>22.17</v>
      </c>
    </row>
    <row r="90" spans="1:27" ht="14.25" x14ac:dyDescent="0.2">
      <c r="A90" s="22"/>
      <c r="B90" s="23"/>
      <c r="C90" s="23" t="s">
        <v>452</v>
      </c>
      <c r="D90" s="24" t="s">
        <v>453</v>
      </c>
      <c r="E90" s="10">
        <f>Source!AQ37</f>
        <v>151.79</v>
      </c>
      <c r="F90" s="26"/>
      <c r="G90" s="25" t="str">
        <f>Source!DI37</f>
        <v/>
      </c>
      <c r="H90" s="10">
        <f>Source!AV37</f>
        <v>1</v>
      </c>
      <c r="I90" s="26">
        <f>Source!U37</f>
        <v>7.5895000000000001</v>
      </c>
      <c r="J90" s="10"/>
      <c r="K90" s="26"/>
    </row>
    <row r="91" spans="1:27" ht="15" x14ac:dyDescent="0.25">
      <c r="A91" s="29"/>
      <c r="B91" s="29"/>
      <c r="C91" s="29"/>
      <c r="D91" s="29"/>
      <c r="E91" s="29"/>
      <c r="F91" s="29"/>
      <c r="G91" s="29"/>
      <c r="H91" s="58">
        <f>I82+I83+I85+I87+I88+I89+SUM(I86:I86)</f>
        <v>800.59999999999991</v>
      </c>
      <c r="I91" s="58"/>
      <c r="J91" s="58">
        <f>K82+K83+K85+K87+K88+K89+SUM(K86:K86)</f>
        <v>8244.39</v>
      </c>
      <c r="K91" s="58"/>
      <c r="O91" s="28">
        <f>I82+I83+I85+I87+I88+I89+SUM(I86:I86)</f>
        <v>800.59999999999991</v>
      </c>
      <c r="P91" s="28">
        <f>K82+K83+K85+K87+K88+K89+SUM(K86:K86)</f>
        <v>8244.39</v>
      </c>
      <c r="X91">
        <f>IF(Source!BI37&lt;=1,I82+I83+I85+I87+I88+I89-0, 0)</f>
        <v>267.57</v>
      </c>
      <c r="Y91">
        <f>IF(Source!BI37=2,I82+I83+I85+I87+I88+I89-0, 0)</f>
        <v>0</v>
      </c>
      <c r="Z91">
        <f>IF(Source!BI37=3,I82+I83+I85+I87+I88+I89-0, 0)</f>
        <v>0</v>
      </c>
      <c r="AA91">
        <f>IF(Source!BI37=4,I82+I83+I85+I87+I88+I89,0)</f>
        <v>0</v>
      </c>
    </row>
    <row r="92" spans="1:27" ht="71.25" x14ac:dyDescent="0.2">
      <c r="A92" s="22" t="str">
        <f>Source!E39</f>
        <v>7</v>
      </c>
      <c r="B92" s="23" t="str">
        <f>Source!F39</f>
        <v>4.8-175-3</v>
      </c>
      <c r="C92" s="23" t="s">
        <v>81</v>
      </c>
      <c r="D92" s="24" t="str">
        <f>Source!H39</f>
        <v>100 м</v>
      </c>
      <c r="E92" s="10">
        <f>Source!I39</f>
        <v>0.5</v>
      </c>
      <c r="F92" s="26"/>
      <c r="G92" s="25"/>
      <c r="H92" s="10"/>
      <c r="I92" s="26"/>
      <c r="J92" s="10"/>
      <c r="K92" s="26"/>
      <c r="Q92">
        <f>ROUND((Source!DN39/100)*ROUND((ROUND((Source!AF39*Source!AV39*Source!I39),2)),2), 2)</f>
        <v>49.78</v>
      </c>
      <c r="R92">
        <f>Source!X39</f>
        <v>957.72</v>
      </c>
      <c r="S92">
        <f>ROUND((Source!DO39/100)*ROUND((ROUND((Source!AF39*Source!AV39*Source!I39),2)),2), 2)</f>
        <v>31.12</v>
      </c>
      <c r="T92">
        <f>Source!Y39</f>
        <v>457.58</v>
      </c>
      <c r="U92">
        <f>ROUND((175/100)*ROUND((ROUND((Source!AE39*Source!AV39*Source!I39),2)),2), 2)</f>
        <v>0.7</v>
      </c>
      <c r="V92">
        <f>ROUND((157/100)*ROUND(ROUND((ROUND((Source!AE39*Source!AV39*Source!I39),2)*Source!BS39),2), 2), 2)</f>
        <v>15.04</v>
      </c>
    </row>
    <row r="93" spans="1:27" ht="14.25" x14ac:dyDescent="0.2">
      <c r="A93" s="22"/>
      <c r="B93" s="23"/>
      <c r="C93" s="23" t="s">
        <v>445</v>
      </c>
      <c r="D93" s="24"/>
      <c r="E93" s="10"/>
      <c r="F93" s="26">
        <f>Source!AO39</f>
        <v>88.9</v>
      </c>
      <c r="G93" s="25" t="str">
        <f>Source!DG39</f>
        <v/>
      </c>
      <c r="H93" s="10">
        <f>Source!AV39</f>
        <v>1</v>
      </c>
      <c r="I93" s="26">
        <f>ROUND((ROUND((Source!AF39*Source!AV39*Source!I39),2)),2)</f>
        <v>44.45</v>
      </c>
      <c r="J93" s="10">
        <f>IF(Source!BA39&lt;&gt; 0, Source!BA39, 1)</f>
        <v>23.94</v>
      </c>
      <c r="K93" s="26">
        <f>Source!S39</f>
        <v>1064.1300000000001</v>
      </c>
      <c r="W93">
        <f>I93</f>
        <v>44.45</v>
      </c>
    </row>
    <row r="94" spans="1:27" ht="14.25" x14ac:dyDescent="0.2">
      <c r="A94" s="22"/>
      <c r="B94" s="23"/>
      <c r="C94" s="23" t="s">
        <v>446</v>
      </c>
      <c r="D94" s="24"/>
      <c r="E94" s="10"/>
      <c r="F94" s="26">
        <f>Source!AM39</f>
        <v>3.39</v>
      </c>
      <c r="G94" s="25" t="str">
        <f>Source!DE39</f>
        <v/>
      </c>
      <c r="H94" s="10">
        <f>Source!AV39</f>
        <v>1</v>
      </c>
      <c r="I94" s="26">
        <f>(ROUND((ROUND(((Source!ET39)*Source!AV39*Source!I39),2)),2)+ROUND((ROUND(((Source!AE39-(Source!EU39))*Source!AV39*Source!I39),2)),2))</f>
        <v>1.7</v>
      </c>
      <c r="J94" s="10">
        <f>IF(Source!BB39&lt;&gt; 0, Source!BB39, 1)</f>
        <v>9.6199999999999992</v>
      </c>
      <c r="K94" s="26">
        <f>Source!Q39</f>
        <v>16.350000000000001</v>
      </c>
    </row>
    <row r="95" spans="1:27" ht="14.25" x14ac:dyDescent="0.2">
      <c r="A95" s="22"/>
      <c r="B95" s="23"/>
      <c r="C95" s="23" t="s">
        <v>447</v>
      </c>
      <c r="D95" s="24"/>
      <c r="E95" s="10"/>
      <c r="F95" s="26">
        <f>Source!AN39</f>
        <v>0.79</v>
      </c>
      <c r="G95" s="25" t="str">
        <f>Source!DF39</f>
        <v/>
      </c>
      <c r="H95" s="10">
        <f>Source!AV39</f>
        <v>1</v>
      </c>
      <c r="I95" s="27">
        <f>ROUND((ROUND((Source!AE39*Source!AV39*Source!I39),2)),2)</f>
        <v>0.4</v>
      </c>
      <c r="J95" s="10">
        <f>IF(Source!BS39&lt;&gt; 0, Source!BS39, 1)</f>
        <v>23.94</v>
      </c>
      <c r="K95" s="27">
        <f>Source!R39</f>
        <v>9.58</v>
      </c>
      <c r="W95">
        <f>I95</f>
        <v>0.4</v>
      </c>
    </row>
    <row r="96" spans="1:27" ht="14.25" x14ac:dyDescent="0.2">
      <c r="A96" s="22"/>
      <c r="B96" s="23"/>
      <c r="C96" s="23" t="s">
        <v>454</v>
      </c>
      <c r="D96" s="24"/>
      <c r="E96" s="10"/>
      <c r="F96" s="26">
        <f>Source!AL39</f>
        <v>15.19</v>
      </c>
      <c r="G96" s="25" t="str">
        <f>Source!DD39</f>
        <v/>
      </c>
      <c r="H96" s="10">
        <f>Source!AW39</f>
        <v>1</v>
      </c>
      <c r="I96" s="26">
        <f>ROUND((ROUND((Source!AC39*Source!AW39*Source!I39),2)),2)</f>
        <v>7.6</v>
      </c>
      <c r="J96" s="10">
        <f>IF(Source!BC39&lt;&gt; 0, Source!BC39, 1)</f>
        <v>5.48</v>
      </c>
      <c r="K96" s="26">
        <f>Source!P39</f>
        <v>41.65</v>
      </c>
    </row>
    <row r="97" spans="1:27" ht="42.75" x14ac:dyDescent="0.2">
      <c r="A97" s="22" t="str">
        <f>Source!E40</f>
        <v>7,1</v>
      </c>
      <c r="B97" s="23" t="str">
        <f>Source!F40</f>
        <v>1.23-8-483</v>
      </c>
      <c r="C97" s="23" t="s">
        <v>61</v>
      </c>
      <c r="D97" s="24" t="str">
        <f>Source!H40</f>
        <v>км</v>
      </c>
      <c r="E97" s="10">
        <f>Source!I40</f>
        <v>5.0999999999999997E-2</v>
      </c>
      <c r="F97" s="26">
        <f>Source!AK40</f>
        <v>28826.09</v>
      </c>
      <c r="G97" s="30" t="s">
        <v>3</v>
      </c>
      <c r="H97" s="10">
        <f>Source!AW40</f>
        <v>1</v>
      </c>
      <c r="I97" s="26">
        <f>ROUND((ROUND((Source!AC40*Source!AW40*Source!I40),2)),2)+(ROUND((ROUND(((Source!ET40)*Source!AV40*Source!I40),2)),2)+ROUND((ROUND(((Source!AE40-(Source!EU40))*Source!AV40*Source!I40),2)),2))+ROUND((ROUND((Source!AF40*Source!AV40*Source!I40),2)),2)</f>
        <v>1470.13</v>
      </c>
      <c r="J97" s="10">
        <f>IF(Source!BC40&lt;&gt; 0, Source!BC40, 1)</f>
        <v>2.93</v>
      </c>
      <c r="K97" s="26">
        <f>Source!O40</f>
        <v>4307.4799999999996</v>
      </c>
      <c r="Q97">
        <f>ROUND((Source!DN40/100)*ROUND((ROUND((Source!AF40*Source!AV40*Source!I40),2)),2), 2)</f>
        <v>0</v>
      </c>
      <c r="R97">
        <f>Source!X40</f>
        <v>0</v>
      </c>
      <c r="S97">
        <f>ROUND((Source!DO40/100)*ROUND((ROUND((Source!AF40*Source!AV40*Source!I40),2)),2), 2)</f>
        <v>0</v>
      </c>
      <c r="T97">
        <f>Source!Y40</f>
        <v>0</v>
      </c>
      <c r="U97">
        <f>ROUND((175/100)*ROUND((ROUND((Source!AE40*Source!AV40*Source!I40),2)),2), 2)</f>
        <v>0</v>
      </c>
      <c r="V97">
        <f>ROUND((157/100)*ROUND(ROUND((ROUND((Source!AE40*Source!AV40*Source!I40),2)*Source!BS40),2), 2), 2)</f>
        <v>0</v>
      </c>
      <c r="X97">
        <f>IF(Source!BI40&lt;=1,I97, 0)</f>
        <v>0</v>
      </c>
      <c r="Y97">
        <f>IF(Source!BI40=2,I97, 0)</f>
        <v>1470.13</v>
      </c>
      <c r="Z97">
        <f>IF(Source!BI40=3,I97, 0)</f>
        <v>0</v>
      </c>
      <c r="AA97">
        <f>IF(Source!BI40=4,I97, 0)</f>
        <v>0</v>
      </c>
    </row>
    <row r="98" spans="1:27" ht="14.25" x14ac:dyDescent="0.2">
      <c r="A98" s="22"/>
      <c r="B98" s="23"/>
      <c r="C98" s="23" t="s">
        <v>448</v>
      </c>
      <c r="D98" s="24" t="s">
        <v>449</v>
      </c>
      <c r="E98" s="10">
        <f>Source!DN39</f>
        <v>112</v>
      </c>
      <c r="F98" s="26"/>
      <c r="G98" s="25"/>
      <c r="H98" s="10"/>
      <c r="I98" s="26">
        <f>SUM(Q92:Q97)</f>
        <v>49.78</v>
      </c>
      <c r="J98" s="10">
        <f>Source!BZ39</f>
        <v>90</v>
      </c>
      <c r="K98" s="26">
        <f>SUM(R92:R97)</f>
        <v>957.72</v>
      </c>
    </row>
    <row r="99" spans="1:27" ht="14.25" x14ac:dyDescent="0.2">
      <c r="A99" s="22"/>
      <c r="B99" s="23"/>
      <c r="C99" s="23" t="s">
        <v>450</v>
      </c>
      <c r="D99" s="24" t="s">
        <v>449</v>
      </c>
      <c r="E99" s="10">
        <f>Source!DO39</f>
        <v>70</v>
      </c>
      <c r="F99" s="26"/>
      <c r="G99" s="25"/>
      <c r="H99" s="10"/>
      <c r="I99" s="26">
        <f>SUM(S92:S98)</f>
        <v>31.12</v>
      </c>
      <c r="J99" s="10">
        <f>Source!CA39</f>
        <v>43</v>
      </c>
      <c r="K99" s="26">
        <f>SUM(T92:T98)</f>
        <v>457.58</v>
      </c>
    </row>
    <row r="100" spans="1:27" ht="14.25" x14ac:dyDescent="0.2">
      <c r="A100" s="22"/>
      <c r="B100" s="23"/>
      <c r="C100" s="23" t="s">
        <v>451</v>
      </c>
      <c r="D100" s="24" t="s">
        <v>449</v>
      </c>
      <c r="E100" s="10">
        <f>175</f>
        <v>175</v>
      </c>
      <c r="F100" s="26"/>
      <c r="G100" s="25"/>
      <c r="H100" s="10"/>
      <c r="I100" s="26">
        <f>SUM(U92:U99)</f>
        <v>0.7</v>
      </c>
      <c r="J100" s="10">
        <f>157</f>
        <v>157</v>
      </c>
      <c r="K100" s="26">
        <f>SUM(V92:V99)</f>
        <v>15.04</v>
      </c>
    </row>
    <row r="101" spans="1:27" ht="14.25" x14ac:dyDescent="0.2">
      <c r="A101" s="22"/>
      <c r="B101" s="23"/>
      <c r="C101" s="23" t="s">
        <v>452</v>
      </c>
      <c r="D101" s="24" t="s">
        <v>453</v>
      </c>
      <c r="E101" s="10">
        <f>Source!AQ39</f>
        <v>7.21</v>
      </c>
      <c r="F101" s="26"/>
      <c r="G101" s="25" t="str">
        <f>Source!DI39</f>
        <v/>
      </c>
      <c r="H101" s="10">
        <f>Source!AV39</f>
        <v>1</v>
      </c>
      <c r="I101" s="26">
        <f>Source!U39</f>
        <v>3.605</v>
      </c>
      <c r="J101" s="10"/>
      <c r="K101" s="26"/>
    </row>
    <row r="102" spans="1:27" ht="15" x14ac:dyDescent="0.25">
      <c r="A102" s="29"/>
      <c r="B102" s="29"/>
      <c r="C102" s="29"/>
      <c r="D102" s="29"/>
      <c r="E102" s="29"/>
      <c r="F102" s="29"/>
      <c r="G102" s="29"/>
      <c r="H102" s="58">
        <f>I93+I94+I96+I98+I99+I100+SUM(I97:I97)</f>
        <v>1605.48</v>
      </c>
      <c r="I102" s="58"/>
      <c r="J102" s="58">
        <f>K93+K94+K96+K98+K99+K100+SUM(K97:K97)</f>
        <v>6859.95</v>
      </c>
      <c r="K102" s="58"/>
      <c r="O102" s="28">
        <f>I93+I94+I96+I98+I99+I100+SUM(I97:I97)</f>
        <v>1605.48</v>
      </c>
      <c r="P102" s="28">
        <f>K93+K94+K96+K98+K99+K100+SUM(K97:K97)</f>
        <v>6859.95</v>
      </c>
      <c r="X102">
        <f>IF(Source!BI39&lt;=1,I93+I94+I96+I98+I99+I100-0, 0)</f>
        <v>0</v>
      </c>
      <c r="Y102">
        <f>IF(Source!BI39=2,I93+I94+I96+I98+I99+I100-0, 0)</f>
        <v>135.35</v>
      </c>
      <c r="Z102">
        <f>IF(Source!BI39=3,I93+I94+I96+I98+I99+I100-0, 0)</f>
        <v>0</v>
      </c>
      <c r="AA102">
        <f>IF(Source!BI39=4,I93+I94+I96+I98+I99+I100,0)</f>
        <v>0</v>
      </c>
    </row>
    <row r="103" spans="1:27" ht="57" x14ac:dyDescent="0.2">
      <c r="A103" s="22" t="str">
        <f>Source!E41</f>
        <v>8</v>
      </c>
      <c r="B103" s="23" t="str">
        <f>Source!F41</f>
        <v>3.1-14-1</v>
      </c>
      <c r="C103" s="23" t="s">
        <v>89</v>
      </c>
      <c r="D103" s="24" t="str">
        <f>Source!H41</f>
        <v>100 м3 грунта</v>
      </c>
      <c r="E103" s="10">
        <f>Source!I41</f>
        <v>2.94</v>
      </c>
      <c r="F103" s="26"/>
      <c r="G103" s="25"/>
      <c r="H103" s="10"/>
      <c r="I103" s="26"/>
      <c r="J103" s="10"/>
      <c r="K103" s="26"/>
      <c r="Q103">
        <f>ROUND((Source!DN41/100)*ROUND((ROUND((Source!AF41*Source!AV41*Source!I41),2)),2), 2)</f>
        <v>0</v>
      </c>
      <c r="R103">
        <f>Source!X41</f>
        <v>0</v>
      </c>
      <c r="S103">
        <f>ROUND((Source!DO41/100)*ROUND((ROUND((Source!AF41*Source!AV41*Source!I41),2)),2), 2)</f>
        <v>0</v>
      </c>
      <c r="T103">
        <f>Source!Y41</f>
        <v>0</v>
      </c>
      <c r="U103">
        <f>ROUND((175/100)*ROUND((ROUND((Source!AE41*Source!AV41*Source!I41),2)),2), 2)</f>
        <v>102.08</v>
      </c>
      <c r="V103">
        <f>ROUND((157/100)*ROUND(ROUND((ROUND((Source!AE41*Source!AV41*Source!I41),2)*Source!BS41),2), 2), 2)</f>
        <v>2192.38</v>
      </c>
    </row>
    <row r="104" spans="1:27" ht="14.25" x14ac:dyDescent="0.2">
      <c r="A104" s="22"/>
      <c r="B104" s="23"/>
      <c r="C104" s="23" t="s">
        <v>446</v>
      </c>
      <c r="D104" s="24"/>
      <c r="E104" s="10"/>
      <c r="F104" s="26">
        <f>Source!AM41</f>
        <v>84.89</v>
      </c>
      <c r="G104" s="25" t="str">
        <f>Source!DE41</f>
        <v/>
      </c>
      <c r="H104" s="10">
        <f>Source!AV41</f>
        <v>1</v>
      </c>
      <c r="I104" s="26">
        <f>(ROUND((ROUND(((Source!ET41)*Source!AV41*Source!I41),2)),2)+ROUND((ROUND(((Source!AE41-(Source!EU41))*Source!AV41*Source!I41),2)),2))</f>
        <v>249.58</v>
      </c>
      <c r="J104" s="10">
        <f>IF(Source!BB41&lt;&gt; 0, Source!BB41, 1)</f>
        <v>9.73</v>
      </c>
      <c r="K104" s="26">
        <f>Source!Q41</f>
        <v>2428.41</v>
      </c>
    </row>
    <row r="105" spans="1:27" ht="14.25" x14ac:dyDescent="0.2">
      <c r="A105" s="22"/>
      <c r="B105" s="23"/>
      <c r="C105" s="23" t="s">
        <v>447</v>
      </c>
      <c r="D105" s="24"/>
      <c r="E105" s="10"/>
      <c r="F105" s="26">
        <f>Source!AN41</f>
        <v>19.84</v>
      </c>
      <c r="G105" s="25" t="str">
        <f>Source!DF41</f>
        <v/>
      </c>
      <c r="H105" s="10">
        <f>Source!AV41</f>
        <v>1</v>
      </c>
      <c r="I105" s="27">
        <f>ROUND((ROUND((Source!AE41*Source!AV41*Source!I41),2)),2)</f>
        <v>58.33</v>
      </c>
      <c r="J105" s="10">
        <f>IF(Source!BS41&lt;&gt; 0, Source!BS41, 1)</f>
        <v>23.94</v>
      </c>
      <c r="K105" s="27">
        <f>Source!R41</f>
        <v>1396.42</v>
      </c>
      <c r="W105">
        <f>I105</f>
        <v>58.33</v>
      </c>
    </row>
    <row r="106" spans="1:27" ht="14.25" x14ac:dyDescent="0.2">
      <c r="A106" s="22"/>
      <c r="B106" s="23"/>
      <c r="C106" s="23" t="s">
        <v>451</v>
      </c>
      <c r="D106" s="24" t="s">
        <v>449</v>
      </c>
      <c r="E106" s="10">
        <f>175</f>
        <v>175</v>
      </c>
      <c r="F106" s="26"/>
      <c r="G106" s="25"/>
      <c r="H106" s="10"/>
      <c r="I106" s="26">
        <f>SUM(U103:U105)</f>
        <v>102.08</v>
      </c>
      <c r="J106" s="10">
        <f>157</f>
        <v>157</v>
      </c>
      <c r="K106" s="26">
        <f>SUM(V103:V105)</f>
        <v>2192.38</v>
      </c>
    </row>
    <row r="107" spans="1:27" ht="15" x14ac:dyDescent="0.25">
      <c r="A107" s="29"/>
      <c r="B107" s="29"/>
      <c r="C107" s="29"/>
      <c r="D107" s="29"/>
      <c r="E107" s="29"/>
      <c r="F107" s="29"/>
      <c r="G107" s="29"/>
      <c r="H107" s="58">
        <f>I104+I106</f>
        <v>351.66</v>
      </c>
      <c r="I107" s="58"/>
      <c r="J107" s="58">
        <f>K104+K106</f>
        <v>4620.79</v>
      </c>
      <c r="K107" s="58"/>
      <c r="O107" s="28">
        <f>I104+I106</f>
        <v>351.66</v>
      </c>
      <c r="P107" s="28">
        <f>K104+K106</f>
        <v>4620.79</v>
      </c>
      <c r="X107">
        <f>IF(Source!BI41&lt;=1,I104+I106-0, 0)</f>
        <v>351.66</v>
      </c>
      <c r="Y107">
        <f>IF(Source!BI41=2,I104+I106-0, 0)</f>
        <v>0</v>
      </c>
      <c r="Z107">
        <f>IF(Source!BI41=3,I104+I106-0, 0)</f>
        <v>0</v>
      </c>
      <c r="AA107">
        <f>IF(Source!BI41=4,I104+I106,0)</f>
        <v>0</v>
      </c>
    </row>
    <row r="108" spans="1:27" ht="28.5" x14ac:dyDescent="0.2">
      <c r="A108" s="22" t="str">
        <f>Source!E42</f>
        <v>9</v>
      </c>
      <c r="B108" s="23" t="str">
        <f>Source!F42</f>
        <v>3.1-53-1</v>
      </c>
      <c r="C108" s="23" t="s">
        <v>95</v>
      </c>
      <c r="D108" s="24" t="str">
        <f>Source!H42</f>
        <v>100 м3 грунта</v>
      </c>
      <c r="E108" s="10">
        <f>Source!I42</f>
        <v>0.32700000000000001</v>
      </c>
      <c r="F108" s="26"/>
      <c r="G108" s="25"/>
      <c r="H108" s="10"/>
      <c r="I108" s="26"/>
      <c r="J108" s="10"/>
      <c r="K108" s="26"/>
      <c r="Q108">
        <f>ROUND((Source!DN42/100)*ROUND((ROUND((Source!AF42*Source!AV42*Source!I42),2)),2), 2)</f>
        <v>360.91</v>
      </c>
      <c r="R108">
        <f>Source!X42</f>
        <v>6994.36</v>
      </c>
      <c r="S108">
        <f>ROUND((Source!DO42/100)*ROUND((ROUND((Source!AF42*Source!AV42*Source!I42),2)),2), 2)</f>
        <v>264.66000000000003</v>
      </c>
      <c r="T108">
        <f>Source!Y42</f>
        <v>3373.75</v>
      </c>
      <c r="U108">
        <f>ROUND((175/100)*ROUND((ROUND((Source!AE42*Source!AV42*Source!I42),2)),2), 2)</f>
        <v>0</v>
      </c>
      <c r="V108">
        <f>ROUND((157/100)*ROUND(ROUND((ROUND((Source!AE42*Source!AV42*Source!I42),2)*Source!BS42),2), 2), 2)</f>
        <v>0</v>
      </c>
    </row>
    <row r="109" spans="1:27" ht="14.25" x14ac:dyDescent="0.2">
      <c r="A109" s="22"/>
      <c r="B109" s="23"/>
      <c r="C109" s="23" t="s">
        <v>445</v>
      </c>
      <c r="D109" s="24"/>
      <c r="E109" s="10"/>
      <c r="F109" s="26">
        <f>Source!AO42</f>
        <v>1051.1300000000001</v>
      </c>
      <c r="G109" s="25" t="str">
        <f>Source!DG42</f>
        <v/>
      </c>
      <c r="H109" s="10">
        <f>Source!AV42</f>
        <v>1</v>
      </c>
      <c r="I109" s="26">
        <f>ROUND((ROUND((Source!AF42*Source!AV42*Source!I42),2)),2)</f>
        <v>343.72</v>
      </c>
      <c r="J109" s="10">
        <f>IF(Source!BA42&lt;&gt; 0, Source!BA42, 1)</f>
        <v>23.94</v>
      </c>
      <c r="K109" s="26">
        <f>Source!S42</f>
        <v>8228.66</v>
      </c>
      <c r="W109">
        <f>I109</f>
        <v>343.72</v>
      </c>
    </row>
    <row r="110" spans="1:27" ht="14.25" x14ac:dyDescent="0.2">
      <c r="A110" s="22"/>
      <c r="B110" s="23"/>
      <c r="C110" s="23" t="s">
        <v>448</v>
      </c>
      <c r="D110" s="24" t="s">
        <v>449</v>
      </c>
      <c r="E110" s="10">
        <f>Source!DN42</f>
        <v>105</v>
      </c>
      <c r="F110" s="26"/>
      <c r="G110" s="25"/>
      <c r="H110" s="10"/>
      <c r="I110" s="26">
        <f>SUM(Q108:Q109)</f>
        <v>360.91</v>
      </c>
      <c r="J110" s="10">
        <f>Source!BZ42</f>
        <v>85</v>
      </c>
      <c r="K110" s="26">
        <f>SUM(R108:R109)</f>
        <v>6994.36</v>
      </c>
    </row>
    <row r="111" spans="1:27" ht="14.25" x14ac:dyDescent="0.2">
      <c r="A111" s="22"/>
      <c r="B111" s="23"/>
      <c r="C111" s="23" t="s">
        <v>450</v>
      </c>
      <c r="D111" s="24" t="s">
        <v>449</v>
      </c>
      <c r="E111" s="10">
        <f>Source!DO42</f>
        <v>77</v>
      </c>
      <c r="F111" s="26"/>
      <c r="G111" s="25"/>
      <c r="H111" s="10"/>
      <c r="I111" s="26">
        <f>SUM(S108:S110)</f>
        <v>264.66000000000003</v>
      </c>
      <c r="J111" s="10">
        <f>Source!CA42</f>
        <v>41</v>
      </c>
      <c r="K111" s="26">
        <f>SUM(T108:T110)</f>
        <v>3373.75</v>
      </c>
    </row>
    <row r="112" spans="1:27" ht="14.25" x14ac:dyDescent="0.2">
      <c r="A112" s="22"/>
      <c r="B112" s="23"/>
      <c r="C112" s="23" t="s">
        <v>452</v>
      </c>
      <c r="D112" s="24" t="s">
        <v>453</v>
      </c>
      <c r="E112" s="10">
        <f>Source!AQ42</f>
        <v>107.04</v>
      </c>
      <c r="F112" s="26"/>
      <c r="G112" s="25" t="str">
        <f>Source!DI42</f>
        <v/>
      </c>
      <c r="H112" s="10">
        <f>Source!AV42</f>
        <v>1</v>
      </c>
      <c r="I112" s="26">
        <f>Source!U42</f>
        <v>35.002080000000007</v>
      </c>
      <c r="J112" s="10"/>
      <c r="K112" s="26"/>
    </row>
    <row r="113" spans="1:27" ht="15" x14ac:dyDescent="0.25">
      <c r="A113" s="29"/>
      <c r="B113" s="29"/>
      <c r="C113" s="29"/>
      <c r="D113" s="29"/>
      <c r="E113" s="29"/>
      <c r="F113" s="29"/>
      <c r="G113" s="29"/>
      <c r="H113" s="58">
        <f>I109+I110+I111</f>
        <v>969.29000000000019</v>
      </c>
      <c r="I113" s="58"/>
      <c r="J113" s="58">
        <f>K109+K110+K111</f>
        <v>18596.77</v>
      </c>
      <c r="K113" s="58"/>
      <c r="O113" s="28">
        <f>I109+I110+I111</f>
        <v>969.29000000000019</v>
      </c>
      <c r="P113" s="28">
        <f>K109+K110+K111</f>
        <v>18596.77</v>
      </c>
      <c r="X113">
        <f>IF(Source!BI42&lt;=1,I109+I110+I111-0, 0)</f>
        <v>969.29000000000019</v>
      </c>
      <c r="Y113">
        <f>IF(Source!BI42=2,I109+I110+I111-0, 0)</f>
        <v>0</v>
      </c>
      <c r="Z113">
        <f>IF(Source!BI42=3,I109+I110+I111-0, 0)</f>
        <v>0</v>
      </c>
      <c r="AA113">
        <f>IF(Source!BI42=4,I109+I110+I111,0)</f>
        <v>0</v>
      </c>
    </row>
    <row r="114" spans="1:27" ht="57" x14ac:dyDescent="0.2">
      <c r="A114" s="22" t="str">
        <f>Source!E43</f>
        <v>10</v>
      </c>
      <c r="B114" s="23" t="str">
        <f>Source!F43</f>
        <v>3.1-29-1</v>
      </c>
      <c r="C114" s="23" t="s">
        <v>101</v>
      </c>
      <c r="D114" s="24" t="str">
        <f>Source!H43</f>
        <v>100 м3 уплотненного грунта</v>
      </c>
      <c r="E114" s="10">
        <f>Source!I43</f>
        <v>2.94</v>
      </c>
      <c r="F114" s="26"/>
      <c r="G114" s="25"/>
      <c r="H114" s="10"/>
      <c r="I114" s="26"/>
      <c r="J114" s="10"/>
      <c r="K114" s="26"/>
      <c r="Q114">
        <f>ROUND((Source!DN43/100)*ROUND((ROUND((Source!AF43*Source!AV43*Source!I43),2)),2), 2)</f>
        <v>347.88</v>
      </c>
      <c r="R114">
        <f>Source!X43</f>
        <v>7818.36</v>
      </c>
      <c r="S114">
        <f>ROUND((Source!DO43/100)*ROUND((ROUND((Source!AF43*Source!AV43*Source!I43),2)),2), 2)</f>
        <v>273.33</v>
      </c>
      <c r="T114">
        <f>Source!Y43</f>
        <v>4249.1099999999997</v>
      </c>
      <c r="U114">
        <f>ROUND((175/100)*ROUND((ROUND((Source!AE43*Source!AV43*Source!I43),2)),2), 2)</f>
        <v>1003.17</v>
      </c>
      <c r="V114">
        <f>ROUND((157/100)*ROUND(ROUND((ROUND((Source!AE43*Source!AV43*Source!I43),2)*Source!BS43),2), 2), 2)</f>
        <v>21545.69</v>
      </c>
    </row>
    <row r="115" spans="1:27" ht="14.25" x14ac:dyDescent="0.2">
      <c r="A115" s="22"/>
      <c r="B115" s="23"/>
      <c r="C115" s="23" t="s">
        <v>445</v>
      </c>
      <c r="D115" s="24"/>
      <c r="E115" s="10"/>
      <c r="F115" s="26">
        <f>Source!AO43</f>
        <v>120.74</v>
      </c>
      <c r="G115" s="25" t="str">
        <f>Source!DG43</f>
        <v/>
      </c>
      <c r="H115" s="10">
        <f>Source!AV43</f>
        <v>1</v>
      </c>
      <c r="I115" s="26">
        <f>ROUND((ROUND((Source!AF43*Source!AV43*Source!I43),2)),2)</f>
        <v>354.98</v>
      </c>
      <c r="J115" s="10">
        <f>IF(Source!BA43&lt;&gt; 0, Source!BA43, 1)</f>
        <v>23.94</v>
      </c>
      <c r="K115" s="26">
        <f>Source!S43</f>
        <v>8498.2199999999993</v>
      </c>
      <c r="W115">
        <f>I115</f>
        <v>354.98</v>
      </c>
    </row>
    <row r="116" spans="1:27" ht="14.25" x14ac:dyDescent="0.2">
      <c r="A116" s="22"/>
      <c r="B116" s="23"/>
      <c r="C116" s="23" t="s">
        <v>446</v>
      </c>
      <c r="D116" s="24"/>
      <c r="E116" s="10"/>
      <c r="F116" s="26">
        <f>Source!AM43</f>
        <v>643.97</v>
      </c>
      <c r="G116" s="25" t="str">
        <f>Source!DE43</f>
        <v/>
      </c>
      <c r="H116" s="10">
        <f>Source!AV43</f>
        <v>1</v>
      </c>
      <c r="I116" s="26">
        <f>(ROUND((ROUND(((Source!ET43)*Source!AV43*Source!I43),2)),2)+ROUND((ROUND(((Source!AE43-(Source!EU43))*Source!AV43*Source!I43),2)),2))</f>
        <v>1893.27</v>
      </c>
      <c r="J116" s="10">
        <f>IF(Source!BB43&lt;&gt; 0, Source!BB43, 1)</f>
        <v>11.73</v>
      </c>
      <c r="K116" s="26">
        <f>Source!Q43</f>
        <v>22208.06</v>
      </c>
    </row>
    <row r="117" spans="1:27" ht="14.25" x14ac:dyDescent="0.2">
      <c r="A117" s="22"/>
      <c r="B117" s="23"/>
      <c r="C117" s="23" t="s">
        <v>447</v>
      </c>
      <c r="D117" s="24"/>
      <c r="E117" s="10"/>
      <c r="F117" s="26">
        <f>Source!AN43</f>
        <v>194.98</v>
      </c>
      <c r="G117" s="25" t="str">
        <f>Source!DF43</f>
        <v/>
      </c>
      <c r="H117" s="10">
        <f>Source!AV43</f>
        <v>1</v>
      </c>
      <c r="I117" s="27">
        <f>ROUND((ROUND((Source!AE43*Source!AV43*Source!I43),2)),2)</f>
        <v>573.24</v>
      </c>
      <c r="J117" s="10">
        <f>IF(Source!BS43&lt;&gt; 0, Source!BS43, 1)</f>
        <v>23.94</v>
      </c>
      <c r="K117" s="27">
        <f>Source!R43</f>
        <v>13723.37</v>
      </c>
      <c r="W117">
        <f>I117</f>
        <v>573.24</v>
      </c>
    </row>
    <row r="118" spans="1:27" ht="14.25" x14ac:dyDescent="0.2">
      <c r="A118" s="22"/>
      <c r="B118" s="23"/>
      <c r="C118" s="23" t="s">
        <v>448</v>
      </c>
      <c r="D118" s="24" t="s">
        <v>449</v>
      </c>
      <c r="E118" s="10">
        <f>Source!DN43</f>
        <v>98</v>
      </c>
      <c r="F118" s="26"/>
      <c r="G118" s="25"/>
      <c r="H118" s="10"/>
      <c r="I118" s="26">
        <f>SUM(Q114:Q117)</f>
        <v>347.88</v>
      </c>
      <c r="J118" s="10">
        <f>Source!BZ43</f>
        <v>92</v>
      </c>
      <c r="K118" s="26">
        <f>SUM(R114:R117)</f>
        <v>7818.36</v>
      </c>
    </row>
    <row r="119" spans="1:27" ht="14.25" x14ac:dyDescent="0.2">
      <c r="A119" s="22"/>
      <c r="B119" s="23"/>
      <c r="C119" s="23" t="s">
        <v>450</v>
      </c>
      <c r="D119" s="24" t="s">
        <v>449</v>
      </c>
      <c r="E119" s="10">
        <f>Source!DO43</f>
        <v>77</v>
      </c>
      <c r="F119" s="26"/>
      <c r="G119" s="25"/>
      <c r="H119" s="10"/>
      <c r="I119" s="26">
        <f>SUM(S114:S118)</f>
        <v>273.33</v>
      </c>
      <c r="J119" s="10">
        <f>Source!CA43</f>
        <v>50</v>
      </c>
      <c r="K119" s="26">
        <f>SUM(T114:T118)</f>
        <v>4249.1099999999997</v>
      </c>
    </row>
    <row r="120" spans="1:27" ht="14.25" x14ac:dyDescent="0.2">
      <c r="A120" s="22"/>
      <c r="B120" s="23"/>
      <c r="C120" s="23" t="s">
        <v>451</v>
      </c>
      <c r="D120" s="24" t="s">
        <v>449</v>
      </c>
      <c r="E120" s="10">
        <f>175</f>
        <v>175</v>
      </c>
      <c r="F120" s="26"/>
      <c r="G120" s="25"/>
      <c r="H120" s="10"/>
      <c r="I120" s="26">
        <f>SUM(U114:U119)</f>
        <v>1003.17</v>
      </c>
      <c r="J120" s="10">
        <f>157</f>
        <v>157</v>
      </c>
      <c r="K120" s="26">
        <f>SUM(V114:V119)</f>
        <v>21545.69</v>
      </c>
    </row>
    <row r="121" spans="1:27" ht="14.25" x14ac:dyDescent="0.2">
      <c r="A121" s="22"/>
      <c r="B121" s="23"/>
      <c r="C121" s="23" t="s">
        <v>452</v>
      </c>
      <c r="D121" s="24" t="s">
        <v>453</v>
      </c>
      <c r="E121" s="10">
        <f>Source!AQ43</f>
        <v>10.8</v>
      </c>
      <c r="F121" s="26"/>
      <c r="G121" s="25" t="str">
        <f>Source!DI43</f>
        <v/>
      </c>
      <c r="H121" s="10">
        <f>Source!AV43</f>
        <v>1</v>
      </c>
      <c r="I121" s="26">
        <f>Source!U43</f>
        <v>31.752000000000002</v>
      </c>
      <c r="J121" s="10"/>
      <c r="K121" s="26"/>
    </row>
    <row r="122" spans="1:27" ht="15" x14ac:dyDescent="0.25">
      <c r="A122" s="29"/>
      <c r="B122" s="29"/>
      <c r="C122" s="29"/>
      <c r="D122" s="29"/>
      <c r="E122" s="29"/>
      <c r="F122" s="29"/>
      <c r="G122" s="29"/>
      <c r="H122" s="58">
        <f>I115+I116+I118+I119+I120</f>
        <v>3872.63</v>
      </c>
      <c r="I122" s="58"/>
      <c r="J122" s="58">
        <f>K115+K116+K118+K119+K120</f>
        <v>64319.44</v>
      </c>
      <c r="K122" s="58"/>
      <c r="O122" s="28">
        <f>I115+I116+I118+I119+I120</f>
        <v>3872.63</v>
      </c>
      <c r="P122" s="28">
        <f>K115+K116+K118+K119+K120</f>
        <v>64319.44</v>
      </c>
      <c r="X122">
        <f>IF(Source!BI43&lt;=1,I115+I116+I118+I119+I120-0, 0)</f>
        <v>3872.63</v>
      </c>
      <c r="Y122">
        <f>IF(Source!BI43=2,I115+I116+I118+I119+I120-0, 0)</f>
        <v>0</v>
      </c>
      <c r="Z122">
        <f>IF(Source!BI43=3,I115+I116+I118+I119+I120-0, 0)</f>
        <v>0</v>
      </c>
      <c r="AA122">
        <f>IF(Source!BI43=4,I115+I116+I118+I119+I120,0)</f>
        <v>0</v>
      </c>
    </row>
    <row r="123" spans="1:27" ht="71.25" x14ac:dyDescent="0.2">
      <c r="A123" s="22" t="str">
        <f>Source!E44</f>
        <v>11</v>
      </c>
      <c r="B123" s="23" t="str">
        <f>Source!F44</f>
        <v>4.8-288-2</v>
      </c>
      <c r="C123" s="23" t="s">
        <v>108</v>
      </c>
      <c r="D123" s="24" t="str">
        <f>Source!H44</f>
        <v>100 м</v>
      </c>
      <c r="E123" s="10">
        <f>Source!I44</f>
        <v>4</v>
      </c>
      <c r="F123" s="26"/>
      <c r="G123" s="25"/>
      <c r="H123" s="10"/>
      <c r="I123" s="26"/>
      <c r="J123" s="10"/>
      <c r="K123" s="26"/>
      <c r="Q123">
        <f>ROUND((Source!DN44/100)*ROUND((ROUND((Source!AF44*Source!AV44*Source!I44),2)),2), 2)</f>
        <v>861.32</v>
      </c>
      <c r="R123">
        <f>Source!X44</f>
        <v>16569.740000000002</v>
      </c>
      <c r="S123">
        <f>ROUND((Source!DO44/100)*ROUND((ROUND((Source!AF44*Source!AV44*Source!I44),2)),2), 2)</f>
        <v>538.33000000000004</v>
      </c>
      <c r="T123">
        <f>Source!Y44</f>
        <v>7916.65</v>
      </c>
      <c r="U123">
        <f>ROUND((175/100)*ROUND((ROUND((Source!AE44*Source!AV44*Source!I44),2)),2), 2)</f>
        <v>39.97</v>
      </c>
      <c r="V123">
        <f>ROUND((157/100)*ROUND(ROUND((ROUND((Source!AE44*Source!AV44*Source!I44),2)*Source!BS44),2), 2), 2)</f>
        <v>858.46</v>
      </c>
    </row>
    <row r="124" spans="1:27" ht="14.25" x14ac:dyDescent="0.2">
      <c r="A124" s="22"/>
      <c r="B124" s="23"/>
      <c r="C124" s="23" t="s">
        <v>445</v>
      </c>
      <c r="D124" s="24"/>
      <c r="E124" s="10"/>
      <c r="F124" s="26">
        <f>Source!AO44</f>
        <v>192.26</v>
      </c>
      <c r="G124" s="25" t="str">
        <f>Source!DG44</f>
        <v/>
      </c>
      <c r="H124" s="10">
        <f>Source!AV44</f>
        <v>1</v>
      </c>
      <c r="I124" s="26">
        <f>ROUND((ROUND((Source!AF44*Source!AV44*Source!I44),2)),2)</f>
        <v>769.04</v>
      </c>
      <c r="J124" s="10">
        <f>IF(Source!BA44&lt;&gt; 0, Source!BA44, 1)</f>
        <v>23.94</v>
      </c>
      <c r="K124" s="26">
        <f>Source!S44</f>
        <v>18410.82</v>
      </c>
      <c r="W124">
        <f>I124</f>
        <v>769.04</v>
      </c>
    </row>
    <row r="125" spans="1:27" ht="14.25" x14ac:dyDescent="0.2">
      <c r="A125" s="22"/>
      <c r="B125" s="23"/>
      <c r="C125" s="23" t="s">
        <v>446</v>
      </c>
      <c r="D125" s="24"/>
      <c r="E125" s="10"/>
      <c r="F125" s="26">
        <f>Source!AM44</f>
        <v>32.869999999999997</v>
      </c>
      <c r="G125" s="25" t="str">
        <f>Source!DE44</f>
        <v/>
      </c>
      <c r="H125" s="10">
        <f>Source!AV44</f>
        <v>1</v>
      </c>
      <c r="I125" s="26">
        <f>(ROUND((ROUND(((Source!ET44)*Source!AV44*Source!I44),2)),2)+ROUND((ROUND(((Source!AE44-(Source!EU44))*Source!AV44*Source!I44),2)),2))</f>
        <v>131.47999999999999</v>
      </c>
      <c r="J125" s="10">
        <f>IF(Source!BB44&lt;&gt; 0, Source!BB44, 1)</f>
        <v>8.51</v>
      </c>
      <c r="K125" s="26">
        <f>Source!Q44</f>
        <v>1118.8900000000001</v>
      </c>
    </row>
    <row r="126" spans="1:27" ht="14.25" x14ac:dyDescent="0.2">
      <c r="A126" s="22"/>
      <c r="B126" s="23"/>
      <c r="C126" s="23" t="s">
        <v>447</v>
      </c>
      <c r="D126" s="24"/>
      <c r="E126" s="10"/>
      <c r="F126" s="26">
        <f>Source!AN44</f>
        <v>5.71</v>
      </c>
      <c r="G126" s="25" t="str">
        <f>Source!DF44</f>
        <v/>
      </c>
      <c r="H126" s="10">
        <f>Source!AV44</f>
        <v>1</v>
      </c>
      <c r="I126" s="27">
        <f>ROUND((ROUND((Source!AE44*Source!AV44*Source!I44),2)),2)</f>
        <v>22.84</v>
      </c>
      <c r="J126" s="10">
        <f>IF(Source!BS44&lt;&gt; 0, Source!BS44, 1)</f>
        <v>23.94</v>
      </c>
      <c r="K126" s="27">
        <f>Source!R44</f>
        <v>546.79</v>
      </c>
      <c r="W126">
        <f>I126</f>
        <v>22.84</v>
      </c>
    </row>
    <row r="127" spans="1:27" ht="14.25" x14ac:dyDescent="0.2">
      <c r="A127" s="22"/>
      <c r="B127" s="23"/>
      <c r="C127" s="23" t="s">
        <v>454</v>
      </c>
      <c r="D127" s="24"/>
      <c r="E127" s="10"/>
      <c r="F127" s="26">
        <f>Source!AL44</f>
        <v>314.29000000000002</v>
      </c>
      <c r="G127" s="25" t="str">
        <f>Source!DD44</f>
        <v/>
      </c>
      <c r="H127" s="10">
        <f>Source!AW44</f>
        <v>1</v>
      </c>
      <c r="I127" s="26">
        <f>ROUND((ROUND((Source!AC44*Source!AW44*Source!I44),2)),2)</f>
        <v>1257.1600000000001</v>
      </c>
      <c r="J127" s="10">
        <f>IF(Source!BC44&lt;&gt; 0, Source!BC44, 1)</f>
        <v>5.48</v>
      </c>
      <c r="K127" s="26">
        <f>Source!P44</f>
        <v>6889.24</v>
      </c>
    </row>
    <row r="128" spans="1:27" ht="57" x14ac:dyDescent="0.2">
      <c r="A128" s="22" t="str">
        <f>Source!E45</f>
        <v>11,1</v>
      </c>
      <c r="B128" s="23" t="str">
        <f>Source!F45</f>
        <v>1.12-5-42</v>
      </c>
      <c r="C128" s="23" t="s">
        <v>114</v>
      </c>
      <c r="D128" s="24" t="str">
        <f>Source!H45</f>
        <v>м</v>
      </c>
      <c r="E128" s="10">
        <f>Source!I45</f>
        <v>408</v>
      </c>
      <c r="F128" s="26">
        <f>Source!AK45</f>
        <v>4.59</v>
      </c>
      <c r="G128" s="30" t="s">
        <v>3</v>
      </c>
      <c r="H128" s="10">
        <f>Source!AW45</f>
        <v>1</v>
      </c>
      <c r="I128" s="26">
        <f>ROUND((ROUND((Source!AC45*Source!AW45*Source!I45),2)),2)+(ROUND((ROUND(((Source!ET45)*Source!AV45*Source!I45),2)),2)+ROUND((ROUND(((Source!AE45-(Source!EU45))*Source!AV45*Source!I45),2)),2))+ROUND((ROUND((Source!AF45*Source!AV45*Source!I45),2)),2)</f>
        <v>1872.72</v>
      </c>
      <c r="J128" s="10">
        <f>IF(Source!BC45&lt;&gt; 0, Source!BC45, 1)</f>
        <v>2.2799999999999998</v>
      </c>
      <c r="K128" s="26">
        <f>Source!O45</f>
        <v>4269.8</v>
      </c>
      <c r="Q128">
        <f>ROUND((Source!DN45/100)*ROUND((ROUND((Source!AF45*Source!AV45*Source!I45),2)),2), 2)</f>
        <v>0</v>
      </c>
      <c r="R128">
        <f>Source!X45</f>
        <v>0</v>
      </c>
      <c r="S128">
        <f>ROUND((Source!DO45/100)*ROUND((ROUND((Source!AF45*Source!AV45*Source!I45),2)),2), 2)</f>
        <v>0</v>
      </c>
      <c r="T128">
        <f>Source!Y45</f>
        <v>0</v>
      </c>
      <c r="U128">
        <f>ROUND((175/100)*ROUND((ROUND((Source!AE45*Source!AV45*Source!I45),2)),2), 2)</f>
        <v>0</v>
      </c>
      <c r="V128">
        <f>ROUND((157/100)*ROUND(ROUND((ROUND((Source!AE45*Source!AV45*Source!I45),2)*Source!BS45),2), 2), 2)</f>
        <v>0</v>
      </c>
      <c r="X128">
        <f>IF(Source!BI45&lt;=1,I128, 0)</f>
        <v>0</v>
      </c>
      <c r="Y128">
        <f>IF(Source!BI45=2,I128, 0)</f>
        <v>1872.72</v>
      </c>
      <c r="Z128">
        <f>IF(Source!BI45=3,I128, 0)</f>
        <v>0</v>
      </c>
      <c r="AA128">
        <f>IF(Source!BI45=4,I128, 0)</f>
        <v>0</v>
      </c>
    </row>
    <row r="129" spans="1:27" ht="42.75" x14ac:dyDescent="0.2">
      <c r="A129" s="22" t="str">
        <f>Source!E46</f>
        <v>11,2</v>
      </c>
      <c r="B129" s="23" t="str">
        <f>Source!F46</f>
        <v>1.21-5-1136</v>
      </c>
      <c r="C129" s="23" t="s">
        <v>118</v>
      </c>
      <c r="D129" s="24" t="str">
        <f>Source!H46</f>
        <v>100 шт.</v>
      </c>
      <c r="E129" s="10">
        <f>Source!I46</f>
        <v>4</v>
      </c>
      <c r="F129" s="26">
        <f>Source!AK46</f>
        <v>146.88999999999999</v>
      </c>
      <c r="G129" s="30" t="s">
        <v>3</v>
      </c>
      <c r="H129" s="10">
        <f>Source!AW46</f>
        <v>1</v>
      </c>
      <c r="I129" s="26">
        <f>ROUND((ROUND((Source!AC46*Source!AW46*Source!I46),2)),2)+(ROUND((ROUND(((Source!ET46)*Source!AV46*Source!I46),2)),2)+ROUND((ROUND(((Source!AE46-(Source!EU46))*Source!AV46*Source!I46),2)),2))+ROUND((ROUND((Source!AF46*Source!AV46*Source!I46),2)),2)</f>
        <v>587.55999999999995</v>
      </c>
      <c r="J129" s="10">
        <f>IF(Source!BC46&lt;&gt; 0, Source!BC46, 1)</f>
        <v>1.19</v>
      </c>
      <c r="K129" s="26">
        <f>Source!O46</f>
        <v>699.2</v>
      </c>
      <c r="Q129">
        <f>ROUND((Source!DN46/100)*ROUND((ROUND((Source!AF46*Source!AV46*Source!I46),2)),2), 2)</f>
        <v>0</v>
      </c>
      <c r="R129">
        <f>Source!X46</f>
        <v>0</v>
      </c>
      <c r="S129">
        <f>ROUND((Source!DO46/100)*ROUND((ROUND((Source!AF46*Source!AV46*Source!I46),2)),2), 2)</f>
        <v>0</v>
      </c>
      <c r="T129">
        <f>Source!Y46</f>
        <v>0</v>
      </c>
      <c r="U129">
        <f>ROUND((175/100)*ROUND((ROUND((Source!AE46*Source!AV46*Source!I46),2)),2), 2)</f>
        <v>0</v>
      </c>
      <c r="V129">
        <f>ROUND((157/100)*ROUND(ROUND((ROUND((Source!AE46*Source!AV46*Source!I46),2)*Source!BS46),2), 2), 2)</f>
        <v>0</v>
      </c>
      <c r="X129">
        <f>IF(Source!BI46&lt;=1,I129, 0)</f>
        <v>0</v>
      </c>
      <c r="Y129">
        <f>IF(Source!BI46=2,I129, 0)</f>
        <v>587.55999999999995</v>
      </c>
      <c r="Z129">
        <f>IF(Source!BI46=3,I129, 0)</f>
        <v>0</v>
      </c>
      <c r="AA129">
        <f>IF(Source!BI46=4,I129, 0)</f>
        <v>0</v>
      </c>
    </row>
    <row r="130" spans="1:27" ht="14.25" x14ac:dyDescent="0.2">
      <c r="A130" s="22"/>
      <c r="B130" s="23"/>
      <c r="C130" s="23" t="s">
        <v>448</v>
      </c>
      <c r="D130" s="24" t="s">
        <v>449</v>
      </c>
      <c r="E130" s="10">
        <f>Source!DN44</f>
        <v>112</v>
      </c>
      <c r="F130" s="26"/>
      <c r="G130" s="25"/>
      <c r="H130" s="10"/>
      <c r="I130" s="26">
        <f>SUM(Q123:Q129)</f>
        <v>861.32</v>
      </c>
      <c r="J130" s="10">
        <f>Source!BZ44</f>
        <v>90</v>
      </c>
      <c r="K130" s="26">
        <f>SUM(R123:R129)</f>
        <v>16569.740000000002</v>
      </c>
    </row>
    <row r="131" spans="1:27" ht="14.25" x14ac:dyDescent="0.2">
      <c r="A131" s="22"/>
      <c r="B131" s="23"/>
      <c r="C131" s="23" t="s">
        <v>450</v>
      </c>
      <c r="D131" s="24" t="s">
        <v>449</v>
      </c>
      <c r="E131" s="10">
        <f>Source!DO44</f>
        <v>70</v>
      </c>
      <c r="F131" s="26"/>
      <c r="G131" s="25"/>
      <c r="H131" s="10"/>
      <c r="I131" s="26">
        <f>SUM(S123:S130)</f>
        <v>538.33000000000004</v>
      </c>
      <c r="J131" s="10">
        <f>Source!CA44</f>
        <v>43</v>
      </c>
      <c r="K131" s="26">
        <f>SUM(T123:T130)</f>
        <v>7916.65</v>
      </c>
    </row>
    <row r="132" spans="1:27" ht="14.25" x14ac:dyDescent="0.2">
      <c r="A132" s="22"/>
      <c r="B132" s="23"/>
      <c r="C132" s="23" t="s">
        <v>451</v>
      </c>
      <c r="D132" s="24" t="s">
        <v>449</v>
      </c>
      <c r="E132" s="10">
        <f>175</f>
        <v>175</v>
      </c>
      <c r="F132" s="26"/>
      <c r="G132" s="25"/>
      <c r="H132" s="10"/>
      <c r="I132" s="26">
        <f>SUM(U123:U131)</f>
        <v>39.97</v>
      </c>
      <c r="J132" s="10">
        <f>157</f>
        <v>157</v>
      </c>
      <c r="K132" s="26">
        <f>SUM(V123:V131)</f>
        <v>858.46</v>
      </c>
    </row>
    <row r="133" spans="1:27" ht="14.25" x14ac:dyDescent="0.2">
      <c r="A133" s="22"/>
      <c r="B133" s="23"/>
      <c r="C133" s="23" t="s">
        <v>452</v>
      </c>
      <c r="D133" s="24" t="s">
        <v>453</v>
      </c>
      <c r="E133" s="10">
        <f>Source!AQ44</f>
        <v>15</v>
      </c>
      <c r="F133" s="26"/>
      <c r="G133" s="25" t="str">
        <f>Source!DI44</f>
        <v/>
      </c>
      <c r="H133" s="10">
        <f>Source!AV44</f>
        <v>1</v>
      </c>
      <c r="I133" s="26">
        <f>Source!U44</f>
        <v>60</v>
      </c>
      <c r="J133" s="10"/>
      <c r="K133" s="26"/>
    </row>
    <row r="134" spans="1:27" ht="15" x14ac:dyDescent="0.25">
      <c r="A134" s="29"/>
      <c r="B134" s="29"/>
      <c r="C134" s="29"/>
      <c r="D134" s="29"/>
      <c r="E134" s="29"/>
      <c r="F134" s="29"/>
      <c r="G134" s="29"/>
      <c r="H134" s="58">
        <f>I124+I125+I127+I130+I131+I132+SUM(I128:I129)</f>
        <v>6057.58</v>
      </c>
      <c r="I134" s="58"/>
      <c r="J134" s="58">
        <f>K124+K125+K127+K130+K131+K132+SUM(K128:K129)</f>
        <v>56732.800000000003</v>
      </c>
      <c r="K134" s="58"/>
      <c r="O134" s="28">
        <f>I124+I125+I127+I130+I131+I132+SUM(I128:I129)</f>
        <v>6057.58</v>
      </c>
      <c r="P134" s="28">
        <f>K124+K125+K127+K130+K131+K132+SUM(K128:K129)</f>
        <v>56732.800000000003</v>
      </c>
      <c r="X134">
        <f>IF(Source!BI44&lt;=1,I124+I125+I127+I130+I131+I132-0, 0)</f>
        <v>0</v>
      </c>
      <c r="Y134">
        <f>IF(Source!BI44=2,I124+I125+I127+I130+I131+I132-0, 0)</f>
        <v>3597.3</v>
      </c>
      <c r="Z134">
        <f>IF(Source!BI44=3,I124+I125+I127+I130+I131+I132-0, 0)</f>
        <v>0</v>
      </c>
      <c r="AA134">
        <f>IF(Source!BI44=4,I124+I125+I127+I130+I131+I132,0)</f>
        <v>0</v>
      </c>
    </row>
    <row r="135" spans="1:27" ht="71.25" x14ac:dyDescent="0.2">
      <c r="A135" s="22" t="str">
        <f>Source!E47</f>
        <v>12</v>
      </c>
      <c r="B135" s="23" t="str">
        <f>Source!F47</f>
        <v>4.8-175-3</v>
      </c>
      <c r="C135" s="23" t="s">
        <v>81</v>
      </c>
      <c r="D135" s="24" t="str">
        <f>Source!H47</f>
        <v>100 м</v>
      </c>
      <c r="E135" s="10">
        <f>Source!I47</f>
        <v>4</v>
      </c>
      <c r="F135" s="26"/>
      <c r="G135" s="25"/>
      <c r="H135" s="10"/>
      <c r="I135" s="26"/>
      <c r="J135" s="10"/>
      <c r="K135" s="26"/>
      <c r="Q135">
        <f>ROUND((Source!DN47/100)*ROUND((ROUND((Source!AF47*Source!AV47*Source!I47),2)),2), 2)</f>
        <v>398.27</v>
      </c>
      <c r="R135">
        <f>Source!X47</f>
        <v>7661.75</v>
      </c>
      <c r="S135">
        <f>ROUND((Source!DO47/100)*ROUND((ROUND((Source!AF47*Source!AV47*Source!I47),2)),2), 2)</f>
        <v>248.92</v>
      </c>
      <c r="T135">
        <f>Source!Y47</f>
        <v>3660.62</v>
      </c>
      <c r="U135">
        <f>ROUND((175/100)*ROUND((ROUND((Source!AE47*Source!AV47*Source!I47),2)),2), 2)</f>
        <v>5.53</v>
      </c>
      <c r="V135">
        <f>ROUND((157/100)*ROUND(ROUND((ROUND((Source!AE47*Source!AV47*Source!I47),2)*Source!BS47),2), 2), 2)</f>
        <v>118.77</v>
      </c>
    </row>
    <row r="136" spans="1:27" ht="14.25" x14ac:dyDescent="0.2">
      <c r="A136" s="22"/>
      <c r="B136" s="23"/>
      <c r="C136" s="23" t="s">
        <v>445</v>
      </c>
      <c r="D136" s="24"/>
      <c r="E136" s="10"/>
      <c r="F136" s="26">
        <f>Source!AO47</f>
        <v>88.9</v>
      </c>
      <c r="G136" s="25" t="str">
        <f>Source!DG47</f>
        <v/>
      </c>
      <c r="H136" s="10">
        <f>Source!AV47</f>
        <v>1</v>
      </c>
      <c r="I136" s="26">
        <f>ROUND((ROUND((Source!AF47*Source!AV47*Source!I47),2)),2)</f>
        <v>355.6</v>
      </c>
      <c r="J136" s="10">
        <f>IF(Source!BA47&lt;&gt; 0, Source!BA47, 1)</f>
        <v>23.94</v>
      </c>
      <c r="K136" s="26">
        <f>Source!S47</f>
        <v>8513.06</v>
      </c>
      <c r="W136">
        <f>I136</f>
        <v>355.6</v>
      </c>
    </row>
    <row r="137" spans="1:27" ht="14.25" x14ac:dyDescent="0.2">
      <c r="A137" s="22"/>
      <c r="B137" s="23"/>
      <c r="C137" s="23" t="s">
        <v>446</v>
      </c>
      <c r="D137" s="24"/>
      <c r="E137" s="10"/>
      <c r="F137" s="26">
        <f>Source!AM47</f>
        <v>3.39</v>
      </c>
      <c r="G137" s="25" t="str">
        <f>Source!DE47</f>
        <v/>
      </c>
      <c r="H137" s="10">
        <f>Source!AV47</f>
        <v>1</v>
      </c>
      <c r="I137" s="26">
        <f>(ROUND((ROUND(((Source!ET47)*Source!AV47*Source!I47),2)),2)+ROUND((ROUND(((Source!AE47-(Source!EU47))*Source!AV47*Source!I47),2)),2))</f>
        <v>13.56</v>
      </c>
      <c r="J137" s="10">
        <f>IF(Source!BB47&lt;&gt; 0, Source!BB47, 1)</f>
        <v>9.6199999999999992</v>
      </c>
      <c r="K137" s="26">
        <f>Source!Q47</f>
        <v>130.44999999999999</v>
      </c>
    </row>
    <row r="138" spans="1:27" ht="14.25" x14ac:dyDescent="0.2">
      <c r="A138" s="22"/>
      <c r="B138" s="23"/>
      <c r="C138" s="23" t="s">
        <v>447</v>
      </c>
      <c r="D138" s="24"/>
      <c r="E138" s="10"/>
      <c r="F138" s="26">
        <f>Source!AN47</f>
        <v>0.79</v>
      </c>
      <c r="G138" s="25" t="str">
        <f>Source!DF47</f>
        <v/>
      </c>
      <c r="H138" s="10">
        <f>Source!AV47</f>
        <v>1</v>
      </c>
      <c r="I138" s="27">
        <f>ROUND((ROUND((Source!AE47*Source!AV47*Source!I47),2)),2)</f>
        <v>3.16</v>
      </c>
      <c r="J138" s="10">
        <f>IF(Source!BS47&lt;&gt; 0, Source!BS47, 1)</f>
        <v>23.94</v>
      </c>
      <c r="K138" s="27">
        <f>Source!R47</f>
        <v>75.650000000000006</v>
      </c>
      <c r="W138">
        <f>I138</f>
        <v>3.16</v>
      </c>
    </row>
    <row r="139" spans="1:27" ht="14.25" x14ac:dyDescent="0.2">
      <c r="A139" s="22"/>
      <c r="B139" s="23"/>
      <c r="C139" s="23" t="s">
        <v>454</v>
      </c>
      <c r="D139" s="24"/>
      <c r="E139" s="10"/>
      <c r="F139" s="26">
        <f>Source!AL47</f>
        <v>15.19</v>
      </c>
      <c r="G139" s="25" t="str">
        <f>Source!DD47</f>
        <v/>
      </c>
      <c r="H139" s="10">
        <f>Source!AW47</f>
        <v>1</v>
      </c>
      <c r="I139" s="26">
        <f>ROUND((ROUND((Source!AC47*Source!AW47*Source!I47),2)),2)</f>
        <v>60.76</v>
      </c>
      <c r="J139" s="10">
        <f>IF(Source!BC47&lt;&gt; 0, Source!BC47, 1)</f>
        <v>5.48</v>
      </c>
      <c r="K139" s="26">
        <f>Source!P47</f>
        <v>332.96</v>
      </c>
    </row>
    <row r="140" spans="1:27" ht="42.75" x14ac:dyDescent="0.2">
      <c r="A140" s="22" t="str">
        <f>Source!E48</f>
        <v>12,1</v>
      </c>
      <c r="B140" s="23" t="str">
        <f>Source!F48</f>
        <v>1.23-8-88</v>
      </c>
      <c r="C140" s="23" t="s">
        <v>124</v>
      </c>
      <c r="D140" s="24" t="str">
        <f>Source!H48</f>
        <v>км</v>
      </c>
      <c r="E140" s="10">
        <f>Source!I48</f>
        <v>0.40799999999999997</v>
      </c>
      <c r="F140" s="26">
        <f>Source!AK48</f>
        <v>12798.46</v>
      </c>
      <c r="G140" s="30" t="s">
        <v>3</v>
      </c>
      <c r="H140" s="10">
        <f>Source!AW48</f>
        <v>1</v>
      </c>
      <c r="I140" s="26">
        <f>ROUND((ROUND((Source!AC48*Source!AW48*Source!I48),2)),2)+(ROUND((ROUND(((Source!ET48)*Source!AV48*Source!I48),2)),2)+ROUND((ROUND(((Source!AE48-(Source!EU48))*Source!AV48*Source!I48),2)),2))+ROUND((ROUND((Source!AF48*Source!AV48*Source!I48),2)),2)</f>
        <v>5221.7700000000004</v>
      </c>
      <c r="J140" s="10">
        <f>IF(Source!BC48&lt;&gt; 0, Source!BC48, 1)</f>
        <v>2.9</v>
      </c>
      <c r="K140" s="26">
        <f>Source!O48</f>
        <v>15143.13</v>
      </c>
      <c r="Q140">
        <f>ROUND((Source!DN48/100)*ROUND((ROUND((Source!AF48*Source!AV48*Source!I48),2)),2), 2)</f>
        <v>0</v>
      </c>
      <c r="R140">
        <f>Source!X48</f>
        <v>0</v>
      </c>
      <c r="S140">
        <f>ROUND((Source!DO48/100)*ROUND((ROUND((Source!AF48*Source!AV48*Source!I48),2)),2), 2)</f>
        <v>0</v>
      </c>
      <c r="T140">
        <f>Source!Y48</f>
        <v>0</v>
      </c>
      <c r="U140">
        <f>ROUND((175/100)*ROUND((ROUND((Source!AE48*Source!AV48*Source!I48),2)),2), 2)</f>
        <v>0</v>
      </c>
      <c r="V140">
        <f>ROUND((157/100)*ROUND(ROUND((ROUND((Source!AE48*Source!AV48*Source!I48),2)*Source!BS48),2), 2), 2)</f>
        <v>0</v>
      </c>
      <c r="X140">
        <f>IF(Source!BI48&lt;=1,I140, 0)</f>
        <v>0</v>
      </c>
      <c r="Y140">
        <f>IF(Source!BI48=2,I140, 0)</f>
        <v>5221.7700000000004</v>
      </c>
      <c r="Z140">
        <f>IF(Source!BI48=3,I140, 0)</f>
        <v>0</v>
      </c>
      <c r="AA140">
        <f>IF(Source!BI48=4,I140, 0)</f>
        <v>0</v>
      </c>
    </row>
    <row r="141" spans="1:27" ht="14.25" x14ac:dyDescent="0.2">
      <c r="A141" s="22"/>
      <c r="B141" s="23"/>
      <c r="C141" s="23" t="s">
        <v>448</v>
      </c>
      <c r="D141" s="24" t="s">
        <v>449</v>
      </c>
      <c r="E141" s="10">
        <f>Source!DN47</f>
        <v>112</v>
      </c>
      <c r="F141" s="26"/>
      <c r="G141" s="25"/>
      <c r="H141" s="10"/>
      <c r="I141" s="26">
        <f>SUM(Q135:Q140)</f>
        <v>398.27</v>
      </c>
      <c r="J141" s="10">
        <f>Source!BZ47</f>
        <v>90</v>
      </c>
      <c r="K141" s="26">
        <f>SUM(R135:R140)</f>
        <v>7661.75</v>
      </c>
    </row>
    <row r="142" spans="1:27" ht="14.25" x14ac:dyDescent="0.2">
      <c r="A142" s="22"/>
      <c r="B142" s="23"/>
      <c r="C142" s="23" t="s">
        <v>450</v>
      </c>
      <c r="D142" s="24" t="s">
        <v>449</v>
      </c>
      <c r="E142" s="10">
        <f>Source!DO47</f>
        <v>70</v>
      </c>
      <c r="F142" s="26"/>
      <c r="G142" s="25"/>
      <c r="H142" s="10"/>
      <c r="I142" s="26">
        <f>SUM(S135:S141)</f>
        <v>248.92</v>
      </c>
      <c r="J142" s="10">
        <f>Source!CA47</f>
        <v>43</v>
      </c>
      <c r="K142" s="26">
        <f>SUM(T135:T141)</f>
        <v>3660.62</v>
      </c>
    </row>
    <row r="143" spans="1:27" ht="14.25" x14ac:dyDescent="0.2">
      <c r="A143" s="22"/>
      <c r="B143" s="23"/>
      <c r="C143" s="23" t="s">
        <v>451</v>
      </c>
      <c r="D143" s="24" t="s">
        <v>449</v>
      </c>
      <c r="E143" s="10">
        <f>175</f>
        <v>175</v>
      </c>
      <c r="F143" s="26"/>
      <c r="G143" s="25"/>
      <c r="H143" s="10"/>
      <c r="I143" s="26">
        <f>SUM(U135:U142)</f>
        <v>5.53</v>
      </c>
      <c r="J143" s="10">
        <f>157</f>
        <v>157</v>
      </c>
      <c r="K143" s="26">
        <f>SUM(V135:V142)</f>
        <v>118.77</v>
      </c>
    </row>
    <row r="144" spans="1:27" ht="14.25" x14ac:dyDescent="0.2">
      <c r="A144" s="22"/>
      <c r="B144" s="23"/>
      <c r="C144" s="23" t="s">
        <v>452</v>
      </c>
      <c r="D144" s="24" t="s">
        <v>453</v>
      </c>
      <c r="E144" s="10">
        <f>Source!AQ47</f>
        <v>7.21</v>
      </c>
      <c r="F144" s="26"/>
      <c r="G144" s="25" t="str">
        <f>Source!DI47</f>
        <v/>
      </c>
      <c r="H144" s="10">
        <f>Source!AV47</f>
        <v>1</v>
      </c>
      <c r="I144" s="26">
        <f>Source!U47</f>
        <v>28.84</v>
      </c>
      <c r="J144" s="10"/>
      <c r="K144" s="26"/>
    </row>
    <row r="145" spans="1:27" ht="15" x14ac:dyDescent="0.25">
      <c r="A145" s="29"/>
      <c r="B145" s="29"/>
      <c r="C145" s="29"/>
      <c r="D145" s="29"/>
      <c r="E145" s="29"/>
      <c r="F145" s="29"/>
      <c r="G145" s="29"/>
      <c r="H145" s="58">
        <f>I136+I137+I139+I141+I142+I143+SUM(I140:I140)</f>
        <v>6304.4100000000008</v>
      </c>
      <c r="I145" s="58"/>
      <c r="J145" s="58">
        <f>K136+K137+K139+K141+K142+K143+SUM(K140:K140)</f>
        <v>35560.74</v>
      </c>
      <c r="K145" s="58"/>
      <c r="O145" s="28">
        <f>I136+I137+I139+I141+I142+I143+SUM(I140:I140)</f>
        <v>6304.4100000000008</v>
      </c>
      <c r="P145" s="28">
        <f>K136+K137+K139+K141+K142+K143+SUM(K140:K140)</f>
        <v>35560.74</v>
      </c>
      <c r="X145">
        <f>IF(Source!BI47&lt;=1,I136+I137+I139+I141+I142+I143-0, 0)</f>
        <v>0</v>
      </c>
      <c r="Y145">
        <f>IF(Source!BI47=2,I136+I137+I139+I141+I142+I143-0, 0)</f>
        <v>1082.6400000000001</v>
      </c>
      <c r="Z145">
        <f>IF(Source!BI47=3,I136+I137+I139+I141+I142+I143-0, 0)</f>
        <v>0</v>
      </c>
      <c r="AA145">
        <f>IF(Source!BI47=4,I136+I137+I139+I141+I142+I143,0)</f>
        <v>0</v>
      </c>
    </row>
    <row r="147" spans="1:27" ht="15" x14ac:dyDescent="0.25">
      <c r="A147" s="65" t="str">
        <f>CONCATENATE("Итого по разделу: ",IF(Source!G50&lt;&gt;"Новый раздел", Source!G50, ""))</f>
        <v>Итого по разделу: Пракладка кабеля в траншеи</v>
      </c>
      <c r="B147" s="65"/>
      <c r="C147" s="65"/>
      <c r="D147" s="65"/>
      <c r="E147" s="65"/>
      <c r="F147" s="65"/>
      <c r="G147" s="65"/>
      <c r="H147" s="63">
        <f>SUM(O35:O146)</f>
        <v>140068.08000000002</v>
      </c>
      <c r="I147" s="64"/>
      <c r="J147" s="63">
        <f>SUM(P35:P146)</f>
        <v>1136941.7600000002</v>
      </c>
      <c r="K147" s="64"/>
    </row>
    <row r="148" spans="1:27" hidden="1" x14ac:dyDescent="0.2">
      <c r="A148" t="s">
        <v>455</v>
      </c>
      <c r="I148">
        <f>SUM(AC35:AC147)</f>
        <v>0</v>
      </c>
      <c r="J148">
        <f>SUM(AD35:AD147)</f>
        <v>0</v>
      </c>
    </row>
    <row r="149" spans="1:27" hidden="1" x14ac:dyDescent="0.2">
      <c r="A149" t="s">
        <v>456</v>
      </c>
      <c r="I149">
        <f>SUM(AE35:AE148)</f>
        <v>0</v>
      </c>
      <c r="J149">
        <f>SUM(AF35:AF148)</f>
        <v>0</v>
      </c>
    </row>
    <row r="151" spans="1:27" ht="16.5" x14ac:dyDescent="0.25">
      <c r="A151" s="62" t="str">
        <f>CONCATENATE("Раздел: ",IF(Source!G80&lt;&gt;"Новый раздел", Source!G80, ""))</f>
        <v>Раздел: Монтаж опор и приборов освещения.</v>
      </c>
      <c r="B151" s="62"/>
      <c r="C151" s="62"/>
      <c r="D151" s="62"/>
      <c r="E151" s="62"/>
      <c r="F151" s="62"/>
      <c r="G151" s="62"/>
      <c r="H151" s="62"/>
      <c r="I151" s="62"/>
      <c r="J151" s="62"/>
      <c r="K151" s="62"/>
    </row>
    <row r="152" spans="1:27" ht="57" x14ac:dyDescent="0.2">
      <c r="A152" s="22" t="str">
        <f>Source!E84</f>
        <v>13</v>
      </c>
      <c r="B152" s="23" t="str">
        <f>Source!F84</f>
        <v>3.33-36-1</v>
      </c>
      <c r="C152" s="23" t="s">
        <v>183</v>
      </c>
      <c r="D152" s="24" t="str">
        <f>Source!H84</f>
        <v>100 опор</v>
      </c>
      <c r="E152" s="10">
        <f>Source!I84</f>
        <v>0.76</v>
      </c>
      <c r="F152" s="26"/>
      <c r="G152" s="25"/>
      <c r="H152" s="10"/>
      <c r="I152" s="26"/>
      <c r="J152" s="10"/>
      <c r="K152" s="26"/>
      <c r="Q152">
        <f>ROUND((Source!DN84/100)*ROUND((ROUND((Source!AF84*Source!AV84*Source!I84),2)),2), 2)</f>
        <v>1749.09</v>
      </c>
      <c r="R152">
        <f>Source!X84</f>
        <v>33792.43</v>
      </c>
      <c r="S152">
        <f>ROUND((Source!DO84/100)*ROUND((ROUND((Source!AF84*Source!AV84*Source!I84),2)),2), 2)</f>
        <v>1227.43</v>
      </c>
      <c r="T152">
        <f>Source!Y84</f>
        <v>15059.67</v>
      </c>
      <c r="U152">
        <f>ROUND((175/100)*ROUND((ROUND((Source!AE84*Source!AV84*Source!I84),2)),2), 2)</f>
        <v>608.51</v>
      </c>
      <c r="V152">
        <f>ROUND((157/100)*ROUND(ROUND((ROUND((Source!AE84*Source!AV84*Source!I84),2)*Source!BS84),2), 2), 2)</f>
        <v>13069.34</v>
      </c>
    </row>
    <row r="153" spans="1:27" ht="14.25" x14ac:dyDescent="0.2">
      <c r="A153" s="22"/>
      <c r="B153" s="23"/>
      <c r="C153" s="23" t="s">
        <v>445</v>
      </c>
      <c r="D153" s="24"/>
      <c r="E153" s="10"/>
      <c r="F153" s="26">
        <f>Source!AO84</f>
        <v>2018.8</v>
      </c>
      <c r="G153" s="25" t="str">
        <f>Source!DG84</f>
        <v/>
      </c>
      <c r="H153" s="10">
        <f>Source!AV84</f>
        <v>1</v>
      </c>
      <c r="I153" s="26">
        <f>ROUND((ROUND((Source!AF84*Source!AV84*Source!I84),2)),2)</f>
        <v>1534.29</v>
      </c>
      <c r="J153" s="10">
        <f>IF(Source!BA84&lt;&gt; 0, Source!BA84, 1)</f>
        <v>23.94</v>
      </c>
      <c r="K153" s="26">
        <f>Source!S84</f>
        <v>36730.9</v>
      </c>
      <c r="W153">
        <f>I153</f>
        <v>1534.29</v>
      </c>
    </row>
    <row r="154" spans="1:27" ht="14.25" x14ac:dyDescent="0.2">
      <c r="A154" s="22"/>
      <c r="B154" s="23"/>
      <c r="C154" s="23" t="s">
        <v>446</v>
      </c>
      <c r="D154" s="24"/>
      <c r="E154" s="10"/>
      <c r="F154" s="26">
        <f>Source!AM84</f>
        <v>2236.87</v>
      </c>
      <c r="G154" s="25" t="str">
        <f>Source!DE84</f>
        <v/>
      </c>
      <c r="H154" s="10">
        <f>Source!AV84</f>
        <v>1</v>
      </c>
      <c r="I154" s="26">
        <f>(ROUND((ROUND(((Source!ET84)*Source!AV84*Source!I84),2)),2)+ROUND((ROUND(((Source!AE84-(Source!EU84))*Source!AV84*Source!I84),2)),2))</f>
        <v>1700.02</v>
      </c>
      <c r="J154" s="10">
        <f>IF(Source!BB84&lt;&gt; 0, Source!BB84, 1)</f>
        <v>10.38</v>
      </c>
      <c r="K154" s="26">
        <f>Source!Q84</f>
        <v>17646.21</v>
      </c>
    </row>
    <row r="155" spans="1:27" ht="14.25" x14ac:dyDescent="0.2">
      <c r="A155" s="22"/>
      <c r="B155" s="23"/>
      <c r="C155" s="23" t="s">
        <v>447</v>
      </c>
      <c r="D155" s="24"/>
      <c r="E155" s="10"/>
      <c r="F155" s="26">
        <f>Source!AN84</f>
        <v>457.52</v>
      </c>
      <c r="G155" s="25" t="str">
        <f>Source!DF84</f>
        <v/>
      </c>
      <c r="H155" s="10">
        <f>Source!AV84</f>
        <v>1</v>
      </c>
      <c r="I155" s="27">
        <f>ROUND((ROUND((Source!AE84*Source!AV84*Source!I84),2)),2)</f>
        <v>347.72</v>
      </c>
      <c r="J155" s="10">
        <f>IF(Source!BS84&lt;&gt; 0, Source!BS84, 1)</f>
        <v>23.94</v>
      </c>
      <c r="K155" s="27">
        <f>Source!R84</f>
        <v>8324.42</v>
      </c>
      <c r="W155">
        <f>I155</f>
        <v>347.72</v>
      </c>
    </row>
    <row r="156" spans="1:27" ht="14.25" x14ac:dyDescent="0.2">
      <c r="A156" s="22"/>
      <c r="B156" s="23"/>
      <c r="C156" s="23" t="s">
        <v>448</v>
      </c>
      <c r="D156" s="24" t="s">
        <v>449</v>
      </c>
      <c r="E156" s="10">
        <f>Source!DN84</f>
        <v>114</v>
      </c>
      <c r="F156" s="26"/>
      <c r="G156" s="25"/>
      <c r="H156" s="10"/>
      <c r="I156" s="26">
        <f>SUM(Q152:Q155)</f>
        <v>1749.09</v>
      </c>
      <c r="J156" s="10">
        <f>Source!BZ84</f>
        <v>92</v>
      </c>
      <c r="K156" s="26">
        <f>SUM(R152:R155)</f>
        <v>33792.43</v>
      </c>
    </row>
    <row r="157" spans="1:27" ht="14.25" x14ac:dyDescent="0.2">
      <c r="A157" s="22"/>
      <c r="B157" s="23"/>
      <c r="C157" s="23" t="s">
        <v>450</v>
      </c>
      <c r="D157" s="24" t="s">
        <v>449</v>
      </c>
      <c r="E157" s="10">
        <f>Source!DO84</f>
        <v>80</v>
      </c>
      <c r="F157" s="26"/>
      <c r="G157" s="25"/>
      <c r="H157" s="10"/>
      <c r="I157" s="26">
        <f>SUM(S152:S156)</f>
        <v>1227.43</v>
      </c>
      <c r="J157" s="10">
        <f>Source!CA84</f>
        <v>41</v>
      </c>
      <c r="K157" s="26">
        <f>SUM(T152:T156)</f>
        <v>15059.67</v>
      </c>
    </row>
    <row r="158" spans="1:27" ht="14.25" x14ac:dyDescent="0.2">
      <c r="A158" s="22"/>
      <c r="B158" s="23"/>
      <c r="C158" s="23" t="s">
        <v>451</v>
      </c>
      <c r="D158" s="24" t="s">
        <v>449</v>
      </c>
      <c r="E158" s="10">
        <f>175</f>
        <v>175</v>
      </c>
      <c r="F158" s="26"/>
      <c r="G158" s="25"/>
      <c r="H158" s="10"/>
      <c r="I158" s="26">
        <f>SUM(U152:U157)</f>
        <v>608.51</v>
      </c>
      <c r="J158" s="10">
        <f>157</f>
        <v>157</v>
      </c>
      <c r="K158" s="26">
        <f>SUM(V152:V157)</f>
        <v>13069.34</v>
      </c>
    </row>
    <row r="159" spans="1:27" ht="14.25" x14ac:dyDescent="0.2">
      <c r="A159" s="22"/>
      <c r="B159" s="23"/>
      <c r="C159" s="23" t="s">
        <v>452</v>
      </c>
      <c r="D159" s="24" t="s">
        <v>453</v>
      </c>
      <c r="E159" s="10">
        <f>Source!AQ84</f>
        <v>196</v>
      </c>
      <c r="F159" s="26"/>
      <c r="G159" s="25" t="str">
        <f>Source!DI84</f>
        <v/>
      </c>
      <c r="H159" s="10">
        <f>Source!AV84</f>
        <v>1</v>
      </c>
      <c r="I159" s="26">
        <f>Source!U84</f>
        <v>148.96</v>
      </c>
      <c r="J159" s="10"/>
      <c r="K159" s="26"/>
    </row>
    <row r="160" spans="1:27" ht="15" x14ac:dyDescent="0.25">
      <c r="A160" s="29"/>
      <c r="B160" s="29"/>
      <c r="C160" s="29"/>
      <c r="D160" s="29"/>
      <c r="E160" s="29"/>
      <c r="F160" s="29"/>
      <c r="G160" s="29"/>
      <c r="H160" s="58">
        <f>I153+I154+I156+I157+I158</f>
        <v>6819.34</v>
      </c>
      <c r="I160" s="58"/>
      <c r="J160" s="58">
        <f>K153+K154+K156+K157+K158</f>
        <v>116298.55</v>
      </c>
      <c r="K160" s="58"/>
      <c r="O160" s="28">
        <f>I153+I154+I156+I157+I158</f>
        <v>6819.34</v>
      </c>
      <c r="P160" s="28">
        <f>K153+K154+K156+K157+K158</f>
        <v>116298.55</v>
      </c>
      <c r="X160">
        <f>IF(Source!BI84&lt;=1,I153+I154+I156+I157+I158-0, 0)</f>
        <v>6819.34</v>
      </c>
      <c r="Y160">
        <f>IF(Source!BI84=2,I153+I154+I156+I157+I158-0, 0)</f>
        <v>0</v>
      </c>
      <c r="Z160">
        <f>IF(Source!BI84=3,I153+I154+I156+I157+I158-0, 0)</f>
        <v>0</v>
      </c>
      <c r="AA160">
        <f>IF(Source!BI84=4,I153+I154+I156+I157+I158,0)</f>
        <v>0</v>
      </c>
    </row>
    <row r="161" spans="1:27" ht="28.5" x14ac:dyDescent="0.2">
      <c r="A161" s="22" t="str">
        <f>Source!E85</f>
        <v>14</v>
      </c>
      <c r="B161" s="23" t="str">
        <f>Source!F85</f>
        <v>3.33-38-2</v>
      </c>
      <c r="C161" s="23" t="s">
        <v>190</v>
      </c>
      <c r="D161" s="24" t="str">
        <f>Source!H85</f>
        <v>1  ШТ.</v>
      </c>
      <c r="E161" s="10">
        <f>Source!I85</f>
        <v>76</v>
      </c>
      <c r="F161" s="26"/>
      <c r="G161" s="25"/>
      <c r="H161" s="10"/>
      <c r="I161" s="26"/>
      <c r="J161" s="10"/>
      <c r="K161" s="26"/>
      <c r="Q161">
        <f>ROUND((Source!DN85/100)*ROUND((ROUND((Source!AF85*Source!AV85*Source!I85),2)),2), 2)</f>
        <v>4137.0600000000004</v>
      </c>
      <c r="R161">
        <f>Source!X85</f>
        <v>79928</v>
      </c>
      <c r="S161">
        <f>ROUND((Source!DO85/100)*ROUND((ROUND((Source!AF85*Source!AV85*Source!I85),2)),2), 2)</f>
        <v>2903.2</v>
      </c>
      <c r="T161">
        <f>Source!Y85</f>
        <v>35620.089999999997</v>
      </c>
      <c r="U161">
        <f>ROUND((175/100)*ROUND((ROUND((Source!AE85*Source!AV85*Source!I85),2)),2), 2)</f>
        <v>437.57</v>
      </c>
      <c r="V161">
        <f>ROUND((157/100)*ROUND(ROUND((ROUND((Source!AE85*Source!AV85*Source!I85),2)*Source!BS85),2), 2), 2)</f>
        <v>9397.9599999999991</v>
      </c>
    </row>
    <row r="162" spans="1:27" ht="14.25" x14ac:dyDescent="0.2">
      <c r="A162" s="22"/>
      <c r="B162" s="23"/>
      <c r="C162" s="23" t="s">
        <v>445</v>
      </c>
      <c r="D162" s="24"/>
      <c r="E162" s="10"/>
      <c r="F162" s="26">
        <f>Source!AO85</f>
        <v>47.75</v>
      </c>
      <c r="G162" s="25" t="str">
        <f>Source!DG85</f>
        <v/>
      </c>
      <c r="H162" s="10">
        <f>Source!AV85</f>
        <v>1</v>
      </c>
      <c r="I162" s="26">
        <f>ROUND((ROUND((Source!AF85*Source!AV85*Source!I85),2)),2)</f>
        <v>3629</v>
      </c>
      <c r="J162" s="10">
        <f>IF(Source!BA85&lt;&gt; 0, Source!BA85, 1)</f>
        <v>23.94</v>
      </c>
      <c r="K162" s="26">
        <f>Source!S85</f>
        <v>86878.26</v>
      </c>
      <c r="W162">
        <f>I162</f>
        <v>3629</v>
      </c>
    </row>
    <row r="163" spans="1:27" ht="14.25" x14ac:dyDescent="0.2">
      <c r="A163" s="22"/>
      <c r="B163" s="23"/>
      <c r="C163" s="23" t="s">
        <v>446</v>
      </c>
      <c r="D163" s="24"/>
      <c r="E163" s="10"/>
      <c r="F163" s="26">
        <f>Source!AM85</f>
        <v>14.26</v>
      </c>
      <c r="G163" s="25" t="str">
        <f>Source!DE85</f>
        <v/>
      </c>
      <c r="H163" s="10">
        <f>Source!AV85</f>
        <v>1</v>
      </c>
      <c r="I163" s="26">
        <f>(ROUND((ROUND(((Source!ET85)*Source!AV85*Source!I85),2)),2)+ROUND((ROUND(((Source!AE85-(Source!EU85))*Source!AV85*Source!I85),2)),2))</f>
        <v>1083.76</v>
      </c>
      <c r="J163" s="10">
        <f>IF(Source!BB85&lt;&gt; 0, Source!BB85, 1)</f>
        <v>8.06</v>
      </c>
      <c r="K163" s="26">
        <f>Source!Q85</f>
        <v>8735.11</v>
      </c>
    </row>
    <row r="164" spans="1:27" ht="14.25" x14ac:dyDescent="0.2">
      <c r="A164" s="22"/>
      <c r="B164" s="23"/>
      <c r="C164" s="23" t="s">
        <v>447</v>
      </c>
      <c r="D164" s="24"/>
      <c r="E164" s="10"/>
      <c r="F164" s="26">
        <f>Source!AN85</f>
        <v>3.29</v>
      </c>
      <c r="G164" s="25" t="str">
        <f>Source!DF85</f>
        <v/>
      </c>
      <c r="H164" s="10">
        <f>Source!AV85</f>
        <v>1</v>
      </c>
      <c r="I164" s="27">
        <f>ROUND((ROUND((Source!AE85*Source!AV85*Source!I85),2)),2)</f>
        <v>250.04</v>
      </c>
      <c r="J164" s="10">
        <f>IF(Source!BS85&lt;&gt; 0, Source!BS85, 1)</f>
        <v>23.94</v>
      </c>
      <c r="K164" s="27">
        <f>Source!R85</f>
        <v>5985.96</v>
      </c>
      <c r="W164">
        <f>I164</f>
        <v>250.04</v>
      </c>
    </row>
    <row r="165" spans="1:27" ht="57" x14ac:dyDescent="0.2">
      <c r="A165" s="22" t="str">
        <f>Source!E86</f>
        <v>14,1</v>
      </c>
      <c r="B165" s="23" t="str">
        <f>Source!F86</f>
        <v>П. 26 Конъюнктурного анализа</v>
      </c>
      <c r="C165" s="23" t="s">
        <v>197</v>
      </c>
      <c r="D165" s="24" t="str">
        <f>Source!H86</f>
        <v>опора</v>
      </c>
      <c r="E165" s="10">
        <f>Source!I86</f>
        <v>76</v>
      </c>
      <c r="F165" s="26">
        <f>Source!AK86</f>
        <v>836.41</v>
      </c>
      <c r="G165" s="30" t="s">
        <v>3</v>
      </c>
      <c r="H165" s="10">
        <f>Source!AW86</f>
        <v>1</v>
      </c>
      <c r="I165" s="26">
        <f>ROUND((ROUND((Source!AC86*Source!AW86*Source!I86),2)),2)+(ROUND((ROUND(((Source!ET86)*Source!AV86*Source!I86),2)),2)+ROUND((ROUND(((Source!AE86-(Source!EU86))*Source!AV86*Source!I86),2)),2))+ROUND((ROUND((Source!AF86*Source!AV86*Source!I86),2)),2)</f>
        <v>63567.16</v>
      </c>
      <c r="J165" s="10">
        <f>IF(Source!BC86&lt;&gt; 0, Source!BC86, 1)</f>
        <v>5.43</v>
      </c>
      <c r="K165" s="26">
        <f>Source!O86</f>
        <v>345169.68</v>
      </c>
      <c r="Q165">
        <f>ROUND((Source!DN86/100)*ROUND((ROUND((Source!AF86*Source!AV86*Source!I86),2)),2), 2)</f>
        <v>0</v>
      </c>
      <c r="R165">
        <f>Source!X86</f>
        <v>0</v>
      </c>
      <c r="S165">
        <f>ROUND((Source!DO86/100)*ROUND((ROUND((Source!AF86*Source!AV86*Source!I86),2)),2), 2)</f>
        <v>0</v>
      </c>
      <c r="T165">
        <f>Source!Y86</f>
        <v>0</v>
      </c>
      <c r="U165">
        <f>ROUND((175/100)*ROUND((ROUND((Source!AE86*Source!AV86*Source!I86),2)),2), 2)</f>
        <v>0</v>
      </c>
      <c r="V165">
        <f>ROUND((157/100)*ROUND(ROUND((ROUND((Source!AE86*Source!AV86*Source!I86),2)*Source!BS86),2), 2), 2)</f>
        <v>0</v>
      </c>
      <c r="X165">
        <f>IF(Source!BI86&lt;=1,I165, 0)</f>
        <v>63567.16</v>
      </c>
      <c r="Y165">
        <f>IF(Source!BI86=2,I165, 0)</f>
        <v>0</v>
      </c>
      <c r="Z165">
        <f>IF(Source!BI86=3,I165, 0)</f>
        <v>0</v>
      </c>
      <c r="AA165">
        <f>IF(Source!BI86=4,I165, 0)</f>
        <v>0</v>
      </c>
    </row>
    <row r="166" spans="1:27" ht="14.25" x14ac:dyDescent="0.2">
      <c r="A166" s="22"/>
      <c r="B166" s="23"/>
      <c r="C166" s="23" t="s">
        <v>448</v>
      </c>
      <c r="D166" s="24" t="s">
        <v>449</v>
      </c>
      <c r="E166" s="10">
        <f>Source!DN85</f>
        <v>114</v>
      </c>
      <c r="F166" s="26"/>
      <c r="G166" s="25"/>
      <c r="H166" s="10"/>
      <c r="I166" s="26">
        <f>SUM(Q161:Q165)</f>
        <v>4137.0600000000004</v>
      </c>
      <c r="J166" s="10">
        <f>Source!BZ85</f>
        <v>92</v>
      </c>
      <c r="K166" s="26">
        <f>SUM(R161:R165)</f>
        <v>79928</v>
      </c>
    </row>
    <row r="167" spans="1:27" ht="14.25" x14ac:dyDescent="0.2">
      <c r="A167" s="22"/>
      <c r="B167" s="23"/>
      <c r="C167" s="23" t="s">
        <v>450</v>
      </c>
      <c r="D167" s="24" t="s">
        <v>449</v>
      </c>
      <c r="E167" s="10">
        <f>Source!DO85</f>
        <v>80</v>
      </c>
      <c r="F167" s="26"/>
      <c r="G167" s="25"/>
      <c r="H167" s="10"/>
      <c r="I167" s="26">
        <f>SUM(S161:S166)</f>
        <v>2903.2</v>
      </c>
      <c r="J167" s="10">
        <f>Source!CA85</f>
        <v>41</v>
      </c>
      <c r="K167" s="26">
        <f>SUM(T161:T166)</f>
        <v>35620.089999999997</v>
      </c>
    </row>
    <row r="168" spans="1:27" ht="14.25" x14ac:dyDescent="0.2">
      <c r="A168" s="22"/>
      <c r="B168" s="23"/>
      <c r="C168" s="23" t="s">
        <v>451</v>
      </c>
      <c r="D168" s="24" t="s">
        <v>449</v>
      </c>
      <c r="E168" s="10">
        <f>175</f>
        <v>175</v>
      </c>
      <c r="F168" s="26"/>
      <c r="G168" s="25"/>
      <c r="H168" s="10"/>
      <c r="I168" s="26">
        <f>SUM(U161:U167)</f>
        <v>437.57</v>
      </c>
      <c r="J168" s="10">
        <f>157</f>
        <v>157</v>
      </c>
      <c r="K168" s="26">
        <f>SUM(V161:V167)</f>
        <v>9397.9599999999991</v>
      </c>
    </row>
    <row r="169" spans="1:27" ht="14.25" x14ac:dyDescent="0.2">
      <c r="A169" s="22"/>
      <c r="B169" s="23"/>
      <c r="C169" s="23" t="s">
        <v>452</v>
      </c>
      <c r="D169" s="24" t="s">
        <v>453</v>
      </c>
      <c r="E169" s="10">
        <f>Source!AQ85</f>
        <v>3.77</v>
      </c>
      <c r="F169" s="26"/>
      <c r="G169" s="25" t="str">
        <f>Source!DI85</f>
        <v/>
      </c>
      <c r="H169" s="10">
        <f>Source!AV85</f>
        <v>1</v>
      </c>
      <c r="I169" s="26">
        <f>Source!U85</f>
        <v>286.52</v>
      </c>
      <c r="J169" s="10"/>
      <c r="K169" s="26"/>
    </row>
    <row r="170" spans="1:27" ht="15" x14ac:dyDescent="0.25">
      <c r="A170" s="29"/>
      <c r="B170" s="29"/>
      <c r="C170" s="29"/>
      <c r="D170" s="29"/>
      <c r="E170" s="29"/>
      <c r="F170" s="29"/>
      <c r="G170" s="29"/>
      <c r="H170" s="58">
        <f>I162+I163+I166+I167+I168+SUM(I165:I165)</f>
        <v>75757.75</v>
      </c>
      <c r="I170" s="58"/>
      <c r="J170" s="58">
        <f>K162+K163+K166+K167+K168+SUM(K165:K165)</f>
        <v>565729.1</v>
      </c>
      <c r="K170" s="58"/>
      <c r="O170" s="28">
        <f>I162+I163+I166+I167+I168+SUM(I165:I165)</f>
        <v>75757.75</v>
      </c>
      <c r="P170" s="28">
        <f>K162+K163+K166+K167+K168+SUM(K165:K165)</f>
        <v>565729.1</v>
      </c>
      <c r="X170">
        <f>IF(Source!BI85&lt;=1,I162+I163+I166+I167+I168-0, 0)</f>
        <v>12190.59</v>
      </c>
      <c r="Y170">
        <f>IF(Source!BI85=2,I162+I163+I166+I167+I168-0, 0)</f>
        <v>0</v>
      </c>
      <c r="Z170">
        <f>IF(Source!BI85=3,I162+I163+I166+I167+I168-0, 0)</f>
        <v>0</v>
      </c>
      <c r="AA170">
        <f>IF(Source!BI85=4,I162+I163+I166+I167+I168,0)</f>
        <v>0</v>
      </c>
    </row>
    <row r="171" spans="1:27" ht="28.5" x14ac:dyDescent="0.2">
      <c r="A171" s="22" t="str">
        <f>Source!E87</f>
        <v>15</v>
      </c>
      <c r="B171" s="23" t="str">
        <f>Source!F87</f>
        <v>4.8-149-1</v>
      </c>
      <c r="C171" s="23" t="s">
        <v>202</v>
      </c>
      <c r="D171" s="24" t="str">
        <f>Source!H87</f>
        <v>1  ШТ.</v>
      </c>
      <c r="E171" s="10">
        <f>Source!I87</f>
        <v>76</v>
      </c>
      <c r="F171" s="26"/>
      <c r="G171" s="25"/>
      <c r="H171" s="10"/>
      <c r="I171" s="26"/>
      <c r="J171" s="10"/>
      <c r="K171" s="26"/>
      <c r="Q171">
        <f>ROUND((Source!DN87/100)*ROUND((ROUND((Source!AF87*Source!AV87*Source!I87),2)),2), 2)</f>
        <v>1160.19</v>
      </c>
      <c r="R171">
        <f>Source!X87</f>
        <v>22319.07</v>
      </c>
      <c r="S171">
        <f>ROUND((Source!DO87/100)*ROUND((ROUND((Source!AF87*Source!AV87*Source!I87),2)),2), 2)</f>
        <v>725.12</v>
      </c>
      <c r="T171">
        <f>Source!Y87</f>
        <v>10663.56</v>
      </c>
      <c r="U171">
        <f>ROUND((175/100)*ROUND((ROUND((Source!AE87*Source!AV87*Source!I87),2)),2), 2)</f>
        <v>904.4</v>
      </c>
      <c r="V171">
        <f>ROUND((157/100)*ROUND(ROUND((ROUND((Source!AE87*Source!AV87*Source!I87),2)*Source!BS87),2), 2), 2)</f>
        <v>19424.34</v>
      </c>
    </row>
    <row r="172" spans="1:27" ht="14.25" x14ac:dyDescent="0.2">
      <c r="A172" s="22"/>
      <c r="B172" s="23"/>
      <c r="C172" s="23" t="s">
        <v>445</v>
      </c>
      <c r="D172" s="24"/>
      <c r="E172" s="10"/>
      <c r="F172" s="26">
        <f>Source!AO87</f>
        <v>13.63</v>
      </c>
      <c r="G172" s="25" t="str">
        <f>Source!DG87</f>
        <v/>
      </c>
      <c r="H172" s="10">
        <f>Source!AV87</f>
        <v>1</v>
      </c>
      <c r="I172" s="26">
        <f>ROUND((ROUND((Source!AF87*Source!AV87*Source!I87),2)),2)</f>
        <v>1035.8800000000001</v>
      </c>
      <c r="J172" s="10">
        <f>IF(Source!BA87&lt;&gt; 0, Source!BA87, 1)</f>
        <v>23.94</v>
      </c>
      <c r="K172" s="26">
        <f>Source!S87</f>
        <v>24798.97</v>
      </c>
      <c r="W172">
        <f>I172</f>
        <v>1035.8800000000001</v>
      </c>
    </row>
    <row r="173" spans="1:27" ht="14.25" x14ac:dyDescent="0.2">
      <c r="A173" s="22"/>
      <c r="B173" s="23"/>
      <c r="C173" s="23" t="s">
        <v>446</v>
      </c>
      <c r="D173" s="24"/>
      <c r="E173" s="10"/>
      <c r="F173" s="26">
        <f>Source!AM87</f>
        <v>34.26</v>
      </c>
      <c r="G173" s="25" t="str">
        <f>Source!DE87</f>
        <v/>
      </c>
      <c r="H173" s="10">
        <f>Source!AV87</f>
        <v>1</v>
      </c>
      <c r="I173" s="26">
        <f>(ROUND((ROUND(((Source!ET87)*Source!AV87*Source!I87),2)),2)+ROUND((ROUND(((Source!AE87-(Source!EU87))*Source!AV87*Source!I87),2)),2))</f>
        <v>2603.7600000000002</v>
      </c>
      <c r="J173" s="10">
        <f>IF(Source!BB87&lt;&gt; 0, Source!BB87, 1)</f>
        <v>8.98</v>
      </c>
      <c r="K173" s="26">
        <f>Source!Q87</f>
        <v>23381.759999999998</v>
      </c>
    </row>
    <row r="174" spans="1:27" ht="14.25" x14ac:dyDescent="0.2">
      <c r="A174" s="22"/>
      <c r="B174" s="23"/>
      <c r="C174" s="23" t="s">
        <v>447</v>
      </c>
      <c r="D174" s="24"/>
      <c r="E174" s="10"/>
      <c r="F174" s="26">
        <f>Source!AN87</f>
        <v>6.8</v>
      </c>
      <c r="G174" s="25" t="str">
        <f>Source!DF87</f>
        <v/>
      </c>
      <c r="H174" s="10">
        <f>Source!AV87</f>
        <v>1</v>
      </c>
      <c r="I174" s="27">
        <f>ROUND((ROUND((Source!AE87*Source!AV87*Source!I87),2)),2)</f>
        <v>516.79999999999995</v>
      </c>
      <c r="J174" s="10">
        <f>IF(Source!BS87&lt;&gt; 0, Source!BS87, 1)</f>
        <v>23.94</v>
      </c>
      <c r="K174" s="27">
        <f>Source!R87</f>
        <v>12372.19</v>
      </c>
      <c r="W174">
        <f>I174</f>
        <v>516.79999999999995</v>
      </c>
    </row>
    <row r="175" spans="1:27" ht="14.25" x14ac:dyDescent="0.2">
      <c r="A175" s="22"/>
      <c r="B175" s="23"/>
      <c r="C175" s="23" t="s">
        <v>454</v>
      </c>
      <c r="D175" s="24"/>
      <c r="E175" s="10"/>
      <c r="F175" s="26">
        <f>Source!AL87</f>
        <v>0.12</v>
      </c>
      <c r="G175" s="25" t="str">
        <f>Source!DD87</f>
        <v/>
      </c>
      <c r="H175" s="10">
        <f>Source!AW87</f>
        <v>1</v>
      </c>
      <c r="I175" s="26">
        <f>ROUND((ROUND((Source!AC87*Source!AW87*Source!I87),2)),2)</f>
        <v>9.1199999999999992</v>
      </c>
      <c r="J175" s="10">
        <f>IF(Source!BC87&lt;&gt; 0, Source!BC87, 1)</f>
        <v>5.5</v>
      </c>
      <c r="K175" s="26">
        <f>Source!P87</f>
        <v>50.16</v>
      </c>
    </row>
    <row r="176" spans="1:27" ht="57" x14ac:dyDescent="0.2">
      <c r="A176" s="22" t="str">
        <f>Source!E88</f>
        <v>15,1</v>
      </c>
      <c r="B176" s="23" t="str">
        <f>Source!F88</f>
        <v>П. 29 Конъюнктурного анализа</v>
      </c>
      <c r="C176" s="23" t="s">
        <v>208</v>
      </c>
      <c r="D176" s="24" t="str">
        <f>Source!H88</f>
        <v>шт.</v>
      </c>
      <c r="E176" s="10">
        <f>Source!I88</f>
        <v>76</v>
      </c>
      <c r="F176" s="26">
        <f>Source!AK88</f>
        <v>1503.99</v>
      </c>
      <c r="G176" s="30" t="s">
        <v>3</v>
      </c>
      <c r="H176" s="10">
        <f>Source!AW88</f>
        <v>1</v>
      </c>
      <c r="I176" s="26">
        <f>ROUND((ROUND((Source!AC88*Source!AW88*Source!I88),2)),2)+(ROUND((ROUND(((Source!ET88)*Source!AV88*Source!I88),2)),2)+ROUND((ROUND(((Source!AE88-(Source!EU88))*Source!AV88*Source!I88),2)),2))+ROUND((ROUND((Source!AF88*Source!AV88*Source!I88),2)),2)</f>
        <v>114303.24</v>
      </c>
      <c r="J176" s="10">
        <f>IF(Source!BC88&lt;&gt; 0, Source!BC88, 1)</f>
        <v>5.43</v>
      </c>
      <c r="K176" s="26">
        <f>Source!O88</f>
        <v>620666.59</v>
      </c>
      <c r="Q176">
        <f>ROUND((Source!DN88/100)*ROUND((ROUND((Source!AF88*Source!AV88*Source!I88),2)),2), 2)</f>
        <v>0</v>
      </c>
      <c r="R176">
        <f>Source!X88</f>
        <v>0</v>
      </c>
      <c r="S176">
        <f>ROUND((Source!DO88/100)*ROUND((ROUND((Source!AF88*Source!AV88*Source!I88),2)),2), 2)</f>
        <v>0</v>
      </c>
      <c r="T176">
        <f>Source!Y88</f>
        <v>0</v>
      </c>
      <c r="U176">
        <f>ROUND((175/100)*ROUND((ROUND((Source!AE88*Source!AV88*Source!I88),2)),2), 2)</f>
        <v>0</v>
      </c>
      <c r="V176">
        <f>ROUND((157/100)*ROUND(ROUND((ROUND((Source!AE88*Source!AV88*Source!I88),2)*Source!BS88),2), 2), 2)</f>
        <v>0</v>
      </c>
      <c r="X176">
        <f>IF(Source!BI88&lt;=1,I176, 0)</f>
        <v>0</v>
      </c>
      <c r="Y176">
        <f>IF(Source!BI88=2,I176, 0)</f>
        <v>114303.24</v>
      </c>
      <c r="Z176">
        <f>IF(Source!BI88=3,I176, 0)</f>
        <v>0</v>
      </c>
      <c r="AA176">
        <f>IF(Source!BI88=4,I176, 0)</f>
        <v>0</v>
      </c>
    </row>
    <row r="177" spans="1:27" ht="14.25" x14ac:dyDescent="0.2">
      <c r="A177" s="22"/>
      <c r="B177" s="23"/>
      <c r="C177" s="23" t="s">
        <v>448</v>
      </c>
      <c r="D177" s="24" t="s">
        <v>449</v>
      </c>
      <c r="E177" s="10">
        <f>Source!DN87</f>
        <v>112</v>
      </c>
      <c r="F177" s="26"/>
      <c r="G177" s="25"/>
      <c r="H177" s="10"/>
      <c r="I177" s="26">
        <f>SUM(Q171:Q176)</f>
        <v>1160.19</v>
      </c>
      <c r="J177" s="10">
        <f>Source!BZ87</f>
        <v>90</v>
      </c>
      <c r="K177" s="26">
        <f>SUM(R171:R176)</f>
        <v>22319.07</v>
      </c>
    </row>
    <row r="178" spans="1:27" ht="14.25" x14ac:dyDescent="0.2">
      <c r="A178" s="22"/>
      <c r="B178" s="23"/>
      <c r="C178" s="23" t="s">
        <v>450</v>
      </c>
      <c r="D178" s="24" t="s">
        <v>449</v>
      </c>
      <c r="E178" s="10">
        <f>Source!DO87</f>
        <v>70</v>
      </c>
      <c r="F178" s="26"/>
      <c r="G178" s="25"/>
      <c r="H178" s="10"/>
      <c r="I178" s="26">
        <f>SUM(S171:S177)</f>
        <v>725.12</v>
      </c>
      <c r="J178" s="10">
        <f>Source!CA87</f>
        <v>43</v>
      </c>
      <c r="K178" s="26">
        <f>SUM(T171:T177)</f>
        <v>10663.56</v>
      </c>
    </row>
    <row r="179" spans="1:27" ht="14.25" x14ac:dyDescent="0.2">
      <c r="A179" s="22"/>
      <c r="B179" s="23"/>
      <c r="C179" s="23" t="s">
        <v>451</v>
      </c>
      <c r="D179" s="24" t="s">
        <v>449</v>
      </c>
      <c r="E179" s="10">
        <f>175</f>
        <v>175</v>
      </c>
      <c r="F179" s="26"/>
      <c r="G179" s="25"/>
      <c r="H179" s="10"/>
      <c r="I179" s="26">
        <f>SUM(U171:U178)</f>
        <v>904.4</v>
      </c>
      <c r="J179" s="10">
        <f>157</f>
        <v>157</v>
      </c>
      <c r="K179" s="26">
        <f>SUM(V171:V178)</f>
        <v>19424.34</v>
      </c>
    </row>
    <row r="180" spans="1:27" ht="14.25" x14ac:dyDescent="0.2">
      <c r="A180" s="22"/>
      <c r="B180" s="23"/>
      <c r="C180" s="23" t="s">
        <v>452</v>
      </c>
      <c r="D180" s="24" t="s">
        <v>453</v>
      </c>
      <c r="E180" s="10">
        <f>Source!AQ87</f>
        <v>0.99</v>
      </c>
      <c r="F180" s="26"/>
      <c r="G180" s="25" t="str">
        <f>Source!DI87</f>
        <v/>
      </c>
      <c r="H180" s="10">
        <f>Source!AV87</f>
        <v>1</v>
      </c>
      <c r="I180" s="26">
        <f>Source!U87</f>
        <v>75.239999999999995</v>
      </c>
      <c r="J180" s="10"/>
      <c r="K180" s="26"/>
    </row>
    <row r="181" spans="1:27" ht="15" x14ac:dyDescent="0.25">
      <c r="A181" s="29"/>
      <c r="B181" s="29"/>
      <c r="C181" s="29"/>
      <c r="D181" s="29"/>
      <c r="E181" s="29"/>
      <c r="F181" s="29"/>
      <c r="G181" s="29"/>
      <c r="H181" s="58">
        <f>I172+I173+I175+I177+I178+I179+SUM(I176:I176)</f>
        <v>120741.71</v>
      </c>
      <c r="I181" s="58"/>
      <c r="J181" s="58">
        <f>K172+K173+K175+K177+K178+K179+SUM(K176:K176)</f>
        <v>721304.45</v>
      </c>
      <c r="K181" s="58"/>
      <c r="O181" s="28">
        <f>I172+I173+I175+I177+I178+I179+SUM(I176:I176)</f>
        <v>120741.71</v>
      </c>
      <c r="P181" s="28">
        <f>K172+K173+K175+K177+K178+K179+SUM(K176:K176)</f>
        <v>721304.45</v>
      </c>
      <c r="X181">
        <f>IF(Source!BI87&lt;=1,I172+I173+I175+I177+I178+I179-0, 0)</f>
        <v>0</v>
      </c>
      <c r="Y181">
        <f>IF(Source!BI87=2,I172+I173+I175+I177+I178+I179-0, 0)</f>
        <v>6438.47</v>
      </c>
      <c r="Z181">
        <f>IF(Source!BI87=3,I172+I173+I175+I177+I178+I179-0, 0)</f>
        <v>0</v>
      </c>
      <c r="AA181">
        <f>IF(Source!BI87=4,I172+I173+I175+I177+I178+I179,0)</f>
        <v>0</v>
      </c>
    </row>
    <row r="182" spans="1:27" ht="42.75" x14ac:dyDescent="0.2">
      <c r="A182" s="22" t="str">
        <f>Source!E89</f>
        <v>16</v>
      </c>
      <c r="B182" s="23" t="str">
        <f>Source!F89</f>
        <v>4.8-312-1</v>
      </c>
      <c r="C182" s="23" t="s">
        <v>216</v>
      </c>
      <c r="D182" s="24" t="str">
        <f>Source!H89</f>
        <v>1  ШТ.</v>
      </c>
      <c r="E182" s="10">
        <f>Source!I89</f>
        <v>44</v>
      </c>
      <c r="F182" s="26"/>
      <c r="G182" s="25"/>
      <c r="H182" s="10"/>
      <c r="I182" s="26"/>
      <c r="J182" s="10"/>
      <c r="K182" s="26"/>
      <c r="Q182">
        <f>ROUND((Source!DN89/100)*ROUND((ROUND((Source!AF89*Source!AV89*Source!I89),2)),2), 2)</f>
        <v>5864.32</v>
      </c>
      <c r="R182">
        <f>Source!X89</f>
        <v>112814.86</v>
      </c>
      <c r="S182">
        <f>ROUND((Source!DO89/100)*ROUND((ROUND((Source!AF89*Source!AV89*Source!I89),2)),2), 2)</f>
        <v>3665.2</v>
      </c>
      <c r="T182">
        <f>Source!Y89</f>
        <v>53900.43</v>
      </c>
      <c r="U182">
        <f>ROUND((175/100)*ROUND((ROUND((Source!AE89*Source!AV89*Source!I89),2)),2), 2)</f>
        <v>673.75</v>
      </c>
      <c r="V182">
        <f>ROUND((157/100)*ROUND(ROUND((ROUND((Source!AE89*Source!AV89*Source!I89),2)*Source!BS89),2), 2), 2)</f>
        <v>14470.53</v>
      </c>
    </row>
    <row r="183" spans="1:27" ht="14.25" x14ac:dyDescent="0.2">
      <c r="A183" s="22"/>
      <c r="B183" s="23"/>
      <c r="C183" s="23" t="s">
        <v>445</v>
      </c>
      <c r="D183" s="24"/>
      <c r="E183" s="10"/>
      <c r="F183" s="26">
        <f>Source!AO89</f>
        <v>119</v>
      </c>
      <c r="G183" s="25" t="str">
        <f>Source!DG89</f>
        <v/>
      </c>
      <c r="H183" s="10">
        <f>Source!AV89</f>
        <v>1</v>
      </c>
      <c r="I183" s="26">
        <f>ROUND((ROUND((Source!AF89*Source!AV89*Source!I89),2)),2)</f>
        <v>5236</v>
      </c>
      <c r="J183" s="10">
        <f>IF(Source!BA89&lt;&gt; 0, Source!BA89, 1)</f>
        <v>23.94</v>
      </c>
      <c r="K183" s="26">
        <f>Source!S89</f>
        <v>125349.84</v>
      </c>
      <c r="W183">
        <f>I183</f>
        <v>5236</v>
      </c>
    </row>
    <row r="184" spans="1:27" ht="14.25" x14ac:dyDescent="0.2">
      <c r="A184" s="22"/>
      <c r="B184" s="23"/>
      <c r="C184" s="23" t="s">
        <v>446</v>
      </c>
      <c r="D184" s="24"/>
      <c r="E184" s="10"/>
      <c r="F184" s="26">
        <f>Source!AM89</f>
        <v>73.33</v>
      </c>
      <c r="G184" s="25" t="str">
        <f>Source!DE89</f>
        <v/>
      </c>
      <c r="H184" s="10">
        <f>Source!AV89</f>
        <v>1</v>
      </c>
      <c r="I184" s="26">
        <f>(ROUND((ROUND(((Source!ET89)*Source!AV89*Source!I89),2)),2)+ROUND((ROUND(((Source!AE89-(Source!EU89))*Source!AV89*Source!I89),2)),2))</f>
        <v>3226.52</v>
      </c>
      <c r="J184" s="10">
        <f>IF(Source!BB89&lt;&gt; 0, Source!BB89, 1)</f>
        <v>7.5</v>
      </c>
      <c r="K184" s="26">
        <f>Source!Q89</f>
        <v>24198.9</v>
      </c>
    </row>
    <row r="185" spans="1:27" ht="14.25" x14ac:dyDescent="0.2">
      <c r="A185" s="22"/>
      <c r="B185" s="23"/>
      <c r="C185" s="23" t="s">
        <v>447</v>
      </c>
      <c r="D185" s="24"/>
      <c r="E185" s="10"/>
      <c r="F185" s="26">
        <f>Source!AN89</f>
        <v>8.75</v>
      </c>
      <c r="G185" s="25" t="str">
        <f>Source!DF89</f>
        <v/>
      </c>
      <c r="H185" s="10">
        <f>Source!AV89</f>
        <v>1</v>
      </c>
      <c r="I185" s="27">
        <f>ROUND((ROUND((Source!AE89*Source!AV89*Source!I89),2)),2)</f>
        <v>385</v>
      </c>
      <c r="J185" s="10">
        <f>IF(Source!BS89&lt;&gt; 0, Source!BS89, 1)</f>
        <v>23.94</v>
      </c>
      <c r="K185" s="27">
        <f>Source!R89</f>
        <v>9216.9</v>
      </c>
      <c r="W185">
        <f>I185</f>
        <v>385</v>
      </c>
    </row>
    <row r="186" spans="1:27" ht="14.25" x14ac:dyDescent="0.2">
      <c r="A186" s="22"/>
      <c r="B186" s="23"/>
      <c r="C186" s="23" t="s">
        <v>454</v>
      </c>
      <c r="D186" s="24"/>
      <c r="E186" s="10"/>
      <c r="F186" s="26">
        <f>Source!AL89</f>
        <v>1.0900000000000001</v>
      </c>
      <c r="G186" s="25" t="str">
        <f>Source!DD89</f>
        <v/>
      </c>
      <c r="H186" s="10">
        <f>Source!AW89</f>
        <v>1</v>
      </c>
      <c r="I186" s="26">
        <f>ROUND((ROUND((Source!AC89*Source!AW89*Source!I89),2)),2)</f>
        <v>47.96</v>
      </c>
      <c r="J186" s="10">
        <f>IF(Source!BC89&lt;&gt; 0, Source!BC89, 1)</f>
        <v>5.48</v>
      </c>
      <c r="K186" s="26">
        <f>Source!P89</f>
        <v>262.82</v>
      </c>
    </row>
    <row r="187" spans="1:27" ht="57" x14ac:dyDescent="0.2">
      <c r="A187" s="22" t="str">
        <f>Source!E90</f>
        <v>16,1</v>
      </c>
      <c r="B187" s="23" t="str">
        <f>Source!F90</f>
        <v>П. 30 Конъюнктурного анализа</v>
      </c>
      <c r="C187" s="23" t="s">
        <v>222</v>
      </c>
      <c r="D187" s="24" t="str">
        <f>Source!H90</f>
        <v>шт.</v>
      </c>
      <c r="E187" s="10">
        <f>Source!I90</f>
        <v>44</v>
      </c>
      <c r="F187" s="26">
        <f>Source!AK90</f>
        <v>690.61</v>
      </c>
      <c r="G187" s="30" t="s">
        <v>3</v>
      </c>
      <c r="H187" s="10">
        <f>Source!AW90</f>
        <v>1</v>
      </c>
      <c r="I187" s="26">
        <f>ROUND((ROUND((Source!AC90*Source!AW90*Source!I90),2)),2)+(ROUND((ROUND(((Source!ET90)*Source!AV90*Source!I90),2)),2)+ROUND((ROUND(((Source!AE90-(Source!EU90))*Source!AV90*Source!I90),2)),2))+ROUND((ROUND((Source!AF90*Source!AV90*Source!I90),2)),2)</f>
        <v>30386.84</v>
      </c>
      <c r="J187" s="10">
        <f>IF(Source!BC90&lt;&gt; 0, Source!BC90, 1)</f>
        <v>5.43</v>
      </c>
      <c r="K187" s="26">
        <f>Source!O90</f>
        <v>165000.54</v>
      </c>
      <c r="Q187">
        <f>ROUND((Source!DN90/100)*ROUND((ROUND((Source!AF90*Source!AV90*Source!I90),2)),2), 2)</f>
        <v>0</v>
      </c>
      <c r="R187">
        <f>Source!X90</f>
        <v>0</v>
      </c>
      <c r="S187">
        <f>ROUND((Source!DO90/100)*ROUND((ROUND((Source!AF90*Source!AV90*Source!I90),2)),2), 2)</f>
        <v>0</v>
      </c>
      <c r="T187">
        <f>Source!Y90</f>
        <v>0</v>
      </c>
      <c r="U187">
        <f>ROUND((175/100)*ROUND((ROUND((Source!AE90*Source!AV90*Source!I90),2)),2), 2)</f>
        <v>0</v>
      </c>
      <c r="V187">
        <f>ROUND((157/100)*ROUND(ROUND((ROUND((Source!AE90*Source!AV90*Source!I90),2)*Source!BS90),2), 2), 2)</f>
        <v>0</v>
      </c>
      <c r="X187">
        <f>IF(Source!BI90&lt;=1,I187, 0)</f>
        <v>0</v>
      </c>
      <c r="Y187">
        <f>IF(Source!BI90=2,I187, 0)</f>
        <v>30386.84</v>
      </c>
      <c r="Z187">
        <f>IF(Source!BI90=3,I187, 0)</f>
        <v>0</v>
      </c>
      <c r="AA187">
        <f>IF(Source!BI90=4,I187, 0)</f>
        <v>0</v>
      </c>
    </row>
    <row r="188" spans="1:27" ht="14.25" x14ac:dyDescent="0.2">
      <c r="A188" s="22"/>
      <c r="B188" s="23"/>
      <c r="C188" s="23" t="s">
        <v>448</v>
      </c>
      <c r="D188" s="24" t="s">
        <v>449</v>
      </c>
      <c r="E188" s="10">
        <f>Source!DN89</f>
        <v>112</v>
      </c>
      <c r="F188" s="26"/>
      <c r="G188" s="25"/>
      <c r="H188" s="10"/>
      <c r="I188" s="26">
        <f>SUM(Q182:Q187)</f>
        <v>5864.32</v>
      </c>
      <c r="J188" s="10">
        <f>Source!BZ89</f>
        <v>90</v>
      </c>
      <c r="K188" s="26">
        <f>SUM(R182:R187)</f>
        <v>112814.86</v>
      </c>
    </row>
    <row r="189" spans="1:27" ht="14.25" x14ac:dyDescent="0.2">
      <c r="A189" s="22"/>
      <c r="B189" s="23"/>
      <c r="C189" s="23" t="s">
        <v>450</v>
      </c>
      <c r="D189" s="24" t="s">
        <v>449</v>
      </c>
      <c r="E189" s="10">
        <f>Source!DO89</f>
        <v>70</v>
      </c>
      <c r="F189" s="26"/>
      <c r="G189" s="25"/>
      <c r="H189" s="10"/>
      <c r="I189" s="26">
        <f>SUM(S182:S188)</f>
        <v>3665.2</v>
      </c>
      <c r="J189" s="10">
        <f>Source!CA89</f>
        <v>43</v>
      </c>
      <c r="K189" s="26">
        <f>SUM(T182:T188)</f>
        <v>53900.43</v>
      </c>
    </row>
    <row r="190" spans="1:27" ht="14.25" x14ac:dyDescent="0.2">
      <c r="A190" s="22"/>
      <c r="B190" s="23"/>
      <c r="C190" s="23" t="s">
        <v>451</v>
      </c>
      <c r="D190" s="24" t="s">
        <v>449</v>
      </c>
      <c r="E190" s="10">
        <f>175</f>
        <v>175</v>
      </c>
      <c r="F190" s="26"/>
      <c r="G190" s="25"/>
      <c r="H190" s="10"/>
      <c r="I190" s="26">
        <f>SUM(U182:U189)</f>
        <v>673.75</v>
      </c>
      <c r="J190" s="10">
        <f>157</f>
        <v>157</v>
      </c>
      <c r="K190" s="26">
        <f>SUM(V182:V189)</f>
        <v>14470.53</v>
      </c>
    </row>
    <row r="191" spans="1:27" ht="14.25" x14ac:dyDescent="0.2">
      <c r="A191" s="22"/>
      <c r="B191" s="23"/>
      <c r="C191" s="23" t="s">
        <v>452</v>
      </c>
      <c r="D191" s="24" t="s">
        <v>453</v>
      </c>
      <c r="E191" s="10">
        <f>Source!AQ89</f>
        <v>10</v>
      </c>
      <c r="F191" s="26"/>
      <c r="G191" s="25" t="str">
        <f>Source!DI89</f>
        <v/>
      </c>
      <c r="H191" s="10">
        <f>Source!AV89</f>
        <v>1</v>
      </c>
      <c r="I191" s="26">
        <f>Source!U89</f>
        <v>440</v>
      </c>
      <c r="J191" s="10"/>
      <c r="K191" s="26"/>
    </row>
    <row r="192" spans="1:27" ht="15" x14ac:dyDescent="0.25">
      <c r="A192" s="29"/>
      <c r="B192" s="29"/>
      <c r="C192" s="29"/>
      <c r="D192" s="29"/>
      <c r="E192" s="29"/>
      <c r="F192" s="29"/>
      <c r="G192" s="29"/>
      <c r="H192" s="58">
        <f>I183+I184+I186+I188+I189+I190+SUM(I187:I187)</f>
        <v>49100.59</v>
      </c>
      <c r="I192" s="58"/>
      <c r="J192" s="58">
        <f>K183+K184+K186+K188+K189+K190+SUM(K187:K187)</f>
        <v>495997.92000000004</v>
      </c>
      <c r="K192" s="58"/>
      <c r="O192" s="28">
        <f>I183+I184+I186+I188+I189+I190+SUM(I187:I187)</f>
        <v>49100.59</v>
      </c>
      <c r="P192" s="28">
        <f>K183+K184+K186+K188+K189+K190+SUM(K187:K187)</f>
        <v>495997.92000000004</v>
      </c>
      <c r="X192">
        <f>IF(Source!BI89&lt;=1,I183+I184+I186+I188+I189+I190-0, 0)</f>
        <v>0</v>
      </c>
      <c r="Y192">
        <f>IF(Source!BI89=2,I183+I184+I186+I188+I189+I190-0, 0)</f>
        <v>18713.75</v>
      </c>
      <c r="Z192">
        <f>IF(Source!BI89=3,I183+I184+I186+I188+I189+I190-0, 0)</f>
        <v>0</v>
      </c>
      <c r="AA192">
        <f>IF(Source!BI89=4,I183+I184+I186+I188+I189+I190,0)</f>
        <v>0</v>
      </c>
    </row>
    <row r="193" spans="1:27" ht="42.75" x14ac:dyDescent="0.2">
      <c r="A193" s="22" t="str">
        <f>Source!E91</f>
        <v>17</v>
      </c>
      <c r="B193" s="23" t="str">
        <f>Source!F91</f>
        <v>4.8-311-1</v>
      </c>
      <c r="C193" s="23" t="s">
        <v>226</v>
      </c>
      <c r="D193" s="24" t="str">
        <f>Source!H91</f>
        <v>1  ШТ.</v>
      </c>
      <c r="E193" s="10">
        <f>Source!I91</f>
        <v>44</v>
      </c>
      <c r="F193" s="26"/>
      <c r="G193" s="25"/>
      <c r="H193" s="10"/>
      <c r="I193" s="26"/>
      <c r="J193" s="10"/>
      <c r="K193" s="26"/>
      <c r="Q193">
        <f>ROUND((Source!DN91/100)*ROUND((ROUND((Source!AF91*Source!AV91*Source!I91),2)),2), 2)</f>
        <v>5536.12</v>
      </c>
      <c r="R193">
        <f>Source!X91</f>
        <v>106501.01</v>
      </c>
      <c r="S193">
        <f>ROUND((Source!DO91/100)*ROUND((ROUND((Source!AF91*Source!AV91*Source!I91),2)),2), 2)</f>
        <v>3460.07</v>
      </c>
      <c r="T193">
        <f>Source!Y91</f>
        <v>50883.82</v>
      </c>
      <c r="U193">
        <f>ROUND((175/100)*ROUND((ROUND((Source!AE91*Source!AV91*Source!I91),2)),2), 2)</f>
        <v>1570.8</v>
      </c>
      <c r="V193">
        <f>ROUND((157/100)*ROUND(ROUND((ROUND((Source!AE91*Source!AV91*Source!I91),2)*Source!BS91),2), 2), 2)</f>
        <v>33737.01</v>
      </c>
    </row>
    <row r="194" spans="1:27" ht="14.25" x14ac:dyDescent="0.2">
      <c r="A194" s="22"/>
      <c r="B194" s="23"/>
      <c r="C194" s="23" t="s">
        <v>445</v>
      </c>
      <c r="D194" s="24"/>
      <c r="E194" s="10"/>
      <c r="F194" s="26">
        <f>Source!AO91</f>
        <v>112.34</v>
      </c>
      <c r="G194" s="25" t="str">
        <f>Source!DG91</f>
        <v/>
      </c>
      <c r="H194" s="10">
        <f>Source!AV91</f>
        <v>1</v>
      </c>
      <c r="I194" s="26">
        <f>ROUND((ROUND((Source!AF91*Source!AV91*Source!I91),2)),2)</f>
        <v>4942.96</v>
      </c>
      <c r="J194" s="10">
        <f>IF(Source!BA91&lt;&gt; 0, Source!BA91, 1)</f>
        <v>23.94</v>
      </c>
      <c r="K194" s="26">
        <f>Source!S91</f>
        <v>118334.46</v>
      </c>
      <c r="W194">
        <f>I194</f>
        <v>4942.96</v>
      </c>
    </row>
    <row r="195" spans="1:27" ht="14.25" x14ac:dyDescent="0.2">
      <c r="A195" s="22"/>
      <c r="B195" s="23"/>
      <c r="C195" s="23" t="s">
        <v>446</v>
      </c>
      <c r="D195" s="24"/>
      <c r="E195" s="10"/>
      <c r="F195" s="26">
        <f>Source!AM91</f>
        <v>46.84</v>
      </c>
      <c r="G195" s="25" t="str">
        <f>Source!DE91</f>
        <v/>
      </c>
      <c r="H195" s="10">
        <f>Source!AV91</f>
        <v>1</v>
      </c>
      <c r="I195" s="26">
        <f>(ROUND((ROUND(((Source!ET91)*Source!AV91*Source!I91),2)),2)+ROUND((ROUND(((Source!AE91-(Source!EU91))*Source!AV91*Source!I91),2)),2))</f>
        <v>2060.96</v>
      </c>
      <c r="J195" s="10">
        <f>IF(Source!BB91&lt;&gt; 0, Source!BB91, 1)</f>
        <v>13.4</v>
      </c>
      <c r="K195" s="26">
        <f>Source!Q91</f>
        <v>27616.86</v>
      </c>
    </row>
    <row r="196" spans="1:27" ht="14.25" x14ac:dyDescent="0.2">
      <c r="A196" s="22"/>
      <c r="B196" s="23"/>
      <c r="C196" s="23" t="s">
        <v>447</v>
      </c>
      <c r="D196" s="24"/>
      <c r="E196" s="10"/>
      <c r="F196" s="26">
        <f>Source!AN91</f>
        <v>20.399999999999999</v>
      </c>
      <c r="G196" s="25" t="str">
        <f>Source!DF91</f>
        <v/>
      </c>
      <c r="H196" s="10">
        <f>Source!AV91</f>
        <v>1</v>
      </c>
      <c r="I196" s="27">
        <f>ROUND((ROUND((Source!AE91*Source!AV91*Source!I91),2)),2)</f>
        <v>897.6</v>
      </c>
      <c r="J196" s="10">
        <f>IF(Source!BS91&lt;&gt; 0, Source!BS91, 1)</f>
        <v>23.94</v>
      </c>
      <c r="K196" s="27">
        <f>Source!R91</f>
        <v>21488.54</v>
      </c>
      <c r="W196">
        <f>I196</f>
        <v>897.6</v>
      </c>
    </row>
    <row r="197" spans="1:27" ht="14.25" x14ac:dyDescent="0.2">
      <c r="A197" s="22"/>
      <c r="B197" s="23"/>
      <c r="C197" s="23" t="s">
        <v>454</v>
      </c>
      <c r="D197" s="24"/>
      <c r="E197" s="10"/>
      <c r="F197" s="26">
        <f>Source!AL91</f>
        <v>1.0900000000000001</v>
      </c>
      <c r="G197" s="25" t="str">
        <f>Source!DD91</f>
        <v/>
      </c>
      <c r="H197" s="10">
        <f>Source!AW91</f>
        <v>1</v>
      </c>
      <c r="I197" s="26">
        <f>ROUND((ROUND((Source!AC91*Source!AW91*Source!I91),2)),2)</f>
        <v>47.96</v>
      </c>
      <c r="J197" s="10">
        <f>IF(Source!BC91&lt;&gt; 0, Source!BC91, 1)</f>
        <v>5.48</v>
      </c>
      <c r="K197" s="26">
        <f>Source!P91</f>
        <v>262.82</v>
      </c>
    </row>
    <row r="198" spans="1:27" ht="57" x14ac:dyDescent="0.2">
      <c r="A198" s="22" t="str">
        <f>Source!E92</f>
        <v>17,1</v>
      </c>
      <c r="B198" s="23" t="str">
        <f>Source!F92</f>
        <v>П. 31 Конъюнктурного анализа</v>
      </c>
      <c r="C198" s="23" t="s">
        <v>230</v>
      </c>
      <c r="D198" s="24" t="str">
        <f>Source!H92</f>
        <v>шт.</v>
      </c>
      <c r="E198" s="10">
        <f>Source!I92</f>
        <v>5</v>
      </c>
      <c r="F198" s="26">
        <f>Source!AK92</f>
        <v>3918.05</v>
      </c>
      <c r="G198" s="30" t="s">
        <v>3</v>
      </c>
      <c r="H198" s="10">
        <f>Source!AW92</f>
        <v>1</v>
      </c>
      <c r="I198" s="26">
        <f>ROUND((ROUND((Source!AC92*Source!AW92*Source!I92),2)),2)+(ROUND((ROUND(((Source!ET92)*Source!AV92*Source!I92),2)),2)+ROUND((ROUND(((Source!AE92-(Source!EU92))*Source!AV92*Source!I92),2)),2))+ROUND((ROUND((Source!AF92*Source!AV92*Source!I92),2)),2)</f>
        <v>19590.25</v>
      </c>
      <c r="J198" s="10">
        <f>IF(Source!BC92&lt;&gt; 0, Source!BC92, 1)</f>
        <v>5.43</v>
      </c>
      <c r="K198" s="26">
        <f>Source!O92</f>
        <v>106375.06</v>
      </c>
      <c r="Q198">
        <f>ROUND((Source!DN92/100)*ROUND((ROUND((Source!AF92*Source!AV92*Source!I92),2)),2), 2)</f>
        <v>0</v>
      </c>
      <c r="R198">
        <f>Source!X92</f>
        <v>0</v>
      </c>
      <c r="S198">
        <f>ROUND((Source!DO92/100)*ROUND((ROUND((Source!AF92*Source!AV92*Source!I92),2)),2), 2)</f>
        <v>0</v>
      </c>
      <c r="T198">
        <f>Source!Y92</f>
        <v>0</v>
      </c>
      <c r="U198">
        <f>ROUND((175/100)*ROUND((ROUND((Source!AE92*Source!AV92*Source!I92),2)),2), 2)</f>
        <v>0</v>
      </c>
      <c r="V198">
        <f>ROUND((157/100)*ROUND(ROUND((ROUND((Source!AE92*Source!AV92*Source!I92),2)*Source!BS92),2), 2), 2)</f>
        <v>0</v>
      </c>
      <c r="X198">
        <f>IF(Source!BI92&lt;=1,I198, 0)</f>
        <v>0</v>
      </c>
      <c r="Y198">
        <f>IF(Source!BI92=2,I198, 0)</f>
        <v>19590.25</v>
      </c>
      <c r="Z198">
        <f>IF(Source!BI92=3,I198, 0)</f>
        <v>0</v>
      </c>
      <c r="AA198">
        <f>IF(Source!BI92=4,I198, 0)</f>
        <v>0</v>
      </c>
    </row>
    <row r="199" spans="1:27" ht="57" x14ac:dyDescent="0.2">
      <c r="A199" s="22" t="str">
        <f>Source!E93</f>
        <v>17,2</v>
      </c>
      <c r="B199" s="23" t="str">
        <f>Source!F93</f>
        <v>П. 32 Конъюнктурного анализа</v>
      </c>
      <c r="C199" s="23" t="s">
        <v>234</v>
      </c>
      <c r="D199" s="24" t="str">
        <f>Source!H93</f>
        <v>шт.</v>
      </c>
      <c r="E199" s="10">
        <f>Source!I93</f>
        <v>23</v>
      </c>
      <c r="F199" s="26">
        <f>Source!AK93</f>
        <v>3908.84</v>
      </c>
      <c r="G199" s="30" t="s">
        <v>3</v>
      </c>
      <c r="H199" s="10">
        <f>Source!AW93</f>
        <v>1</v>
      </c>
      <c r="I199" s="26">
        <f>ROUND((ROUND((Source!AC93*Source!AW93*Source!I93),2)),2)+(ROUND((ROUND(((Source!ET93)*Source!AV93*Source!I93),2)),2)+ROUND((ROUND(((Source!AE93-(Source!EU93))*Source!AV93*Source!I93),2)),2))+ROUND((ROUND((Source!AF93*Source!AV93*Source!I93),2)),2)</f>
        <v>89903.32</v>
      </c>
      <c r="J199" s="10">
        <f>IF(Source!BC93&lt;&gt; 0, Source!BC93, 1)</f>
        <v>5.43</v>
      </c>
      <c r="K199" s="26">
        <f>Source!O93</f>
        <v>488175.03</v>
      </c>
      <c r="Q199">
        <f>ROUND((Source!DN93/100)*ROUND((ROUND((Source!AF93*Source!AV93*Source!I93),2)),2), 2)</f>
        <v>0</v>
      </c>
      <c r="R199">
        <f>Source!X93</f>
        <v>0</v>
      </c>
      <c r="S199">
        <f>ROUND((Source!DO93/100)*ROUND((ROUND((Source!AF93*Source!AV93*Source!I93),2)),2), 2)</f>
        <v>0</v>
      </c>
      <c r="T199">
        <f>Source!Y93</f>
        <v>0</v>
      </c>
      <c r="U199">
        <f>ROUND((175/100)*ROUND((ROUND((Source!AE93*Source!AV93*Source!I93),2)),2), 2)</f>
        <v>0</v>
      </c>
      <c r="V199">
        <f>ROUND((157/100)*ROUND(ROUND((ROUND((Source!AE93*Source!AV93*Source!I93),2)*Source!BS93),2), 2), 2)</f>
        <v>0</v>
      </c>
      <c r="X199">
        <f>IF(Source!BI93&lt;=1,I199, 0)</f>
        <v>0</v>
      </c>
      <c r="Y199">
        <f>IF(Source!BI93=2,I199, 0)</f>
        <v>89903.32</v>
      </c>
      <c r="Z199">
        <f>IF(Source!BI93=3,I199, 0)</f>
        <v>0</v>
      </c>
      <c r="AA199">
        <f>IF(Source!BI93=4,I199, 0)</f>
        <v>0</v>
      </c>
    </row>
    <row r="200" spans="1:27" ht="57" x14ac:dyDescent="0.2">
      <c r="A200" s="22" t="str">
        <f>Source!E94</f>
        <v>17,3</v>
      </c>
      <c r="B200" s="23" t="str">
        <f>Source!F94</f>
        <v>П. 33 Конъюнктурного анализа</v>
      </c>
      <c r="C200" s="23" t="s">
        <v>238</v>
      </c>
      <c r="D200" s="24" t="str">
        <f>Source!H94</f>
        <v>шт.</v>
      </c>
      <c r="E200" s="10">
        <f>Source!I94</f>
        <v>16</v>
      </c>
      <c r="F200" s="26">
        <f>Source!AK94</f>
        <v>805.71</v>
      </c>
      <c r="G200" s="30" t="s">
        <v>3</v>
      </c>
      <c r="H200" s="10">
        <f>Source!AW94</f>
        <v>1</v>
      </c>
      <c r="I200" s="26">
        <f>ROUND((ROUND((Source!AC94*Source!AW94*Source!I94),2)),2)+(ROUND((ROUND(((Source!ET94)*Source!AV94*Source!I94),2)),2)+ROUND((ROUND(((Source!AE94-(Source!EU94))*Source!AV94*Source!I94),2)),2))+ROUND((ROUND((Source!AF94*Source!AV94*Source!I94),2)),2)</f>
        <v>12891.36</v>
      </c>
      <c r="J200" s="10">
        <f>IF(Source!BC94&lt;&gt; 0, Source!BC94, 1)</f>
        <v>5.43</v>
      </c>
      <c r="K200" s="26">
        <f>Source!O94</f>
        <v>70000.08</v>
      </c>
      <c r="Q200">
        <f>ROUND((Source!DN94/100)*ROUND((ROUND((Source!AF94*Source!AV94*Source!I94),2)),2), 2)</f>
        <v>0</v>
      </c>
      <c r="R200">
        <f>Source!X94</f>
        <v>0</v>
      </c>
      <c r="S200">
        <f>ROUND((Source!DO94/100)*ROUND((ROUND((Source!AF94*Source!AV94*Source!I94),2)),2), 2)</f>
        <v>0</v>
      </c>
      <c r="T200">
        <f>Source!Y94</f>
        <v>0</v>
      </c>
      <c r="U200">
        <f>ROUND((175/100)*ROUND((ROUND((Source!AE94*Source!AV94*Source!I94),2)),2), 2)</f>
        <v>0</v>
      </c>
      <c r="V200">
        <f>ROUND((157/100)*ROUND(ROUND((ROUND((Source!AE94*Source!AV94*Source!I94),2)*Source!BS94),2), 2), 2)</f>
        <v>0</v>
      </c>
      <c r="X200">
        <f>IF(Source!BI94&lt;=1,I200, 0)</f>
        <v>0</v>
      </c>
      <c r="Y200">
        <f>IF(Source!BI94=2,I200, 0)</f>
        <v>12891.36</v>
      </c>
      <c r="Z200">
        <f>IF(Source!BI94=3,I200, 0)</f>
        <v>0</v>
      </c>
      <c r="AA200">
        <f>IF(Source!BI94=4,I200, 0)</f>
        <v>0</v>
      </c>
    </row>
    <row r="201" spans="1:27" ht="14.25" x14ac:dyDescent="0.2">
      <c r="A201" s="22"/>
      <c r="B201" s="23"/>
      <c r="C201" s="23" t="s">
        <v>448</v>
      </c>
      <c r="D201" s="24" t="s">
        <v>449</v>
      </c>
      <c r="E201" s="10">
        <f>Source!DN91</f>
        <v>112</v>
      </c>
      <c r="F201" s="26"/>
      <c r="G201" s="25"/>
      <c r="H201" s="10"/>
      <c r="I201" s="26">
        <f>SUM(Q193:Q200)</f>
        <v>5536.12</v>
      </c>
      <c r="J201" s="10">
        <f>Source!BZ91</f>
        <v>90</v>
      </c>
      <c r="K201" s="26">
        <f>SUM(R193:R200)</f>
        <v>106501.01</v>
      </c>
    </row>
    <row r="202" spans="1:27" ht="14.25" x14ac:dyDescent="0.2">
      <c r="A202" s="22"/>
      <c r="B202" s="23"/>
      <c r="C202" s="23" t="s">
        <v>450</v>
      </c>
      <c r="D202" s="24" t="s">
        <v>449</v>
      </c>
      <c r="E202" s="10">
        <f>Source!DO91</f>
        <v>70</v>
      </c>
      <c r="F202" s="26"/>
      <c r="G202" s="25"/>
      <c r="H202" s="10"/>
      <c r="I202" s="26">
        <f>SUM(S193:S201)</f>
        <v>3460.07</v>
      </c>
      <c r="J202" s="10">
        <f>Source!CA91</f>
        <v>43</v>
      </c>
      <c r="K202" s="26">
        <f>SUM(T193:T201)</f>
        <v>50883.82</v>
      </c>
    </row>
    <row r="203" spans="1:27" ht="14.25" x14ac:dyDescent="0.2">
      <c r="A203" s="22"/>
      <c r="B203" s="23"/>
      <c r="C203" s="23" t="s">
        <v>451</v>
      </c>
      <c r="D203" s="24" t="s">
        <v>449</v>
      </c>
      <c r="E203" s="10">
        <f>175</f>
        <v>175</v>
      </c>
      <c r="F203" s="26"/>
      <c r="G203" s="25"/>
      <c r="H203" s="10"/>
      <c r="I203" s="26">
        <f>SUM(U193:U202)</f>
        <v>1570.8</v>
      </c>
      <c r="J203" s="10">
        <f>157</f>
        <v>157</v>
      </c>
      <c r="K203" s="26">
        <f>SUM(V193:V202)</f>
        <v>33737.01</v>
      </c>
    </row>
    <row r="204" spans="1:27" ht="14.25" x14ac:dyDescent="0.2">
      <c r="A204" s="22"/>
      <c r="B204" s="23"/>
      <c r="C204" s="23" t="s">
        <v>452</v>
      </c>
      <c r="D204" s="24" t="s">
        <v>453</v>
      </c>
      <c r="E204" s="10">
        <f>Source!AQ91</f>
        <v>9.44</v>
      </c>
      <c r="F204" s="26"/>
      <c r="G204" s="25" t="str">
        <f>Source!DI91</f>
        <v/>
      </c>
      <c r="H204" s="10">
        <f>Source!AV91</f>
        <v>1</v>
      </c>
      <c r="I204" s="26">
        <f>Source!U91</f>
        <v>415.35999999999996</v>
      </c>
      <c r="J204" s="10"/>
      <c r="K204" s="26"/>
    </row>
    <row r="205" spans="1:27" ht="15" x14ac:dyDescent="0.25">
      <c r="A205" s="29"/>
      <c r="B205" s="29"/>
      <c r="C205" s="29"/>
      <c r="D205" s="29"/>
      <c r="E205" s="29"/>
      <c r="F205" s="29"/>
      <c r="G205" s="29"/>
      <c r="H205" s="58">
        <f>I194+I195+I197+I201+I202+I203+SUM(I198:I200)</f>
        <v>140003.80000000002</v>
      </c>
      <c r="I205" s="58"/>
      <c r="J205" s="58">
        <f>K194+K195+K197+K201+K202+K203+SUM(K198:K200)</f>
        <v>1001886.1500000001</v>
      </c>
      <c r="K205" s="58"/>
      <c r="O205" s="28">
        <f>I194+I195+I197+I201+I202+I203+SUM(I198:I200)</f>
        <v>140003.80000000002</v>
      </c>
      <c r="P205" s="28">
        <f>K194+K195+K197+K201+K202+K203+SUM(K198:K200)</f>
        <v>1001886.1500000001</v>
      </c>
      <c r="X205">
        <f>IF(Source!BI91&lt;=1,I194+I195+I197+I201+I202+I203-0, 0)</f>
        <v>0</v>
      </c>
      <c r="Y205">
        <f>IF(Source!BI91=2,I194+I195+I197+I201+I202+I203-0, 0)</f>
        <v>17618.87</v>
      </c>
      <c r="Z205">
        <f>IF(Source!BI91=3,I194+I195+I197+I201+I202+I203-0, 0)</f>
        <v>0</v>
      </c>
      <c r="AA205">
        <f>IF(Source!BI91=4,I194+I195+I197+I201+I202+I203,0)</f>
        <v>0</v>
      </c>
    </row>
    <row r="207" spans="1:27" ht="15" x14ac:dyDescent="0.25">
      <c r="A207" s="65" t="str">
        <f>CONCATENATE("Итого по разделу: ",IF(Source!G96&lt;&gt;"Новый раздел", Source!G96, ""))</f>
        <v>Итого по разделу: Монтаж опор и приборов освещения.</v>
      </c>
      <c r="B207" s="65"/>
      <c r="C207" s="65"/>
      <c r="D207" s="65"/>
      <c r="E207" s="65"/>
      <c r="F207" s="65"/>
      <c r="G207" s="65"/>
      <c r="H207" s="63">
        <f>SUM(O151:O206)</f>
        <v>392423.19</v>
      </c>
      <c r="I207" s="64"/>
      <c r="J207" s="63">
        <f>SUM(P151:P206)</f>
        <v>2901216.17</v>
      </c>
      <c r="K207" s="64"/>
    </row>
    <row r="208" spans="1:27" hidden="1" x14ac:dyDescent="0.2">
      <c r="A208" t="s">
        <v>455</v>
      </c>
      <c r="I208">
        <f>SUM(AC151:AC207)</f>
        <v>0</v>
      </c>
      <c r="J208">
        <f>SUM(AD151:AD207)</f>
        <v>0</v>
      </c>
    </row>
    <row r="209" spans="1:27" hidden="1" x14ac:dyDescent="0.2">
      <c r="A209" t="s">
        <v>456</v>
      </c>
      <c r="I209">
        <f>SUM(AE151:AE208)</f>
        <v>0</v>
      </c>
      <c r="J209">
        <f>SUM(AF151:AF208)</f>
        <v>0</v>
      </c>
    </row>
    <row r="211" spans="1:27" ht="16.5" x14ac:dyDescent="0.25">
      <c r="A211" s="62" t="str">
        <f>CONCATENATE("Раздел: ",IF(Source!G126&lt;&gt;"Новый раздел", Source!G126, ""))</f>
        <v>Раздел: Щиты освещения.</v>
      </c>
      <c r="B211" s="62"/>
      <c r="C211" s="62"/>
      <c r="D211" s="62"/>
      <c r="E211" s="62"/>
      <c r="F211" s="62"/>
      <c r="G211" s="62"/>
      <c r="H211" s="62"/>
      <c r="I211" s="62"/>
      <c r="J211" s="62"/>
      <c r="K211" s="62"/>
    </row>
    <row r="212" spans="1:27" ht="42.75" x14ac:dyDescent="0.2">
      <c r="A212" s="22" t="str">
        <f>Source!E130</f>
        <v>18</v>
      </c>
      <c r="B212" s="23" t="str">
        <f>Source!F130</f>
        <v>4.8-240-4</v>
      </c>
      <c r="C212" s="23" t="s">
        <v>243</v>
      </c>
      <c r="D212" s="24" t="str">
        <f>Source!H130</f>
        <v>1  ШТ.</v>
      </c>
      <c r="E212" s="10">
        <f>Source!I130</f>
        <v>1</v>
      </c>
      <c r="F212" s="26"/>
      <c r="G212" s="25"/>
      <c r="H212" s="10"/>
      <c r="I212" s="26"/>
      <c r="J212" s="10"/>
      <c r="K212" s="26"/>
      <c r="Q212">
        <f>ROUND((Source!DN130/100)*ROUND((ROUND((Source!AF130*Source!AV130*Source!I130),2)),2), 2)</f>
        <v>29.99</v>
      </c>
      <c r="R212">
        <f>Source!X130</f>
        <v>577</v>
      </c>
      <c r="S212">
        <f>ROUND((Source!DO130/100)*ROUND((ROUND((Source!AF130*Source!AV130*Source!I130),2)),2), 2)</f>
        <v>18.75</v>
      </c>
      <c r="T212">
        <f>Source!Y130</f>
        <v>275.68</v>
      </c>
      <c r="U212">
        <f>ROUND((175/100)*ROUND((ROUND((Source!AE130*Source!AV130*Source!I130),2)),2), 2)</f>
        <v>17.329999999999998</v>
      </c>
      <c r="V212">
        <f>ROUND((157/100)*ROUND(ROUND((ROUND((Source!AE130*Source!AV130*Source!I130),2)*Source!BS130),2), 2), 2)</f>
        <v>372.11</v>
      </c>
    </row>
    <row r="213" spans="1:27" ht="14.25" x14ac:dyDescent="0.2">
      <c r="A213" s="22"/>
      <c r="B213" s="23"/>
      <c r="C213" s="23" t="s">
        <v>445</v>
      </c>
      <c r="D213" s="24"/>
      <c r="E213" s="10"/>
      <c r="F213" s="26">
        <f>Source!AO130</f>
        <v>26.78</v>
      </c>
      <c r="G213" s="25" t="str">
        <f>Source!DG130</f>
        <v/>
      </c>
      <c r="H213" s="10">
        <f>Source!AV130</f>
        <v>1</v>
      </c>
      <c r="I213" s="26">
        <f>ROUND((ROUND((Source!AF130*Source!AV130*Source!I130),2)),2)</f>
        <v>26.78</v>
      </c>
      <c r="J213" s="10">
        <f>IF(Source!BA130&lt;&gt; 0, Source!BA130, 1)</f>
        <v>23.94</v>
      </c>
      <c r="K213" s="26">
        <f>Source!S130</f>
        <v>641.11</v>
      </c>
      <c r="W213">
        <f>I213</f>
        <v>26.78</v>
      </c>
    </row>
    <row r="214" spans="1:27" ht="14.25" x14ac:dyDescent="0.2">
      <c r="A214" s="22"/>
      <c r="B214" s="23"/>
      <c r="C214" s="23" t="s">
        <v>446</v>
      </c>
      <c r="D214" s="24"/>
      <c r="E214" s="10"/>
      <c r="F214" s="26">
        <f>Source!AM130</f>
        <v>63.58</v>
      </c>
      <c r="G214" s="25" t="str">
        <f>Source!DE130</f>
        <v/>
      </c>
      <c r="H214" s="10">
        <f>Source!AV130</f>
        <v>1</v>
      </c>
      <c r="I214" s="26">
        <f>(ROUND((ROUND(((Source!ET130)*Source!AV130*Source!I130),2)),2)+ROUND((ROUND(((Source!AE130-(Source!EU130))*Source!AV130*Source!I130),2)),2))</f>
        <v>63.58</v>
      </c>
      <c r="J214" s="10">
        <f>IF(Source!BB130&lt;&gt; 0, Source!BB130, 1)</f>
        <v>8.18</v>
      </c>
      <c r="K214" s="26">
        <f>Source!Q130</f>
        <v>520.08000000000004</v>
      </c>
    </row>
    <row r="215" spans="1:27" ht="14.25" x14ac:dyDescent="0.2">
      <c r="A215" s="22"/>
      <c r="B215" s="23"/>
      <c r="C215" s="23" t="s">
        <v>447</v>
      </c>
      <c r="D215" s="24"/>
      <c r="E215" s="10"/>
      <c r="F215" s="26">
        <f>Source!AN130</f>
        <v>9.9</v>
      </c>
      <c r="G215" s="25" t="str">
        <f>Source!DF130</f>
        <v/>
      </c>
      <c r="H215" s="10">
        <f>Source!AV130</f>
        <v>1</v>
      </c>
      <c r="I215" s="27">
        <f>ROUND((ROUND((Source!AE130*Source!AV130*Source!I130),2)),2)</f>
        <v>9.9</v>
      </c>
      <c r="J215" s="10">
        <f>IF(Source!BS130&lt;&gt; 0, Source!BS130, 1)</f>
        <v>23.94</v>
      </c>
      <c r="K215" s="27">
        <f>Source!R130</f>
        <v>237.01</v>
      </c>
      <c r="W215">
        <f>I215</f>
        <v>9.9</v>
      </c>
    </row>
    <row r="216" spans="1:27" ht="14.25" x14ac:dyDescent="0.2">
      <c r="A216" s="22"/>
      <c r="B216" s="23"/>
      <c r="C216" s="23" t="s">
        <v>454</v>
      </c>
      <c r="D216" s="24"/>
      <c r="E216" s="10"/>
      <c r="F216" s="26">
        <f>Source!AL130</f>
        <v>9.17</v>
      </c>
      <c r="G216" s="25" t="str">
        <f>Source!DD130</f>
        <v/>
      </c>
      <c r="H216" s="10">
        <f>Source!AW130</f>
        <v>1</v>
      </c>
      <c r="I216" s="26">
        <f>ROUND((ROUND((Source!AC130*Source!AW130*Source!I130),2)),2)</f>
        <v>9.17</v>
      </c>
      <c r="J216" s="10">
        <f>IF(Source!BC130&lt;&gt; 0, Source!BC130, 1)</f>
        <v>5.48</v>
      </c>
      <c r="K216" s="26">
        <f>Source!P130</f>
        <v>50.25</v>
      </c>
    </row>
    <row r="217" spans="1:27" ht="85.5" x14ac:dyDescent="0.2">
      <c r="A217" s="22" t="str">
        <f>Source!E131</f>
        <v>18,1</v>
      </c>
      <c r="B217" s="23" t="str">
        <f>Source!F131</f>
        <v>1.21-4-116</v>
      </c>
      <c r="C217" s="23" t="s">
        <v>247</v>
      </c>
      <c r="D217" s="24" t="str">
        <f>Source!H131</f>
        <v>КОМПЛЕКТ</v>
      </c>
      <c r="E217" s="10">
        <f>Source!I131</f>
        <v>1</v>
      </c>
      <c r="F217" s="26">
        <f>Source!AK131</f>
        <v>273.5</v>
      </c>
      <c r="G217" s="30" t="s">
        <v>3</v>
      </c>
      <c r="H217" s="10">
        <f>Source!AW131</f>
        <v>1</v>
      </c>
      <c r="I217" s="26">
        <f>ROUND((ROUND((Source!AC131*Source!AW131*Source!I131),2)),2)+(ROUND((ROUND(((Source!ET131)*Source!AV131*Source!I131),2)),2)+ROUND((ROUND(((Source!AE131-(Source!EU131))*Source!AV131*Source!I131),2)),2))+ROUND((ROUND((Source!AF131*Source!AV131*Source!I131),2)),2)</f>
        <v>273.5</v>
      </c>
      <c r="J217" s="10">
        <f>IF(Source!BC131&lt;&gt; 0, Source!BC131, 1)</f>
        <v>4.17</v>
      </c>
      <c r="K217" s="26">
        <f>Source!O131</f>
        <v>1140.5</v>
      </c>
      <c r="Q217">
        <f>ROUND((Source!DN131/100)*ROUND((ROUND((Source!AF131*Source!AV131*Source!I131),2)),2), 2)</f>
        <v>0</v>
      </c>
      <c r="R217">
        <f>Source!X131</f>
        <v>0</v>
      </c>
      <c r="S217">
        <f>ROUND((Source!DO131/100)*ROUND((ROUND((Source!AF131*Source!AV131*Source!I131),2)),2), 2)</f>
        <v>0</v>
      </c>
      <c r="T217">
        <f>Source!Y131</f>
        <v>0</v>
      </c>
      <c r="U217">
        <f>ROUND((175/100)*ROUND((ROUND((Source!AE131*Source!AV131*Source!I131),2)),2), 2)</f>
        <v>0</v>
      </c>
      <c r="V217">
        <f>ROUND((157/100)*ROUND(ROUND((ROUND((Source!AE131*Source!AV131*Source!I131),2)*Source!BS131),2), 2), 2)</f>
        <v>0</v>
      </c>
      <c r="X217">
        <f>IF(Source!BI131&lt;=1,I217, 0)</f>
        <v>0</v>
      </c>
      <c r="Y217">
        <f>IF(Source!BI131=2,I217, 0)</f>
        <v>273.5</v>
      </c>
      <c r="Z217">
        <f>IF(Source!BI131=3,I217, 0)</f>
        <v>0</v>
      </c>
      <c r="AA217">
        <f>IF(Source!BI131=4,I217, 0)</f>
        <v>0</v>
      </c>
    </row>
    <row r="218" spans="1:27" ht="14.25" x14ac:dyDescent="0.2">
      <c r="A218" s="22"/>
      <c r="B218" s="23"/>
      <c r="C218" s="23" t="s">
        <v>448</v>
      </c>
      <c r="D218" s="24" t="s">
        <v>449</v>
      </c>
      <c r="E218" s="10">
        <f>Source!DN130</f>
        <v>112</v>
      </c>
      <c r="F218" s="26"/>
      <c r="G218" s="25"/>
      <c r="H218" s="10"/>
      <c r="I218" s="26">
        <f>SUM(Q212:Q217)</f>
        <v>29.99</v>
      </c>
      <c r="J218" s="10">
        <f>Source!BZ130</f>
        <v>90</v>
      </c>
      <c r="K218" s="26">
        <f>SUM(R212:R217)</f>
        <v>577</v>
      </c>
    </row>
    <row r="219" spans="1:27" ht="14.25" x14ac:dyDescent="0.2">
      <c r="A219" s="22"/>
      <c r="B219" s="23"/>
      <c r="C219" s="23" t="s">
        <v>450</v>
      </c>
      <c r="D219" s="24" t="s">
        <v>449</v>
      </c>
      <c r="E219" s="10">
        <f>Source!DO130</f>
        <v>70</v>
      </c>
      <c r="F219" s="26"/>
      <c r="G219" s="25"/>
      <c r="H219" s="10"/>
      <c r="I219" s="26">
        <f>SUM(S212:S218)</f>
        <v>18.75</v>
      </c>
      <c r="J219" s="10">
        <f>Source!CA130</f>
        <v>43</v>
      </c>
      <c r="K219" s="26">
        <f>SUM(T212:T218)</f>
        <v>275.68</v>
      </c>
    </row>
    <row r="220" spans="1:27" ht="14.25" x14ac:dyDescent="0.2">
      <c r="A220" s="22"/>
      <c r="B220" s="23"/>
      <c r="C220" s="23" t="s">
        <v>451</v>
      </c>
      <c r="D220" s="24" t="s">
        <v>449</v>
      </c>
      <c r="E220" s="10">
        <f>175</f>
        <v>175</v>
      </c>
      <c r="F220" s="26"/>
      <c r="G220" s="25"/>
      <c r="H220" s="10"/>
      <c r="I220" s="26">
        <f>SUM(U212:U219)</f>
        <v>17.329999999999998</v>
      </c>
      <c r="J220" s="10">
        <f>157</f>
        <v>157</v>
      </c>
      <c r="K220" s="26">
        <f>SUM(V212:V219)</f>
        <v>372.11</v>
      </c>
    </row>
    <row r="221" spans="1:27" ht="14.25" x14ac:dyDescent="0.2">
      <c r="A221" s="22"/>
      <c r="B221" s="23"/>
      <c r="C221" s="23" t="s">
        <v>452</v>
      </c>
      <c r="D221" s="24" t="s">
        <v>453</v>
      </c>
      <c r="E221" s="10">
        <f>Source!AQ130</f>
        <v>2.06</v>
      </c>
      <c r="F221" s="26"/>
      <c r="G221" s="25" t="str">
        <f>Source!DI130</f>
        <v/>
      </c>
      <c r="H221" s="10">
        <f>Source!AV130</f>
        <v>1</v>
      </c>
      <c r="I221" s="26">
        <f>Source!U130</f>
        <v>2.06</v>
      </c>
      <c r="J221" s="10"/>
      <c r="K221" s="26"/>
    </row>
    <row r="222" spans="1:27" ht="15" x14ac:dyDescent="0.25">
      <c r="A222" s="29"/>
      <c r="B222" s="29"/>
      <c r="C222" s="29"/>
      <c r="D222" s="29"/>
      <c r="E222" s="29"/>
      <c r="F222" s="29"/>
      <c r="G222" s="29"/>
      <c r="H222" s="58">
        <f>I213+I214+I216+I218+I219+I220+SUM(I217:I217)</f>
        <v>439.1</v>
      </c>
      <c r="I222" s="58"/>
      <c r="J222" s="58">
        <f>K213+K214+K216+K218+K219+K220+SUM(K217:K217)</f>
        <v>3576.73</v>
      </c>
      <c r="K222" s="58"/>
      <c r="O222" s="28">
        <f>I213+I214+I216+I218+I219+I220+SUM(I217:I217)</f>
        <v>439.1</v>
      </c>
      <c r="P222" s="28">
        <f>K213+K214+K216+K218+K219+K220+SUM(K217:K217)</f>
        <v>3576.73</v>
      </c>
      <c r="X222">
        <f>IF(Source!BI130&lt;=1,I213+I214+I216+I218+I219+I220-0, 0)</f>
        <v>0</v>
      </c>
      <c r="Y222">
        <f>IF(Source!BI130=2,I213+I214+I216+I218+I219+I220-0, 0)</f>
        <v>165.60000000000002</v>
      </c>
      <c r="Z222">
        <f>IF(Source!BI130=3,I213+I214+I216+I218+I219+I220-0, 0)</f>
        <v>0</v>
      </c>
      <c r="AA222">
        <f>IF(Source!BI130=4,I213+I214+I216+I218+I219+I220,0)</f>
        <v>0</v>
      </c>
    </row>
    <row r="223" spans="1:27" ht="28.5" x14ac:dyDescent="0.2">
      <c r="A223" s="22" t="str">
        <f>Source!E132</f>
        <v>19</v>
      </c>
      <c r="B223" s="23" t="str">
        <f>Source!F132</f>
        <v>1.14-2-38</v>
      </c>
      <c r="C223" s="23" t="s">
        <v>252</v>
      </c>
      <c r="D223" s="24" t="str">
        <f>Source!H132</f>
        <v>шт.</v>
      </c>
      <c r="E223" s="10">
        <f>Source!I132</f>
        <v>2</v>
      </c>
      <c r="F223" s="26">
        <f>Source!AL132</f>
        <v>2.63</v>
      </c>
      <c r="G223" s="25" t="str">
        <f>Source!DD132</f>
        <v/>
      </c>
      <c r="H223" s="10">
        <f>Source!AW132</f>
        <v>1</v>
      </c>
      <c r="I223" s="26">
        <f>ROUND((ROUND((Source!AC132*Source!AW132*Source!I132),2)),2)</f>
        <v>5.26</v>
      </c>
      <c r="J223" s="10">
        <f>IF(Source!BC132&lt;&gt; 0, Source!BC132, 1)</f>
        <v>3.62</v>
      </c>
      <c r="K223" s="26">
        <f>Source!P132</f>
        <v>19.04</v>
      </c>
      <c r="Q223">
        <f>ROUND((Source!DN132/100)*ROUND((ROUND((Source!AF132*Source!AV132*Source!I132),2)),2), 2)</f>
        <v>0</v>
      </c>
      <c r="R223">
        <f>Source!X132</f>
        <v>0</v>
      </c>
      <c r="S223">
        <f>ROUND((Source!DO132/100)*ROUND((ROUND((Source!AF132*Source!AV132*Source!I132),2)),2), 2)</f>
        <v>0</v>
      </c>
      <c r="T223">
        <f>Source!Y132</f>
        <v>0</v>
      </c>
      <c r="U223">
        <f>ROUND((175/100)*ROUND((ROUND((Source!AE132*Source!AV132*Source!I132),2)),2), 2)</f>
        <v>0</v>
      </c>
      <c r="V223">
        <f>ROUND((157/100)*ROUND(ROUND((ROUND((Source!AE132*Source!AV132*Source!I132),2)*Source!BS132),2), 2), 2)</f>
        <v>0</v>
      </c>
    </row>
    <row r="224" spans="1:27" ht="15" x14ac:dyDescent="0.25">
      <c r="A224" s="29"/>
      <c r="B224" s="29"/>
      <c r="C224" s="29"/>
      <c r="D224" s="29"/>
      <c r="E224" s="29"/>
      <c r="F224" s="29"/>
      <c r="G224" s="29"/>
      <c r="H224" s="58">
        <f>I223</f>
        <v>5.26</v>
      </c>
      <c r="I224" s="58"/>
      <c r="J224" s="58">
        <f>K223</f>
        <v>19.04</v>
      </c>
      <c r="K224" s="58"/>
      <c r="O224" s="28">
        <f>I223</f>
        <v>5.26</v>
      </c>
      <c r="P224" s="28">
        <f>K223</f>
        <v>19.04</v>
      </c>
      <c r="X224">
        <f>IF(Source!BI132&lt;=1,I223-0, 0)</f>
        <v>0</v>
      </c>
      <c r="Y224">
        <f>IF(Source!BI132=2,I223-0, 0)</f>
        <v>5.26</v>
      </c>
      <c r="Z224">
        <f>IF(Source!BI132=3,I223-0, 0)</f>
        <v>0</v>
      </c>
      <c r="AA224">
        <f>IF(Source!BI132=4,I223,0)</f>
        <v>0</v>
      </c>
    </row>
    <row r="225" spans="1:27" ht="85.5" x14ac:dyDescent="0.2">
      <c r="A225" s="22" t="str">
        <f>Source!E133</f>
        <v>20</v>
      </c>
      <c r="B225" s="23" t="s">
        <v>457</v>
      </c>
      <c r="C225" s="23" t="s">
        <v>256</v>
      </c>
      <c r="D225" s="24" t="str">
        <f>Source!H133</f>
        <v>1  ШТ.</v>
      </c>
      <c r="E225" s="10">
        <f>Source!I133</f>
        <v>13</v>
      </c>
      <c r="F225" s="26"/>
      <c r="G225" s="25"/>
      <c r="H225" s="10"/>
      <c r="I225" s="26"/>
      <c r="J225" s="10"/>
      <c r="K225" s="26"/>
      <c r="Q225">
        <f>ROUND((Source!DN133/100)*ROUND((ROUND((Source!AF133*Source!AV133*Source!I133),2)),2), 2)</f>
        <v>194.96</v>
      </c>
      <c r="R225">
        <f>Source!X133</f>
        <v>3750.52</v>
      </c>
      <c r="S225">
        <f>ROUND((Source!DO133/100)*ROUND((ROUND((Source!AF133*Source!AV133*Source!I133),2)),2), 2)</f>
        <v>121.85</v>
      </c>
      <c r="T225">
        <f>Source!Y133</f>
        <v>1791.91</v>
      </c>
      <c r="U225">
        <f>ROUND((175/100)*ROUND((ROUND((Source!AE133*Source!AV133*Source!I133),2)),2), 2)</f>
        <v>5.92</v>
      </c>
      <c r="V225">
        <f>ROUND((157/100)*ROUND(ROUND((ROUND((Source!AE133*Source!AV133*Source!I133),2)*Source!BS133),2), 2), 2)</f>
        <v>127.04</v>
      </c>
    </row>
    <row r="226" spans="1:27" ht="14.25" x14ac:dyDescent="0.2">
      <c r="A226" s="22"/>
      <c r="B226" s="23"/>
      <c r="C226" s="23" t="s">
        <v>445</v>
      </c>
      <c r="D226" s="24"/>
      <c r="E226" s="10"/>
      <c r="F226" s="26">
        <f>Source!AO133</f>
        <v>16.739999999999998</v>
      </c>
      <c r="G226" s="25" t="str">
        <f>Source!DG133</f>
        <v>)*0,8</v>
      </c>
      <c r="H226" s="10">
        <f>Source!AV133</f>
        <v>1</v>
      </c>
      <c r="I226" s="26">
        <f>ROUND((ROUND((Source!AF133*Source!AV133*Source!I133),2)),2)</f>
        <v>174.07</v>
      </c>
      <c r="J226" s="10">
        <f>IF(Source!BA133&lt;&gt; 0, Source!BA133, 1)</f>
        <v>23.94</v>
      </c>
      <c r="K226" s="26">
        <f>Source!S133</f>
        <v>4167.24</v>
      </c>
      <c r="W226">
        <f>I226</f>
        <v>174.07</v>
      </c>
    </row>
    <row r="227" spans="1:27" ht="14.25" x14ac:dyDescent="0.2">
      <c r="A227" s="22"/>
      <c r="B227" s="23"/>
      <c r="C227" s="23" t="s">
        <v>446</v>
      </c>
      <c r="D227" s="24"/>
      <c r="E227" s="10"/>
      <c r="F227" s="26">
        <f>Source!AM133</f>
        <v>4.93</v>
      </c>
      <c r="G227" s="25" t="str">
        <f>Source!DE133</f>
        <v>)*0,8</v>
      </c>
      <c r="H227" s="10">
        <f>Source!AV133</f>
        <v>1</v>
      </c>
      <c r="I227" s="26">
        <f>(ROUND((ROUND((((Source!ET133*0.8))*Source!AV133*Source!I133),2)),2)+ROUND((ROUND(((Source!AE133-((Source!EU133*0.8)))*Source!AV133*Source!I133),2)),2))</f>
        <v>51.220000000000006</v>
      </c>
      <c r="J227" s="10">
        <f>IF(Source!BB133&lt;&gt; 0, Source!BB133, 1)</f>
        <v>6.52</v>
      </c>
      <c r="K227" s="26">
        <f>Source!Q133</f>
        <v>333.08</v>
      </c>
    </row>
    <row r="228" spans="1:27" ht="14.25" x14ac:dyDescent="0.2">
      <c r="A228" s="22"/>
      <c r="B228" s="23"/>
      <c r="C228" s="23" t="s">
        <v>447</v>
      </c>
      <c r="D228" s="24"/>
      <c r="E228" s="10"/>
      <c r="F228" s="26">
        <f>Source!AN133</f>
        <v>0.33</v>
      </c>
      <c r="G228" s="25" t="str">
        <f>Source!DF133</f>
        <v>)*0,8</v>
      </c>
      <c r="H228" s="10">
        <f>Source!AV133</f>
        <v>1</v>
      </c>
      <c r="I228" s="27">
        <f>ROUND((ROUND((Source!AE133*Source!AV133*Source!I133),2)),2)</f>
        <v>3.38</v>
      </c>
      <c r="J228" s="10">
        <f>IF(Source!BS133&lt;&gt; 0, Source!BS133, 1)</f>
        <v>23.94</v>
      </c>
      <c r="K228" s="27">
        <f>Source!R133</f>
        <v>80.92</v>
      </c>
      <c r="W228">
        <f>I228</f>
        <v>3.38</v>
      </c>
    </row>
    <row r="229" spans="1:27" ht="14.25" x14ac:dyDescent="0.2">
      <c r="A229" s="22"/>
      <c r="B229" s="23"/>
      <c r="C229" s="23" t="s">
        <v>454</v>
      </c>
      <c r="D229" s="24"/>
      <c r="E229" s="10"/>
      <c r="F229" s="26">
        <f>Source!AL133</f>
        <v>15.47</v>
      </c>
      <c r="G229" s="25" t="str">
        <f>Source!DD133</f>
        <v/>
      </c>
      <c r="H229" s="10">
        <f>Source!AW133</f>
        <v>1</v>
      </c>
      <c r="I229" s="26">
        <f>ROUND((ROUND((Source!AC133*Source!AW133*Source!I133),2)),2)</f>
        <v>201.11</v>
      </c>
      <c r="J229" s="10">
        <f>IF(Source!BC133&lt;&gt; 0, Source!BC133, 1)</f>
        <v>5.48</v>
      </c>
      <c r="K229" s="26">
        <f>Source!P133</f>
        <v>1102.08</v>
      </c>
    </row>
    <row r="230" spans="1:27" ht="28.5" x14ac:dyDescent="0.2">
      <c r="A230" s="22" t="str">
        <f>Source!E134</f>
        <v>20,1</v>
      </c>
      <c r="B230" s="23" t="str">
        <f>Source!F134</f>
        <v>1.21-5-1041</v>
      </c>
      <c r="C230" s="23" t="s">
        <v>263</v>
      </c>
      <c r="D230" s="24" t="str">
        <f>Source!H134</f>
        <v>шт.</v>
      </c>
      <c r="E230" s="10">
        <f>Source!I134</f>
        <v>1</v>
      </c>
      <c r="F230" s="26">
        <f>Source!AK134</f>
        <v>295.54000000000002</v>
      </c>
      <c r="G230" s="30" t="s">
        <v>3</v>
      </c>
      <c r="H230" s="10">
        <f>Source!AW134</f>
        <v>1</v>
      </c>
      <c r="I230" s="26">
        <f>ROUND((ROUND((Source!AC134*Source!AW134*Source!I134),2)),2)+(ROUND((ROUND(((Source!ET134)*Source!AV134*Source!I134),2)),2)+ROUND((ROUND(((Source!AE134-(Source!EU134))*Source!AV134*Source!I134),2)),2))+ROUND((ROUND((Source!AF134*Source!AV134*Source!I134),2)),2)</f>
        <v>295.54000000000002</v>
      </c>
      <c r="J230" s="10">
        <f>IF(Source!BC134&lt;&gt; 0, Source!BC134, 1)</f>
        <v>3.91</v>
      </c>
      <c r="K230" s="26">
        <f>Source!O134</f>
        <v>1155.56</v>
      </c>
      <c r="Q230">
        <f>ROUND((Source!DN134/100)*ROUND((ROUND((Source!AF134*Source!AV134*Source!I134),2)),2), 2)</f>
        <v>0</v>
      </c>
      <c r="R230">
        <f>Source!X134</f>
        <v>0</v>
      </c>
      <c r="S230">
        <f>ROUND((Source!DO134/100)*ROUND((ROUND((Source!AF134*Source!AV134*Source!I134),2)),2), 2)</f>
        <v>0</v>
      </c>
      <c r="T230">
        <f>Source!Y134</f>
        <v>0</v>
      </c>
      <c r="U230">
        <f>ROUND((175/100)*ROUND((ROUND((Source!AE134*Source!AV134*Source!I134),2)),2), 2)</f>
        <v>0</v>
      </c>
      <c r="V230">
        <f>ROUND((157/100)*ROUND(ROUND((ROUND((Source!AE134*Source!AV134*Source!I134),2)*Source!BS134),2), 2), 2)</f>
        <v>0</v>
      </c>
      <c r="X230">
        <f>IF(Source!BI134&lt;=1,I230, 0)</f>
        <v>0</v>
      </c>
      <c r="Y230">
        <f>IF(Source!BI134=2,I230, 0)</f>
        <v>295.54000000000002</v>
      </c>
      <c r="Z230">
        <f>IF(Source!BI134=3,I230, 0)</f>
        <v>0</v>
      </c>
      <c r="AA230">
        <f>IF(Source!BI134=4,I230, 0)</f>
        <v>0</v>
      </c>
    </row>
    <row r="231" spans="1:27" ht="28.5" x14ac:dyDescent="0.2">
      <c r="A231" s="22" t="str">
        <f>Source!E135</f>
        <v>20,2</v>
      </c>
      <c r="B231" s="23" t="str">
        <f>Source!F135</f>
        <v>1.21-5-1040</v>
      </c>
      <c r="C231" s="23" t="s">
        <v>267</v>
      </c>
      <c r="D231" s="24" t="str">
        <f>Source!H135</f>
        <v>шт.</v>
      </c>
      <c r="E231" s="10">
        <f>Source!I135</f>
        <v>6</v>
      </c>
      <c r="F231" s="26">
        <f>Source!AK135</f>
        <v>256.89999999999998</v>
      </c>
      <c r="G231" s="30" t="s">
        <v>3</v>
      </c>
      <c r="H231" s="10">
        <f>Source!AW135</f>
        <v>1</v>
      </c>
      <c r="I231" s="26">
        <f>ROUND((ROUND((Source!AC135*Source!AW135*Source!I135),2)),2)+(ROUND((ROUND(((Source!ET135)*Source!AV135*Source!I135),2)),2)+ROUND((ROUND(((Source!AE135-(Source!EU135))*Source!AV135*Source!I135),2)),2))+ROUND((ROUND((Source!AF135*Source!AV135*Source!I135),2)),2)</f>
        <v>1541.4</v>
      </c>
      <c r="J231" s="10">
        <f>IF(Source!BC135&lt;&gt; 0, Source!BC135, 1)</f>
        <v>3.58</v>
      </c>
      <c r="K231" s="26">
        <f>Source!O135</f>
        <v>5518.21</v>
      </c>
      <c r="Q231">
        <f>ROUND((Source!DN135/100)*ROUND((ROUND((Source!AF135*Source!AV135*Source!I135),2)),2), 2)</f>
        <v>0</v>
      </c>
      <c r="R231">
        <f>Source!X135</f>
        <v>0</v>
      </c>
      <c r="S231">
        <f>ROUND((Source!DO135/100)*ROUND((ROUND((Source!AF135*Source!AV135*Source!I135),2)),2), 2)</f>
        <v>0</v>
      </c>
      <c r="T231">
        <f>Source!Y135</f>
        <v>0</v>
      </c>
      <c r="U231">
        <f>ROUND((175/100)*ROUND((ROUND((Source!AE135*Source!AV135*Source!I135),2)),2), 2)</f>
        <v>0</v>
      </c>
      <c r="V231">
        <f>ROUND((157/100)*ROUND(ROUND((ROUND((Source!AE135*Source!AV135*Source!I135),2)*Source!BS135),2), 2), 2)</f>
        <v>0</v>
      </c>
      <c r="X231">
        <f>IF(Source!BI135&lt;=1,I231, 0)</f>
        <v>0</v>
      </c>
      <c r="Y231">
        <f>IF(Source!BI135=2,I231, 0)</f>
        <v>1541.4</v>
      </c>
      <c r="Z231">
        <f>IF(Source!BI135=3,I231, 0)</f>
        <v>0</v>
      </c>
      <c r="AA231">
        <f>IF(Source!BI135=4,I231, 0)</f>
        <v>0</v>
      </c>
    </row>
    <row r="232" spans="1:27" ht="42.75" x14ac:dyDescent="0.2">
      <c r="A232" s="22" t="str">
        <f>Source!E136</f>
        <v>20,3</v>
      </c>
      <c r="B232" s="23" t="str">
        <f>Source!F136</f>
        <v>1.21-5-1037</v>
      </c>
      <c r="C232" s="23" t="s">
        <v>271</v>
      </c>
      <c r="D232" s="24" t="str">
        <f>Source!H136</f>
        <v>шт.</v>
      </c>
      <c r="E232" s="10">
        <f>Source!I136</f>
        <v>1</v>
      </c>
      <c r="F232" s="26">
        <f>Source!AK136</f>
        <v>77.010000000000005</v>
      </c>
      <c r="G232" s="30" t="s">
        <v>3</v>
      </c>
      <c r="H232" s="10">
        <f>Source!AW136</f>
        <v>1</v>
      </c>
      <c r="I232" s="26">
        <f>ROUND((ROUND((Source!AC136*Source!AW136*Source!I136),2)),2)+(ROUND((ROUND(((Source!ET136)*Source!AV136*Source!I136),2)),2)+ROUND((ROUND(((Source!AE136-(Source!EU136))*Source!AV136*Source!I136),2)),2))+ROUND((ROUND((Source!AF136*Source!AV136*Source!I136),2)),2)</f>
        <v>77.010000000000005</v>
      </c>
      <c r="J232" s="10">
        <f>IF(Source!BC136&lt;&gt; 0, Source!BC136, 1)</f>
        <v>3.65</v>
      </c>
      <c r="K232" s="26">
        <f>Source!O136</f>
        <v>281.08999999999997</v>
      </c>
      <c r="Q232">
        <f>ROUND((Source!DN136/100)*ROUND((ROUND((Source!AF136*Source!AV136*Source!I136),2)),2), 2)</f>
        <v>0</v>
      </c>
      <c r="R232">
        <f>Source!X136</f>
        <v>0</v>
      </c>
      <c r="S232">
        <f>ROUND((Source!DO136/100)*ROUND((ROUND((Source!AF136*Source!AV136*Source!I136),2)),2), 2)</f>
        <v>0</v>
      </c>
      <c r="T232">
        <f>Source!Y136</f>
        <v>0</v>
      </c>
      <c r="U232">
        <f>ROUND((175/100)*ROUND((ROUND((Source!AE136*Source!AV136*Source!I136),2)),2), 2)</f>
        <v>0</v>
      </c>
      <c r="V232">
        <f>ROUND((157/100)*ROUND(ROUND((ROUND((Source!AE136*Source!AV136*Source!I136),2)*Source!BS136),2), 2), 2)</f>
        <v>0</v>
      </c>
      <c r="X232">
        <f>IF(Source!BI136&lt;=1,I232, 0)</f>
        <v>0</v>
      </c>
      <c r="Y232">
        <f>IF(Source!BI136=2,I232, 0)</f>
        <v>77.010000000000005</v>
      </c>
      <c r="Z232">
        <f>IF(Source!BI136=3,I232, 0)</f>
        <v>0</v>
      </c>
      <c r="AA232">
        <f>IF(Source!BI136=4,I232, 0)</f>
        <v>0</v>
      </c>
    </row>
    <row r="233" spans="1:27" ht="42.75" x14ac:dyDescent="0.2">
      <c r="A233" s="22" t="str">
        <f>Source!E137</f>
        <v>20,4</v>
      </c>
      <c r="B233" s="23" t="str">
        <f>Source!F137</f>
        <v>1.21-5-1037</v>
      </c>
      <c r="C233" s="23" t="s">
        <v>274</v>
      </c>
      <c r="D233" s="24" t="str">
        <f>Source!H137</f>
        <v>шт.</v>
      </c>
      <c r="E233" s="10">
        <f>Source!I137</f>
        <v>4</v>
      </c>
      <c r="F233" s="26">
        <f>Source!AK137</f>
        <v>77.010000000000005</v>
      </c>
      <c r="G233" s="30" t="s">
        <v>3</v>
      </c>
      <c r="H233" s="10">
        <f>Source!AW137</f>
        <v>1</v>
      </c>
      <c r="I233" s="26">
        <f>ROUND((ROUND((Source!AC137*Source!AW137*Source!I137),2)),2)+(ROUND((ROUND(((Source!ET137)*Source!AV137*Source!I137),2)),2)+ROUND((ROUND(((Source!AE137-(Source!EU137))*Source!AV137*Source!I137),2)),2))+ROUND((ROUND((Source!AF137*Source!AV137*Source!I137),2)),2)</f>
        <v>308.04000000000002</v>
      </c>
      <c r="J233" s="10">
        <f>IF(Source!BC137&lt;&gt; 0, Source!BC137, 1)</f>
        <v>3.65</v>
      </c>
      <c r="K233" s="26">
        <f>Source!O137</f>
        <v>1124.3499999999999</v>
      </c>
      <c r="Q233">
        <f>ROUND((Source!DN137/100)*ROUND((ROUND((Source!AF137*Source!AV137*Source!I137),2)),2), 2)</f>
        <v>0</v>
      </c>
      <c r="R233">
        <f>Source!X137</f>
        <v>0</v>
      </c>
      <c r="S233">
        <f>ROUND((Source!DO137/100)*ROUND((ROUND((Source!AF137*Source!AV137*Source!I137),2)),2), 2)</f>
        <v>0</v>
      </c>
      <c r="T233">
        <f>Source!Y137</f>
        <v>0</v>
      </c>
      <c r="U233">
        <f>ROUND((175/100)*ROUND((ROUND((Source!AE137*Source!AV137*Source!I137),2)),2), 2)</f>
        <v>0</v>
      </c>
      <c r="V233">
        <f>ROUND((157/100)*ROUND(ROUND((ROUND((Source!AE137*Source!AV137*Source!I137),2)*Source!BS137),2), 2), 2)</f>
        <v>0</v>
      </c>
      <c r="X233">
        <f>IF(Source!BI137&lt;=1,I233, 0)</f>
        <v>0</v>
      </c>
      <c r="Y233">
        <f>IF(Source!BI137=2,I233, 0)</f>
        <v>308.04000000000002</v>
      </c>
      <c r="Z233">
        <f>IF(Source!BI137=3,I233, 0)</f>
        <v>0</v>
      </c>
      <c r="AA233">
        <f>IF(Source!BI137=4,I233, 0)</f>
        <v>0</v>
      </c>
    </row>
    <row r="234" spans="1:27" ht="57" x14ac:dyDescent="0.2">
      <c r="A234" s="22" t="str">
        <f>Source!E138</f>
        <v>20,5</v>
      </c>
      <c r="B234" s="23" t="str">
        <f>Source!F138</f>
        <v>П. 34 Конъюнктурного анализа</v>
      </c>
      <c r="C234" s="23" t="s">
        <v>277</v>
      </c>
      <c r="D234" s="24" t="str">
        <f>Source!H138</f>
        <v>шт.</v>
      </c>
      <c r="E234" s="10">
        <f>Source!I138</f>
        <v>1</v>
      </c>
      <c r="F234" s="26">
        <f>Source!AK138</f>
        <v>113.26</v>
      </c>
      <c r="G234" s="30" t="s">
        <v>3</v>
      </c>
      <c r="H234" s="10">
        <f>Source!AW138</f>
        <v>1</v>
      </c>
      <c r="I234" s="26">
        <f>ROUND((ROUND((Source!AC138*Source!AW138*Source!I138),2)),2)+(ROUND((ROUND(((Source!ET138)*Source!AV138*Source!I138),2)),2)+ROUND((ROUND(((Source!AE138-(Source!EU138))*Source!AV138*Source!I138),2)),2))+ROUND((ROUND((Source!AF138*Source!AV138*Source!I138),2)),2)</f>
        <v>113.26</v>
      </c>
      <c r="J234" s="10">
        <f>IF(Source!BC138&lt;&gt; 0, Source!BC138, 1)</f>
        <v>5.43</v>
      </c>
      <c r="K234" s="26">
        <f>Source!O138</f>
        <v>615</v>
      </c>
      <c r="Q234">
        <f>ROUND((Source!DN138/100)*ROUND((ROUND((Source!AF138*Source!AV138*Source!I138),2)),2), 2)</f>
        <v>0</v>
      </c>
      <c r="R234">
        <f>Source!X138</f>
        <v>0</v>
      </c>
      <c r="S234">
        <f>ROUND((Source!DO138/100)*ROUND((ROUND((Source!AF138*Source!AV138*Source!I138),2)),2), 2)</f>
        <v>0</v>
      </c>
      <c r="T234">
        <f>Source!Y138</f>
        <v>0</v>
      </c>
      <c r="U234">
        <f>ROUND((175/100)*ROUND((ROUND((Source!AE138*Source!AV138*Source!I138),2)),2), 2)</f>
        <v>0</v>
      </c>
      <c r="V234">
        <f>ROUND((157/100)*ROUND(ROUND((ROUND((Source!AE138*Source!AV138*Source!I138),2)*Source!BS138),2), 2), 2)</f>
        <v>0</v>
      </c>
      <c r="X234">
        <f>IF(Source!BI138&lt;=1,I234, 0)</f>
        <v>0</v>
      </c>
      <c r="Y234">
        <f>IF(Source!BI138=2,I234, 0)</f>
        <v>113.26</v>
      </c>
      <c r="Z234">
        <f>IF(Source!BI138=3,I234, 0)</f>
        <v>0</v>
      </c>
      <c r="AA234">
        <f>IF(Source!BI138=4,I234, 0)</f>
        <v>0</v>
      </c>
    </row>
    <row r="235" spans="1:27" ht="14.25" x14ac:dyDescent="0.2">
      <c r="A235" s="22"/>
      <c r="B235" s="23"/>
      <c r="C235" s="23" t="s">
        <v>448</v>
      </c>
      <c r="D235" s="24" t="s">
        <v>449</v>
      </c>
      <c r="E235" s="10">
        <f>Source!DN133</f>
        <v>112</v>
      </c>
      <c r="F235" s="26"/>
      <c r="G235" s="25"/>
      <c r="H235" s="10"/>
      <c r="I235" s="26">
        <f>SUM(Q225:Q234)</f>
        <v>194.96</v>
      </c>
      <c r="J235" s="10">
        <f>Source!BZ133</f>
        <v>90</v>
      </c>
      <c r="K235" s="26">
        <f>SUM(R225:R234)</f>
        <v>3750.52</v>
      </c>
    </row>
    <row r="236" spans="1:27" ht="14.25" x14ac:dyDescent="0.2">
      <c r="A236" s="22"/>
      <c r="B236" s="23"/>
      <c r="C236" s="23" t="s">
        <v>450</v>
      </c>
      <c r="D236" s="24" t="s">
        <v>449</v>
      </c>
      <c r="E236" s="10">
        <f>Source!DO133</f>
        <v>70</v>
      </c>
      <c r="F236" s="26"/>
      <c r="G236" s="25"/>
      <c r="H236" s="10"/>
      <c r="I236" s="26">
        <f>SUM(S225:S235)</f>
        <v>121.85</v>
      </c>
      <c r="J236" s="10">
        <f>Source!CA133</f>
        <v>43</v>
      </c>
      <c r="K236" s="26">
        <f>SUM(T225:T235)</f>
        <v>1791.91</v>
      </c>
    </row>
    <row r="237" spans="1:27" ht="14.25" x14ac:dyDescent="0.2">
      <c r="A237" s="22"/>
      <c r="B237" s="23"/>
      <c r="C237" s="23" t="s">
        <v>451</v>
      </c>
      <c r="D237" s="24" t="s">
        <v>449</v>
      </c>
      <c r="E237" s="10">
        <f>175</f>
        <v>175</v>
      </c>
      <c r="F237" s="26"/>
      <c r="G237" s="25"/>
      <c r="H237" s="10"/>
      <c r="I237" s="26">
        <f>SUM(U225:U236)</f>
        <v>5.92</v>
      </c>
      <c r="J237" s="10">
        <f>157</f>
        <v>157</v>
      </c>
      <c r="K237" s="26">
        <f>SUM(V225:V236)</f>
        <v>127.04</v>
      </c>
    </row>
    <row r="238" spans="1:27" ht="14.25" x14ac:dyDescent="0.2">
      <c r="A238" s="22"/>
      <c r="B238" s="23"/>
      <c r="C238" s="23" t="s">
        <v>452</v>
      </c>
      <c r="D238" s="24" t="s">
        <v>453</v>
      </c>
      <c r="E238" s="10">
        <f>Source!AQ133</f>
        <v>1.34</v>
      </c>
      <c r="F238" s="26"/>
      <c r="G238" s="25" t="str">
        <f>Source!DI133</f>
        <v>)*0,8</v>
      </c>
      <c r="H238" s="10">
        <f>Source!AV133</f>
        <v>1</v>
      </c>
      <c r="I238" s="26">
        <f>Source!U133</f>
        <v>13.936</v>
      </c>
      <c r="J238" s="10"/>
      <c r="K238" s="26"/>
    </row>
    <row r="239" spans="1:27" ht="15" x14ac:dyDescent="0.25">
      <c r="A239" s="29"/>
      <c r="B239" s="29"/>
      <c r="C239" s="29"/>
      <c r="D239" s="29"/>
      <c r="E239" s="29"/>
      <c r="F239" s="29"/>
      <c r="G239" s="29"/>
      <c r="H239" s="58">
        <f>I226+I227+I229+I235+I236+I237+SUM(I230:I234)</f>
        <v>3084.3800000000006</v>
      </c>
      <c r="I239" s="58"/>
      <c r="J239" s="58">
        <f>K226+K227+K229+K235+K236+K237+SUM(K230:K234)</f>
        <v>19966.080000000002</v>
      </c>
      <c r="K239" s="58"/>
      <c r="O239" s="28">
        <f>I226+I227+I229+I235+I236+I237+SUM(I230:I234)</f>
        <v>3084.3800000000006</v>
      </c>
      <c r="P239" s="28">
        <f>K226+K227+K229+K235+K236+K237+SUM(K230:K234)</f>
        <v>19966.080000000002</v>
      </c>
      <c r="X239">
        <f>IF(Source!BI133&lt;=1,I226+I227+I229+I235+I236+I237-0, 0)</f>
        <v>0</v>
      </c>
      <c r="Y239">
        <f>IF(Source!BI133=2,I226+I227+I229+I235+I236+I237-0, 0)</f>
        <v>749.13</v>
      </c>
      <c r="Z239">
        <f>IF(Source!BI133=3,I226+I227+I229+I235+I236+I237-0, 0)</f>
        <v>0</v>
      </c>
      <c r="AA239">
        <f>IF(Source!BI133=4,I226+I227+I229+I235+I236+I237,0)</f>
        <v>0</v>
      </c>
    </row>
    <row r="240" spans="1:27" ht="28.5" x14ac:dyDescent="0.2">
      <c r="A240" s="22" t="str">
        <f>Source!E139</f>
        <v>21</v>
      </c>
      <c r="B240" s="23" t="str">
        <f>Source!F139</f>
        <v>4.8-57-1</v>
      </c>
      <c r="C240" s="23" t="s">
        <v>281</v>
      </c>
      <c r="D240" s="24" t="str">
        <f>Source!H139</f>
        <v>1  ШТ.</v>
      </c>
      <c r="E240" s="10">
        <f>Source!I139</f>
        <v>5</v>
      </c>
      <c r="F240" s="26"/>
      <c r="G240" s="25"/>
      <c r="H240" s="10"/>
      <c r="I240" s="26"/>
      <c r="J240" s="10"/>
      <c r="K240" s="26"/>
      <c r="Q240">
        <f>ROUND((Source!DN139/100)*ROUND((ROUND((Source!AF139*Source!AV139*Source!I139),2)),2), 2)</f>
        <v>72.8</v>
      </c>
      <c r="R240">
        <f>Source!X139</f>
        <v>1400.49</v>
      </c>
      <c r="S240">
        <f>ROUND((Source!DO139/100)*ROUND((ROUND((Source!AF139*Source!AV139*Source!I139),2)),2), 2)</f>
        <v>45.5</v>
      </c>
      <c r="T240">
        <f>Source!Y139</f>
        <v>669.12</v>
      </c>
      <c r="U240">
        <f>ROUND((175/100)*ROUND((ROUND((Source!AE139*Source!AV139*Source!I139),2)),2), 2)</f>
        <v>5.16</v>
      </c>
      <c r="V240">
        <f>ROUND((157/100)*ROUND(ROUND((ROUND((Source!AE139*Source!AV139*Source!I139),2)*Source!BS139),2), 2), 2)</f>
        <v>110.87</v>
      </c>
    </row>
    <row r="241" spans="1:27" ht="14.25" x14ac:dyDescent="0.2">
      <c r="A241" s="22"/>
      <c r="B241" s="23"/>
      <c r="C241" s="23" t="s">
        <v>445</v>
      </c>
      <c r="D241" s="24"/>
      <c r="E241" s="10"/>
      <c r="F241" s="26">
        <f>Source!AO139</f>
        <v>13</v>
      </c>
      <c r="G241" s="25" t="str">
        <f>Source!DG139</f>
        <v/>
      </c>
      <c r="H241" s="10">
        <f>Source!AV139</f>
        <v>1</v>
      </c>
      <c r="I241" s="26">
        <f>ROUND((ROUND((Source!AF139*Source!AV139*Source!I139),2)),2)</f>
        <v>65</v>
      </c>
      <c r="J241" s="10">
        <f>IF(Source!BA139&lt;&gt; 0, Source!BA139, 1)</f>
        <v>23.94</v>
      </c>
      <c r="K241" s="26">
        <f>Source!S139</f>
        <v>1556.1</v>
      </c>
      <c r="W241">
        <f>I241</f>
        <v>65</v>
      </c>
    </row>
    <row r="242" spans="1:27" ht="14.25" x14ac:dyDescent="0.2">
      <c r="A242" s="22"/>
      <c r="B242" s="23"/>
      <c r="C242" s="23" t="s">
        <v>446</v>
      </c>
      <c r="D242" s="24"/>
      <c r="E242" s="10"/>
      <c r="F242" s="26">
        <f>Source!AM139</f>
        <v>2.54</v>
      </c>
      <c r="G242" s="25" t="str">
        <f>Source!DE139</f>
        <v/>
      </c>
      <c r="H242" s="10">
        <f>Source!AV139</f>
        <v>1</v>
      </c>
      <c r="I242" s="26">
        <f>(ROUND((ROUND(((Source!ET139)*Source!AV139*Source!I139),2)),2)+ROUND((ROUND(((Source!AE139-(Source!EU139))*Source!AV139*Source!I139),2)),2))</f>
        <v>12.7</v>
      </c>
      <c r="J242" s="10">
        <f>IF(Source!BB139&lt;&gt; 0, Source!BB139, 1)</f>
        <v>9.61</v>
      </c>
      <c r="K242" s="26">
        <f>Source!Q139</f>
        <v>122.05</v>
      </c>
    </row>
    <row r="243" spans="1:27" ht="14.25" x14ac:dyDescent="0.2">
      <c r="A243" s="22"/>
      <c r="B243" s="23"/>
      <c r="C243" s="23" t="s">
        <v>447</v>
      </c>
      <c r="D243" s="24"/>
      <c r="E243" s="10"/>
      <c r="F243" s="26">
        <f>Source!AN139</f>
        <v>0.59</v>
      </c>
      <c r="G243" s="25" t="str">
        <f>Source!DF139</f>
        <v/>
      </c>
      <c r="H243" s="10">
        <f>Source!AV139</f>
        <v>1</v>
      </c>
      <c r="I243" s="27">
        <f>ROUND((ROUND((Source!AE139*Source!AV139*Source!I139),2)),2)</f>
        <v>2.95</v>
      </c>
      <c r="J243" s="10">
        <f>IF(Source!BS139&lt;&gt; 0, Source!BS139, 1)</f>
        <v>23.94</v>
      </c>
      <c r="K243" s="27">
        <f>Source!R139</f>
        <v>70.62</v>
      </c>
      <c r="W243">
        <f>I243</f>
        <v>2.95</v>
      </c>
    </row>
    <row r="244" spans="1:27" ht="14.25" x14ac:dyDescent="0.2">
      <c r="A244" s="22"/>
      <c r="B244" s="23"/>
      <c r="C244" s="23" t="s">
        <v>454</v>
      </c>
      <c r="D244" s="24"/>
      <c r="E244" s="10"/>
      <c r="F244" s="26">
        <f>Source!AL139</f>
        <v>0.35</v>
      </c>
      <c r="G244" s="25" t="str">
        <f>Source!DD139</f>
        <v/>
      </c>
      <c r="H244" s="10">
        <f>Source!AW139</f>
        <v>1</v>
      </c>
      <c r="I244" s="26">
        <f>ROUND((ROUND((Source!AC139*Source!AW139*Source!I139),2)),2)</f>
        <v>1.75</v>
      </c>
      <c r="J244" s="10">
        <f>IF(Source!BC139&lt;&gt; 0, Source!BC139, 1)</f>
        <v>5.49</v>
      </c>
      <c r="K244" s="26">
        <f>Source!P139</f>
        <v>9.61</v>
      </c>
    </row>
    <row r="245" spans="1:27" ht="28.5" x14ac:dyDescent="0.2">
      <c r="A245" s="22" t="str">
        <f>Source!E140</f>
        <v>21,1</v>
      </c>
      <c r="B245" s="23" t="str">
        <f>Source!F140</f>
        <v>1.21-5-584</v>
      </c>
      <c r="C245" s="23" t="s">
        <v>287</v>
      </c>
      <c r="D245" s="24" t="str">
        <f>Source!H140</f>
        <v>шт.</v>
      </c>
      <c r="E245" s="10">
        <f>Source!I140</f>
        <v>3</v>
      </c>
      <c r="F245" s="26">
        <f>Source!AK140</f>
        <v>362.31</v>
      </c>
      <c r="G245" s="30" t="s">
        <v>3</v>
      </c>
      <c r="H245" s="10">
        <f>Source!AW140</f>
        <v>1</v>
      </c>
      <c r="I245" s="26">
        <f>ROUND((ROUND((Source!AC140*Source!AW140*Source!I140),2)),2)+(ROUND((ROUND(((Source!ET140)*Source!AV140*Source!I140),2)),2)+ROUND((ROUND(((Source!AE140-(Source!EU140))*Source!AV140*Source!I140),2)),2))+ROUND((ROUND((Source!AF140*Source!AV140*Source!I140),2)),2)</f>
        <v>1086.93</v>
      </c>
      <c r="J245" s="10">
        <f>IF(Source!BC140&lt;&gt; 0, Source!BC140, 1)</f>
        <v>7.02</v>
      </c>
      <c r="K245" s="26">
        <f>Source!O140</f>
        <v>7630.25</v>
      </c>
      <c r="Q245">
        <f>ROUND((Source!DN140/100)*ROUND((ROUND((Source!AF140*Source!AV140*Source!I140),2)),2), 2)</f>
        <v>0</v>
      </c>
      <c r="R245">
        <f>Source!X140</f>
        <v>0</v>
      </c>
      <c r="S245">
        <f>ROUND((Source!DO140/100)*ROUND((ROUND((Source!AF140*Source!AV140*Source!I140),2)),2), 2)</f>
        <v>0</v>
      </c>
      <c r="T245">
        <f>Source!Y140</f>
        <v>0</v>
      </c>
      <c r="U245">
        <f>ROUND((175/100)*ROUND((ROUND((Source!AE140*Source!AV140*Source!I140),2)),2), 2)</f>
        <v>0</v>
      </c>
      <c r="V245">
        <f>ROUND((157/100)*ROUND(ROUND((ROUND((Source!AE140*Source!AV140*Source!I140),2)*Source!BS140),2), 2), 2)</f>
        <v>0</v>
      </c>
      <c r="X245">
        <f>IF(Source!BI140&lt;=1,I245, 0)</f>
        <v>0</v>
      </c>
      <c r="Y245">
        <f>IF(Source!BI140=2,I245, 0)</f>
        <v>1086.93</v>
      </c>
      <c r="Z245">
        <f>IF(Source!BI140=3,I245, 0)</f>
        <v>0</v>
      </c>
      <c r="AA245">
        <f>IF(Source!BI140=4,I245, 0)</f>
        <v>0</v>
      </c>
    </row>
    <row r="246" spans="1:27" ht="28.5" x14ac:dyDescent="0.2">
      <c r="A246" s="22" t="str">
        <f>Source!E141</f>
        <v>21,2</v>
      </c>
      <c r="B246" s="23" t="str">
        <f>Source!F141</f>
        <v>1.21-5-588</v>
      </c>
      <c r="C246" s="23" t="s">
        <v>291</v>
      </c>
      <c r="D246" s="24" t="str">
        <f>Source!H141</f>
        <v>шт.</v>
      </c>
      <c r="E246" s="10">
        <f>Source!I141</f>
        <v>2</v>
      </c>
      <c r="F246" s="26">
        <f>Source!AK141</f>
        <v>344.18</v>
      </c>
      <c r="G246" s="30" t="s">
        <v>3</v>
      </c>
      <c r="H246" s="10">
        <f>Source!AW141</f>
        <v>1</v>
      </c>
      <c r="I246" s="26">
        <f>ROUND((ROUND((Source!AC141*Source!AW141*Source!I141),2)),2)+(ROUND((ROUND(((Source!ET141)*Source!AV141*Source!I141),2)),2)+ROUND((ROUND(((Source!AE141-(Source!EU141))*Source!AV141*Source!I141),2)),2))+ROUND((ROUND((Source!AF141*Source!AV141*Source!I141),2)),2)</f>
        <v>688.36</v>
      </c>
      <c r="J246" s="10">
        <f>IF(Source!BC141&lt;&gt; 0, Source!BC141, 1)</f>
        <v>9.26</v>
      </c>
      <c r="K246" s="26">
        <f>Source!O141</f>
        <v>6374.21</v>
      </c>
      <c r="Q246">
        <f>ROUND((Source!DN141/100)*ROUND((ROUND((Source!AF141*Source!AV141*Source!I141),2)),2), 2)</f>
        <v>0</v>
      </c>
      <c r="R246">
        <f>Source!X141</f>
        <v>0</v>
      </c>
      <c r="S246">
        <f>ROUND((Source!DO141/100)*ROUND((ROUND((Source!AF141*Source!AV141*Source!I141),2)),2), 2)</f>
        <v>0</v>
      </c>
      <c r="T246">
        <f>Source!Y141</f>
        <v>0</v>
      </c>
      <c r="U246">
        <f>ROUND((175/100)*ROUND((ROUND((Source!AE141*Source!AV141*Source!I141),2)),2), 2)</f>
        <v>0</v>
      </c>
      <c r="V246">
        <f>ROUND((157/100)*ROUND(ROUND((ROUND((Source!AE141*Source!AV141*Source!I141),2)*Source!BS141),2), 2), 2)</f>
        <v>0</v>
      </c>
      <c r="X246">
        <f>IF(Source!BI141&lt;=1,I246, 0)</f>
        <v>0</v>
      </c>
      <c r="Y246">
        <f>IF(Source!BI141=2,I246, 0)</f>
        <v>688.36</v>
      </c>
      <c r="Z246">
        <f>IF(Source!BI141=3,I246, 0)</f>
        <v>0</v>
      </c>
      <c r="AA246">
        <f>IF(Source!BI141=4,I246, 0)</f>
        <v>0</v>
      </c>
    </row>
    <row r="247" spans="1:27" ht="14.25" x14ac:dyDescent="0.2">
      <c r="A247" s="22"/>
      <c r="B247" s="23"/>
      <c r="C247" s="23" t="s">
        <v>448</v>
      </c>
      <c r="D247" s="24" t="s">
        <v>449</v>
      </c>
      <c r="E247" s="10">
        <f>Source!DN139</f>
        <v>112</v>
      </c>
      <c r="F247" s="26"/>
      <c r="G247" s="25"/>
      <c r="H247" s="10"/>
      <c r="I247" s="26">
        <f>SUM(Q240:Q246)</f>
        <v>72.8</v>
      </c>
      <c r="J247" s="10">
        <f>Source!BZ139</f>
        <v>90</v>
      </c>
      <c r="K247" s="26">
        <f>SUM(R240:R246)</f>
        <v>1400.49</v>
      </c>
    </row>
    <row r="248" spans="1:27" ht="14.25" x14ac:dyDescent="0.2">
      <c r="A248" s="22"/>
      <c r="B248" s="23"/>
      <c r="C248" s="23" t="s">
        <v>450</v>
      </c>
      <c r="D248" s="24" t="s">
        <v>449</v>
      </c>
      <c r="E248" s="10">
        <f>Source!DO139</f>
        <v>70</v>
      </c>
      <c r="F248" s="26"/>
      <c r="G248" s="25"/>
      <c r="H248" s="10"/>
      <c r="I248" s="26">
        <f>SUM(S240:S247)</f>
        <v>45.5</v>
      </c>
      <c r="J248" s="10">
        <f>Source!CA139</f>
        <v>43</v>
      </c>
      <c r="K248" s="26">
        <f>SUM(T240:T247)</f>
        <v>669.12</v>
      </c>
    </row>
    <row r="249" spans="1:27" ht="14.25" x14ac:dyDescent="0.2">
      <c r="A249" s="22"/>
      <c r="B249" s="23"/>
      <c r="C249" s="23" t="s">
        <v>451</v>
      </c>
      <c r="D249" s="24" t="s">
        <v>449</v>
      </c>
      <c r="E249" s="10">
        <f>175</f>
        <v>175</v>
      </c>
      <c r="F249" s="26"/>
      <c r="G249" s="25"/>
      <c r="H249" s="10"/>
      <c r="I249" s="26">
        <f>SUM(U240:U248)</f>
        <v>5.16</v>
      </c>
      <c r="J249" s="10">
        <f>157</f>
        <v>157</v>
      </c>
      <c r="K249" s="26">
        <f>SUM(V240:V248)</f>
        <v>110.87</v>
      </c>
    </row>
    <row r="250" spans="1:27" ht="14.25" x14ac:dyDescent="0.2">
      <c r="A250" s="22"/>
      <c r="B250" s="23"/>
      <c r="C250" s="23" t="s">
        <v>452</v>
      </c>
      <c r="D250" s="24" t="s">
        <v>453</v>
      </c>
      <c r="E250" s="10">
        <f>Source!AQ139</f>
        <v>1.03</v>
      </c>
      <c r="F250" s="26"/>
      <c r="G250" s="25" t="str">
        <f>Source!DI139</f>
        <v/>
      </c>
      <c r="H250" s="10">
        <f>Source!AV139</f>
        <v>1</v>
      </c>
      <c r="I250" s="26">
        <f>Source!U139</f>
        <v>5.15</v>
      </c>
      <c r="J250" s="10"/>
      <c r="K250" s="26"/>
    </row>
    <row r="251" spans="1:27" ht="15" x14ac:dyDescent="0.25">
      <c r="A251" s="29"/>
      <c r="B251" s="29"/>
      <c r="C251" s="29"/>
      <c r="D251" s="29"/>
      <c r="E251" s="29"/>
      <c r="F251" s="29"/>
      <c r="G251" s="29"/>
      <c r="H251" s="58">
        <f>I241+I242+I244+I247+I248+I249+SUM(I245:I246)</f>
        <v>1978.2</v>
      </c>
      <c r="I251" s="58"/>
      <c r="J251" s="58">
        <f>K241+K242+K244+K247+K248+K249+SUM(K245:K246)</f>
        <v>17872.699999999997</v>
      </c>
      <c r="K251" s="58"/>
      <c r="O251" s="28">
        <f>I241+I242+I244+I247+I248+I249+SUM(I245:I246)</f>
        <v>1978.2</v>
      </c>
      <c r="P251" s="28">
        <f>K241+K242+K244+K247+K248+K249+SUM(K245:K246)</f>
        <v>17872.699999999997</v>
      </c>
      <c r="X251">
        <f>IF(Source!BI139&lt;=1,I241+I242+I244+I247+I248+I249-0, 0)</f>
        <v>0</v>
      </c>
      <c r="Y251">
        <f>IF(Source!BI139=2,I241+I242+I244+I247+I248+I249-0, 0)</f>
        <v>202.91</v>
      </c>
      <c r="Z251">
        <f>IF(Source!BI139=3,I241+I242+I244+I247+I248+I249-0, 0)</f>
        <v>0</v>
      </c>
      <c r="AA251">
        <f>IF(Source!BI139=4,I241+I242+I244+I247+I248+I249,0)</f>
        <v>0</v>
      </c>
    </row>
    <row r="252" spans="1:27" ht="14.25" x14ac:dyDescent="0.2">
      <c r="A252" s="22" t="str">
        <f>Source!E142</f>
        <v>22</v>
      </c>
      <c r="B252" s="23" t="str">
        <f>Source!F142</f>
        <v>4.10-59-2</v>
      </c>
      <c r="C252" s="23" t="s">
        <v>295</v>
      </c>
      <c r="D252" s="24" t="str">
        <f>Source!H142</f>
        <v>1  ШТ.</v>
      </c>
      <c r="E252" s="10">
        <f>Source!I142</f>
        <v>1</v>
      </c>
      <c r="F252" s="26"/>
      <c r="G252" s="25"/>
      <c r="H252" s="10"/>
      <c r="I252" s="26"/>
      <c r="J252" s="10"/>
      <c r="K252" s="26"/>
      <c r="Q252">
        <f>ROUND((Source!DN142/100)*ROUND((ROUND((Source!AF142*Source!AV142*Source!I142),2)),2), 2)</f>
        <v>6.66</v>
      </c>
      <c r="R252">
        <f>Source!X142</f>
        <v>128.19999999999999</v>
      </c>
      <c r="S252">
        <f>ROUND((Source!DO142/100)*ROUND((ROUND((Source!AF142*Source!AV142*Source!I142),2)),2), 2)</f>
        <v>4.17</v>
      </c>
      <c r="T252">
        <f>Source!Y142</f>
        <v>61.25</v>
      </c>
      <c r="U252">
        <f>ROUND((175/100)*ROUND((ROUND((Source!AE142*Source!AV142*Source!I142),2)),2), 2)</f>
        <v>0</v>
      </c>
      <c r="V252">
        <f>ROUND((157/100)*ROUND(ROUND((ROUND((Source!AE142*Source!AV142*Source!I142),2)*Source!BS142),2), 2), 2)</f>
        <v>0</v>
      </c>
    </row>
    <row r="253" spans="1:27" ht="14.25" x14ac:dyDescent="0.2">
      <c r="A253" s="22"/>
      <c r="B253" s="23"/>
      <c r="C253" s="23" t="s">
        <v>445</v>
      </c>
      <c r="D253" s="24"/>
      <c r="E253" s="10"/>
      <c r="F253" s="26">
        <f>Source!AO142</f>
        <v>5.95</v>
      </c>
      <c r="G253" s="25" t="str">
        <f>Source!DG142</f>
        <v/>
      </c>
      <c r="H253" s="10">
        <f>Source!AV142</f>
        <v>1</v>
      </c>
      <c r="I253" s="26">
        <f>ROUND((ROUND((Source!AF142*Source!AV142*Source!I142),2)),2)</f>
        <v>5.95</v>
      </c>
      <c r="J253" s="10">
        <f>IF(Source!BA142&lt;&gt; 0, Source!BA142, 1)</f>
        <v>23.94</v>
      </c>
      <c r="K253" s="26">
        <f>Source!S142</f>
        <v>142.44</v>
      </c>
      <c r="W253">
        <f>I253</f>
        <v>5.95</v>
      </c>
    </row>
    <row r="254" spans="1:27" ht="28.5" x14ac:dyDescent="0.2">
      <c r="A254" s="22" t="str">
        <f>Source!E143</f>
        <v>22,1</v>
      </c>
      <c r="B254" s="23" t="str">
        <f>Source!F143</f>
        <v>1.21-5-455</v>
      </c>
      <c r="C254" s="23" t="s">
        <v>301</v>
      </c>
      <c r="D254" s="24" t="str">
        <f>Source!H143</f>
        <v>шт.</v>
      </c>
      <c r="E254" s="10">
        <f>Source!I143</f>
        <v>1</v>
      </c>
      <c r="F254" s="26">
        <f>Source!AK143</f>
        <v>106.17</v>
      </c>
      <c r="G254" s="30" t="s">
        <v>3</v>
      </c>
      <c r="H254" s="10">
        <f>Source!AW143</f>
        <v>1</v>
      </c>
      <c r="I254" s="26">
        <f>ROUND((ROUND((Source!AC143*Source!AW143*Source!I143),2)),2)+(ROUND((ROUND(((Source!ET143)*Source!AV143*Source!I143),2)),2)+ROUND((ROUND(((Source!AE143-(Source!EU143))*Source!AV143*Source!I143),2)),2))+ROUND((ROUND((Source!AF143*Source!AV143*Source!I143),2)),2)</f>
        <v>106.17</v>
      </c>
      <c r="J254" s="10">
        <f>IF(Source!BC143&lt;&gt; 0, Source!BC143, 1)</f>
        <v>5.21</v>
      </c>
      <c r="K254" s="26">
        <f>Source!O143</f>
        <v>553.15</v>
      </c>
      <c r="Q254">
        <f>ROUND((Source!DN143/100)*ROUND((ROUND((Source!AF143*Source!AV143*Source!I143),2)),2), 2)</f>
        <v>0</v>
      </c>
      <c r="R254">
        <f>Source!X143</f>
        <v>0</v>
      </c>
      <c r="S254">
        <f>ROUND((Source!DO143/100)*ROUND((ROUND((Source!AF143*Source!AV143*Source!I143),2)),2), 2)</f>
        <v>0</v>
      </c>
      <c r="T254">
        <f>Source!Y143</f>
        <v>0</v>
      </c>
      <c r="U254">
        <f>ROUND((175/100)*ROUND((ROUND((Source!AE143*Source!AV143*Source!I143),2)),2), 2)</f>
        <v>0</v>
      </c>
      <c r="V254">
        <f>ROUND((157/100)*ROUND(ROUND((ROUND((Source!AE143*Source!AV143*Source!I143),2)*Source!BS143),2), 2), 2)</f>
        <v>0</v>
      </c>
      <c r="X254">
        <f>IF(Source!BI143&lt;=1,I254, 0)</f>
        <v>0</v>
      </c>
      <c r="Y254">
        <f>IF(Source!BI143=2,I254, 0)</f>
        <v>106.17</v>
      </c>
      <c r="Z254">
        <f>IF(Source!BI143=3,I254, 0)</f>
        <v>0</v>
      </c>
      <c r="AA254">
        <f>IF(Source!BI143=4,I254, 0)</f>
        <v>0</v>
      </c>
    </row>
    <row r="255" spans="1:27" ht="14.25" x14ac:dyDescent="0.2">
      <c r="A255" s="22"/>
      <c r="B255" s="23"/>
      <c r="C255" s="23" t="s">
        <v>448</v>
      </c>
      <c r="D255" s="24" t="s">
        <v>449</v>
      </c>
      <c r="E255" s="10">
        <f>Source!DN142</f>
        <v>112</v>
      </c>
      <c r="F255" s="26"/>
      <c r="G255" s="25"/>
      <c r="H255" s="10"/>
      <c r="I255" s="26">
        <f>SUM(Q252:Q254)</f>
        <v>6.66</v>
      </c>
      <c r="J255" s="10">
        <f>Source!BZ142</f>
        <v>90</v>
      </c>
      <c r="K255" s="26">
        <f>SUM(R252:R254)</f>
        <v>128.19999999999999</v>
      </c>
    </row>
    <row r="256" spans="1:27" ht="14.25" x14ac:dyDescent="0.2">
      <c r="A256" s="22"/>
      <c r="B256" s="23"/>
      <c r="C256" s="23" t="s">
        <v>450</v>
      </c>
      <c r="D256" s="24" t="s">
        <v>449</v>
      </c>
      <c r="E256" s="10">
        <f>Source!DO142</f>
        <v>70</v>
      </c>
      <c r="F256" s="26"/>
      <c r="G256" s="25"/>
      <c r="H256" s="10"/>
      <c r="I256" s="26">
        <f>SUM(S252:S255)</f>
        <v>4.17</v>
      </c>
      <c r="J256" s="10">
        <f>Source!CA142</f>
        <v>43</v>
      </c>
      <c r="K256" s="26">
        <f>SUM(T252:T255)</f>
        <v>61.25</v>
      </c>
    </row>
    <row r="257" spans="1:27" ht="14.25" x14ac:dyDescent="0.2">
      <c r="A257" s="22"/>
      <c r="B257" s="23"/>
      <c r="C257" s="23" t="s">
        <v>452</v>
      </c>
      <c r="D257" s="24" t="s">
        <v>453</v>
      </c>
      <c r="E257" s="10">
        <f>Source!AQ142</f>
        <v>0.5</v>
      </c>
      <c r="F257" s="26"/>
      <c r="G257" s="25" t="str">
        <f>Source!DI142</f>
        <v/>
      </c>
      <c r="H257" s="10">
        <f>Source!AV142</f>
        <v>1</v>
      </c>
      <c r="I257" s="26">
        <f>Source!U142</f>
        <v>0.5</v>
      </c>
      <c r="J257" s="10"/>
      <c r="K257" s="26"/>
    </row>
    <row r="258" spans="1:27" ht="15" x14ac:dyDescent="0.25">
      <c r="A258" s="29"/>
      <c r="B258" s="29"/>
      <c r="C258" s="29"/>
      <c r="D258" s="29"/>
      <c r="E258" s="29"/>
      <c r="F258" s="29"/>
      <c r="G258" s="29"/>
      <c r="H258" s="58">
        <f>I253+I255+I256+SUM(I254:I254)</f>
        <v>122.95</v>
      </c>
      <c r="I258" s="58"/>
      <c r="J258" s="58">
        <f>K253+K255+K256+SUM(K254:K254)</f>
        <v>885.04</v>
      </c>
      <c r="K258" s="58"/>
      <c r="O258" s="28">
        <f>I253+I255+I256+SUM(I254:I254)</f>
        <v>122.95</v>
      </c>
      <c r="P258" s="28">
        <f>K253+K255+K256+SUM(K254:K254)</f>
        <v>885.04</v>
      </c>
      <c r="X258">
        <f>IF(Source!BI142&lt;=1,I253+I255+I256-0, 0)</f>
        <v>0</v>
      </c>
      <c r="Y258">
        <f>IF(Source!BI142=2,I253+I255+I256-0, 0)</f>
        <v>16.78</v>
      </c>
      <c r="Z258">
        <f>IF(Source!BI142=3,I253+I255+I256-0, 0)</f>
        <v>0</v>
      </c>
      <c r="AA258">
        <f>IF(Source!BI142=4,I253+I255+I256,0)</f>
        <v>0</v>
      </c>
    </row>
    <row r="259" spans="1:27" ht="57" x14ac:dyDescent="0.2">
      <c r="A259" s="22" t="str">
        <f>Source!E144</f>
        <v>23</v>
      </c>
      <c r="B259" s="23" t="str">
        <f>Source!F144</f>
        <v>4.10-89-3</v>
      </c>
      <c r="C259" s="23" t="s">
        <v>305</v>
      </c>
      <c r="D259" s="24" t="str">
        <f>Source!H144</f>
        <v>1  ШТ.</v>
      </c>
      <c r="E259" s="10">
        <f>Source!I144</f>
        <v>2</v>
      </c>
      <c r="F259" s="26"/>
      <c r="G259" s="25"/>
      <c r="H259" s="10"/>
      <c r="I259" s="26"/>
      <c r="J259" s="10"/>
      <c r="K259" s="26"/>
      <c r="Q259">
        <f>ROUND((Source!DN144/100)*ROUND((ROUND((Source!AF144*Source!AV144*Source!I144),2)),2), 2)</f>
        <v>29.88</v>
      </c>
      <c r="R259">
        <f>Source!X144</f>
        <v>574.85</v>
      </c>
      <c r="S259">
        <f>ROUND((Source!DO144/100)*ROUND((ROUND((Source!AF144*Source!AV144*Source!I144),2)),2), 2)</f>
        <v>18.68</v>
      </c>
      <c r="T259">
        <f>Source!Y144</f>
        <v>274.64999999999998</v>
      </c>
      <c r="U259">
        <f>ROUND((175/100)*ROUND((ROUND((Source!AE144*Source!AV144*Source!I144),2)),2), 2)</f>
        <v>0</v>
      </c>
      <c r="V259">
        <f>ROUND((157/100)*ROUND(ROUND((ROUND((Source!AE144*Source!AV144*Source!I144),2)*Source!BS144),2), 2), 2)</f>
        <v>0</v>
      </c>
    </row>
    <row r="260" spans="1:27" ht="14.25" x14ac:dyDescent="0.2">
      <c r="A260" s="22"/>
      <c r="B260" s="23"/>
      <c r="C260" s="23" t="s">
        <v>445</v>
      </c>
      <c r="D260" s="24"/>
      <c r="E260" s="10"/>
      <c r="F260" s="26">
        <f>Source!AO144</f>
        <v>13.34</v>
      </c>
      <c r="G260" s="25" t="str">
        <f>Source!DG144</f>
        <v/>
      </c>
      <c r="H260" s="10">
        <f>Source!AV144</f>
        <v>1</v>
      </c>
      <c r="I260" s="26">
        <f>ROUND((ROUND((Source!AF144*Source!AV144*Source!I144),2)),2)</f>
        <v>26.68</v>
      </c>
      <c r="J260" s="10">
        <f>IF(Source!BA144&lt;&gt; 0, Source!BA144, 1)</f>
        <v>23.94</v>
      </c>
      <c r="K260" s="26">
        <f>Source!S144</f>
        <v>638.72</v>
      </c>
      <c r="W260">
        <f>I260</f>
        <v>26.68</v>
      </c>
    </row>
    <row r="261" spans="1:27" ht="14.25" x14ac:dyDescent="0.2">
      <c r="A261" s="22"/>
      <c r="B261" s="23"/>
      <c r="C261" s="23" t="s">
        <v>454</v>
      </c>
      <c r="D261" s="24"/>
      <c r="E261" s="10"/>
      <c r="F261" s="26">
        <f>Source!AL144</f>
        <v>2.31</v>
      </c>
      <c r="G261" s="25" t="str">
        <f>Source!DD144</f>
        <v/>
      </c>
      <c r="H261" s="10">
        <f>Source!AW144</f>
        <v>1</v>
      </c>
      <c r="I261" s="26">
        <f>ROUND((ROUND((Source!AC144*Source!AW144*Source!I144),2)),2)</f>
        <v>4.62</v>
      </c>
      <c r="J261" s="10">
        <f>IF(Source!BC144&lt;&gt; 0, Source!BC144, 1)</f>
        <v>5.48</v>
      </c>
      <c r="K261" s="26">
        <f>Source!P144</f>
        <v>25.32</v>
      </c>
    </row>
    <row r="262" spans="1:27" ht="57" x14ac:dyDescent="0.2">
      <c r="A262" s="22" t="str">
        <f>Source!E145</f>
        <v>23,1</v>
      </c>
      <c r="B262" s="23" t="str">
        <f>Source!F145</f>
        <v>П. 35 Конъюнктурного анализа</v>
      </c>
      <c r="C262" s="23" t="s">
        <v>309</v>
      </c>
      <c r="D262" s="24" t="str">
        <f>Source!H145</f>
        <v>шт.</v>
      </c>
      <c r="E262" s="10">
        <f>Source!I145</f>
        <v>2</v>
      </c>
      <c r="F262" s="26">
        <f>Source!AK145</f>
        <v>627.53</v>
      </c>
      <c r="G262" s="30" t="s">
        <v>3</v>
      </c>
      <c r="H262" s="10">
        <f>Source!AW145</f>
        <v>1</v>
      </c>
      <c r="I262" s="26">
        <f>ROUND((ROUND((Source!AC145*Source!AW145*Source!I145),2)),2)+(ROUND((ROUND(((Source!ET145)*Source!AV145*Source!I145),2)),2)+ROUND((ROUND(((Source!AE145-(Source!EU145))*Source!AV145*Source!I145),2)),2))+ROUND((ROUND((Source!AF145*Source!AV145*Source!I145),2)),2)</f>
        <v>1255.06</v>
      </c>
      <c r="J262" s="10">
        <f>IF(Source!BC145&lt;&gt; 0, Source!BC145, 1)</f>
        <v>5.43</v>
      </c>
      <c r="K262" s="26">
        <f>Source!O145</f>
        <v>6814.98</v>
      </c>
      <c r="Q262">
        <f>ROUND((Source!DN145/100)*ROUND((ROUND((Source!AF145*Source!AV145*Source!I145),2)),2), 2)</f>
        <v>0</v>
      </c>
      <c r="R262">
        <f>Source!X145</f>
        <v>0</v>
      </c>
      <c r="S262">
        <f>ROUND((Source!DO145/100)*ROUND((ROUND((Source!AF145*Source!AV145*Source!I145),2)),2), 2)</f>
        <v>0</v>
      </c>
      <c r="T262">
        <f>Source!Y145</f>
        <v>0</v>
      </c>
      <c r="U262">
        <f>ROUND((175/100)*ROUND((ROUND((Source!AE145*Source!AV145*Source!I145),2)),2), 2)</f>
        <v>0</v>
      </c>
      <c r="V262">
        <f>ROUND((157/100)*ROUND(ROUND((ROUND((Source!AE145*Source!AV145*Source!I145),2)*Source!BS145),2), 2), 2)</f>
        <v>0</v>
      </c>
      <c r="X262">
        <f>IF(Source!BI145&lt;=1,I262, 0)</f>
        <v>0</v>
      </c>
      <c r="Y262">
        <f>IF(Source!BI145=2,I262, 0)</f>
        <v>1255.06</v>
      </c>
      <c r="Z262">
        <f>IF(Source!BI145=3,I262, 0)</f>
        <v>0</v>
      </c>
      <c r="AA262">
        <f>IF(Source!BI145=4,I262, 0)</f>
        <v>0</v>
      </c>
    </row>
    <row r="263" spans="1:27" ht="14.25" x14ac:dyDescent="0.2">
      <c r="A263" s="22"/>
      <c r="B263" s="23"/>
      <c r="C263" s="23" t="s">
        <v>448</v>
      </c>
      <c r="D263" s="24" t="s">
        <v>449</v>
      </c>
      <c r="E263" s="10">
        <f>Source!DN144</f>
        <v>112</v>
      </c>
      <c r="F263" s="26"/>
      <c r="G263" s="25"/>
      <c r="H263" s="10"/>
      <c r="I263" s="26">
        <f>SUM(Q259:Q262)</f>
        <v>29.88</v>
      </c>
      <c r="J263" s="10">
        <f>Source!BZ144</f>
        <v>90</v>
      </c>
      <c r="K263" s="26">
        <f>SUM(R259:R262)</f>
        <v>574.85</v>
      </c>
    </row>
    <row r="264" spans="1:27" ht="14.25" x14ac:dyDescent="0.2">
      <c r="A264" s="22"/>
      <c r="B264" s="23"/>
      <c r="C264" s="23" t="s">
        <v>450</v>
      </c>
      <c r="D264" s="24" t="s">
        <v>449</v>
      </c>
      <c r="E264" s="10">
        <f>Source!DO144</f>
        <v>70</v>
      </c>
      <c r="F264" s="26"/>
      <c r="G264" s="25"/>
      <c r="H264" s="10"/>
      <c r="I264" s="26">
        <f>SUM(S259:S263)</f>
        <v>18.68</v>
      </c>
      <c r="J264" s="10">
        <f>Source!CA144</f>
        <v>43</v>
      </c>
      <c r="K264" s="26">
        <f>SUM(T259:T263)</f>
        <v>274.64999999999998</v>
      </c>
    </row>
    <row r="265" spans="1:27" ht="14.25" x14ac:dyDescent="0.2">
      <c r="A265" s="22"/>
      <c r="B265" s="23"/>
      <c r="C265" s="23" t="s">
        <v>452</v>
      </c>
      <c r="D265" s="24" t="s">
        <v>453</v>
      </c>
      <c r="E265" s="10">
        <f>Source!AQ144</f>
        <v>0.93</v>
      </c>
      <c r="F265" s="26"/>
      <c r="G265" s="25" t="str">
        <f>Source!DI144</f>
        <v/>
      </c>
      <c r="H265" s="10">
        <f>Source!AV144</f>
        <v>1</v>
      </c>
      <c r="I265" s="26">
        <f>Source!U144</f>
        <v>1.86</v>
      </c>
      <c r="J265" s="10"/>
      <c r="K265" s="26"/>
    </row>
    <row r="266" spans="1:27" ht="15" x14ac:dyDescent="0.25">
      <c r="A266" s="29"/>
      <c r="B266" s="29"/>
      <c r="C266" s="29"/>
      <c r="D266" s="29"/>
      <c r="E266" s="29"/>
      <c r="F266" s="29"/>
      <c r="G266" s="29"/>
      <c r="H266" s="58">
        <f>I260+I261+I263+I264+SUM(I262:I262)</f>
        <v>1334.9199999999998</v>
      </c>
      <c r="I266" s="58"/>
      <c r="J266" s="58">
        <f>K260+K261+K263+K264+SUM(K262:K262)</f>
        <v>8328.52</v>
      </c>
      <c r="K266" s="58"/>
      <c r="O266" s="28">
        <f>I260+I261+I263+I264+SUM(I262:I262)</f>
        <v>1334.9199999999998</v>
      </c>
      <c r="P266" s="28">
        <f>K260+K261+K263+K264+SUM(K262:K262)</f>
        <v>8328.52</v>
      </c>
      <c r="X266">
        <f>IF(Source!BI144&lt;=1,I260+I261+I263+I264-0, 0)</f>
        <v>0</v>
      </c>
      <c r="Y266">
        <f>IF(Source!BI144=2,I260+I261+I263+I264-0, 0)</f>
        <v>79.86</v>
      </c>
      <c r="Z266">
        <f>IF(Source!BI144=3,I260+I261+I263+I264-0, 0)</f>
        <v>0</v>
      </c>
      <c r="AA266">
        <f>IF(Source!BI144=4,I260+I261+I263+I264,0)</f>
        <v>0</v>
      </c>
    </row>
    <row r="267" spans="1:27" ht="99.75" x14ac:dyDescent="0.2">
      <c r="A267" s="22" t="str">
        <f>Source!E146</f>
        <v>24</v>
      </c>
      <c r="B267" s="23" t="str">
        <f>Source!F146</f>
        <v>4.8-213-1</v>
      </c>
      <c r="C267" s="23" t="s">
        <v>313</v>
      </c>
      <c r="D267" s="24" t="str">
        <f>Source!H146</f>
        <v>1  ШТ.</v>
      </c>
      <c r="E267" s="10">
        <f>Source!I146</f>
        <v>1</v>
      </c>
      <c r="F267" s="26"/>
      <c r="G267" s="25"/>
      <c r="H267" s="10"/>
      <c r="I267" s="26"/>
      <c r="J267" s="10"/>
      <c r="K267" s="26"/>
      <c r="Q267">
        <f>ROUND((Source!DN146/100)*ROUND((ROUND((Source!AF146*Source!AV146*Source!I146),2)),2), 2)</f>
        <v>13.44</v>
      </c>
      <c r="R267">
        <f>Source!X146</f>
        <v>258.55</v>
      </c>
      <c r="S267">
        <f>ROUND((Source!DO146/100)*ROUND((ROUND((Source!AF146*Source!AV146*Source!I146),2)),2), 2)</f>
        <v>8.4</v>
      </c>
      <c r="T267">
        <f>Source!Y146</f>
        <v>123.53</v>
      </c>
      <c r="U267">
        <f>ROUND((175/100)*ROUND((ROUND((Source!AE146*Source!AV146*Source!I146),2)),2), 2)</f>
        <v>0.12</v>
      </c>
      <c r="V267">
        <f>ROUND((157/100)*ROUND(ROUND((ROUND((Source!AE146*Source!AV146*Source!I146),2)*Source!BS146),2), 2), 2)</f>
        <v>2.64</v>
      </c>
    </row>
    <row r="268" spans="1:27" ht="14.25" x14ac:dyDescent="0.2">
      <c r="A268" s="22"/>
      <c r="B268" s="23"/>
      <c r="C268" s="23" t="s">
        <v>445</v>
      </c>
      <c r="D268" s="24"/>
      <c r="E268" s="10"/>
      <c r="F268" s="26">
        <f>Source!AO146</f>
        <v>12</v>
      </c>
      <c r="G268" s="25" t="str">
        <f>Source!DG146</f>
        <v/>
      </c>
      <c r="H268" s="10">
        <f>Source!AV146</f>
        <v>1</v>
      </c>
      <c r="I268" s="26">
        <f>ROUND((ROUND((Source!AF146*Source!AV146*Source!I146),2)),2)</f>
        <v>12</v>
      </c>
      <c r="J268" s="10">
        <f>IF(Source!BA146&lt;&gt; 0, Source!BA146, 1)</f>
        <v>23.94</v>
      </c>
      <c r="K268" s="26">
        <f>Source!S146</f>
        <v>287.27999999999997</v>
      </c>
      <c r="W268">
        <f>I268</f>
        <v>12</v>
      </c>
    </row>
    <row r="269" spans="1:27" ht="14.25" x14ac:dyDescent="0.2">
      <c r="A269" s="22"/>
      <c r="B269" s="23"/>
      <c r="C269" s="23" t="s">
        <v>446</v>
      </c>
      <c r="D269" s="24"/>
      <c r="E269" s="10"/>
      <c r="F269" s="26">
        <f>Source!AM146</f>
        <v>0.47</v>
      </c>
      <c r="G269" s="25" t="str">
        <f>Source!DE146</f>
        <v/>
      </c>
      <c r="H269" s="10">
        <f>Source!AV146</f>
        <v>1</v>
      </c>
      <c r="I269" s="26">
        <f>(ROUND((ROUND(((Source!ET146)*Source!AV146*Source!I146),2)),2)+ROUND((ROUND(((Source!AE146-(Source!EU146))*Source!AV146*Source!I146),2)),2))</f>
        <v>0.47</v>
      </c>
      <c r="J269" s="10">
        <f>IF(Source!BB146&lt;&gt; 0, Source!BB146, 1)</f>
        <v>8.0399999999999991</v>
      </c>
      <c r="K269" s="26">
        <f>Source!Q146</f>
        <v>3.78</v>
      </c>
    </row>
    <row r="270" spans="1:27" ht="14.25" x14ac:dyDescent="0.2">
      <c r="A270" s="22"/>
      <c r="B270" s="23"/>
      <c r="C270" s="23" t="s">
        <v>447</v>
      </c>
      <c r="D270" s="24"/>
      <c r="E270" s="10"/>
      <c r="F270" s="26">
        <f>Source!AN146</f>
        <v>7.0000000000000007E-2</v>
      </c>
      <c r="G270" s="25" t="str">
        <f>Source!DF146</f>
        <v/>
      </c>
      <c r="H270" s="10">
        <f>Source!AV146</f>
        <v>1</v>
      </c>
      <c r="I270" s="27">
        <f>ROUND((ROUND((Source!AE146*Source!AV146*Source!I146),2)),2)</f>
        <v>7.0000000000000007E-2</v>
      </c>
      <c r="J270" s="10">
        <f>IF(Source!BS146&lt;&gt; 0, Source!BS146, 1)</f>
        <v>23.94</v>
      </c>
      <c r="K270" s="27">
        <f>Source!R146</f>
        <v>1.68</v>
      </c>
      <c r="W270">
        <f>I270</f>
        <v>7.0000000000000007E-2</v>
      </c>
    </row>
    <row r="271" spans="1:27" ht="14.25" x14ac:dyDescent="0.2">
      <c r="A271" s="22"/>
      <c r="B271" s="23"/>
      <c r="C271" s="23" t="s">
        <v>454</v>
      </c>
      <c r="D271" s="24"/>
      <c r="E271" s="10"/>
      <c r="F271" s="26">
        <f>Source!AL146</f>
        <v>7.35</v>
      </c>
      <c r="G271" s="25" t="str">
        <f>Source!DD146</f>
        <v/>
      </c>
      <c r="H271" s="10">
        <f>Source!AW146</f>
        <v>1</v>
      </c>
      <c r="I271" s="26">
        <f>ROUND((ROUND((Source!AC146*Source!AW146*Source!I146),2)),2)</f>
        <v>7.35</v>
      </c>
      <c r="J271" s="10">
        <f>IF(Source!BC146&lt;&gt; 0, Source!BC146, 1)</f>
        <v>5.48</v>
      </c>
      <c r="K271" s="26">
        <f>Source!P146</f>
        <v>40.28</v>
      </c>
    </row>
    <row r="272" spans="1:27" ht="57" x14ac:dyDescent="0.2">
      <c r="A272" s="22" t="str">
        <f>Source!E147</f>
        <v>24,1</v>
      </c>
      <c r="B272" s="23" t="str">
        <f>Source!F147</f>
        <v>1.21-5-1048</v>
      </c>
      <c r="C272" s="23" t="s">
        <v>317</v>
      </c>
      <c r="D272" s="24" t="str">
        <f>Source!H147</f>
        <v>шт.</v>
      </c>
      <c r="E272" s="10">
        <f>Source!I147</f>
        <v>1</v>
      </c>
      <c r="F272" s="26">
        <f>Source!AK147</f>
        <v>167.72</v>
      </c>
      <c r="G272" s="30" t="s">
        <v>3</v>
      </c>
      <c r="H272" s="10">
        <f>Source!AW147</f>
        <v>1</v>
      </c>
      <c r="I272" s="26">
        <f>ROUND((ROUND((Source!AC147*Source!AW147*Source!I147),2)),2)+(ROUND((ROUND(((Source!ET147)*Source!AV147*Source!I147),2)),2)+ROUND((ROUND(((Source!AE147-(Source!EU147))*Source!AV147*Source!I147),2)),2))+ROUND((ROUND((Source!AF147*Source!AV147*Source!I147),2)),2)</f>
        <v>167.72</v>
      </c>
      <c r="J272" s="10">
        <f>IF(Source!BC147&lt;&gt; 0, Source!BC147, 1)</f>
        <v>3.69</v>
      </c>
      <c r="K272" s="26">
        <f>Source!O147</f>
        <v>618.89</v>
      </c>
      <c r="Q272">
        <f>ROUND((Source!DN147/100)*ROUND((ROUND((Source!AF147*Source!AV147*Source!I147),2)),2), 2)</f>
        <v>0</v>
      </c>
      <c r="R272">
        <f>Source!X147</f>
        <v>0</v>
      </c>
      <c r="S272">
        <f>ROUND((Source!DO147/100)*ROUND((ROUND((Source!AF147*Source!AV147*Source!I147),2)),2), 2)</f>
        <v>0</v>
      </c>
      <c r="T272">
        <f>Source!Y147</f>
        <v>0</v>
      </c>
      <c r="U272">
        <f>ROUND((175/100)*ROUND((ROUND((Source!AE147*Source!AV147*Source!I147),2)),2), 2)</f>
        <v>0</v>
      </c>
      <c r="V272">
        <f>ROUND((157/100)*ROUND(ROUND((ROUND((Source!AE147*Source!AV147*Source!I147),2)*Source!BS147),2), 2), 2)</f>
        <v>0</v>
      </c>
      <c r="X272">
        <f>IF(Source!BI147&lt;=1,I272, 0)</f>
        <v>0</v>
      </c>
      <c r="Y272">
        <f>IF(Source!BI147=2,I272, 0)</f>
        <v>167.72</v>
      </c>
      <c r="Z272">
        <f>IF(Source!BI147=3,I272, 0)</f>
        <v>0</v>
      </c>
      <c r="AA272">
        <f>IF(Source!BI147=4,I272, 0)</f>
        <v>0</v>
      </c>
    </row>
    <row r="273" spans="1:27" ht="14.25" x14ac:dyDescent="0.2">
      <c r="A273" s="22"/>
      <c r="B273" s="23"/>
      <c r="C273" s="23" t="s">
        <v>448</v>
      </c>
      <c r="D273" s="24" t="s">
        <v>449</v>
      </c>
      <c r="E273" s="10">
        <f>Source!DN146</f>
        <v>112</v>
      </c>
      <c r="F273" s="26"/>
      <c r="G273" s="25"/>
      <c r="H273" s="10"/>
      <c r="I273" s="26">
        <f>SUM(Q267:Q272)</f>
        <v>13.44</v>
      </c>
      <c r="J273" s="10">
        <f>Source!BZ146</f>
        <v>90</v>
      </c>
      <c r="K273" s="26">
        <f>SUM(R267:R272)</f>
        <v>258.55</v>
      </c>
    </row>
    <row r="274" spans="1:27" ht="14.25" x14ac:dyDescent="0.2">
      <c r="A274" s="22"/>
      <c r="B274" s="23"/>
      <c r="C274" s="23" t="s">
        <v>450</v>
      </c>
      <c r="D274" s="24" t="s">
        <v>449</v>
      </c>
      <c r="E274" s="10">
        <f>Source!DO146</f>
        <v>70</v>
      </c>
      <c r="F274" s="26"/>
      <c r="G274" s="25"/>
      <c r="H274" s="10"/>
      <c r="I274" s="26">
        <f>SUM(S267:S273)</f>
        <v>8.4</v>
      </c>
      <c r="J274" s="10">
        <f>Source!CA146</f>
        <v>43</v>
      </c>
      <c r="K274" s="26">
        <f>SUM(T267:T273)</f>
        <v>123.53</v>
      </c>
    </row>
    <row r="275" spans="1:27" ht="14.25" x14ac:dyDescent="0.2">
      <c r="A275" s="22"/>
      <c r="B275" s="23"/>
      <c r="C275" s="23" t="s">
        <v>451</v>
      </c>
      <c r="D275" s="24" t="s">
        <v>449</v>
      </c>
      <c r="E275" s="10">
        <f>175</f>
        <v>175</v>
      </c>
      <c r="F275" s="26"/>
      <c r="G275" s="25"/>
      <c r="H275" s="10"/>
      <c r="I275" s="26">
        <f>SUM(U267:U274)</f>
        <v>0.12</v>
      </c>
      <c r="J275" s="10">
        <f>157</f>
        <v>157</v>
      </c>
      <c r="K275" s="26">
        <f>SUM(V267:V274)</f>
        <v>2.64</v>
      </c>
    </row>
    <row r="276" spans="1:27" ht="14.25" x14ac:dyDescent="0.2">
      <c r="A276" s="22"/>
      <c r="B276" s="23"/>
      <c r="C276" s="23" t="s">
        <v>452</v>
      </c>
      <c r="D276" s="24" t="s">
        <v>453</v>
      </c>
      <c r="E276" s="10">
        <f>Source!AQ146</f>
        <v>1.02</v>
      </c>
      <c r="F276" s="26"/>
      <c r="G276" s="25" t="str">
        <f>Source!DI146</f>
        <v/>
      </c>
      <c r="H276" s="10">
        <f>Source!AV146</f>
        <v>1</v>
      </c>
      <c r="I276" s="26">
        <f>Source!U146</f>
        <v>1.02</v>
      </c>
      <c r="J276" s="10"/>
      <c r="K276" s="26"/>
    </row>
    <row r="277" spans="1:27" ht="15" x14ac:dyDescent="0.25">
      <c r="A277" s="29"/>
      <c r="B277" s="29"/>
      <c r="C277" s="29"/>
      <c r="D277" s="29"/>
      <c r="E277" s="29"/>
      <c r="F277" s="29"/>
      <c r="G277" s="29"/>
      <c r="H277" s="58">
        <f>I268+I269+I271+I273+I274+I275+SUM(I272:I272)</f>
        <v>209.5</v>
      </c>
      <c r="I277" s="58"/>
      <c r="J277" s="58">
        <f>K268+K269+K271+K273+K274+K275+SUM(K272:K272)</f>
        <v>1334.9499999999998</v>
      </c>
      <c r="K277" s="58"/>
      <c r="O277" s="28">
        <f>I268+I269+I271+I273+I274+I275+SUM(I272:I272)</f>
        <v>209.5</v>
      </c>
      <c r="P277" s="28">
        <f>K268+K269+K271+K273+K274+K275+SUM(K272:K272)</f>
        <v>1334.9499999999998</v>
      </c>
      <c r="X277">
        <f>IF(Source!BI146&lt;=1,I268+I269+I271+I273+I274+I275-0, 0)</f>
        <v>0</v>
      </c>
      <c r="Y277">
        <f>IF(Source!BI146=2,I268+I269+I271+I273+I274+I275-0, 0)</f>
        <v>41.779999999999994</v>
      </c>
      <c r="Z277">
        <f>IF(Source!BI146=3,I268+I269+I271+I273+I274+I275-0, 0)</f>
        <v>0</v>
      </c>
      <c r="AA277">
        <f>IF(Source!BI146=4,I268+I269+I271+I273+I274+I275,0)</f>
        <v>0</v>
      </c>
    </row>
    <row r="278" spans="1:27" ht="28.5" x14ac:dyDescent="0.2">
      <c r="A278" s="22" t="str">
        <f>Source!E148</f>
        <v>25</v>
      </c>
      <c r="B278" s="23" t="str">
        <f>Source!F148</f>
        <v>4.8-57-4</v>
      </c>
      <c r="C278" s="23" t="s">
        <v>321</v>
      </c>
      <c r="D278" s="24" t="str">
        <f>Source!H148</f>
        <v>1  ШТ.</v>
      </c>
      <c r="E278" s="10">
        <f>Source!I148</f>
        <v>1</v>
      </c>
      <c r="F278" s="26"/>
      <c r="G278" s="25"/>
      <c r="H278" s="10"/>
      <c r="I278" s="26"/>
      <c r="J278" s="10"/>
      <c r="K278" s="26"/>
      <c r="Q278">
        <f>ROUND((Source!DN148/100)*ROUND((ROUND((Source!AF148*Source!AV148*Source!I148),2)),2), 2)</f>
        <v>14.56</v>
      </c>
      <c r="R278">
        <f>Source!X148</f>
        <v>280.10000000000002</v>
      </c>
      <c r="S278">
        <f>ROUND((Source!DO148/100)*ROUND((ROUND((Source!AF148*Source!AV148*Source!I148),2)),2), 2)</f>
        <v>9.1</v>
      </c>
      <c r="T278">
        <f>Source!Y148</f>
        <v>133.82</v>
      </c>
      <c r="U278">
        <f>ROUND((175/100)*ROUND((ROUND((Source!AE148*Source!AV148*Source!I148),2)),2), 2)</f>
        <v>3.45</v>
      </c>
      <c r="V278">
        <f>ROUND((157/100)*ROUND(ROUND((ROUND((Source!AE148*Source!AV148*Source!I148),2)*Source!BS148),2), 2), 2)</f>
        <v>74.040000000000006</v>
      </c>
    </row>
    <row r="279" spans="1:27" ht="14.25" x14ac:dyDescent="0.2">
      <c r="A279" s="22"/>
      <c r="B279" s="23"/>
      <c r="C279" s="23" t="s">
        <v>445</v>
      </c>
      <c r="D279" s="24"/>
      <c r="E279" s="10"/>
      <c r="F279" s="26">
        <f>Source!AO148</f>
        <v>13</v>
      </c>
      <c r="G279" s="25" t="str">
        <f>Source!DG148</f>
        <v/>
      </c>
      <c r="H279" s="10">
        <f>Source!AV148</f>
        <v>1</v>
      </c>
      <c r="I279" s="26">
        <f>ROUND((ROUND((Source!AF148*Source!AV148*Source!I148),2)),2)</f>
        <v>13</v>
      </c>
      <c r="J279" s="10">
        <f>IF(Source!BA148&lt;&gt; 0, Source!BA148, 1)</f>
        <v>23.94</v>
      </c>
      <c r="K279" s="26">
        <f>Source!S148</f>
        <v>311.22000000000003</v>
      </c>
      <c r="W279">
        <f>I279</f>
        <v>13</v>
      </c>
    </row>
    <row r="280" spans="1:27" ht="14.25" x14ac:dyDescent="0.2">
      <c r="A280" s="22"/>
      <c r="B280" s="23"/>
      <c r="C280" s="23" t="s">
        <v>446</v>
      </c>
      <c r="D280" s="24"/>
      <c r="E280" s="10"/>
      <c r="F280" s="26">
        <f>Source!AM148</f>
        <v>8.4700000000000006</v>
      </c>
      <c r="G280" s="25" t="str">
        <f>Source!DE148</f>
        <v/>
      </c>
      <c r="H280" s="10">
        <f>Source!AV148</f>
        <v>1</v>
      </c>
      <c r="I280" s="26">
        <f>(ROUND((ROUND(((Source!ET148)*Source!AV148*Source!I148),2)),2)+ROUND((ROUND(((Source!AE148-(Source!EU148))*Source!AV148*Source!I148),2)),2))</f>
        <v>8.4700000000000006</v>
      </c>
      <c r="J280" s="10">
        <f>IF(Source!BB148&lt;&gt; 0, Source!BB148, 1)</f>
        <v>9.61</v>
      </c>
      <c r="K280" s="26">
        <f>Source!Q148</f>
        <v>81.400000000000006</v>
      </c>
    </row>
    <row r="281" spans="1:27" ht="14.25" x14ac:dyDescent="0.2">
      <c r="A281" s="22"/>
      <c r="B281" s="23"/>
      <c r="C281" s="23" t="s">
        <v>447</v>
      </c>
      <c r="D281" s="24"/>
      <c r="E281" s="10"/>
      <c r="F281" s="26">
        <f>Source!AN148</f>
        <v>1.97</v>
      </c>
      <c r="G281" s="25" t="str">
        <f>Source!DF148</f>
        <v/>
      </c>
      <c r="H281" s="10">
        <f>Source!AV148</f>
        <v>1</v>
      </c>
      <c r="I281" s="27">
        <f>ROUND((ROUND((Source!AE148*Source!AV148*Source!I148),2)),2)</f>
        <v>1.97</v>
      </c>
      <c r="J281" s="10">
        <f>IF(Source!BS148&lt;&gt; 0, Source!BS148, 1)</f>
        <v>23.94</v>
      </c>
      <c r="K281" s="27">
        <f>Source!R148</f>
        <v>47.16</v>
      </c>
      <c r="W281">
        <f>I281</f>
        <v>1.97</v>
      </c>
    </row>
    <row r="282" spans="1:27" ht="14.25" x14ac:dyDescent="0.2">
      <c r="A282" s="22"/>
      <c r="B282" s="23"/>
      <c r="C282" s="23" t="s">
        <v>454</v>
      </c>
      <c r="D282" s="24"/>
      <c r="E282" s="10"/>
      <c r="F282" s="26">
        <f>Source!AL148</f>
        <v>1.33</v>
      </c>
      <c r="G282" s="25" t="str">
        <f>Source!DD148</f>
        <v/>
      </c>
      <c r="H282" s="10">
        <f>Source!AW148</f>
        <v>1</v>
      </c>
      <c r="I282" s="26">
        <f>ROUND((ROUND((Source!AC148*Source!AW148*Source!I148),2)),2)</f>
        <v>1.33</v>
      </c>
      <c r="J282" s="10">
        <f>IF(Source!BC148&lt;&gt; 0, Source!BC148, 1)</f>
        <v>5.48</v>
      </c>
      <c r="K282" s="26">
        <f>Source!P148</f>
        <v>7.29</v>
      </c>
    </row>
    <row r="283" spans="1:27" ht="57" x14ac:dyDescent="0.2">
      <c r="A283" s="22" t="str">
        <f>Source!E149</f>
        <v>25,1</v>
      </c>
      <c r="B283" s="23" t="str">
        <f>Source!F149</f>
        <v>П. 36 Конъюнктурного анализа</v>
      </c>
      <c r="C283" s="23" t="s">
        <v>325</v>
      </c>
      <c r="D283" s="24" t="str">
        <f>Source!H149</f>
        <v>шт.</v>
      </c>
      <c r="E283" s="10">
        <f>Source!I149</f>
        <v>1</v>
      </c>
      <c r="F283" s="26">
        <f>Source!AK149</f>
        <v>642.52</v>
      </c>
      <c r="G283" s="30" t="s">
        <v>3</v>
      </c>
      <c r="H283" s="10">
        <f>Source!AW149</f>
        <v>1</v>
      </c>
      <c r="I283" s="26">
        <f>ROUND((ROUND((Source!AC149*Source!AW149*Source!I149),2)),2)+(ROUND((ROUND(((Source!ET149)*Source!AV149*Source!I149),2)),2)+ROUND((ROUND(((Source!AE149-(Source!EU149))*Source!AV149*Source!I149),2)),2))+ROUND((ROUND((Source!AF149*Source!AV149*Source!I149),2)),2)</f>
        <v>642.52</v>
      </c>
      <c r="J283" s="10">
        <f>IF(Source!BC149&lt;&gt; 0, Source!BC149, 1)</f>
        <v>5.43</v>
      </c>
      <c r="K283" s="26">
        <f>Source!O149</f>
        <v>3488.88</v>
      </c>
      <c r="Q283">
        <f>ROUND((Source!DN149/100)*ROUND((ROUND((Source!AF149*Source!AV149*Source!I149),2)),2), 2)</f>
        <v>0</v>
      </c>
      <c r="R283">
        <f>Source!X149</f>
        <v>0</v>
      </c>
      <c r="S283">
        <f>ROUND((Source!DO149/100)*ROUND((ROUND((Source!AF149*Source!AV149*Source!I149),2)),2), 2)</f>
        <v>0</v>
      </c>
      <c r="T283">
        <f>Source!Y149</f>
        <v>0</v>
      </c>
      <c r="U283">
        <f>ROUND((175/100)*ROUND((ROUND((Source!AE149*Source!AV149*Source!I149),2)),2), 2)</f>
        <v>0</v>
      </c>
      <c r="V283">
        <f>ROUND((157/100)*ROUND(ROUND((ROUND((Source!AE149*Source!AV149*Source!I149),2)*Source!BS149),2), 2), 2)</f>
        <v>0</v>
      </c>
      <c r="X283">
        <f>IF(Source!BI149&lt;=1,I283, 0)</f>
        <v>0</v>
      </c>
      <c r="Y283">
        <f>IF(Source!BI149=2,I283, 0)</f>
        <v>642.52</v>
      </c>
      <c r="Z283">
        <f>IF(Source!BI149=3,I283, 0)</f>
        <v>0</v>
      </c>
      <c r="AA283">
        <f>IF(Source!BI149=4,I283, 0)</f>
        <v>0</v>
      </c>
    </row>
    <row r="284" spans="1:27" ht="14.25" x14ac:dyDescent="0.2">
      <c r="A284" s="22"/>
      <c r="B284" s="23"/>
      <c r="C284" s="23" t="s">
        <v>448</v>
      </c>
      <c r="D284" s="24" t="s">
        <v>449</v>
      </c>
      <c r="E284" s="10">
        <f>Source!DN148</f>
        <v>112</v>
      </c>
      <c r="F284" s="26"/>
      <c r="G284" s="25"/>
      <c r="H284" s="10"/>
      <c r="I284" s="26">
        <f>SUM(Q278:Q283)</f>
        <v>14.56</v>
      </c>
      <c r="J284" s="10">
        <f>Source!BZ148</f>
        <v>90</v>
      </c>
      <c r="K284" s="26">
        <f>SUM(R278:R283)</f>
        <v>280.10000000000002</v>
      </c>
    </row>
    <row r="285" spans="1:27" ht="14.25" x14ac:dyDescent="0.2">
      <c r="A285" s="22"/>
      <c r="B285" s="23"/>
      <c r="C285" s="23" t="s">
        <v>450</v>
      </c>
      <c r="D285" s="24" t="s">
        <v>449</v>
      </c>
      <c r="E285" s="10">
        <f>Source!DO148</f>
        <v>70</v>
      </c>
      <c r="F285" s="26"/>
      <c r="G285" s="25"/>
      <c r="H285" s="10"/>
      <c r="I285" s="26">
        <f>SUM(S278:S284)</f>
        <v>9.1</v>
      </c>
      <c r="J285" s="10">
        <f>Source!CA148</f>
        <v>43</v>
      </c>
      <c r="K285" s="26">
        <f>SUM(T278:T284)</f>
        <v>133.82</v>
      </c>
    </row>
    <row r="286" spans="1:27" ht="14.25" x14ac:dyDescent="0.2">
      <c r="A286" s="22"/>
      <c r="B286" s="23"/>
      <c r="C286" s="23" t="s">
        <v>451</v>
      </c>
      <c r="D286" s="24" t="s">
        <v>449</v>
      </c>
      <c r="E286" s="10">
        <f>175</f>
        <v>175</v>
      </c>
      <c r="F286" s="26"/>
      <c r="G286" s="25"/>
      <c r="H286" s="10"/>
      <c r="I286" s="26">
        <f>SUM(U278:U285)</f>
        <v>3.45</v>
      </c>
      <c r="J286" s="10">
        <f>157</f>
        <v>157</v>
      </c>
      <c r="K286" s="26">
        <f>SUM(V278:V285)</f>
        <v>74.040000000000006</v>
      </c>
    </row>
    <row r="287" spans="1:27" ht="14.25" x14ac:dyDescent="0.2">
      <c r="A287" s="22"/>
      <c r="B287" s="23"/>
      <c r="C287" s="23" t="s">
        <v>452</v>
      </c>
      <c r="D287" s="24" t="s">
        <v>453</v>
      </c>
      <c r="E287" s="10">
        <f>Source!AQ148</f>
        <v>1.03</v>
      </c>
      <c r="F287" s="26"/>
      <c r="G287" s="25" t="str">
        <f>Source!DI148</f>
        <v/>
      </c>
      <c r="H287" s="10">
        <f>Source!AV148</f>
        <v>1</v>
      </c>
      <c r="I287" s="26">
        <f>Source!U148</f>
        <v>1.03</v>
      </c>
      <c r="J287" s="10"/>
      <c r="K287" s="26"/>
    </row>
    <row r="288" spans="1:27" ht="15" x14ac:dyDescent="0.25">
      <c r="A288" s="29"/>
      <c r="B288" s="29"/>
      <c r="C288" s="29"/>
      <c r="D288" s="29"/>
      <c r="E288" s="29"/>
      <c r="F288" s="29"/>
      <c r="G288" s="29"/>
      <c r="H288" s="58">
        <f>I279+I280+I282+I284+I285+I286+SUM(I283:I283)</f>
        <v>692.43</v>
      </c>
      <c r="I288" s="58"/>
      <c r="J288" s="58">
        <f>K279+K280+K282+K284+K285+K286+SUM(K283:K283)</f>
        <v>4376.75</v>
      </c>
      <c r="K288" s="58"/>
      <c r="O288" s="28">
        <f>I279+I280+I282+I284+I285+I286+SUM(I283:I283)</f>
        <v>692.43</v>
      </c>
      <c r="P288" s="28">
        <f>K279+K280+K282+K284+K285+K286+SUM(K283:K283)</f>
        <v>4376.75</v>
      </c>
      <c r="X288">
        <f>IF(Source!BI148&lt;=1,I279+I280+I282+I284+I285+I286-0, 0)</f>
        <v>0</v>
      </c>
      <c r="Y288">
        <f>IF(Source!BI148=2,I279+I280+I282+I284+I285+I286-0, 0)</f>
        <v>49.910000000000004</v>
      </c>
      <c r="Z288">
        <f>IF(Source!BI148=3,I279+I280+I282+I284+I285+I286-0, 0)</f>
        <v>0</v>
      </c>
      <c r="AA288">
        <f>IF(Source!BI148=4,I279+I280+I282+I284+I285+I286,0)</f>
        <v>0</v>
      </c>
    </row>
    <row r="289" spans="1:27" ht="28.5" x14ac:dyDescent="0.2">
      <c r="A289" s="22" t="str">
        <f>Source!E150</f>
        <v>26</v>
      </c>
      <c r="B289" s="23" t="str">
        <f>Source!F150</f>
        <v>4.8-243-10</v>
      </c>
      <c r="C289" s="23" t="s">
        <v>329</v>
      </c>
      <c r="D289" s="24" t="str">
        <f>Source!H150</f>
        <v>100 шт.</v>
      </c>
      <c r="E289" s="10">
        <f>Source!I150</f>
        <v>0.02</v>
      </c>
      <c r="F289" s="26"/>
      <c r="G289" s="25"/>
      <c r="H289" s="10"/>
      <c r="I289" s="26"/>
      <c r="J289" s="10"/>
      <c r="K289" s="26"/>
      <c r="Q289">
        <f>ROUND((Source!DN150/100)*ROUND((ROUND((Source!AF150*Source!AV150*Source!I150),2)),2), 2)</f>
        <v>20.38</v>
      </c>
      <c r="R289">
        <f>Source!X150</f>
        <v>392.14</v>
      </c>
      <c r="S289">
        <f>ROUND((Source!DO150/100)*ROUND((ROUND((Source!AF150*Source!AV150*Source!I150),2)),2), 2)</f>
        <v>12.74</v>
      </c>
      <c r="T289">
        <f>Source!Y150</f>
        <v>187.36</v>
      </c>
      <c r="U289">
        <f>ROUND((175/100)*ROUND((ROUND((Source!AE150*Source!AV150*Source!I150),2)),2), 2)</f>
        <v>0.46</v>
      </c>
      <c r="V289">
        <f>ROUND((157/100)*ROUND(ROUND((ROUND((Source!AE150*Source!AV150*Source!I150),2)*Source!BS150),2), 2), 2)</f>
        <v>9.77</v>
      </c>
    </row>
    <row r="290" spans="1:27" ht="14.25" x14ac:dyDescent="0.2">
      <c r="A290" s="22"/>
      <c r="B290" s="23"/>
      <c r="C290" s="23" t="s">
        <v>445</v>
      </c>
      <c r="D290" s="24"/>
      <c r="E290" s="10"/>
      <c r="F290" s="26">
        <f>Source!AO150</f>
        <v>910</v>
      </c>
      <c r="G290" s="25" t="str">
        <f>Source!DG150</f>
        <v/>
      </c>
      <c r="H290" s="10">
        <f>Source!AV150</f>
        <v>1</v>
      </c>
      <c r="I290" s="26">
        <f>ROUND((ROUND((Source!AF150*Source!AV150*Source!I150),2)),2)</f>
        <v>18.2</v>
      </c>
      <c r="J290" s="10">
        <f>IF(Source!BA150&lt;&gt; 0, Source!BA150, 1)</f>
        <v>23.94</v>
      </c>
      <c r="K290" s="26">
        <f>Source!S150</f>
        <v>435.71</v>
      </c>
      <c r="W290">
        <f>I290</f>
        <v>18.2</v>
      </c>
    </row>
    <row r="291" spans="1:27" ht="14.25" x14ac:dyDescent="0.2">
      <c r="A291" s="22"/>
      <c r="B291" s="23"/>
      <c r="C291" s="23" t="s">
        <v>446</v>
      </c>
      <c r="D291" s="24"/>
      <c r="E291" s="10"/>
      <c r="F291" s="26">
        <f>Source!AM150</f>
        <v>182.91</v>
      </c>
      <c r="G291" s="25" t="str">
        <f>Source!DE150</f>
        <v/>
      </c>
      <c r="H291" s="10">
        <f>Source!AV150</f>
        <v>1</v>
      </c>
      <c r="I291" s="26">
        <f>(ROUND((ROUND(((Source!ET150)*Source!AV150*Source!I150),2)),2)+ROUND((ROUND(((Source!AE150-(Source!EU150))*Source!AV150*Source!I150),2)),2))</f>
        <v>3.66</v>
      </c>
      <c r="J291" s="10">
        <f>IF(Source!BB150&lt;&gt; 0, Source!BB150, 1)</f>
        <v>6.58</v>
      </c>
      <c r="K291" s="26">
        <f>Source!Q150</f>
        <v>24.08</v>
      </c>
    </row>
    <row r="292" spans="1:27" ht="14.25" x14ac:dyDescent="0.2">
      <c r="A292" s="22"/>
      <c r="B292" s="23"/>
      <c r="C292" s="23" t="s">
        <v>447</v>
      </c>
      <c r="D292" s="24"/>
      <c r="E292" s="10"/>
      <c r="F292" s="26">
        <f>Source!AN150</f>
        <v>12.88</v>
      </c>
      <c r="G292" s="25" t="str">
        <f>Source!DF150</f>
        <v/>
      </c>
      <c r="H292" s="10">
        <f>Source!AV150</f>
        <v>1</v>
      </c>
      <c r="I292" s="27">
        <f>ROUND((ROUND((Source!AE150*Source!AV150*Source!I150),2)),2)</f>
        <v>0.26</v>
      </c>
      <c r="J292" s="10">
        <f>IF(Source!BS150&lt;&gt; 0, Source!BS150, 1)</f>
        <v>23.94</v>
      </c>
      <c r="K292" s="27">
        <f>Source!R150</f>
        <v>6.22</v>
      </c>
      <c r="W292">
        <f>I292</f>
        <v>0.26</v>
      </c>
    </row>
    <row r="293" spans="1:27" ht="14.25" x14ac:dyDescent="0.2">
      <c r="A293" s="22"/>
      <c r="B293" s="23"/>
      <c r="C293" s="23" t="s">
        <v>454</v>
      </c>
      <c r="D293" s="24"/>
      <c r="E293" s="10"/>
      <c r="F293" s="26">
        <f>Source!AL150</f>
        <v>87.5</v>
      </c>
      <c r="G293" s="25" t="str">
        <f>Source!DD150</f>
        <v/>
      </c>
      <c r="H293" s="10">
        <f>Source!AW150</f>
        <v>1</v>
      </c>
      <c r="I293" s="26">
        <f>ROUND((ROUND((Source!AC150*Source!AW150*Source!I150),2)),2)</f>
        <v>1.75</v>
      </c>
      <c r="J293" s="10">
        <f>IF(Source!BC150&lt;&gt; 0, Source!BC150, 1)</f>
        <v>5.48</v>
      </c>
      <c r="K293" s="26">
        <f>Source!P150</f>
        <v>9.59</v>
      </c>
    </row>
    <row r="294" spans="1:27" ht="85.5" x14ac:dyDescent="0.2">
      <c r="A294" s="22" t="str">
        <f>Source!E151</f>
        <v>26,1</v>
      </c>
      <c r="B294" s="23" t="str">
        <f>Source!F151</f>
        <v>1.21-5-747</v>
      </c>
      <c r="C294" s="23" t="s">
        <v>333</v>
      </c>
      <c r="D294" s="24" t="str">
        <f>Source!H151</f>
        <v>шт.</v>
      </c>
      <c r="E294" s="10">
        <f>Source!I151</f>
        <v>2</v>
      </c>
      <c r="F294" s="26">
        <f>Source!AK151</f>
        <v>8.35</v>
      </c>
      <c r="G294" s="30" t="s">
        <v>3</v>
      </c>
      <c r="H294" s="10">
        <f>Source!AW151</f>
        <v>1</v>
      </c>
      <c r="I294" s="26">
        <f>ROUND((ROUND((Source!AC151*Source!AW151*Source!I151),2)),2)+(ROUND((ROUND(((Source!ET151)*Source!AV151*Source!I151),2)),2)+ROUND((ROUND(((Source!AE151-(Source!EU151))*Source!AV151*Source!I151),2)),2))+ROUND((ROUND((Source!AF151*Source!AV151*Source!I151),2)),2)</f>
        <v>16.7</v>
      </c>
      <c r="J294" s="10">
        <f>IF(Source!BC151&lt;&gt; 0, Source!BC151, 1)</f>
        <v>7.27</v>
      </c>
      <c r="K294" s="26">
        <f>Source!O151</f>
        <v>121.41</v>
      </c>
      <c r="Q294">
        <f>ROUND((Source!DN151/100)*ROUND((ROUND((Source!AF151*Source!AV151*Source!I151),2)),2), 2)</f>
        <v>0</v>
      </c>
      <c r="R294">
        <f>Source!X151</f>
        <v>0</v>
      </c>
      <c r="S294">
        <f>ROUND((Source!DO151/100)*ROUND((ROUND((Source!AF151*Source!AV151*Source!I151),2)),2), 2)</f>
        <v>0</v>
      </c>
      <c r="T294">
        <f>Source!Y151</f>
        <v>0</v>
      </c>
      <c r="U294">
        <f>ROUND((175/100)*ROUND((ROUND((Source!AE151*Source!AV151*Source!I151),2)),2), 2)</f>
        <v>0</v>
      </c>
      <c r="V294">
        <f>ROUND((157/100)*ROUND(ROUND((ROUND((Source!AE151*Source!AV151*Source!I151),2)*Source!BS151),2), 2), 2)</f>
        <v>0</v>
      </c>
      <c r="X294">
        <f>IF(Source!BI151&lt;=1,I294, 0)</f>
        <v>0</v>
      </c>
      <c r="Y294">
        <f>IF(Source!BI151=2,I294, 0)</f>
        <v>16.7</v>
      </c>
      <c r="Z294">
        <f>IF(Source!BI151=3,I294, 0)</f>
        <v>0</v>
      </c>
      <c r="AA294">
        <f>IF(Source!BI151=4,I294, 0)</f>
        <v>0</v>
      </c>
    </row>
    <row r="295" spans="1:27" ht="14.25" x14ac:dyDescent="0.2">
      <c r="A295" s="22"/>
      <c r="B295" s="23"/>
      <c r="C295" s="23" t="s">
        <v>448</v>
      </c>
      <c r="D295" s="24" t="s">
        <v>449</v>
      </c>
      <c r="E295" s="10">
        <f>Source!DN150</f>
        <v>112</v>
      </c>
      <c r="F295" s="26"/>
      <c r="G295" s="25"/>
      <c r="H295" s="10"/>
      <c r="I295" s="26">
        <f>SUM(Q289:Q294)</f>
        <v>20.38</v>
      </c>
      <c r="J295" s="10">
        <f>Source!BZ150</f>
        <v>90</v>
      </c>
      <c r="K295" s="26">
        <f>SUM(R289:R294)</f>
        <v>392.14</v>
      </c>
    </row>
    <row r="296" spans="1:27" ht="14.25" x14ac:dyDescent="0.2">
      <c r="A296" s="22"/>
      <c r="B296" s="23"/>
      <c r="C296" s="23" t="s">
        <v>450</v>
      </c>
      <c r="D296" s="24" t="s">
        <v>449</v>
      </c>
      <c r="E296" s="10">
        <f>Source!DO150</f>
        <v>70</v>
      </c>
      <c r="F296" s="26"/>
      <c r="G296" s="25"/>
      <c r="H296" s="10"/>
      <c r="I296" s="26">
        <f>SUM(S289:S295)</f>
        <v>12.74</v>
      </c>
      <c r="J296" s="10">
        <f>Source!CA150</f>
        <v>43</v>
      </c>
      <c r="K296" s="26">
        <f>SUM(T289:T295)</f>
        <v>187.36</v>
      </c>
    </row>
    <row r="297" spans="1:27" ht="14.25" x14ac:dyDescent="0.2">
      <c r="A297" s="22"/>
      <c r="B297" s="23"/>
      <c r="C297" s="23" t="s">
        <v>451</v>
      </c>
      <c r="D297" s="24" t="s">
        <v>449</v>
      </c>
      <c r="E297" s="10">
        <f>175</f>
        <v>175</v>
      </c>
      <c r="F297" s="26"/>
      <c r="G297" s="25"/>
      <c r="H297" s="10"/>
      <c r="I297" s="26">
        <f>SUM(U289:U296)</f>
        <v>0.46</v>
      </c>
      <c r="J297" s="10">
        <f>157</f>
        <v>157</v>
      </c>
      <c r="K297" s="26">
        <f>SUM(V289:V296)</f>
        <v>9.77</v>
      </c>
    </row>
    <row r="298" spans="1:27" ht="14.25" x14ac:dyDescent="0.2">
      <c r="A298" s="22"/>
      <c r="B298" s="23"/>
      <c r="C298" s="23" t="s">
        <v>452</v>
      </c>
      <c r="D298" s="24" t="s">
        <v>453</v>
      </c>
      <c r="E298" s="10">
        <f>Source!AQ150</f>
        <v>70</v>
      </c>
      <c r="F298" s="26"/>
      <c r="G298" s="25" t="str">
        <f>Source!DI150</f>
        <v/>
      </c>
      <c r="H298" s="10">
        <f>Source!AV150</f>
        <v>1</v>
      </c>
      <c r="I298" s="26">
        <f>Source!U150</f>
        <v>1.4000000000000001</v>
      </c>
      <c r="J298" s="10"/>
      <c r="K298" s="26"/>
    </row>
    <row r="299" spans="1:27" ht="15" x14ac:dyDescent="0.25">
      <c r="A299" s="29"/>
      <c r="B299" s="29"/>
      <c r="C299" s="29"/>
      <c r="D299" s="29"/>
      <c r="E299" s="29"/>
      <c r="F299" s="29"/>
      <c r="G299" s="29"/>
      <c r="H299" s="58">
        <f>I290+I291+I293+I295+I296+I297+SUM(I294:I294)</f>
        <v>73.89</v>
      </c>
      <c r="I299" s="58"/>
      <c r="J299" s="58">
        <f>K290+K291+K293+K295+K296+K297+SUM(K294:K294)</f>
        <v>1180.0600000000002</v>
      </c>
      <c r="K299" s="58"/>
      <c r="O299" s="28">
        <f>I290+I291+I293+I295+I296+I297+SUM(I294:I294)</f>
        <v>73.89</v>
      </c>
      <c r="P299" s="28">
        <f>K290+K291+K293+K295+K296+K297+SUM(K294:K294)</f>
        <v>1180.0600000000002</v>
      </c>
      <c r="X299">
        <f>IF(Source!BI150&lt;=1,I290+I291+I293+I295+I296+I297-0, 0)</f>
        <v>0</v>
      </c>
      <c r="Y299">
        <f>IF(Source!BI150=2,I290+I291+I293+I295+I296+I297-0, 0)</f>
        <v>57.19</v>
      </c>
      <c r="Z299">
        <f>IF(Source!BI150=3,I290+I291+I293+I295+I296+I297-0, 0)</f>
        <v>0</v>
      </c>
      <c r="AA299">
        <f>IF(Source!BI150=4,I290+I291+I293+I295+I296+I297,0)</f>
        <v>0</v>
      </c>
    </row>
    <row r="300" spans="1:27" ht="85.5" x14ac:dyDescent="0.2">
      <c r="A300" s="22" t="str">
        <f>Source!E152</f>
        <v>27</v>
      </c>
      <c r="B300" s="23" t="str">
        <f>Source!F152</f>
        <v>4.8-165-2</v>
      </c>
      <c r="C300" s="23" t="s">
        <v>337</v>
      </c>
      <c r="D300" s="24" t="str">
        <f>Source!H152</f>
        <v>100 М КАБЕЛЯ</v>
      </c>
      <c r="E300" s="10">
        <f>Source!I152</f>
        <v>0.15</v>
      </c>
      <c r="F300" s="26"/>
      <c r="G300" s="25"/>
      <c r="H300" s="10"/>
      <c r="I300" s="26"/>
      <c r="J300" s="10"/>
      <c r="K300" s="26"/>
      <c r="Q300">
        <f>ROUND((Source!DN152/100)*ROUND((ROUND((Source!AF152*Source!AV152*Source!I152),2)),2), 2)</f>
        <v>39.979999999999997</v>
      </c>
      <c r="R300">
        <f>Source!X152</f>
        <v>769.19</v>
      </c>
      <c r="S300">
        <f>ROUND((Source!DO152/100)*ROUND((ROUND((Source!AF152*Source!AV152*Source!I152),2)),2), 2)</f>
        <v>24.99</v>
      </c>
      <c r="T300">
        <f>Source!Y152</f>
        <v>367.5</v>
      </c>
      <c r="U300">
        <f>ROUND((175/100)*ROUND((ROUND((Source!AE152*Source!AV152*Source!I152),2)),2), 2)</f>
        <v>9.36</v>
      </c>
      <c r="V300">
        <f>ROUND((157/100)*ROUND(ROUND((ROUND((Source!AE152*Source!AV152*Source!I152),2)*Source!BS152),2), 2), 2)</f>
        <v>201.09</v>
      </c>
    </row>
    <row r="301" spans="1:27" ht="14.25" x14ac:dyDescent="0.2">
      <c r="A301" s="22"/>
      <c r="B301" s="23"/>
      <c r="C301" s="23" t="s">
        <v>445</v>
      </c>
      <c r="D301" s="24"/>
      <c r="E301" s="10"/>
      <c r="F301" s="26">
        <f>Source!AO152</f>
        <v>237.97</v>
      </c>
      <c r="G301" s="25" t="str">
        <f>Source!DG152</f>
        <v/>
      </c>
      <c r="H301" s="10">
        <f>Source!AV152</f>
        <v>1</v>
      </c>
      <c r="I301" s="26">
        <f>ROUND((ROUND((Source!AF152*Source!AV152*Source!I152),2)),2)</f>
        <v>35.700000000000003</v>
      </c>
      <c r="J301" s="10">
        <f>IF(Source!BA152&lt;&gt; 0, Source!BA152, 1)</f>
        <v>23.94</v>
      </c>
      <c r="K301" s="26">
        <f>Source!S152</f>
        <v>854.66</v>
      </c>
      <c r="W301">
        <f>I301</f>
        <v>35.700000000000003</v>
      </c>
    </row>
    <row r="302" spans="1:27" ht="14.25" x14ac:dyDescent="0.2">
      <c r="A302" s="22"/>
      <c r="B302" s="23"/>
      <c r="C302" s="23" t="s">
        <v>446</v>
      </c>
      <c r="D302" s="24"/>
      <c r="E302" s="10"/>
      <c r="F302" s="26">
        <f>Source!AM152</f>
        <v>227.79</v>
      </c>
      <c r="G302" s="25" t="str">
        <f>Source!DE152</f>
        <v/>
      </c>
      <c r="H302" s="10">
        <f>Source!AV152</f>
        <v>1</v>
      </c>
      <c r="I302" s="26">
        <f>(ROUND((ROUND(((Source!ET152)*Source!AV152*Source!I152),2)),2)+ROUND((ROUND(((Source!AE152-(Source!EU152))*Source!AV152*Source!I152),2)),2))</f>
        <v>34.17</v>
      </c>
      <c r="J302" s="10">
        <f>IF(Source!BB152&lt;&gt; 0, Source!BB152, 1)</f>
        <v>8.1999999999999993</v>
      </c>
      <c r="K302" s="26">
        <f>Source!Q152</f>
        <v>280.19</v>
      </c>
    </row>
    <row r="303" spans="1:27" ht="14.25" x14ac:dyDescent="0.2">
      <c r="A303" s="22"/>
      <c r="B303" s="23"/>
      <c r="C303" s="23" t="s">
        <v>447</v>
      </c>
      <c r="D303" s="24"/>
      <c r="E303" s="10"/>
      <c r="F303" s="26">
        <f>Source!AN152</f>
        <v>35.69</v>
      </c>
      <c r="G303" s="25" t="str">
        <f>Source!DF152</f>
        <v/>
      </c>
      <c r="H303" s="10">
        <f>Source!AV152</f>
        <v>1</v>
      </c>
      <c r="I303" s="27">
        <f>ROUND((ROUND((Source!AE152*Source!AV152*Source!I152),2)),2)</f>
        <v>5.35</v>
      </c>
      <c r="J303" s="10">
        <f>IF(Source!BS152&lt;&gt; 0, Source!BS152, 1)</f>
        <v>23.94</v>
      </c>
      <c r="K303" s="27">
        <f>Source!R152</f>
        <v>128.08000000000001</v>
      </c>
      <c r="W303">
        <f>I303</f>
        <v>5.35</v>
      </c>
    </row>
    <row r="304" spans="1:27" ht="14.25" x14ac:dyDescent="0.2">
      <c r="A304" s="22"/>
      <c r="B304" s="23"/>
      <c r="C304" s="23" t="s">
        <v>454</v>
      </c>
      <c r="D304" s="24"/>
      <c r="E304" s="10"/>
      <c r="F304" s="26">
        <f>Source!AL152</f>
        <v>31.36</v>
      </c>
      <c r="G304" s="25" t="str">
        <f>Source!DD152</f>
        <v/>
      </c>
      <c r="H304" s="10">
        <f>Source!AW152</f>
        <v>1</v>
      </c>
      <c r="I304" s="26">
        <f>ROUND((ROUND((Source!AC152*Source!AW152*Source!I152),2)),2)</f>
        <v>4.7</v>
      </c>
      <c r="J304" s="10">
        <f>IF(Source!BC152&lt;&gt; 0, Source!BC152, 1)</f>
        <v>5.48</v>
      </c>
      <c r="K304" s="26">
        <f>Source!P152</f>
        <v>25.76</v>
      </c>
    </row>
    <row r="305" spans="1:27" ht="42.75" x14ac:dyDescent="0.2">
      <c r="A305" s="22" t="str">
        <f>Source!E153</f>
        <v>27,1</v>
      </c>
      <c r="B305" s="23" t="str">
        <f>Source!F153</f>
        <v>1.23-8-410</v>
      </c>
      <c r="C305" s="23" t="s">
        <v>341</v>
      </c>
      <c r="D305" s="24" t="str">
        <f>Source!H153</f>
        <v>км</v>
      </c>
      <c r="E305" s="10">
        <f>Source!I153</f>
        <v>1.5299999999999998E-2</v>
      </c>
      <c r="F305" s="26">
        <f>Source!AK153</f>
        <v>35059.26</v>
      </c>
      <c r="G305" s="30" t="s">
        <v>3</v>
      </c>
      <c r="H305" s="10">
        <f>Source!AW153</f>
        <v>1</v>
      </c>
      <c r="I305" s="26">
        <f>ROUND((ROUND((Source!AC153*Source!AW153*Source!I153),2)),2)+(ROUND((ROUND(((Source!ET153)*Source!AV153*Source!I153),2)),2)+ROUND((ROUND(((Source!AE153-(Source!EU153))*Source!AV153*Source!I153),2)),2))+ROUND((ROUND((Source!AF153*Source!AV153*Source!I153),2)),2)</f>
        <v>536.41</v>
      </c>
      <c r="J305" s="10">
        <f>IF(Source!BC153&lt;&gt; 0, Source!BC153, 1)</f>
        <v>3.8</v>
      </c>
      <c r="K305" s="26">
        <f>Source!O153</f>
        <v>2038.36</v>
      </c>
      <c r="Q305">
        <f>ROUND((Source!DN153/100)*ROUND((ROUND((Source!AF153*Source!AV153*Source!I153),2)),2), 2)</f>
        <v>0</v>
      </c>
      <c r="R305">
        <f>Source!X153</f>
        <v>0</v>
      </c>
      <c r="S305">
        <f>ROUND((Source!DO153/100)*ROUND((ROUND((Source!AF153*Source!AV153*Source!I153),2)),2), 2)</f>
        <v>0</v>
      </c>
      <c r="T305">
        <f>Source!Y153</f>
        <v>0</v>
      </c>
      <c r="U305">
        <f>ROUND((175/100)*ROUND((ROUND((Source!AE153*Source!AV153*Source!I153),2)),2), 2)</f>
        <v>0</v>
      </c>
      <c r="V305">
        <f>ROUND((157/100)*ROUND(ROUND((ROUND((Source!AE153*Source!AV153*Source!I153),2)*Source!BS153),2), 2), 2)</f>
        <v>0</v>
      </c>
      <c r="X305">
        <f>IF(Source!BI153&lt;=1,I305, 0)</f>
        <v>0</v>
      </c>
      <c r="Y305">
        <f>IF(Source!BI153=2,I305, 0)</f>
        <v>536.41</v>
      </c>
      <c r="Z305">
        <f>IF(Source!BI153=3,I305, 0)</f>
        <v>0</v>
      </c>
      <c r="AA305">
        <f>IF(Source!BI153=4,I305, 0)</f>
        <v>0</v>
      </c>
    </row>
    <row r="306" spans="1:27" ht="14.25" x14ac:dyDescent="0.2">
      <c r="A306" s="22"/>
      <c r="B306" s="23"/>
      <c r="C306" s="23" t="s">
        <v>448</v>
      </c>
      <c r="D306" s="24" t="s">
        <v>449</v>
      </c>
      <c r="E306" s="10">
        <f>Source!DN152</f>
        <v>112</v>
      </c>
      <c r="F306" s="26"/>
      <c r="G306" s="25"/>
      <c r="H306" s="10"/>
      <c r="I306" s="26">
        <f>SUM(Q300:Q305)</f>
        <v>39.979999999999997</v>
      </c>
      <c r="J306" s="10">
        <f>Source!BZ152</f>
        <v>90</v>
      </c>
      <c r="K306" s="26">
        <f>SUM(R300:R305)</f>
        <v>769.19</v>
      </c>
    </row>
    <row r="307" spans="1:27" ht="14.25" x14ac:dyDescent="0.2">
      <c r="A307" s="22"/>
      <c r="B307" s="23"/>
      <c r="C307" s="23" t="s">
        <v>450</v>
      </c>
      <c r="D307" s="24" t="s">
        <v>449</v>
      </c>
      <c r="E307" s="10">
        <f>Source!DO152</f>
        <v>70</v>
      </c>
      <c r="F307" s="26"/>
      <c r="G307" s="25"/>
      <c r="H307" s="10"/>
      <c r="I307" s="26">
        <f>SUM(S300:S306)</f>
        <v>24.99</v>
      </c>
      <c r="J307" s="10">
        <f>Source!CA152</f>
        <v>43</v>
      </c>
      <c r="K307" s="26">
        <f>SUM(T300:T306)</f>
        <v>367.5</v>
      </c>
    </row>
    <row r="308" spans="1:27" ht="14.25" x14ac:dyDescent="0.2">
      <c r="A308" s="22"/>
      <c r="B308" s="23"/>
      <c r="C308" s="23" t="s">
        <v>451</v>
      </c>
      <c r="D308" s="24" t="s">
        <v>449</v>
      </c>
      <c r="E308" s="10">
        <f>175</f>
        <v>175</v>
      </c>
      <c r="F308" s="26"/>
      <c r="G308" s="25"/>
      <c r="H308" s="10"/>
      <c r="I308" s="26">
        <f>SUM(U300:U307)</f>
        <v>9.36</v>
      </c>
      <c r="J308" s="10">
        <f>157</f>
        <v>157</v>
      </c>
      <c r="K308" s="26">
        <f>SUM(V300:V307)</f>
        <v>201.09</v>
      </c>
    </row>
    <row r="309" spans="1:27" ht="14.25" x14ac:dyDescent="0.2">
      <c r="A309" s="22"/>
      <c r="B309" s="23"/>
      <c r="C309" s="23" t="s">
        <v>452</v>
      </c>
      <c r="D309" s="24" t="s">
        <v>453</v>
      </c>
      <c r="E309" s="10">
        <f>Source!AQ152</f>
        <v>19.3</v>
      </c>
      <c r="F309" s="26"/>
      <c r="G309" s="25" t="str">
        <f>Source!DI152</f>
        <v/>
      </c>
      <c r="H309" s="10">
        <f>Source!AV152</f>
        <v>1</v>
      </c>
      <c r="I309" s="26">
        <f>Source!U152</f>
        <v>2.895</v>
      </c>
      <c r="J309" s="10"/>
      <c r="K309" s="26"/>
    </row>
    <row r="310" spans="1:27" ht="15" x14ac:dyDescent="0.25">
      <c r="A310" s="29"/>
      <c r="B310" s="29"/>
      <c r="C310" s="29"/>
      <c r="D310" s="29"/>
      <c r="E310" s="29"/>
      <c r="F310" s="29"/>
      <c r="G310" s="29"/>
      <c r="H310" s="58">
        <f>I301+I302+I304+I306+I307+I308+SUM(I305:I305)</f>
        <v>685.31</v>
      </c>
      <c r="I310" s="58"/>
      <c r="J310" s="58">
        <f>K301+K302+K304+K306+K307+K308+SUM(K305:K305)</f>
        <v>4536.75</v>
      </c>
      <c r="K310" s="58"/>
      <c r="O310" s="28">
        <f>I301+I302+I304+I306+I307+I308+SUM(I305:I305)</f>
        <v>685.31</v>
      </c>
      <c r="P310" s="28">
        <f>K301+K302+K304+K306+K307+K308+SUM(K305:K305)</f>
        <v>4536.75</v>
      </c>
      <c r="X310">
        <f>IF(Source!BI152&lt;=1,I301+I302+I304+I306+I307+I308-0, 0)</f>
        <v>0</v>
      </c>
      <c r="Y310">
        <f>IF(Source!BI152=2,I301+I302+I304+I306+I307+I308-0, 0)</f>
        <v>148.90000000000003</v>
      </c>
      <c r="Z310">
        <f>IF(Source!BI152=3,I301+I302+I304+I306+I307+I308-0, 0)</f>
        <v>0</v>
      </c>
      <c r="AA310">
        <f>IF(Source!BI152=4,I301+I302+I304+I306+I307+I308,0)</f>
        <v>0</v>
      </c>
    </row>
    <row r="311" spans="1:27" ht="42.75" x14ac:dyDescent="0.2">
      <c r="A311" s="22" t="str">
        <f>Source!E154</f>
        <v>28</v>
      </c>
      <c r="B311" s="23" t="str">
        <f>Source!F154</f>
        <v>4.8-168-1</v>
      </c>
      <c r="C311" s="23" t="s">
        <v>348</v>
      </c>
      <c r="D311" s="24" t="str">
        <f>Source!H154</f>
        <v>100 М ТРАССЫ</v>
      </c>
      <c r="E311" s="10">
        <f>Source!I154</f>
        <v>0.15</v>
      </c>
      <c r="F311" s="26"/>
      <c r="G311" s="25"/>
      <c r="H311" s="10"/>
      <c r="I311" s="26"/>
      <c r="J311" s="10"/>
      <c r="K311" s="26"/>
      <c r="Q311">
        <f>ROUND((Source!DN154/100)*ROUND((ROUND((Source!AF154*Source!AV154*Source!I154),2)),2), 2)</f>
        <v>68.349999999999994</v>
      </c>
      <c r="R311">
        <f>Source!X154</f>
        <v>1314.95</v>
      </c>
      <c r="S311">
        <f>ROUND((Source!DO154/100)*ROUND((ROUND((Source!AF154*Source!AV154*Source!I154),2)),2), 2)</f>
        <v>42.72</v>
      </c>
      <c r="T311">
        <f>Source!Y154</f>
        <v>628.26</v>
      </c>
      <c r="U311">
        <f>ROUND((175/100)*ROUND((ROUND((Source!AE154*Source!AV154*Source!I154),2)),2), 2)</f>
        <v>5.08</v>
      </c>
      <c r="V311">
        <f>ROUND((157/100)*ROUND(ROUND((ROUND((Source!AE154*Source!AV154*Source!I154),2)*Source!BS154),2), 2), 2)</f>
        <v>109.01</v>
      </c>
    </row>
    <row r="312" spans="1:27" ht="14.25" x14ac:dyDescent="0.2">
      <c r="A312" s="22"/>
      <c r="B312" s="23"/>
      <c r="C312" s="23" t="s">
        <v>445</v>
      </c>
      <c r="D312" s="24"/>
      <c r="E312" s="10"/>
      <c r="F312" s="26">
        <f>Source!AO154</f>
        <v>406.89</v>
      </c>
      <c r="G312" s="25" t="str">
        <f>Source!DG154</f>
        <v/>
      </c>
      <c r="H312" s="10">
        <f>Source!AV154</f>
        <v>1</v>
      </c>
      <c r="I312" s="26">
        <f>ROUND((ROUND((Source!AF154*Source!AV154*Source!I154),2)),2)</f>
        <v>61.03</v>
      </c>
      <c r="J312" s="10">
        <f>IF(Source!BA154&lt;&gt; 0, Source!BA154, 1)</f>
        <v>23.94</v>
      </c>
      <c r="K312" s="26">
        <f>Source!S154</f>
        <v>1461.06</v>
      </c>
      <c r="W312">
        <f>I312</f>
        <v>61.03</v>
      </c>
    </row>
    <row r="313" spans="1:27" ht="14.25" x14ac:dyDescent="0.2">
      <c r="A313" s="22"/>
      <c r="B313" s="23"/>
      <c r="C313" s="23" t="s">
        <v>446</v>
      </c>
      <c r="D313" s="24"/>
      <c r="E313" s="10"/>
      <c r="F313" s="26">
        <f>Source!AM154</f>
        <v>263.23</v>
      </c>
      <c r="G313" s="25" t="str">
        <f>Source!DE154</f>
        <v/>
      </c>
      <c r="H313" s="10">
        <f>Source!AV154</f>
        <v>1</v>
      </c>
      <c r="I313" s="26">
        <f>(ROUND((ROUND(((Source!ET154)*Source!AV154*Source!I154),2)),2)+ROUND((ROUND(((Source!AE154-(Source!EU154))*Source!AV154*Source!I154),2)),2))</f>
        <v>39.479999999999997</v>
      </c>
      <c r="J313" s="10">
        <f>IF(Source!BB154&lt;&gt; 0, Source!BB154, 1)</f>
        <v>6.64</v>
      </c>
      <c r="K313" s="26">
        <f>Source!Q154</f>
        <v>262.14999999999998</v>
      </c>
    </row>
    <row r="314" spans="1:27" ht="14.25" x14ac:dyDescent="0.2">
      <c r="A314" s="22"/>
      <c r="B314" s="23"/>
      <c r="C314" s="23" t="s">
        <v>447</v>
      </c>
      <c r="D314" s="24"/>
      <c r="E314" s="10"/>
      <c r="F314" s="26">
        <f>Source!AN154</f>
        <v>19.329999999999998</v>
      </c>
      <c r="G314" s="25" t="str">
        <f>Source!DF154</f>
        <v/>
      </c>
      <c r="H314" s="10">
        <f>Source!AV154</f>
        <v>1</v>
      </c>
      <c r="I314" s="27">
        <f>ROUND((ROUND((Source!AE154*Source!AV154*Source!I154),2)),2)</f>
        <v>2.9</v>
      </c>
      <c r="J314" s="10">
        <f>IF(Source!BS154&lt;&gt; 0, Source!BS154, 1)</f>
        <v>23.94</v>
      </c>
      <c r="K314" s="27">
        <f>Source!R154</f>
        <v>69.430000000000007</v>
      </c>
      <c r="W314">
        <f>I314</f>
        <v>2.9</v>
      </c>
    </row>
    <row r="315" spans="1:27" ht="14.25" x14ac:dyDescent="0.2">
      <c r="A315" s="22"/>
      <c r="B315" s="23"/>
      <c r="C315" s="23" t="s">
        <v>454</v>
      </c>
      <c r="D315" s="24"/>
      <c r="E315" s="10"/>
      <c r="F315" s="26">
        <f>Source!AL154</f>
        <v>15.47</v>
      </c>
      <c r="G315" s="25" t="str">
        <f>Source!DD154</f>
        <v/>
      </c>
      <c r="H315" s="10">
        <f>Source!AW154</f>
        <v>1</v>
      </c>
      <c r="I315" s="26">
        <f>ROUND((ROUND((Source!AC154*Source!AW154*Source!I154),2)),2)</f>
        <v>2.3199999999999998</v>
      </c>
      <c r="J315" s="10">
        <f>IF(Source!BC154&lt;&gt; 0, Source!BC154, 1)</f>
        <v>5.48</v>
      </c>
      <c r="K315" s="26">
        <f>Source!P154</f>
        <v>12.71</v>
      </c>
    </row>
    <row r="316" spans="1:27" ht="42.75" x14ac:dyDescent="0.2">
      <c r="A316" s="22" t="str">
        <f>Source!E155</f>
        <v>28,1</v>
      </c>
      <c r="B316" s="23" t="str">
        <f>Source!F155</f>
        <v>1.23-8-410</v>
      </c>
      <c r="C316" s="23" t="s">
        <v>341</v>
      </c>
      <c r="D316" s="24" t="str">
        <f>Source!H155</f>
        <v>км</v>
      </c>
      <c r="E316" s="10">
        <f>Source!I155</f>
        <v>1.5299999999999998E-2</v>
      </c>
      <c r="F316" s="26">
        <f>Source!AK155</f>
        <v>35059.26</v>
      </c>
      <c r="G316" s="30" t="s">
        <v>3</v>
      </c>
      <c r="H316" s="10">
        <f>Source!AW155</f>
        <v>1</v>
      </c>
      <c r="I316" s="26">
        <f>ROUND((ROUND((Source!AC155*Source!AW155*Source!I155),2)),2)+(ROUND((ROUND(((Source!ET155)*Source!AV155*Source!I155),2)),2)+ROUND((ROUND(((Source!AE155-(Source!EU155))*Source!AV155*Source!I155),2)),2))+ROUND((ROUND((Source!AF155*Source!AV155*Source!I155),2)),2)</f>
        <v>536.41</v>
      </c>
      <c r="J316" s="10">
        <f>IF(Source!BC155&lt;&gt; 0, Source!BC155, 1)</f>
        <v>3.8</v>
      </c>
      <c r="K316" s="26">
        <f>Source!O155</f>
        <v>2038.36</v>
      </c>
      <c r="Q316">
        <f>ROUND((Source!DN155/100)*ROUND((ROUND((Source!AF155*Source!AV155*Source!I155),2)),2), 2)</f>
        <v>0</v>
      </c>
      <c r="R316">
        <f>Source!X155</f>
        <v>0</v>
      </c>
      <c r="S316">
        <f>ROUND((Source!DO155/100)*ROUND((ROUND((Source!AF155*Source!AV155*Source!I155),2)),2), 2)</f>
        <v>0</v>
      </c>
      <c r="T316">
        <f>Source!Y155</f>
        <v>0</v>
      </c>
      <c r="U316">
        <f>ROUND((175/100)*ROUND((ROUND((Source!AE155*Source!AV155*Source!I155),2)),2), 2)</f>
        <v>0</v>
      </c>
      <c r="V316">
        <f>ROUND((157/100)*ROUND(ROUND((ROUND((Source!AE155*Source!AV155*Source!I155),2)*Source!BS155),2), 2), 2)</f>
        <v>0</v>
      </c>
      <c r="X316">
        <f>IF(Source!BI155&lt;=1,I316, 0)</f>
        <v>0</v>
      </c>
      <c r="Y316">
        <f>IF(Source!BI155=2,I316, 0)</f>
        <v>536.41</v>
      </c>
      <c r="Z316">
        <f>IF(Source!BI155=3,I316, 0)</f>
        <v>0</v>
      </c>
      <c r="AA316">
        <f>IF(Source!BI155=4,I316, 0)</f>
        <v>0</v>
      </c>
    </row>
    <row r="317" spans="1:27" ht="14.25" x14ac:dyDescent="0.2">
      <c r="A317" s="22"/>
      <c r="B317" s="23"/>
      <c r="C317" s="23" t="s">
        <v>448</v>
      </c>
      <c r="D317" s="24" t="s">
        <v>449</v>
      </c>
      <c r="E317" s="10">
        <f>Source!DN154</f>
        <v>112</v>
      </c>
      <c r="F317" s="26"/>
      <c r="G317" s="25"/>
      <c r="H317" s="10"/>
      <c r="I317" s="26">
        <f>SUM(Q311:Q316)</f>
        <v>68.349999999999994</v>
      </c>
      <c r="J317" s="10">
        <f>Source!BZ154</f>
        <v>90</v>
      </c>
      <c r="K317" s="26">
        <f>SUM(R311:R316)</f>
        <v>1314.95</v>
      </c>
    </row>
    <row r="318" spans="1:27" ht="14.25" x14ac:dyDescent="0.2">
      <c r="A318" s="22"/>
      <c r="B318" s="23"/>
      <c r="C318" s="23" t="s">
        <v>450</v>
      </c>
      <c r="D318" s="24" t="s">
        <v>449</v>
      </c>
      <c r="E318" s="10">
        <f>Source!DO154</f>
        <v>70</v>
      </c>
      <c r="F318" s="26"/>
      <c r="G318" s="25"/>
      <c r="H318" s="10"/>
      <c r="I318" s="26">
        <f>SUM(S311:S317)</f>
        <v>42.72</v>
      </c>
      <c r="J318" s="10">
        <f>Source!CA154</f>
        <v>43</v>
      </c>
      <c r="K318" s="26">
        <f>SUM(T311:T317)</f>
        <v>628.26</v>
      </c>
    </row>
    <row r="319" spans="1:27" ht="14.25" x14ac:dyDescent="0.2">
      <c r="A319" s="22"/>
      <c r="B319" s="23"/>
      <c r="C319" s="23" t="s">
        <v>451</v>
      </c>
      <c r="D319" s="24" t="s">
        <v>449</v>
      </c>
      <c r="E319" s="10">
        <f>175</f>
        <v>175</v>
      </c>
      <c r="F319" s="26"/>
      <c r="G319" s="25"/>
      <c r="H319" s="10"/>
      <c r="I319" s="26">
        <f>SUM(U311:U318)</f>
        <v>5.08</v>
      </c>
      <c r="J319" s="10">
        <f>157</f>
        <v>157</v>
      </c>
      <c r="K319" s="26">
        <f>SUM(V311:V318)</f>
        <v>109.01</v>
      </c>
    </row>
    <row r="320" spans="1:27" ht="14.25" x14ac:dyDescent="0.2">
      <c r="A320" s="22"/>
      <c r="B320" s="23"/>
      <c r="C320" s="23" t="s">
        <v>452</v>
      </c>
      <c r="D320" s="24" t="s">
        <v>453</v>
      </c>
      <c r="E320" s="10">
        <f>Source!AQ154</f>
        <v>33</v>
      </c>
      <c r="F320" s="26"/>
      <c r="G320" s="25" t="str">
        <f>Source!DI154</f>
        <v/>
      </c>
      <c r="H320" s="10">
        <f>Source!AV154</f>
        <v>1</v>
      </c>
      <c r="I320" s="26">
        <f>Source!U154</f>
        <v>4.95</v>
      </c>
      <c r="J320" s="10"/>
      <c r="K320" s="26"/>
    </row>
    <row r="321" spans="1:27" ht="15" x14ac:dyDescent="0.25">
      <c r="A321" s="29"/>
      <c r="B321" s="29"/>
      <c r="C321" s="29"/>
      <c r="D321" s="29"/>
      <c r="E321" s="29"/>
      <c r="F321" s="29"/>
      <c r="G321" s="29"/>
      <c r="H321" s="58">
        <f>I312+I313+I315+I317+I318+I319+SUM(I316:I316)</f>
        <v>755.39</v>
      </c>
      <c r="I321" s="58"/>
      <c r="J321" s="58">
        <f>K312+K313+K315+K317+K318+K319+SUM(K316:K316)</f>
        <v>5826.5</v>
      </c>
      <c r="K321" s="58"/>
      <c r="O321" s="28">
        <f>I312+I313+I315+I317+I318+I319+SUM(I316:I316)</f>
        <v>755.39</v>
      </c>
      <c r="P321" s="28">
        <f>K312+K313+K315+K317+K318+K319+SUM(K316:K316)</f>
        <v>5826.5</v>
      </c>
      <c r="X321">
        <f>IF(Source!BI154&lt;=1,I312+I313+I315+I317+I318+I319-0, 0)</f>
        <v>0</v>
      </c>
      <c r="Y321">
        <f>IF(Source!BI154=2,I312+I313+I315+I317+I318+I319-0, 0)</f>
        <v>218.98</v>
      </c>
      <c r="Z321">
        <f>IF(Source!BI154=3,I312+I313+I315+I317+I318+I319-0, 0)</f>
        <v>0</v>
      </c>
      <c r="AA321">
        <f>IF(Source!BI154=4,I312+I313+I315+I317+I318+I319,0)</f>
        <v>0</v>
      </c>
    </row>
    <row r="323" spans="1:27" ht="15" x14ac:dyDescent="0.25">
      <c r="A323" s="65" t="str">
        <f>CONCATENATE("Итого по разделу: ",IF(Source!G157&lt;&gt;"Новый раздел", Source!G157, ""))</f>
        <v>Итого по разделу: Щиты освещения.</v>
      </c>
      <c r="B323" s="65"/>
      <c r="C323" s="65"/>
      <c r="D323" s="65"/>
      <c r="E323" s="65"/>
      <c r="F323" s="65"/>
      <c r="G323" s="65"/>
      <c r="H323" s="63">
        <f>SUM(O211:O322)</f>
        <v>9381.33</v>
      </c>
      <c r="I323" s="64"/>
      <c r="J323" s="63">
        <f>SUM(P211:P322)</f>
        <v>67903.12</v>
      </c>
      <c r="K323" s="64"/>
    </row>
    <row r="324" spans="1:27" hidden="1" x14ac:dyDescent="0.2">
      <c r="A324" t="s">
        <v>455</v>
      </c>
      <c r="I324">
        <f>SUM(AC211:AC323)</f>
        <v>0</v>
      </c>
      <c r="J324">
        <f>SUM(AD211:AD323)</f>
        <v>0</v>
      </c>
    </row>
    <row r="325" spans="1:27" hidden="1" x14ac:dyDescent="0.2">
      <c r="A325" t="s">
        <v>456</v>
      </c>
      <c r="I325">
        <f>SUM(AE211:AE324)</f>
        <v>0</v>
      </c>
      <c r="J325">
        <f>SUM(AF211:AF324)</f>
        <v>0</v>
      </c>
    </row>
    <row r="327" spans="1:27" ht="15" x14ac:dyDescent="0.25">
      <c r="A327" s="65" t="str">
        <f>CONCATENATE("Итого по локальной смете: ",IF(Source!G187&lt;&gt;"Новая локальная смета", Source!G187, ""))</f>
        <v>Итого по локальной смете: Устройство наружного освещения</v>
      </c>
      <c r="B327" s="65"/>
      <c r="C327" s="65"/>
      <c r="D327" s="65"/>
      <c r="E327" s="65"/>
      <c r="F327" s="65"/>
      <c r="G327" s="65"/>
      <c r="H327" s="63">
        <f>SUM(O34:O326)</f>
        <v>541872.60000000009</v>
      </c>
      <c r="I327" s="64"/>
      <c r="J327" s="63">
        <f>SUM(P34:P326)</f>
        <v>4106061.0500000012</v>
      </c>
      <c r="K327" s="64"/>
    </row>
    <row r="328" spans="1:27" hidden="1" x14ac:dyDescent="0.2">
      <c r="A328" t="s">
        <v>455</v>
      </c>
      <c r="I328">
        <f>SUM(AC34:AC327)</f>
        <v>0</v>
      </c>
      <c r="J328">
        <f>SUM(AD34:AD327)</f>
        <v>0</v>
      </c>
    </row>
    <row r="329" spans="1:27" hidden="1" x14ac:dyDescent="0.2">
      <c r="A329" t="s">
        <v>456</v>
      </c>
      <c r="I329">
        <f>SUM(AE34:AE328)</f>
        <v>0</v>
      </c>
      <c r="J329">
        <f>SUM(AF34:AF328)</f>
        <v>0</v>
      </c>
    </row>
    <row r="332" spans="1:27" ht="14.25" x14ac:dyDescent="0.2">
      <c r="A332" s="66" t="s">
        <v>459</v>
      </c>
      <c r="B332" s="66"/>
      <c r="C332" s="33" t="str">
        <f>IF(Source!AC12&lt;&gt;"", Source!AC12," ")</f>
        <v xml:space="preserve"> </v>
      </c>
      <c r="D332" s="33"/>
      <c r="E332" s="33"/>
      <c r="F332" s="33"/>
      <c r="G332" s="33"/>
      <c r="H332" s="11" t="str">
        <f>IF(Source!AB12&lt;&gt;"", Source!AB12," ")</f>
        <v xml:space="preserve"> </v>
      </c>
      <c r="I332" s="11"/>
      <c r="J332" s="11"/>
      <c r="K332" s="11"/>
    </row>
    <row r="333" spans="1:27" ht="14.25" x14ac:dyDescent="0.2">
      <c r="A333" s="11"/>
      <c r="B333" s="11"/>
      <c r="C333" s="51" t="s">
        <v>460</v>
      </c>
      <c r="D333" s="51"/>
      <c r="E333" s="51"/>
      <c r="F333" s="51"/>
      <c r="G333" s="51"/>
      <c r="H333" s="11"/>
      <c r="I333" s="11"/>
      <c r="J333" s="11"/>
      <c r="K333" s="11"/>
    </row>
    <row r="334" spans="1:27" ht="14.25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spans="1:27" ht="14.25" x14ac:dyDescent="0.2">
      <c r="A335" s="66" t="s">
        <v>461</v>
      </c>
      <c r="B335" s="66"/>
      <c r="C335" s="33" t="str">
        <f>IF(Source!AE12&lt;&gt;"", Source!AE12," ")</f>
        <v xml:space="preserve"> </v>
      </c>
      <c r="D335" s="33"/>
      <c r="E335" s="33"/>
      <c r="F335" s="33"/>
      <c r="G335" s="33"/>
      <c r="H335" s="11" t="str">
        <f>IF(Source!AD12&lt;&gt;"", Source!AD12," ")</f>
        <v xml:space="preserve"> </v>
      </c>
      <c r="I335" s="11"/>
      <c r="J335" s="11"/>
      <c r="K335" s="11"/>
    </row>
    <row r="336" spans="1:27" ht="14.25" x14ac:dyDescent="0.2">
      <c r="A336" s="11"/>
      <c r="B336" s="11"/>
      <c r="C336" s="51" t="s">
        <v>460</v>
      </c>
      <c r="D336" s="51"/>
      <c r="E336" s="51"/>
      <c r="F336" s="51"/>
      <c r="G336" s="51"/>
      <c r="H336" s="11"/>
      <c r="I336" s="11"/>
      <c r="J336" s="11"/>
      <c r="K336" s="11"/>
    </row>
  </sheetData>
  <mergeCells count="99">
    <mergeCell ref="A335:B335"/>
    <mergeCell ref="C336:G336"/>
    <mergeCell ref="A323:G323"/>
    <mergeCell ref="J327:K327"/>
    <mergeCell ref="H327:I327"/>
    <mergeCell ref="A327:G327"/>
    <mergeCell ref="A332:B332"/>
    <mergeCell ref="C333:G333"/>
    <mergeCell ref="J310:K310"/>
    <mergeCell ref="H310:I310"/>
    <mergeCell ref="J321:K321"/>
    <mergeCell ref="H321:I321"/>
    <mergeCell ref="J323:K323"/>
    <mergeCell ref="H323:I323"/>
    <mergeCell ref="J277:K277"/>
    <mergeCell ref="H277:I277"/>
    <mergeCell ref="J288:K288"/>
    <mergeCell ref="H288:I288"/>
    <mergeCell ref="J299:K299"/>
    <mergeCell ref="H299:I299"/>
    <mergeCell ref="J251:K251"/>
    <mergeCell ref="H251:I251"/>
    <mergeCell ref="J258:K258"/>
    <mergeCell ref="H258:I258"/>
    <mergeCell ref="J266:K266"/>
    <mergeCell ref="H266:I266"/>
    <mergeCell ref="J222:K222"/>
    <mergeCell ref="H222:I222"/>
    <mergeCell ref="J224:K224"/>
    <mergeCell ref="H224:I224"/>
    <mergeCell ref="J239:K239"/>
    <mergeCell ref="H239:I239"/>
    <mergeCell ref="A211:K211"/>
    <mergeCell ref="J170:K170"/>
    <mergeCell ref="H170:I170"/>
    <mergeCell ref="J181:K181"/>
    <mergeCell ref="H181:I181"/>
    <mergeCell ref="J192:K192"/>
    <mergeCell ref="H192:I192"/>
    <mergeCell ref="J205:K205"/>
    <mergeCell ref="H205:I205"/>
    <mergeCell ref="J207:K207"/>
    <mergeCell ref="H207:I207"/>
    <mergeCell ref="A207:G207"/>
    <mergeCell ref="J147:K147"/>
    <mergeCell ref="H147:I147"/>
    <mergeCell ref="A147:G147"/>
    <mergeCell ref="A151:K151"/>
    <mergeCell ref="J160:K160"/>
    <mergeCell ref="H160:I160"/>
    <mergeCell ref="J122:K122"/>
    <mergeCell ref="H122:I122"/>
    <mergeCell ref="J134:K134"/>
    <mergeCell ref="H134:I134"/>
    <mergeCell ref="J145:K145"/>
    <mergeCell ref="H145:I145"/>
    <mergeCell ref="J102:K102"/>
    <mergeCell ref="H102:I102"/>
    <mergeCell ref="J107:K107"/>
    <mergeCell ref="H107:I107"/>
    <mergeCell ref="J113:K113"/>
    <mergeCell ref="H113:I113"/>
    <mergeCell ref="J67:K67"/>
    <mergeCell ref="H67:I67"/>
    <mergeCell ref="J80:K80"/>
    <mergeCell ref="H80:I80"/>
    <mergeCell ref="J91:K91"/>
    <mergeCell ref="H91:I91"/>
    <mergeCell ref="J56:K56"/>
    <mergeCell ref="H56:I56"/>
    <mergeCell ref="F25:H25"/>
    <mergeCell ref="F26:H26"/>
    <mergeCell ref="F27:H27"/>
    <mergeCell ref="F28:H28"/>
    <mergeCell ref="F30:H30"/>
    <mergeCell ref="A31:K31"/>
    <mergeCell ref="A35:K35"/>
    <mergeCell ref="J44:K44"/>
    <mergeCell ref="H44:I44"/>
    <mergeCell ref="J53:K53"/>
    <mergeCell ref="H53:I53"/>
    <mergeCell ref="F24:H24"/>
    <mergeCell ref="B7:E7"/>
    <mergeCell ref="G7:K7"/>
    <mergeCell ref="A10:K10"/>
    <mergeCell ref="A11:K11"/>
    <mergeCell ref="A13:K13"/>
    <mergeCell ref="A14:K14"/>
    <mergeCell ref="A16:K16"/>
    <mergeCell ref="A18:K18"/>
    <mergeCell ref="A19:K19"/>
    <mergeCell ref="A21:K21"/>
    <mergeCell ref="F23:H23"/>
    <mergeCell ref="B3:E3"/>
    <mergeCell ref="G3:K3"/>
    <mergeCell ref="B4:E4"/>
    <mergeCell ref="G4:K4"/>
    <mergeCell ref="B6:E6"/>
    <mergeCell ref="G6:K6"/>
  </mergeCells>
  <pageMargins left="0.4" right="0.2" top="0.2" bottom="0.4" header="0.2" footer="0.2"/>
  <pageSetup paperSize="9" scale="64" fitToHeight="0" orientation="portrait" r:id="rId1"/>
  <headerFooter>
    <oddHeader>&amp;L&amp;8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3"/>
  <sheetViews>
    <sheetView topLeftCell="A5" zoomScaleNormal="100" workbookViewId="0">
      <selection activeCell="A13" sqref="A13"/>
    </sheetView>
  </sheetViews>
  <sheetFormatPr defaultRowHeight="12.75" x14ac:dyDescent="0.2"/>
  <cols>
    <col min="1" max="1" width="6.7109375" customWidth="1"/>
    <col min="2" max="2" width="75.7109375" customWidth="1"/>
    <col min="3" max="5" width="15.7109375" customWidth="1"/>
    <col min="30" max="30" width="114.7109375" hidden="1" customWidth="1"/>
    <col min="31" max="31" width="0" hidden="1" customWidth="1"/>
  </cols>
  <sheetData>
    <row r="1" spans="1:30" x14ac:dyDescent="0.2">
      <c r="A1" s="9" t="str">
        <f>Source!B1</f>
        <v>Smeta.RU  (495) 974-1589</v>
      </c>
    </row>
    <row r="2" spans="1:30" ht="14.25" x14ac:dyDescent="0.2">
      <c r="C2" s="11"/>
      <c r="D2" s="11"/>
    </row>
    <row r="3" spans="1:30" ht="15" x14ac:dyDescent="0.25">
      <c r="C3" s="11"/>
      <c r="D3" s="32" t="s">
        <v>419</v>
      </c>
    </row>
    <row r="4" spans="1:30" ht="15" x14ac:dyDescent="0.25">
      <c r="C4" s="32"/>
      <c r="D4" s="32"/>
    </row>
    <row r="5" spans="1:30" ht="15" x14ac:dyDescent="0.25">
      <c r="C5" s="68" t="s">
        <v>462</v>
      </c>
      <c r="D5" s="68"/>
    </row>
    <row r="6" spans="1:30" ht="15" x14ac:dyDescent="0.25">
      <c r="C6" s="34"/>
      <c r="D6" s="34"/>
    </row>
    <row r="7" spans="1:30" ht="15" x14ac:dyDescent="0.25">
      <c r="C7" s="68" t="s">
        <v>462</v>
      </c>
      <c r="D7" s="68"/>
    </row>
    <row r="8" spans="1:30" ht="15" x14ac:dyDescent="0.25">
      <c r="C8" s="34"/>
      <c r="D8" s="34"/>
    </row>
    <row r="9" spans="1:30" ht="15" x14ac:dyDescent="0.25">
      <c r="C9" s="32" t="s">
        <v>463</v>
      </c>
      <c r="D9" s="11"/>
    </row>
    <row r="10" spans="1:30" ht="14.25" x14ac:dyDescent="0.2">
      <c r="A10" s="11"/>
      <c r="B10" s="11"/>
      <c r="C10" s="11"/>
      <c r="D10" s="11"/>
      <c r="E10" s="11"/>
    </row>
    <row r="11" spans="1:30" ht="15.75" x14ac:dyDescent="0.25">
      <c r="A11" s="69" t="str">
        <f>CONCATENATE("Дефектный акт ", IF(Source!AN15&lt;&gt;"", Source!AN15," "))</f>
        <v xml:space="preserve">Дефектный акт  </v>
      </c>
      <c r="B11" s="69"/>
      <c r="C11" s="69"/>
      <c r="D11" s="69"/>
      <c r="E11" s="11"/>
    </row>
    <row r="12" spans="1:30" ht="30" x14ac:dyDescent="0.25">
      <c r="A12" s="70" t="str">
        <f>CONCATENATE( " ", Source!G12)</f>
        <v xml:space="preserve"> Выполнение работ по благоустройству прилегающей территории</v>
      </c>
      <c r="B12" s="70"/>
      <c r="C12" s="70"/>
      <c r="D12" s="70"/>
      <c r="E12" s="11"/>
      <c r="AD12" s="36" t="str">
        <f>CONCATENATE("На капитальный ремонт ", Source!F12, " ", Source!G12)</f>
        <v>На капитальный ремонт 04-01-01_(Копия) Выполнение работ по благоустройству прилегающей территории</v>
      </c>
    </row>
    <row r="13" spans="1:30" ht="14.25" x14ac:dyDescent="0.2">
      <c r="A13" s="11"/>
      <c r="B13" s="11"/>
      <c r="C13" s="11"/>
      <c r="D13" s="11"/>
      <c r="E13" s="11"/>
    </row>
    <row r="14" spans="1:30" ht="15" x14ac:dyDescent="0.2">
      <c r="A14" s="11"/>
      <c r="B14" s="35" t="s">
        <v>464</v>
      </c>
      <c r="C14" s="11"/>
      <c r="D14" s="11"/>
      <c r="E14" s="11"/>
    </row>
    <row r="15" spans="1:30" ht="15" x14ac:dyDescent="0.2">
      <c r="A15" s="11"/>
      <c r="B15" s="35" t="s">
        <v>465</v>
      </c>
      <c r="C15" s="11"/>
      <c r="D15" s="11"/>
      <c r="E15" s="11"/>
    </row>
    <row r="16" spans="1:30" ht="15" x14ac:dyDescent="0.2">
      <c r="A16" s="11"/>
      <c r="B16" s="35" t="s">
        <v>466</v>
      </c>
      <c r="C16" s="11"/>
      <c r="D16" s="11"/>
      <c r="E16" s="11"/>
    </row>
    <row r="17" spans="1:5" ht="28.5" x14ac:dyDescent="0.2">
      <c r="A17" s="20" t="s">
        <v>467</v>
      </c>
      <c r="B17" s="20" t="s">
        <v>435</v>
      </c>
      <c r="C17" s="20" t="s">
        <v>436</v>
      </c>
      <c r="D17" s="20" t="s">
        <v>468</v>
      </c>
      <c r="E17" s="21" t="s">
        <v>469</v>
      </c>
    </row>
    <row r="18" spans="1:5" ht="14.25" x14ac:dyDescent="0.2">
      <c r="A18" s="37">
        <v>1</v>
      </c>
      <c r="B18" s="37">
        <v>2</v>
      </c>
      <c r="C18" s="37">
        <v>3</v>
      </c>
      <c r="D18" s="37">
        <v>4</v>
      </c>
      <c r="E18" s="38">
        <v>5</v>
      </c>
    </row>
    <row r="19" spans="1:5" ht="16.5" x14ac:dyDescent="0.25">
      <c r="A19" s="67" t="str">
        <f>CONCATENATE("Локальная смета: ", Source!G20)</f>
        <v>Локальная смета: Устройство наружного освещения</v>
      </c>
      <c r="B19" s="67"/>
      <c r="C19" s="67"/>
      <c r="D19" s="67"/>
      <c r="E19" s="67"/>
    </row>
    <row r="20" spans="1:5" ht="16.5" x14ac:dyDescent="0.25">
      <c r="A20" s="67" t="str">
        <f>CONCATENATE("Раздел: ", Source!G24)</f>
        <v>Раздел: Пракладка кабеля в траншеи</v>
      </c>
      <c r="B20" s="67"/>
      <c r="C20" s="67"/>
      <c r="D20" s="67"/>
      <c r="E20" s="67"/>
    </row>
    <row r="21" spans="1:5" ht="28.5" x14ac:dyDescent="0.2">
      <c r="A21" s="43" t="str">
        <f>Source!E28</f>
        <v>1</v>
      </c>
      <c r="B21" s="44" t="str">
        <f>Source!G28</f>
        <v>Разработка грунта в отвал экскаваторами с ковшом вместимостью 0,65 м3 группа грунтов 1-3</v>
      </c>
      <c r="C21" s="45" t="str">
        <f>Source!H28</f>
        <v>100 м3 грунта</v>
      </c>
      <c r="D21" s="46">
        <f>Source!I28</f>
        <v>3.2669999999999999</v>
      </c>
      <c r="E21" s="44"/>
    </row>
    <row r="22" spans="1:5" ht="28.5" x14ac:dyDescent="0.2">
      <c r="A22" s="43" t="str">
        <f>Source!E29</f>
        <v>2</v>
      </c>
      <c r="B22" s="44" t="str">
        <f>Source!G29</f>
        <v>Разработка грунта с погрузкой на автомобили-самосвалы экскаваторами с ковшом вместимостью 0,5 м3 группа грунтов 1-3</v>
      </c>
      <c r="C22" s="45" t="str">
        <f>Source!H29</f>
        <v>100 м3 грунта</v>
      </c>
      <c r="D22" s="46">
        <f>Source!I29</f>
        <v>1.8149999999999999</v>
      </c>
      <c r="E22" s="44"/>
    </row>
    <row r="23" spans="1:5" ht="28.5" x14ac:dyDescent="0.2">
      <c r="A23" s="43" t="str">
        <f>Source!E30</f>
        <v>3</v>
      </c>
      <c r="B23" s="44" t="str">
        <f>Source!G30</f>
        <v>Перевозка грунтов растительного слоя и торфов на расстояние до 41 км автосамосвалами грузоподъемностью до 20 т</v>
      </c>
      <c r="C23" s="45" t="str">
        <f>Source!H30</f>
        <v>т</v>
      </c>
      <c r="D23" s="46">
        <f>Source!I30</f>
        <v>254.1</v>
      </c>
      <c r="E23" s="44"/>
    </row>
    <row r="24" spans="1:5" ht="14.25" x14ac:dyDescent="0.2">
      <c r="A24" s="43" t="str">
        <f>Source!E31</f>
        <v>4</v>
      </c>
      <c r="B24" s="44" t="str">
        <f>Source!G31</f>
        <v>Устройство постели при одном кабеле в траншее</v>
      </c>
      <c r="C24" s="45" t="str">
        <f>Source!H31</f>
        <v>100 М КАБЕЛЯ</v>
      </c>
      <c r="D24" s="46">
        <f>Source!I31</f>
        <v>24.2</v>
      </c>
      <c r="E24" s="44"/>
    </row>
    <row r="25" spans="1:5" ht="14.25" x14ac:dyDescent="0.2">
      <c r="A25" s="43" t="str">
        <f>Source!E33</f>
        <v>5</v>
      </c>
      <c r="B25" s="44" t="str">
        <f>Source!G33</f>
        <v>Кабели до 35 кВ в готовых траншеях без покрытий, кабель массой до 2 кг</v>
      </c>
      <c r="C25" s="45" t="str">
        <f>Source!H33</f>
        <v>100 М КАБЕЛЯ</v>
      </c>
      <c r="D25" s="46">
        <f>Source!I33</f>
        <v>19.2</v>
      </c>
      <c r="E25" s="44"/>
    </row>
    <row r="26" spans="1:5" ht="28.5" x14ac:dyDescent="0.2">
      <c r="A26" s="43" t="str">
        <f>Source!E37</f>
        <v>6</v>
      </c>
      <c r="B26" s="44" t="str">
        <f>Source!G37</f>
        <v>Устройство трубопроводов из труб гофрированных полиэтиленовых жестких диаметром 100 - 160 мм до двух отверстий</v>
      </c>
      <c r="C26" s="45" t="str">
        <f>Source!H37</f>
        <v>1 КМ</v>
      </c>
      <c r="D26" s="46">
        <f>Source!I37</f>
        <v>0.05</v>
      </c>
      <c r="E26" s="44"/>
    </row>
    <row r="27" spans="1:5" ht="42.75" x14ac:dyDescent="0.2">
      <c r="A27" s="43" t="str">
        <f>Source!E39</f>
        <v>7</v>
      </c>
      <c r="B27" s="44" t="str">
        <f>Source!G39</f>
        <v>Затягивание проводов и кабелей в проложенные трубы и металлические рукава, провод первый одножильный или многожильный в общей оплетке, суммарное сечение до 16 мм2</v>
      </c>
      <c r="C27" s="45" t="str">
        <f>Source!H39</f>
        <v>100 м</v>
      </c>
      <c r="D27" s="46">
        <f>Source!I39</f>
        <v>0.5</v>
      </c>
      <c r="E27" s="44"/>
    </row>
    <row r="28" spans="1:5" ht="28.5" x14ac:dyDescent="0.2">
      <c r="A28" s="43" t="str">
        <f>Source!E41</f>
        <v>8</v>
      </c>
      <c r="B28" s="44" t="str">
        <f>Source!G41</f>
        <v>Засыпка траншей и котлованов бульдозерами мощностью 59 (80) кВт (л.с.) при перемещении грунта до 5 м группа грунтов 1-3</v>
      </c>
      <c r="C28" s="45" t="str">
        <f>Source!H41</f>
        <v>100 м3 грунта</v>
      </c>
      <c r="D28" s="46">
        <f>Source!I41</f>
        <v>2.94</v>
      </c>
      <c r="E28" s="44"/>
    </row>
    <row r="29" spans="1:5" ht="14.25" x14ac:dyDescent="0.2">
      <c r="A29" s="43" t="str">
        <f>Source!E42</f>
        <v>9</v>
      </c>
      <c r="B29" s="44" t="str">
        <f>Source!G42</f>
        <v>Засыпка вручную траншей, пазух котлованов и ям группа грунтов 1-3</v>
      </c>
      <c r="C29" s="45" t="str">
        <f>Source!H42</f>
        <v>100 м3 грунта</v>
      </c>
      <c r="D29" s="46">
        <f>Source!I42</f>
        <v>0.32700000000000001</v>
      </c>
      <c r="E29" s="44"/>
    </row>
    <row r="30" spans="1:5" ht="42.75" x14ac:dyDescent="0.2">
      <c r="A30" s="43" t="str">
        <f>Source!E43</f>
        <v>10</v>
      </c>
      <c r="B30" s="44" t="str">
        <f>Source!G43</f>
        <v>Уплотнение грунта пневматическими трамбовками группа грунтов 1,2</v>
      </c>
      <c r="C30" s="45" t="str">
        <f>Source!H43</f>
        <v>100 м3 уплотненного грунта</v>
      </c>
      <c r="D30" s="46">
        <f>Source!I43</f>
        <v>2.94</v>
      </c>
      <c r="E30" s="44"/>
    </row>
    <row r="31" spans="1:5" ht="28.5" x14ac:dyDescent="0.2">
      <c r="A31" s="43" t="str">
        <f>Source!E44</f>
        <v>11</v>
      </c>
      <c r="B31" s="44" t="str">
        <f>Source!G44</f>
        <v>Трубы гофрированные поливинилхлоридные наружным диаметром 20 мм открыто по стенам и потолкам с установкой соединительных коробок</v>
      </c>
      <c r="C31" s="45" t="str">
        <f>Source!H44</f>
        <v>100 м</v>
      </c>
      <c r="D31" s="46">
        <f>Source!I44</f>
        <v>4</v>
      </c>
      <c r="E31" s="44"/>
    </row>
    <row r="32" spans="1:5" ht="42.75" x14ac:dyDescent="0.2">
      <c r="A32" s="43" t="str">
        <f>Source!E47</f>
        <v>12</v>
      </c>
      <c r="B32" s="44" t="str">
        <f>Source!G47</f>
        <v>Затягивание проводов и кабелей в проложенные трубы и металлические рукава, провод первый одножильный или многожильный в общей оплетке, суммарное сечение до 16 мм2</v>
      </c>
      <c r="C32" s="45" t="str">
        <f>Source!H47</f>
        <v>100 м</v>
      </c>
      <c r="D32" s="46">
        <f>Source!I47</f>
        <v>4</v>
      </c>
      <c r="E32" s="44"/>
    </row>
    <row r="33" spans="1:5" ht="16.5" x14ac:dyDescent="0.25">
      <c r="A33" s="67" t="str">
        <f>CONCATENATE("Раздел: ", Source!G80)</f>
        <v>Раздел: Монтаж опор и приборов освещения.</v>
      </c>
      <c r="B33" s="67"/>
      <c r="C33" s="67"/>
      <c r="D33" s="67"/>
      <c r="E33" s="67"/>
    </row>
    <row r="34" spans="1:5" ht="28.5" x14ac:dyDescent="0.2">
      <c r="A34" s="43" t="str">
        <f>Source!E84</f>
        <v>13</v>
      </c>
      <c r="B34" s="44" t="str">
        <f>Source!G84</f>
        <v>Земляные работы при сборке и установке железобетонных одностоечных опор с кабельным и воздушными вводами</v>
      </c>
      <c r="C34" s="45" t="str">
        <f>Source!H84</f>
        <v>100 опор</v>
      </c>
      <c r="D34" s="46">
        <f>Source!I84</f>
        <v>0.76</v>
      </c>
      <c r="E34" s="44"/>
    </row>
    <row r="35" spans="1:5" ht="14.25" x14ac:dyDescent="0.2">
      <c r="A35" s="43" t="str">
        <f>Source!E85</f>
        <v>14</v>
      </c>
      <c r="B35" s="44" t="str">
        <f>Source!G85</f>
        <v>Установка металлических фланцевых опор наружного освещения</v>
      </c>
      <c r="C35" s="45" t="str">
        <f>Source!H85</f>
        <v>1  ШТ.</v>
      </c>
      <c r="D35" s="46">
        <f>Source!I85</f>
        <v>76</v>
      </c>
      <c r="E35" s="44"/>
    </row>
    <row r="36" spans="1:5" ht="14.25" x14ac:dyDescent="0.2">
      <c r="A36" s="43" t="str">
        <f>Source!E87</f>
        <v>15</v>
      </c>
      <c r="B36" s="44" t="str">
        <f>Source!G87</f>
        <v>Светильники, устанавливаемые вне здания с лампами накаливания</v>
      </c>
      <c r="C36" s="45" t="str">
        <f>Source!H87</f>
        <v>1  ШТ.</v>
      </c>
      <c r="D36" s="46">
        <f>Source!I87</f>
        <v>76</v>
      </c>
      <c r="E36" s="44"/>
    </row>
    <row r="37" spans="1:5" ht="28.5" x14ac:dyDescent="0.2">
      <c r="A37" s="43" t="str">
        <f>Source!E89</f>
        <v>16</v>
      </c>
      <c r="B37" s="44" t="str">
        <f>Source!G89</f>
        <v>Светодиодный неуправляемый прожектор с уровня земли, масса прожектора до 10 кг</v>
      </c>
      <c r="C37" s="45" t="str">
        <f>Source!H89</f>
        <v>1  ШТ.</v>
      </c>
      <c r="D37" s="46">
        <f>Source!I89</f>
        <v>44</v>
      </c>
      <c r="E37" s="44"/>
    </row>
    <row r="38" spans="1:5" ht="28.5" x14ac:dyDescent="0.2">
      <c r="A38" s="43" t="str">
        <f>Source!E91</f>
        <v>17</v>
      </c>
      <c r="B38" s="44" t="str">
        <f>Source!G91</f>
        <v>Линейный светодиодный осветительный неуправляемый прибор с уровня земли</v>
      </c>
      <c r="C38" s="45" t="str">
        <f>Source!H91</f>
        <v>1  ШТ.</v>
      </c>
      <c r="D38" s="46">
        <f>Source!I91</f>
        <v>44</v>
      </c>
      <c r="E38" s="44"/>
    </row>
    <row r="39" spans="1:5" ht="16.5" x14ac:dyDescent="0.25">
      <c r="A39" s="67" t="str">
        <f>CONCATENATE("Раздел: ", Source!G126)</f>
        <v>Раздел: Щиты освещения.</v>
      </c>
      <c r="B39" s="67"/>
      <c r="C39" s="67"/>
      <c r="D39" s="67"/>
      <c r="E39" s="67"/>
    </row>
    <row r="40" spans="1:5" ht="28.5" x14ac:dyDescent="0.2">
      <c r="A40" s="43" t="str">
        <f>Source!E130</f>
        <v>18</v>
      </c>
      <c r="B40" s="44" t="str">
        <f>Source!G130</f>
        <v>Пульты и шкафы управления, шкаф (пульт) управления навесной, высота, ширина, глубина до 600х600х350 мм</v>
      </c>
      <c r="C40" s="45" t="str">
        <f>Source!H130</f>
        <v>1  ШТ.</v>
      </c>
      <c r="D40" s="46">
        <f>Source!I130</f>
        <v>1</v>
      </c>
      <c r="E40" s="44"/>
    </row>
    <row r="41" spans="1:5" ht="14.25" x14ac:dyDescent="0.2">
      <c r="A41" s="43" t="str">
        <f>Source!E132</f>
        <v>19</v>
      </c>
      <c r="B41" s="44" t="str">
        <f>Source!G132</f>
        <v>Коробки разветвительные 4-х клеммные, тип КРС-1-4</v>
      </c>
      <c r="C41" s="45" t="str">
        <f>Source!H132</f>
        <v>шт.</v>
      </c>
      <c r="D41" s="46">
        <f>Source!I132</f>
        <v>2</v>
      </c>
      <c r="E41" s="44"/>
    </row>
    <row r="42" spans="1:5" ht="42.75" x14ac:dyDescent="0.2">
      <c r="A42" s="43" t="str">
        <f>Source!E133</f>
        <v>20</v>
      </c>
      <c r="B42" s="44" t="str">
        <f>Source!G133</f>
        <v>Выключатели установочные автоматические (автоматы) или неавтоматические, автомат одно-,двух-,трехполюсный, устанавливаемый на конструкции на стене или колонне на ток до 25 А</v>
      </c>
      <c r="C42" s="45" t="str">
        <f>Source!H133</f>
        <v>1  ШТ.</v>
      </c>
      <c r="D42" s="46">
        <f>Source!I133</f>
        <v>13</v>
      </c>
      <c r="E42" s="44"/>
    </row>
    <row r="43" spans="1:5" ht="14.25" x14ac:dyDescent="0.2">
      <c r="A43" s="43" t="str">
        <f>Source!E139</f>
        <v>21</v>
      </c>
      <c r="B43" s="44" t="str">
        <f>Source!G139</f>
        <v>Приборы измерения и защиты, прибор, до 2 подключаемых концов</v>
      </c>
      <c r="C43" s="45" t="str">
        <f>Source!H139</f>
        <v>1  ШТ.</v>
      </c>
      <c r="D43" s="46">
        <f>Source!I139</f>
        <v>5</v>
      </c>
      <c r="E43" s="44"/>
    </row>
    <row r="44" spans="1:5" ht="14.25" x14ac:dyDescent="0.2">
      <c r="A44" s="43" t="str">
        <f>Source!E142</f>
        <v>22</v>
      </c>
      <c r="B44" s="44" t="str">
        <f>Source!G142</f>
        <v>Детали на пультах и панелях - реле</v>
      </c>
      <c r="C44" s="45" t="str">
        <f>Source!H142</f>
        <v>1  ШТ.</v>
      </c>
      <c r="D44" s="46">
        <f>Source!I142</f>
        <v>1</v>
      </c>
      <c r="E44" s="44"/>
    </row>
    <row r="45" spans="1:5" ht="28.5" x14ac:dyDescent="0.2">
      <c r="A45" s="43" t="str">
        <f>Source!E144</f>
        <v>23</v>
      </c>
      <c r="B45" s="44" t="str">
        <f>Source!G144</f>
        <v>Прочее оборудование электрочасофикации, секундомер электронный с таймерным выходом, тип СТЦ-1</v>
      </c>
      <c r="C45" s="45" t="str">
        <f>Source!H144</f>
        <v>1  ШТ.</v>
      </c>
      <c r="D45" s="46">
        <f>Source!I144</f>
        <v>2</v>
      </c>
      <c r="E45" s="44"/>
    </row>
    <row r="46" spans="1:5" ht="57" x14ac:dyDescent="0.2">
      <c r="A46" s="43" t="str">
        <f>Source!E146</f>
        <v>24</v>
      </c>
      <c r="B46" s="44" t="str">
        <f>Source!G146</f>
        <v>Рубильники (выключатели, разъединители), рубильник на плите с центральной или боковой рукояткой или управлением штангой, устанавливаемый на металлическом основании, однополюсный, на ток до 250 А</v>
      </c>
      <c r="C46" s="45" t="str">
        <f>Source!H146</f>
        <v>1  ШТ.</v>
      </c>
      <c r="D46" s="46">
        <f>Source!I146</f>
        <v>1</v>
      </c>
      <c r="E46" s="44"/>
    </row>
    <row r="47" spans="1:5" ht="14.25" x14ac:dyDescent="0.2">
      <c r="A47" s="43" t="str">
        <f>Source!E148</f>
        <v>25</v>
      </c>
      <c r="B47" s="44" t="str">
        <f>Source!G148</f>
        <v>Приборы измерения и защиты, блок-контактор</v>
      </c>
      <c r="C47" s="45" t="str">
        <f>Source!H148</f>
        <v>1  ШТ.</v>
      </c>
      <c r="D47" s="46">
        <f>Source!I148</f>
        <v>1</v>
      </c>
      <c r="E47" s="44"/>
    </row>
    <row r="48" spans="1:5" ht="14.25" x14ac:dyDescent="0.2">
      <c r="A48" s="43" t="str">
        <f>Source!E150</f>
        <v>26</v>
      </c>
      <c r="B48" s="44" t="str">
        <f>Source!G150</f>
        <v>Розетка штепсельная полугерметическая и герметическая</v>
      </c>
      <c r="C48" s="45" t="str">
        <f>Source!H150</f>
        <v>100 шт.</v>
      </c>
      <c r="D48" s="46">
        <f>Source!I150</f>
        <v>0.02</v>
      </c>
      <c r="E48" s="44"/>
    </row>
    <row r="49" spans="1:5" ht="42.75" x14ac:dyDescent="0.2">
      <c r="A49" s="43" t="str">
        <f>Source!E152</f>
        <v>27</v>
      </c>
      <c r="B49" s="44" t="str">
        <f>Source!G152</f>
        <v>Кабели по установленным конструкциям и лоткам с установкой ответвительных коробок, кабель двух-четырехжильный во взрывоопасных и пожароопасных помещениях сечением жилы до 6 мм2</v>
      </c>
      <c r="C49" s="45" t="str">
        <f>Source!H152</f>
        <v>100 М КАБЕЛЯ</v>
      </c>
      <c r="D49" s="46">
        <f>Source!I152</f>
        <v>0.15</v>
      </c>
      <c r="E49" s="44"/>
    </row>
    <row r="50" spans="1:5" ht="28.5" x14ac:dyDescent="0.2">
      <c r="A50" s="39" t="str">
        <f>Source!E154</f>
        <v>28</v>
      </c>
      <c r="B50" s="40" t="str">
        <f>Source!G154</f>
        <v>Провода и кабели по стальным конструкциям и панелям, провод, сечением до 16 мм2</v>
      </c>
      <c r="C50" s="41" t="str">
        <f>Source!H154</f>
        <v>100 М ТРАССЫ</v>
      </c>
      <c r="D50" s="42">
        <f>Source!I154</f>
        <v>0.15</v>
      </c>
      <c r="E50" s="40"/>
    </row>
    <row r="53" spans="1:5" ht="15" x14ac:dyDescent="0.25">
      <c r="A53" s="31" t="s">
        <v>470</v>
      </c>
      <c r="B53" s="31"/>
      <c r="C53" s="31"/>
      <c r="D53" s="31"/>
      <c r="E53" s="31"/>
    </row>
  </sheetData>
  <mergeCells count="8">
    <mergeCell ref="A33:E33"/>
    <mergeCell ref="A39:E39"/>
    <mergeCell ref="C5:D5"/>
    <mergeCell ref="C7:D7"/>
    <mergeCell ref="A11:D11"/>
    <mergeCell ref="A12:D12"/>
    <mergeCell ref="A19:E19"/>
    <mergeCell ref="A20:E20"/>
  </mergeCells>
  <pageMargins left="0.4" right="0.2" top="0.2" bottom="0.4" header="0.2" footer="0.2"/>
  <pageSetup paperSize="9" scale="77" fitToHeight="0" orientation="portrait" r:id="rId1"/>
  <headerFooter>
    <oddHeader>&amp;L&amp;8</oddHeader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255"/>
  <sheetViews>
    <sheetView workbookViewId="0">
      <selection activeCell="A251" sqref="A251:AA251"/>
    </sheetView>
  </sheetViews>
  <sheetFormatPr defaultColWidth="9.140625" defaultRowHeight="12.75" x14ac:dyDescent="0.2"/>
  <cols>
    <col min="1" max="256" width="9.140625" customWidth="1"/>
  </cols>
  <sheetData>
    <row r="1" spans="1:133" x14ac:dyDescent="0.2">
      <c r="A1">
        <v>0</v>
      </c>
      <c r="B1" t="s">
        <v>0</v>
      </c>
      <c r="D1" t="s">
        <v>1</v>
      </c>
      <c r="F1">
        <v>0</v>
      </c>
      <c r="G1">
        <v>0</v>
      </c>
      <c r="H1">
        <v>0</v>
      </c>
      <c r="I1" t="s">
        <v>2</v>
      </c>
      <c r="J1" t="s">
        <v>3</v>
      </c>
      <c r="K1">
        <v>1</v>
      </c>
      <c r="L1">
        <v>53593</v>
      </c>
      <c r="M1">
        <v>10</v>
      </c>
      <c r="N1">
        <v>11</v>
      </c>
      <c r="O1">
        <v>0</v>
      </c>
      <c r="P1">
        <v>0</v>
      </c>
      <c r="Q1">
        <v>6</v>
      </c>
    </row>
    <row r="12" spans="1:133" x14ac:dyDescent="0.2">
      <c r="A12" s="1">
        <v>1</v>
      </c>
      <c r="B12" s="1">
        <v>250</v>
      </c>
      <c r="C12" s="1">
        <v>0</v>
      </c>
      <c r="D12" s="1">
        <f>ROW(A217)</f>
        <v>217</v>
      </c>
      <c r="E12" s="1">
        <v>0</v>
      </c>
      <c r="F12" s="1" t="s">
        <v>4</v>
      </c>
      <c r="G12" s="1" t="s">
        <v>5</v>
      </c>
      <c r="H12" s="1" t="s">
        <v>3</v>
      </c>
      <c r="I12" s="1">
        <v>0</v>
      </c>
      <c r="J12" s="1" t="s">
        <v>6</v>
      </c>
      <c r="K12" s="1">
        <v>0</v>
      </c>
      <c r="L12" s="1"/>
      <c r="M12" s="1"/>
      <c r="N12" s="1"/>
      <c r="O12" s="1">
        <v>0</v>
      </c>
      <c r="P12" s="1">
        <v>0</v>
      </c>
      <c r="Q12" s="1">
        <v>0</v>
      </c>
      <c r="R12" s="1">
        <v>157</v>
      </c>
      <c r="S12" s="1"/>
      <c r="T12" s="1"/>
      <c r="U12" s="1" t="s">
        <v>3</v>
      </c>
      <c r="V12" s="1">
        <v>0</v>
      </c>
      <c r="W12" s="1" t="s">
        <v>3</v>
      </c>
      <c r="X12" s="1" t="s">
        <v>3</v>
      </c>
      <c r="Y12" s="1" t="s">
        <v>3</v>
      </c>
      <c r="Z12" s="1" t="s">
        <v>3</v>
      </c>
      <c r="AA12" s="1" t="s">
        <v>3</v>
      </c>
      <c r="AB12" s="1" t="s">
        <v>3</v>
      </c>
      <c r="AC12" s="1" t="s">
        <v>3</v>
      </c>
      <c r="AD12" s="1" t="s">
        <v>3</v>
      </c>
      <c r="AE12" s="1" t="s">
        <v>3</v>
      </c>
      <c r="AF12" s="1" t="s">
        <v>3</v>
      </c>
      <c r="AG12" s="1" t="s">
        <v>3</v>
      </c>
      <c r="AH12" s="1" t="s">
        <v>3</v>
      </c>
      <c r="AI12" s="1" t="s">
        <v>3</v>
      </c>
      <c r="AJ12" s="1" t="s">
        <v>3</v>
      </c>
      <c r="AK12" s="1"/>
      <c r="AL12" s="1" t="s">
        <v>3</v>
      </c>
      <c r="AM12" s="1" t="s">
        <v>3</v>
      </c>
      <c r="AN12" s="1" t="s">
        <v>3</v>
      </c>
      <c r="AO12" s="1"/>
      <c r="AP12" s="1" t="s">
        <v>3</v>
      </c>
      <c r="AQ12" s="1" t="s">
        <v>3</v>
      </c>
      <c r="AR12" s="1" t="s">
        <v>3</v>
      </c>
      <c r="AS12" s="1"/>
      <c r="AT12" s="1"/>
      <c r="AU12" s="1"/>
      <c r="AV12" s="1"/>
      <c r="AW12" s="1"/>
      <c r="AX12" s="1" t="s">
        <v>3</v>
      </c>
      <c r="AY12" s="1" t="s">
        <v>3</v>
      </c>
      <c r="AZ12" s="1" t="s">
        <v>3</v>
      </c>
      <c r="BA12" s="1"/>
      <c r="BB12" s="1"/>
      <c r="BC12" s="1"/>
      <c r="BD12" s="1"/>
      <c r="BE12" s="1"/>
      <c r="BF12" s="1"/>
      <c r="BG12" s="1"/>
      <c r="BH12" s="1" t="s">
        <v>7</v>
      </c>
      <c r="BI12" s="1" t="s">
        <v>8</v>
      </c>
      <c r="BJ12" s="1">
        <v>1</v>
      </c>
      <c r="BK12" s="1">
        <v>1</v>
      </c>
      <c r="BL12" s="1">
        <v>0</v>
      </c>
      <c r="BM12" s="1">
        <v>0</v>
      </c>
      <c r="BN12" s="1">
        <v>0</v>
      </c>
      <c r="BO12" s="1">
        <v>0</v>
      </c>
      <c r="BP12" s="1">
        <v>2</v>
      </c>
      <c r="BQ12" s="1">
        <v>2</v>
      </c>
      <c r="BR12" s="1">
        <v>1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 t="s">
        <v>9</v>
      </c>
      <c r="BZ12" s="1" t="s">
        <v>10</v>
      </c>
      <c r="CA12" s="1" t="s">
        <v>11</v>
      </c>
      <c r="CB12" s="1" t="s">
        <v>11</v>
      </c>
      <c r="CC12" s="1" t="s">
        <v>11</v>
      </c>
      <c r="CD12" s="1" t="s">
        <v>11</v>
      </c>
      <c r="CE12" s="1" t="s">
        <v>12</v>
      </c>
      <c r="CF12" s="1">
        <v>0</v>
      </c>
      <c r="CG12" s="1">
        <v>0</v>
      </c>
      <c r="CH12" s="1">
        <v>18874376</v>
      </c>
      <c r="CI12" s="1" t="s">
        <v>3</v>
      </c>
      <c r="CJ12" s="1" t="s">
        <v>3</v>
      </c>
      <c r="CK12" s="1">
        <v>55</v>
      </c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>
        <v>0</v>
      </c>
    </row>
    <row r="15" spans="1:133" x14ac:dyDescent="0.2">
      <c r="A15" s="1">
        <v>15</v>
      </c>
      <c r="B15" s="1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</row>
    <row r="18" spans="1:245" x14ac:dyDescent="0.2">
      <c r="A18" s="2">
        <v>52</v>
      </c>
      <c r="B18" s="2">
        <f t="shared" ref="B18:G18" si="0">B217</f>
        <v>250</v>
      </c>
      <c r="C18" s="2">
        <f t="shared" si="0"/>
        <v>1</v>
      </c>
      <c r="D18" s="2">
        <f t="shared" si="0"/>
        <v>12</v>
      </c>
      <c r="E18" s="2">
        <f t="shared" si="0"/>
        <v>0</v>
      </c>
      <c r="F18" s="2" t="str">
        <f t="shared" si="0"/>
        <v>04-01-01_(Копия)</v>
      </c>
      <c r="G18" s="2" t="str">
        <f t="shared" si="0"/>
        <v>Выполнение работ по благоустройству прилегающей территории</v>
      </c>
      <c r="H18" s="2"/>
      <c r="I18" s="2"/>
      <c r="J18" s="2"/>
      <c r="K18" s="2"/>
      <c r="L18" s="2"/>
      <c r="M18" s="2"/>
      <c r="N18" s="2"/>
      <c r="O18" s="2">
        <f t="shared" ref="O18:AT18" si="1">O217</f>
        <v>3102493.16</v>
      </c>
      <c r="P18" s="2">
        <f t="shared" si="1"/>
        <v>2137940.13</v>
      </c>
      <c r="Q18" s="2">
        <f t="shared" si="1"/>
        <v>403592.63</v>
      </c>
      <c r="R18" s="2">
        <f t="shared" si="1"/>
        <v>163834.12</v>
      </c>
      <c r="S18" s="2">
        <f t="shared" si="1"/>
        <v>560960.4</v>
      </c>
      <c r="T18" s="2">
        <f t="shared" si="1"/>
        <v>0</v>
      </c>
      <c r="U18" s="2">
        <f t="shared" si="1"/>
        <v>1946.90859</v>
      </c>
      <c r="V18" s="2">
        <f t="shared" si="1"/>
        <v>0</v>
      </c>
      <c r="W18" s="2">
        <f t="shared" si="1"/>
        <v>0</v>
      </c>
      <c r="X18" s="2">
        <f t="shared" si="1"/>
        <v>507122.19</v>
      </c>
      <c r="Y18" s="2">
        <f t="shared" si="1"/>
        <v>239226.12</v>
      </c>
      <c r="Z18" s="2">
        <f t="shared" si="1"/>
        <v>0</v>
      </c>
      <c r="AA18" s="2">
        <f t="shared" si="1"/>
        <v>0</v>
      </c>
      <c r="AB18" s="2">
        <f t="shared" si="1"/>
        <v>0</v>
      </c>
      <c r="AC18" s="2">
        <f t="shared" si="1"/>
        <v>0</v>
      </c>
      <c r="AD18" s="2">
        <f t="shared" si="1"/>
        <v>0</v>
      </c>
      <c r="AE18" s="2">
        <f t="shared" si="1"/>
        <v>0</v>
      </c>
      <c r="AF18" s="2">
        <f t="shared" si="1"/>
        <v>0</v>
      </c>
      <c r="AG18" s="2">
        <f t="shared" si="1"/>
        <v>0</v>
      </c>
      <c r="AH18" s="2">
        <f t="shared" si="1"/>
        <v>0</v>
      </c>
      <c r="AI18" s="2">
        <f t="shared" si="1"/>
        <v>0</v>
      </c>
      <c r="AJ18" s="2">
        <f t="shared" si="1"/>
        <v>0</v>
      </c>
      <c r="AK18" s="2">
        <f t="shared" si="1"/>
        <v>0</v>
      </c>
      <c r="AL18" s="2">
        <f t="shared" si="1"/>
        <v>0</v>
      </c>
      <c r="AM18" s="2">
        <f t="shared" si="1"/>
        <v>0</v>
      </c>
      <c r="AN18" s="2">
        <f t="shared" si="1"/>
        <v>0</v>
      </c>
      <c r="AO18" s="2">
        <f t="shared" si="1"/>
        <v>0</v>
      </c>
      <c r="AP18" s="2">
        <f t="shared" si="1"/>
        <v>0</v>
      </c>
      <c r="AQ18" s="2">
        <f t="shared" si="1"/>
        <v>0</v>
      </c>
      <c r="AR18" s="2">
        <f t="shared" si="1"/>
        <v>4106061.05</v>
      </c>
      <c r="AS18" s="2">
        <f t="shared" si="1"/>
        <v>825835.42</v>
      </c>
      <c r="AT18" s="2">
        <f t="shared" si="1"/>
        <v>3178299.64</v>
      </c>
      <c r="AU18" s="2">
        <f t="shared" ref="AU18:BZ18" si="2">AU217</f>
        <v>101925.99</v>
      </c>
      <c r="AV18" s="2">
        <f t="shared" si="2"/>
        <v>2137940.13</v>
      </c>
      <c r="AW18" s="2">
        <f t="shared" si="2"/>
        <v>2137940.13</v>
      </c>
      <c r="AX18" s="2">
        <f t="shared" si="2"/>
        <v>0</v>
      </c>
      <c r="AY18" s="2">
        <f t="shared" si="2"/>
        <v>2137940.13</v>
      </c>
      <c r="AZ18" s="2">
        <f t="shared" si="2"/>
        <v>0</v>
      </c>
      <c r="BA18" s="2">
        <f t="shared" si="2"/>
        <v>0</v>
      </c>
      <c r="BB18" s="2">
        <f t="shared" si="2"/>
        <v>0</v>
      </c>
      <c r="BC18" s="2">
        <f t="shared" si="2"/>
        <v>0</v>
      </c>
      <c r="BD18" s="2">
        <f t="shared" si="2"/>
        <v>0</v>
      </c>
      <c r="BE18" s="2">
        <f t="shared" si="2"/>
        <v>0</v>
      </c>
      <c r="BF18" s="2">
        <f t="shared" si="2"/>
        <v>0</v>
      </c>
      <c r="BG18" s="2">
        <f t="shared" si="2"/>
        <v>0</v>
      </c>
      <c r="BH18" s="2">
        <f t="shared" si="2"/>
        <v>0</v>
      </c>
      <c r="BI18" s="2">
        <f t="shared" si="2"/>
        <v>0</v>
      </c>
      <c r="BJ18" s="2">
        <f t="shared" si="2"/>
        <v>0</v>
      </c>
      <c r="BK18" s="2">
        <f t="shared" si="2"/>
        <v>0</v>
      </c>
      <c r="BL18" s="2">
        <f t="shared" si="2"/>
        <v>0</v>
      </c>
      <c r="BM18" s="2">
        <f t="shared" si="2"/>
        <v>0</v>
      </c>
      <c r="BN18" s="2">
        <f t="shared" si="2"/>
        <v>0</v>
      </c>
      <c r="BO18" s="2">
        <f t="shared" si="2"/>
        <v>0</v>
      </c>
      <c r="BP18" s="2">
        <f t="shared" si="2"/>
        <v>0</v>
      </c>
      <c r="BQ18" s="2">
        <f t="shared" si="2"/>
        <v>0</v>
      </c>
      <c r="BR18" s="2">
        <f t="shared" si="2"/>
        <v>0</v>
      </c>
      <c r="BS18" s="2">
        <f t="shared" si="2"/>
        <v>0</v>
      </c>
      <c r="BT18" s="2">
        <f t="shared" si="2"/>
        <v>0</v>
      </c>
      <c r="BU18" s="2">
        <f t="shared" si="2"/>
        <v>0</v>
      </c>
      <c r="BV18" s="2">
        <f t="shared" si="2"/>
        <v>0</v>
      </c>
      <c r="BW18" s="2">
        <f t="shared" si="2"/>
        <v>0</v>
      </c>
      <c r="BX18" s="2">
        <f t="shared" si="2"/>
        <v>0</v>
      </c>
      <c r="BY18" s="2">
        <f t="shared" si="2"/>
        <v>0</v>
      </c>
      <c r="BZ18" s="2">
        <f t="shared" si="2"/>
        <v>0</v>
      </c>
      <c r="CA18" s="2">
        <f t="shared" ref="CA18:DF18" si="3">CA217</f>
        <v>0</v>
      </c>
      <c r="CB18" s="2">
        <f t="shared" si="3"/>
        <v>0</v>
      </c>
      <c r="CC18" s="2">
        <f t="shared" si="3"/>
        <v>0</v>
      </c>
      <c r="CD18" s="2">
        <f t="shared" si="3"/>
        <v>0</v>
      </c>
      <c r="CE18" s="2">
        <f t="shared" si="3"/>
        <v>0</v>
      </c>
      <c r="CF18" s="2">
        <f t="shared" si="3"/>
        <v>0</v>
      </c>
      <c r="CG18" s="2">
        <f t="shared" si="3"/>
        <v>0</v>
      </c>
      <c r="CH18" s="2">
        <f t="shared" si="3"/>
        <v>0</v>
      </c>
      <c r="CI18" s="2">
        <f t="shared" si="3"/>
        <v>0</v>
      </c>
      <c r="CJ18" s="2">
        <f t="shared" si="3"/>
        <v>0</v>
      </c>
      <c r="CK18" s="2">
        <f t="shared" si="3"/>
        <v>0</v>
      </c>
      <c r="CL18" s="2">
        <f t="shared" si="3"/>
        <v>0</v>
      </c>
      <c r="CM18" s="2">
        <f t="shared" si="3"/>
        <v>0</v>
      </c>
      <c r="CN18" s="2">
        <f t="shared" si="3"/>
        <v>0</v>
      </c>
      <c r="CO18" s="2">
        <f t="shared" si="3"/>
        <v>0</v>
      </c>
      <c r="CP18" s="2">
        <f t="shared" si="3"/>
        <v>0</v>
      </c>
      <c r="CQ18" s="2">
        <f t="shared" si="3"/>
        <v>0</v>
      </c>
      <c r="CR18" s="2">
        <f t="shared" si="3"/>
        <v>0</v>
      </c>
      <c r="CS18" s="2">
        <f t="shared" si="3"/>
        <v>0</v>
      </c>
      <c r="CT18" s="2">
        <f t="shared" si="3"/>
        <v>0</v>
      </c>
      <c r="CU18" s="2">
        <f t="shared" si="3"/>
        <v>0</v>
      </c>
      <c r="CV18" s="2">
        <f t="shared" si="3"/>
        <v>0</v>
      </c>
      <c r="CW18" s="2">
        <f t="shared" si="3"/>
        <v>0</v>
      </c>
      <c r="CX18" s="2">
        <f t="shared" si="3"/>
        <v>0</v>
      </c>
      <c r="CY18" s="2">
        <f t="shared" si="3"/>
        <v>0</v>
      </c>
      <c r="CZ18" s="2">
        <f t="shared" si="3"/>
        <v>0</v>
      </c>
      <c r="DA18" s="2">
        <f t="shared" si="3"/>
        <v>0</v>
      </c>
      <c r="DB18" s="2">
        <f t="shared" si="3"/>
        <v>0</v>
      </c>
      <c r="DC18" s="2">
        <f t="shared" si="3"/>
        <v>0</v>
      </c>
      <c r="DD18" s="2">
        <f t="shared" si="3"/>
        <v>0</v>
      </c>
      <c r="DE18" s="2">
        <f t="shared" si="3"/>
        <v>0</v>
      </c>
      <c r="DF18" s="2">
        <f t="shared" si="3"/>
        <v>0</v>
      </c>
      <c r="DG18" s="3">
        <f t="shared" ref="DG18:EL18" si="4">DG217</f>
        <v>0</v>
      </c>
      <c r="DH18" s="3">
        <f t="shared" si="4"/>
        <v>0</v>
      </c>
      <c r="DI18" s="3">
        <f t="shared" si="4"/>
        <v>0</v>
      </c>
      <c r="DJ18" s="3">
        <f t="shared" si="4"/>
        <v>0</v>
      </c>
      <c r="DK18" s="3">
        <f t="shared" si="4"/>
        <v>0</v>
      </c>
      <c r="DL18" s="3">
        <f t="shared" si="4"/>
        <v>0</v>
      </c>
      <c r="DM18" s="3">
        <f t="shared" si="4"/>
        <v>0</v>
      </c>
      <c r="DN18" s="3">
        <f t="shared" si="4"/>
        <v>0</v>
      </c>
      <c r="DO18" s="3">
        <f t="shared" si="4"/>
        <v>0</v>
      </c>
      <c r="DP18" s="3">
        <f t="shared" si="4"/>
        <v>0</v>
      </c>
      <c r="DQ18" s="3">
        <f t="shared" si="4"/>
        <v>0</v>
      </c>
      <c r="DR18" s="3">
        <f t="shared" si="4"/>
        <v>0</v>
      </c>
      <c r="DS18" s="3">
        <f t="shared" si="4"/>
        <v>0</v>
      </c>
      <c r="DT18" s="3">
        <f t="shared" si="4"/>
        <v>0</v>
      </c>
      <c r="DU18" s="3">
        <f t="shared" si="4"/>
        <v>0</v>
      </c>
      <c r="DV18" s="3">
        <f t="shared" si="4"/>
        <v>0</v>
      </c>
      <c r="DW18" s="3">
        <f t="shared" si="4"/>
        <v>0</v>
      </c>
      <c r="DX18" s="3">
        <f t="shared" si="4"/>
        <v>0</v>
      </c>
      <c r="DY18" s="3">
        <f t="shared" si="4"/>
        <v>0</v>
      </c>
      <c r="DZ18" s="3">
        <f t="shared" si="4"/>
        <v>0</v>
      </c>
      <c r="EA18" s="3">
        <f t="shared" si="4"/>
        <v>0</v>
      </c>
      <c r="EB18" s="3">
        <f t="shared" si="4"/>
        <v>0</v>
      </c>
      <c r="EC18" s="3">
        <f t="shared" si="4"/>
        <v>0</v>
      </c>
      <c r="ED18" s="3">
        <f t="shared" si="4"/>
        <v>0</v>
      </c>
      <c r="EE18" s="3">
        <f t="shared" si="4"/>
        <v>0</v>
      </c>
      <c r="EF18" s="3">
        <f t="shared" si="4"/>
        <v>0</v>
      </c>
      <c r="EG18" s="3">
        <f t="shared" si="4"/>
        <v>0</v>
      </c>
      <c r="EH18" s="3">
        <f t="shared" si="4"/>
        <v>0</v>
      </c>
      <c r="EI18" s="3">
        <f t="shared" si="4"/>
        <v>0</v>
      </c>
      <c r="EJ18" s="3">
        <f t="shared" si="4"/>
        <v>0</v>
      </c>
      <c r="EK18" s="3">
        <f t="shared" si="4"/>
        <v>0</v>
      </c>
      <c r="EL18" s="3">
        <f t="shared" si="4"/>
        <v>0</v>
      </c>
      <c r="EM18" s="3">
        <f t="shared" ref="EM18:FR18" si="5">EM217</f>
        <v>0</v>
      </c>
      <c r="EN18" s="3">
        <f t="shared" si="5"/>
        <v>0</v>
      </c>
      <c r="EO18" s="3">
        <f t="shared" si="5"/>
        <v>0</v>
      </c>
      <c r="EP18" s="3">
        <f t="shared" si="5"/>
        <v>0</v>
      </c>
      <c r="EQ18" s="3">
        <f t="shared" si="5"/>
        <v>0</v>
      </c>
      <c r="ER18" s="3">
        <f t="shared" si="5"/>
        <v>0</v>
      </c>
      <c r="ES18" s="3">
        <f t="shared" si="5"/>
        <v>0</v>
      </c>
      <c r="ET18" s="3">
        <f t="shared" si="5"/>
        <v>0</v>
      </c>
      <c r="EU18" s="3">
        <f t="shared" si="5"/>
        <v>0</v>
      </c>
      <c r="EV18" s="3">
        <f t="shared" si="5"/>
        <v>0</v>
      </c>
      <c r="EW18" s="3">
        <f t="shared" si="5"/>
        <v>0</v>
      </c>
      <c r="EX18" s="3">
        <f t="shared" si="5"/>
        <v>0</v>
      </c>
      <c r="EY18" s="3">
        <f t="shared" si="5"/>
        <v>0</v>
      </c>
      <c r="EZ18" s="3">
        <f t="shared" si="5"/>
        <v>0</v>
      </c>
      <c r="FA18" s="3">
        <f t="shared" si="5"/>
        <v>0</v>
      </c>
      <c r="FB18" s="3">
        <f t="shared" si="5"/>
        <v>0</v>
      </c>
      <c r="FC18" s="3">
        <f t="shared" si="5"/>
        <v>0</v>
      </c>
      <c r="FD18" s="3">
        <f t="shared" si="5"/>
        <v>0</v>
      </c>
      <c r="FE18" s="3">
        <f t="shared" si="5"/>
        <v>0</v>
      </c>
      <c r="FF18" s="3">
        <f t="shared" si="5"/>
        <v>0</v>
      </c>
      <c r="FG18" s="3">
        <f t="shared" si="5"/>
        <v>0</v>
      </c>
      <c r="FH18" s="3">
        <f t="shared" si="5"/>
        <v>0</v>
      </c>
      <c r="FI18" s="3">
        <f t="shared" si="5"/>
        <v>0</v>
      </c>
      <c r="FJ18" s="3">
        <f t="shared" si="5"/>
        <v>0</v>
      </c>
      <c r="FK18" s="3">
        <f t="shared" si="5"/>
        <v>0</v>
      </c>
      <c r="FL18" s="3">
        <f t="shared" si="5"/>
        <v>0</v>
      </c>
      <c r="FM18" s="3">
        <f t="shared" si="5"/>
        <v>0</v>
      </c>
      <c r="FN18" s="3">
        <f t="shared" si="5"/>
        <v>0</v>
      </c>
      <c r="FO18" s="3">
        <f t="shared" si="5"/>
        <v>0</v>
      </c>
      <c r="FP18" s="3">
        <f t="shared" si="5"/>
        <v>0</v>
      </c>
      <c r="FQ18" s="3">
        <f t="shared" si="5"/>
        <v>0</v>
      </c>
      <c r="FR18" s="3">
        <f t="shared" si="5"/>
        <v>0</v>
      </c>
      <c r="FS18" s="3">
        <f t="shared" ref="FS18:GX18" si="6">FS217</f>
        <v>0</v>
      </c>
      <c r="FT18" s="3">
        <f t="shared" si="6"/>
        <v>0</v>
      </c>
      <c r="FU18" s="3">
        <f t="shared" si="6"/>
        <v>0</v>
      </c>
      <c r="FV18" s="3">
        <f t="shared" si="6"/>
        <v>0</v>
      </c>
      <c r="FW18" s="3">
        <f t="shared" si="6"/>
        <v>0</v>
      </c>
      <c r="FX18" s="3">
        <f t="shared" si="6"/>
        <v>0</v>
      </c>
      <c r="FY18" s="3">
        <f t="shared" si="6"/>
        <v>0</v>
      </c>
      <c r="FZ18" s="3">
        <f t="shared" si="6"/>
        <v>0</v>
      </c>
      <c r="GA18" s="3">
        <f t="shared" si="6"/>
        <v>0</v>
      </c>
      <c r="GB18" s="3">
        <f t="shared" si="6"/>
        <v>0</v>
      </c>
      <c r="GC18" s="3">
        <f t="shared" si="6"/>
        <v>0</v>
      </c>
      <c r="GD18" s="3">
        <f t="shared" si="6"/>
        <v>0</v>
      </c>
      <c r="GE18" s="3">
        <f t="shared" si="6"/>
        <v>0</v>
      </c>
      <c r="GF18" s="3">
        <f t="shared" si="6"/>
        <v>0</v>
      </c>
      <c r="GG18" s="3">
        <f t="shared" si="6"/>
        <v>0</v>
      </c>
      <c r="GH18" s="3">
        <f t="shared" si="6"/>
        <v>0</v>
      </c>
      <c r="GI18" s="3">
        <f t="shared" si="6"/>
        <v>0</v>
      </c>
      <c r="GJ18" s="3">
        <f t="shared" si="6"/>
        <v>0</v>
      </c>
      <c r="GK18" s="3">
        <f t="shared" si="6"/>
        <v>0</v>
      </c>
      <c r="GL18" s="3">
        <f t="shared" si="6"/>
        <v>0</v>
      </c>
      <c r="GM18" s="3">
        <f t="shared" si="6"/>
        <v>0</v>
      </c>
      <c r="GN18" s="3">
        <f t="shared" si="6"/>
        <v>0</v>
      </c>
      <c r="GO18" s="3">
        <f t="shared" si="6"/>
        <v>0</v>
      </c>
      <c r="GP18" s="3">
        <f t="shared" si="6"/>
        <v>0</v>
      </c>
      <c r="GQ18" s="3">
        <f t="shared" si="6"/>
        <v>0</v>
      </c>
      <c r="GR18" s="3">
        <f t="shared" si="6"/>
        <v>0</v>
      </c>
      <c r="GS18" s="3">
        <f t="shared" si="6"/>
        <v>0</v>
      </c>
      <c r="GT18" s="3">
        <f t="shared" si="6"/>
        <v>0</v>
      </c>
      <c r="GU18" s="3">
        <f t="shared" si="6"/>
        <v>0</v>
      </c>
      <c r="GV18" s="3">
        <f t="shared" si="6"/>
        <v>0</v>
      </c>
      <c r="GW18" s="3">
        <f t="shared" si="6"/>
        <v>0</v>
      </c>
      <c r="GX18" s="3">
        <f t="shared" si="6"/>
        <v>0</v>
      </c>
    </row>
    <row r="20" spans="1:245" x14ac:dyDescent="0.2">
      <c r="A20" s="1">
        <v>3</v>
      </c>
      <c r="B20" s="1">
        <v>1</v>
      </c>
      <c r="C20" s="1"/>
      <c r="D20" s="1">
        <f>ROW(A187)</f>
        <v>187</v>
      </c>
      <c r="E20" s="1"/>
      <c r="F20" s="1" t="s">
        <v>13</v>
      </c>
      <c r="G20" s="1" t="s">
        <v>14</v>
      </c>
      <c r="H20" s="1" t="s">
        <v>3</v>
      </c>
      <c r="I20" s="1">
        <v>0</v>
      </c>
      <c r="J20" s="1" t="s">
        <v>3</v>
      </c>
      <c r="K20" s="1">
        <v>0</v>
      </c>
      <c r="L20" s="1" t="s">
        <v>3</v>
      </c>
      <c r="M20" s="1"/>
      <c r="N20" s="1"/>
      <c r="O20" s="1"/>
      <c r="P20" s="1"/>
      <c r="Q20" s="1"/>
      <c r="R20" s="1"/>
      <c r="S20" s="1"/>
      <c r="T20" s="1"/>
      <c r="U20" s="1" t="s">
        <v>3</v>
      </c>
      <c r="V20" s="1">
        <v>0</v>
      </c>
      <c r="W20" s="1"/>
      <c r="X20" s="1"/>
      <c r="Y20" s="1"/>
      <c r="Z20" s="1"/>
      <c r="AA20" s="1"/>
      <c r="AB20" s="1" t="s">
        <v>3</v>
      </c>
      <c r="AC20" s="1" t="s">
        <v>3</v>
      </c>
      <c r="AD20" s="1" t="s">
        <v>3</v>
      </c>
      <c r="AE20" s="1" t="s">
        <v>3</v>
      </c>
      <c r="AF20" s="1" t="s">
        <v>3</v>
      </c>
      <c r="AG20" s="1" t="s">
        <v>3</v>
      </c>
      <c r="AH20" s="1"/>
      <c r="AI20" s="1"/>
      <c r="AJ20" s="1"/>
      <c r="AK20" s="1"/>
      <c r="AL20" s="1"/>
      <c r="AM20" s="1"/>
      <c r="AN20" s="1"/>
      <c r="AO20" s="1"/>
      <c r="AP20" s="1" t="s">
        <v>3</v>
      </c>
      <c r="AQ20" s="1" t="s">
        <v>3</v>
      </c>
      <c r="AR20" s="1" t="s">
        <v>3</v>
      </c>
      <c r="AS20" s="1"/>
      <c r="AT20" s="1"/>
      <c r="AU20" s="1"/>
      <c r="AV20" s="1"/>
      <c r="AW20" s="1"/>
      <c r="AX20" s="1"/>
      <c r="AY20" s="1"/>
      <c r="AZ20" s="1" t="s">
        <v>3</v>
      </c>
      <c r="BA20" s="1"/>
      <c r="BB20" s="1" t="s">
        <v>3</v>
      </c>
      <c r="BC20" s="1" t="s">
        <v>3</v>
      </c>
      <c r="BD20" s="1" t="s">
        <v>3</v>
      </c>
      <c r="BE20" s="1" t="s">
        <v>3</v>
      </c>
      <c r="BF20" s="1" t="s">
        <v>3</v>
      </c>
      <c r="BG20" s="1" t="s">
        <v>3</v>
      </c>
      <c r="BH20" s="1" t="s">
        <v>3</v>
      </c>
      <c r="BI20" s="1" t="s">
        <v>3</v>
      </c>
      <c r="BJ20" s="1" t="s">
        <v>3</v>
      </c>
      <c r="BK20" s="1" t="s">
        <v>3</v>
      </c>
      <c r="BL20" s="1" t="s">
        <v>3</v>
      </c>
      <c r="BM20" s="1" t="s">
        <v>3</v>
      </c>
      <c r="BN20" s="1" t="s">
        <v>3</v>
      </c>
      <c r="BO20" s="1" t="s">
        <v>3</v>
      </c>
      <c r="BP20" s="1" t="s">
        <v>3</v>
      </c>
      <c r="BQ20" s="1"/>
      <c r="BR20" s="1"/>
      <c r="BS20" s="1"/>
      <c r="BT20" s="1"/>
      <c r="BU20" s="1"/>
      <c r="BV20" s="1"/>
      <c r="BW20" s="1"/>
      <c r="BX20" s="1">
        <v>0</v>
      </c>
      <c r="BY20" s="1"/>
      <c r="BZ20" s="1"/>
      <c r="CA20" s="1"/>
      <c r="CB20" s="1"/>
      <c r="CC20" s="1"/>
      <c r="CD20" s="1"/>
      <c r="CE20" s="1"/>
      <c r="CF20" s="1">
        <v>0</v>
      </c>
      <c r="CG20" s="1">
        <v>0</v>
      </c>
      <c r="CH20" s="1"/>
      <c r="CI20" s="1" t="s">
        <v>3</v>
      </c>
      <c r="CJ20" s="1" t="s">
        <v>3</v>
      </c>
      <c r="CK20" t="s">
        <v>3</v>
      </c>
      <c r="CL20" t="s">
        <v>3</v>
      </c>
      <c r="CM20" t="s">
        <v>3</v>
      </c>
      <c r="CN20" t="s">
        <v>3</v>
      </c>
      <c r="CO20" t="s">
        <v>3</v>
      </c>
      <c r="CP20" t="s">
        <v>3</v>
      </c>
    </row>
    <row r="22" spans="1:245" x14ac:dyDescent="0.2">
      <c r="A22" s="2">
        <v>52</v>
      </c>
      <c r="B22" s="2">
        <f t="shared" ref="B22:G22" si="7">B187</f>
        <v>1</v>
      </c>
      <c r="C22" s="2">
        <f t="shared" si="7"/>
        <v>3</v>
      </c>
      <c r="D22" s="2">
        <f t="shared" si="7"/>
        <v>20</v>
      </c>
      <c r="E22" s="2">
        <f t="shared" si="7"/>
        <v>0</v>
      </c>
      <c r="F22" s="2" t="str">
        <f t="shared" si="7"/>
        <v>04-01-01</v>
      </c>
      <c r="G22" s="2" t="str">
        <f t="shared" si="7"/>
        <v>Устройство наружного освещения</v>
      </c>
      <c r="H22" s="2"/>
      <c r="I22" s="2"/>
      <c r="J22" s="2"/>
      <c r="K22" s="2"/>
      <c r="L22" s="2"/>
      <c r="M22" s="2"/>
      <c r="N22" s="2"/>
      <c r="O22" s="2">
        <f t="shared" ref="O22:AT22" si="8">O187</f>
        <v>3102493.16</v>
      </c>
      <c r="P22" s="2">
        <f t="shared" si="8"/>
        <v>2137940.13</v>
      </c>
      <c r="Q22" s="2">
        <f t="shared" si="8"/>
        <v>403592.63</v>
      </c>
      <c r="R22" s="2">
        <f t="shared" si="8"/>
        <v>163834.12</v>
      </c>
      <c r="S22" s="2">
        <f t="shared" si="8"/>
        <v>560960.4</v>
      </c>
      <c r="T22" s="2">
        <f t="shared" si="8"/>
        <v>0</v>
      </c>
      <c r="U22" s="2">
        <f t="shared" si="8"/>
        <v>1946.90859</v>
      </c>
      <c r="V22" s="2">
        <f t="shared" si="8"/>
        <v>0</v>
      </c>
      <c r="W22" s="2">
        <f t="shared" si="8"/>
        <v>0</v>
      </c>
      <c r="X22" s="2">
        <f t="shared" si="8"/>
        <v>507122.19</v>
      </c>
      <c r="Y22" s="2">
        <f t="shared" si="8"/>
        <v>239226.12</v>
      </c>
      <c r="Z22" s="2">
        <f t="shared" si="8"/>
        <v>0</v>
      </c>
      <c r="AA22" s="2">
        <f t="shared" si="8"/>
        <v>0</v>
      </c>
      <c r="AB22" s="2">
        <f t="shared" si="8"/>
        <v>0</v>
      </c>
      <c r="AC22" s="2">
        <f t="shared" si="8"/>
        <v>0</v>
      </c>
      <c r="AD22" s="2">
        <f t="shared" si="8"/>
        <v>0</v>
      </c>
      <c r="AE22" s="2">
        <f t="shared" si="8"/>
        <v>0</v>
      </c>
      <c r="AF22" s="2">
        <f t="shared" si="8"/>
        <v>0</v>
      </c>
      <c r="AG22" s="2">
        <f t="shared" si="8"/>
        <v>0</v>
      </c>
      <c r="AH22" s="2">
        <f t="shared" si="8"/>
        <v>0</v>
      </c>
      <c r="AI22" s="2">
        <f t="shared" si="8"/>
        <v>0</v>
      </c>
      <c r="AJ22" s="2">
        <f t="shared" si="8"/>
        <v>0</v>
      </c>
      <c r="AK22" s="2">
        <f t="shared" si="8"/>
        <v>0</v>
      </c>
      <c r="AL22" s="2">
        <f t="shared" si="8"/>
        <v>0</v>
      </c>
      <c r="AM22" s="2">
        <f t="shared" si="8"/>
        <v>0</v>
      </c>
      <c r="AN22" s="2">
        <f t="shared" si="8"/>
        <v>0</v>
      </c>
      <c r="AO22" s="2">
        <f t="shared" si="8"/>
        <v>0</v>
      </c>
      <c r="AP22" s="2">
        <f t="shared" si="8"/>
        <v>0</v>
      </c>
      <c r="AQ22" s="2">
        <f t="shared" si="8"/>
        <v>0</v>
      </c>
      <c r="AR22" s="2">
        <f t="shared" si="8"/>
        <v>4106061.05</v>
      </c>
      <c r="AS22" s="2">
        <f t="shared" si="8"/>
        <v>825835.42</v>
      </c>
      <c r="AT22" s="2">
        <f t="shared" si="8"/>
        <v>3178299.64</v>
      </c>
      <c r="AU22" s="2">
        <f t="shared" ref="AU22:BZ22" si="9">AU187</f>
        <v>101925.99</v>
      </c>
      <c r="AV22" s="2">
        <f t="shared" si="9"/>
        <v>2137940.13</v>
      </c>
      <c r="AW22" s="2">
        <f t="shared" si="9"/>
        <v>2137940.13</v>
      </c>
      <c r="AX22" s="2">
        <f t="shared" si="9"/>
        <v>0</v>
      </c>
      <c r="AY22" s="2">
        <f t="shared" si="9"/>
        <v>2137940.13</v>
      </c>
      <c r="AZ22" s="2">
        <f t="shared" si="9"/>
        <v>0</v>
      </c>
      <c r="BA22" s="2">
        <f t="shared" si="9"/>
        <v>0</v>
      </c>
      <c r="BB22" s="2">
        <f t="shared" si="9"/>
        <v>0</v>
      </c>
      <c r="BC22" s="2">
        <f t="shared" si="9"/>
        <v>0</v>
      </c>
      <c r="BD22" s="2">
        <f t="shared" si="9"/>
        <v>0</v>
      </c>
      <c r="BE22" s="2">
        <f t="shared" si="9"/>
        <v>0</v>
      </c>
      <c r="BF22" s="2">
        <f t="shared" si="9"/>
        <v>0</v>
      </c>
      <c r="BG22" s="2">
        <f t="shared" si="9"/>
        <v>0</v>
      </c>
      <c r="BH22" s="2">
        <f t="shared" si="9"/>
        <v>0</v>
      </c>
      <c r="BI22" s="2">
        <f t="shared" si="9"/>
        <v>0</v>
      </c>
      <c r="BJ22" s="2">
        <f t="shared" si="9"/>
        <v>0</v>
      </c>
      <c r="BK22" s="2">
        <f t="shared" si="9"/>
        <v>0</v>
      </c>
      <c r="BL22" s="2">
        <f t="shared" si="9"/>
        <v>0</v>
      </c>
      <c r="BM22" s="2">
        <f t="shared" si="9"/>
        <v>0</v>
      </c>
      <c r="BN22" s="2">
        <f t="shared" si="9"/>
        <v>0</v>
      </c>
      <c r="BO22" s="2">
        <f t="shared" si="9"/>
        <v>0</v>
      </c>
      <c r="BP22" s="2">
        <f t="shared" si="9"/>
        <v>0</v>
      </c>
      <c r="BQ22" s="2">
        <f t="shared" si="9"/>
        <v>0</v>
      </c>
      <c r="BR22" s="2">
        <f t="shared" si="9"/>
        <v>0</v>
      </c>
      <c r="BS22" s="2">
        <f t="shared" si="9"/>
        <v>0</v>
      </c>
      <c r="BT22" s="2">
        <f t="shared" si="9"/>
        <v>0</v>
      </c>
      <c r="BU22" s="2">
        <f t="shared" si="9"/>
        <v>0</v>
      </c>
      <c r="BV22" s="2">
        <f t="shared" si="9"/>
        <v>0</v>
      </c>
      <c r="BW22" s="2">
        <f t="shared" si="9"/>
        <v>0</v>
      </c>
      <c r="BX22" s="2">
        <f t="shared" si="9"/>
        <v>0</v>
      </c>
      <c r="BY22" s="2">
        <f t="shared" si="9"/>
        <v>0</v>
      </c>
      <c r="BZ22" s="2">
        <f t="shared" si="9"/>
        <v>0</v>
      </c>
      <c r="CA22" s="2">
        <f t="shared" ref="CA22:DF22" si="10">CA187</f>
        <v>0</v>
      </c>
      <c r="CB22" s="2">
        <f t="shared" si="10"/>
        <v>0</v>
      </c>
      <c r="CC22" s="2">
        <f t="shared" si="10"/>
        <v>0</v>
      </c>
      <c r="CD22" s="2">
        <f t="shared" si="10"/>
        <v>0</v>
      </c>
      <c r="CE22" s="2">
        <f t="shared" si="10"/>
        <v>0</v>
      </c>
      <c r="CF22" s="2">
        <f t="shared" si="10"/>
        <v>0</v>
      </c>
      <c r="CG22" s="2">
        <f t="shared" si="10"/>
        <v>0</v>
      </c>
      <c r="CH22" s="2">
        <f t="shared" si="10"/>
        <v>0</v>
      </c>
      <c r="CI22" s="2">
        <f t="shared" si="10"/>
        <v>0</v>
      </c>
      <c r="CJ22" s="2">
        <f t="shared" si="10"/>
        <v>0</v>
      </c>
      <c r="CK22" s="2">
        <f t="shared" si="10"/>
        <v>0</v>
      </c>
      <c r="CL22" s="2">
        <f t="shared" si="10"/>
        <v>0</v>
      </c>
      <c r="CM22" s="2">
        <f t="shared" si="10"/>
        <v>0</v>
      </c>
      <c r="CN22" s="2">
        <f t="shared" si="10"/>
        <v>0</v>
      </c>
      <c r="CO22" s="2">
        <f t="shared" si="10"/>
        <v>0</v>
      </c>
      <c r="CP22" s="2">
        <f t="shared" si="10"/>
        <v>0</v>
      </c>
      <c r="CQ22" s="2">
        <f t="shared" si="10"/>
        <v>0</v>
      </c>
      <c r="CR22" s="2">
        <f t="shared" si="10"/>
        <v>0</v>
      </c>
      <c r="CS22" s="2">
        <f t="shared" si="10"/>
        <v>0</v>
      </c>
      <c r="CT22" s="2">
        <f t="shared" si="10"/>
        <v>0</v>
      </c>
      <c r="CU22" s="2">
        <f t="shared" si="10"/>
        <v>0</v>
      </c>
      <c r="CV22" s="2">
        <f t="shared" si="10"/>
        <v>0</v>
      </c>
      <c r="CW22" s="2">
        <f t="shared" si="10"/>
        <v>0</v>
      </c>
      <c r="CX22" s="2">
        <f t="shared" si="10"/>
        <v>0</v>
      </c>
      <c r="CY22" s="2">
        <f t="shared" si="10"/>
        <v>0</v>
      </c>
      <c r="CZ22" s="2">
        <f t="shared" si="10"/>
        <v>0</v>
      </c>
      <c r="DA22" s="2">
        <f t="shared" si="10"/>
        <v>0</v>
      </c>
      <c r="DB22" s="2">
        <f t="shared" si="10"/>
        <v>0</v>
      </c>
      <c r="DC22" s="2">
        <f t="shared" si="10"/>
        <v>0</v>
      </c>
      <c r="DD22" s="2">
        <f t="shared" si="10"/>
        <v>0</v>
      </c>
      <c r="DE22" s="2">
        <f t="shared" si="10"/>
        <v>0</v>
      </c>
      <c r="DF22" s="2">
        <f t="shared" si="10"/>
        <v>0</v>
      </c>
      <c r="DG22" s="3">
        <f t="shared" ref="DG22:EL22" si="11">DG187</f>
        <v>0</v>
      </c>
      <c r="DH22" s="3">
        <f t="shared" si="11"/>
        <v>0</v>
      </c>
      <c r="DI22" s="3">
        <f t="shared" si="11"/>
        <v>0</v>
      </c>
      <c r="DJ22" s="3">
        <f t="shared" si="11"/>
        <v>0</v>
      </c>
      <c r="DK22" s="3">
        <f t="shared" si="11"/>
        <v>0</v>
      </c>
      <c r="DL22" s="3">
        <f t="shared" si="11"/>
        <v>0</v>
      </c>
      <c r="DM22" s="3">
        <f t="shared" si="11"/>
        <v>0</v>
      </c>
      <c r="DN22" s="3">
        <f t="shared" si="11"/>
        <v>0</v>
      </c>
      <c r="DO22" s="3">
        <f t="shared" si="11"/>
        <v>0</v>
      </c>
      <c r="DP22" s="3">
        <f t="shared" si="11"/>
        <v>0</v>
      </c>
      <c r="DQ22" s="3">
        <f t="shared" si="11"/>
        <v>0</v>
      </c>
      <c r="DR22" s="3">
        <f t="shared" si="11"/>
        <v>0</v>
      </c>
      <c r="DS22" s="3">
        <f t="shared" si="11"/>
        <v>0</v>
      </c>
      <c r="DT22" s="3">
        <f t="shared" si="11"/>
        <v>0</v>
      </c>
      <c r="DU22" s="3">
        <f t="shared" si="11"/>
        <v>0</v>
      </c>
      <c r="DV22" s="3">
        <f t="shared" si="11"/>
        <v>0</v>
      </c>
      <c r="DW22" s="3">
        <f t="shared" si="11"/>
        <v>0</v>
      </c>
      <c r="DX22" s="3">
        <f t="shared" si="11"/>
        <v>0</v>
      </c>
      <c r="DY22" s="3">
        <f t="shared" si="11"/>
        <v>0</v>
      </c>
      <c r="DZ22" s="3">
        <f t="shared" si="11"/>
        <v>0</v>
      </c>
      <c r="EA22" s="3">
        <f t="shared" si="11"/>
        <v>0</v>
      </c>
      <c r="EB22" s="3">
        <f t="shared" si="11"/>
        <v>0</v>
      </c>
      <c r="EC22" s="3">
        <f t="shared" si="11"/>
        <v>0</v>
      </c>
      <c r="ED22" s="3">
        <f t="shared" si="11"/>
        <v>0</v>
      </c>
      <c r="EE22" s="3">
        <f t="shared" si="11"/>
        <v>0</v>
      </c>
      <c r="EF22" s="3">
        <f t="shared" si="11"/>
        <v>0</v>
      </c>
      <c r="EG22" s="3">
        <f t="shared" si="11"/>
        <v>0</v>
      </c>
      <c r="EH22" s="3">
        <f t="shared" si="11"/>
        <v>0</v>
      </c>
      <c r="EI22" s="3">
        <f t="shared" si="11"/>
        <v>0</v>
      </c>
      <c r="EJ22" s="3">
        <f t="shared" si="11"/>
        <v>0</v>
      </c>
      <c r="EK22" s="3">
        <f t="shared" si="11"/>
        <v>0</v>
      </c>
      <c r="EL22" s="3">
        <f t="shared" si="11"/>
        <v>0</v>
      </c>
      <c r="EM22" s="3">
        <f t="shared" ref="EM22:FR22" si="12">EM187</f>
        <v>0</v>
      </c>
      <c r="EN22" s="3">
        <f t="shared" si="12"/>
        <v>0</v>
      </c>
      <c r="EO22" s="3">
        <f t="shared" si="12"/>
        <v>0</v>
      </c>
      <c r="EP22" s="3">
        <f t="shared" si="12"/>
        <v>0</v>
      </c>
      <c r="EQ22" s="3">
        <f t="shared" si="12"/>
        <v>0</v>
      </c>
      <c r="ER22" s="3">
        <f t="shared" si="12"/>
        <v>0</v>
      </c>
      <c r="ES22" s="3">
        <f t="shared" si="12"/>
        <v>0</v>
      </c>
      <c r="ET22" s="3">
        <f t="shared" si="12"/>
        <v>0</v>
      </c>
      <c r="EU22" s="3">
        <f t="shared" si="12"/>
        <v>0</v>
      </c>
      <c r="EV22" s="3">
        <f t="shared" si="12"/>
        <v>0</v>
      </c>
      <c r="EW22" s="3">
        <f t="shared" si="12"/>
        <v>0</v>
      </c>
      <c r="EX22" s="3">
        <f t="shared" si="12"/>
        <v>0</v>
      </c>
      <c r="EY22" s="3">
        <f t="shared" si="12"/>
        <v>0</v>
      </c>
      <c r="EZ22" s="3">
        <f t="shared" si="12"/>
        <v>0</v>
      </c>
      <c r="FA22" s="3">
        <f t="shared" si="12"/>
        <v>0</v>
      </c>
      <c r="FB22" s="3">
        <f t="shared" si="12"/>
        <v>0</v>
      </c>
      <c r="FC22" s="3">
        <f t="shared" si="12"/>
        <v>0</v>
      </c>
      <c r="FD22" s="3">
        <f t="shared" si="12"/>
        <v>0</v>
      </c>
      <c r="FE22" s="3">
        <f t="shared" si="12"/>
        <v>0</v>
      </c>
      <c r="FF22" s="3">
        <f t="shared" si="12"/>
        <v>0</v>
      </c>
      <c r="FG22" s="3">
        <f t="shared" si="12"/>
        <v>0</v>
      </c>
      <c r="FH22" s="3">
        <f t="shared" si="12"/>
        <v>0</v>
      </c>
      <c r="FI22" s="3">
        <f t="shared" si="12"/>
        <v>0</v>
      </c>
      <c r="FJ22" s="3">
        <f t="shared" si="12"/>
        <v>0</v>
      </c>
      <c r="FK22" s="3">
        <f t="shared" si="12"/>
        <v>0</v>
      </c>
      <c r="FL22" s="3">
        <f t="shared" si="12"/>
        <v>0</v>
      </c>
      <c r="FM22" s="3">
        <f t="shared" si="12"/>
        <v>0</v>
      </c>
      <c r="FN22" s="3">
        <f t="shared" si="12"/>
        <v>0</v>
      </c>
      <c r="FO22" s="3">
        <f t="shared" si="12"/>
        <v>0</v>
      </c>
      <c r="FP22" s="3">
        <f t="shared" si="12"/>
        <v>0</v>
      </c>
      <c r="FQ22" s="3">
        <f t="shared" si="12"/>
        <v>0</v>
      </c>
      <c r="FR22" s="3">
        <f t="shared" si="12"/>
        <v>0</v>
      </c>
      <c r="FS22" s="3">
        <f t="shared" ref="FS22:GX22" si="13">FS187</f>
        <v>0</v>
      </c>
      <c r="FT22" s="3">
        <f t="shared" si="13"/>
        <v>0</v>
      </c>
      <c r="FU22" s="3">
        <f t="shared" si="13"/>
        <v>0</v>
      </c>
      <c r="FV22" s="3">
        <f t="shared" si="13"/>
        <v>0</v>
      </c>
      <c r="FW22" s="3">
        <f t="shared" si="13"/>
        <v>0</v>
      </c>
      <c r="FX22" s="3">
        <f t="shared" si="13"/>
        <v>0</v>
      </c>
      <c r="FY22" s="3">
        <f t="shared" si="13"/>
        <v>0</v>
      </c>
      <c r="FZ22" s="3">
        <f t="shared" si="13"/>
        <v>0</v>
      </c>
      <c r="GA22" s="3">
        <f t="shared" si="13"/>
        <v>0</v>
      </c>
      <c r="GB22" s="3">
        <f t="shared" si="13"/>
        <v>0</v>
      </c>
      <c r="GC22" s="3">
        <f t="shared" si="13"/>
        <v>0</v>
      </c>
      <c r="GD22" s="3">
        <f t="shared" si="13"/>
        <v>0</v>
      </c>
      <c r="GE22" s="3">
        <f t="shared" si="13"/>
        <v>0</v>
      </c>
      <c r="GF22" s="3">
        <f t="shared" si="13"/>
        <v>0</v>
      </c>
      <c r="GG22" s="3">
        <f t="shared" si="13"/>
        <v>0</v>
      </c>
      <c r="GH22" s="3">
        <f t="shared" si="13"/>
        <v>0</v>
      </c>
      <c r="GI22" s="3">
        <f t="shared" si="13"/>
        <v>0</v>
      </c>
      <c r="GJ22" s="3">
        <f t="shared" si="13"/>
        <v>0</v>
      </c>
      <c r="GK22" s="3">
        <f t="shared" si="13"/>
        <v>0</v>
      </c>
      <c r="GL22" s="3">
        <f t="shared" si="13"/>
        <v>0</v>
      </c>
      <c r="GM22" s="3">
        <f t="shared" si="13"/>
        <v>0</v>
      </c>
      <c r="GN22" s="3">
        <f t="shared" si="13"/>
        <v>0</v>
      </c>
      <c r="GO22" s="3">
        <f t="shared" si="13"/>
        <v>0</v>
      </c>
      <c r="GP22" s="3">
        <f t="shared" si="13"/>
        <v>0</v>
      </c>
      <c r="GQ22" s="3">
        <f t="shared" si="13"/>
        <v>0</v>
      </c>
      <c r="GR22" s="3">
        <f t="shared" si="13"/>
        <v>0</v>
      </c>
      <c r="GS22" s="3">
        <f t="shared" si="13"/>
        <v>0</v>
      </c>
      <c r="GT22" s="3">
        <f t="shared" si="13"/>
        <v>0</v>
      </c>
      <c r="GU22" s="3">
        <f t="shared" si="13"/>
        <v>0</v>
      </c>
      <c r="GV22" s="3">
        <f t="shared" si="13"/>
        <v>0</v>
      </c>
      <c r="GW22" s="3">
        <f t="shared" si="13"/>
        <v>0</v>
      </c>
      <c r="GX22" s="3">
        <f t="shared" si="13"/>
        <v>0</v>
      </c>
    </row>
    <row r="24" spans="1:245" x14ac:dyDescent="0.2">
      <c r="A24" s="1">
        <v>4</v>
      </c>
      <c r="B24" s="1">
        <v>1</v>
      </c>
      <c r="C24" s="1"/>
      <c r="D24" s="1">
        <f>ROW(A50)</f>
        <v>50</v>
      </c>
      <c r="E24" s="1"/>
      <c r="F24" s="1" t="s">
        <v>15</v>
      </c>
      <c r="G24" s="1" t="s">
        <v>16</v>
      </c>
      <c r="H24" s="1" t="s">
        <v>3</v>
      </c>
      <c r="I24" s="1">
        <v>0</v>
      </c>
      <c r="J24" s="1"/>
      <c r="K24" s="1">
        <v>-1</v>
      </c>
      <c r="L24" s="1"/>
      <c r="M24" s="1"/>
      <c r="N24" s="1"/>
      <c r="O24" s="1"/>
      <c r="P24" s="1"/>
      <c r="Q24" s="1"/>
      <c r="R24" s="1"/>
      <c r="S24" s="1"/>
      <c r="T24" s="1"/>
      <c r="U24" s="1" t="s">
        <v>3</v>
      </c>
      <c r="V24" s="1">
        <v>0</v>
      </c>
      <c r="W24" s="1"/>
      <c r="X24" s="1"/>
      <c r="Y24" s="1"/>
      <c r="Z24" s="1"/>
      <c r="AA24" s="1"/>
      <c r="AB24" s="1" t="s">
        <v>3</v>
      </c>
      <c r="AC24" s="1" t="s">
        <v>3</v>
      </c>
      <c r="AD24" s="1" t="s">
        <v>3</v>
      </c>
      <c r="AE24" s="1" t="s">
        <v>3</v>
      </c>
      <c r="AF24" s="1" t="s">
        <v>3</v>
      </c>
      <c r="AG24" s="1" t="s">
        <v>3</v>
      </c>
      <c r="AH24" s="1"/>
      <c r="AI24" s="1"/>
      <c r="AJ24" s="1"/>
      <c r="AK24" s="1"/>
      <c r="AL24" s="1"/>
      <c r="AM24" s="1"/>
      <c r="AN24" s="1"/>
      <c r="AO24" s="1"/>
      <c r="AP24" s="1" t="s">
        <v>3</v>
      </c>
      <c r="AQ24" s="1" t="s">
        <v>3</v>
      </c>
      <c r="AR24" s="1" t="s">
        <v>3</v>
      </c>
      <c r="AS24" s="1"/>
      <c r="AT24" s="1"/>
      <c r="AU24" s="1"/>
      <c r="AV24" s="1"/>
      <c r="AW24" s="1"/>
      <c r="AX24" s="1"/>
      <c r="AY24" s="1"/>
      <c r="AZ24" s="1" t="s">
        <v>3</v>
      </c>
      <c r="BA24" s="1"/>
      <c r="BB24" s="1" t="s">
        <v>3</v>
      </c>
      <c r="BC24" s="1" t="s">
        <v>3</v>
      </c>
      <c r="BD24" s="1" t="s">
        <v>3</v>
      </c>
      <c r="BE24" s="1" t="s">
        <v>3</v>
      </c>
      <c r="BF24" s="1" t="s">
        <v>3</v>
      </c>
      <c r="BG24" s="1" t="s">
        <v>3</v>
      </c>
      <c r="BH24" s="1" t="s">
        <v>3</v>
      </c>
      <c r="BI24" s="1" t="s">
        <v>3</v>
      </c>
      <c r="BJ24" s="1" t="s">
        <v>3</v>
      </c>
      <c r="BK24" s="1" t="s">
        <v>3</v>
      </c>
      <c r="BL24" s="1" t="s">
        <v>3</v>
      </c>
      <c r="BM24" s="1" t="s">
        <v>3</v>
      </c>
      <c r="BN24" s="1" t="s">
        <v>3</v>
      </c>
      <c r="BO24" s="1" t="s">
        <v>3</v>
      </c>
      <c r="BP24" s="1" t="s">
        <v>3</v>
      </c>
      <c r="BQ24" s="1"/>
      <c r="BR24" s="1"/>
      <c r="BS24" s="1"/>
      <c r="BT24" s="1"/>
      <c r="BU24" s="1"/>
      <c r="BV24" s="1"/>
      <c r="BW24" s="1"/>
      <c r="BX24" s="1">
        <v>0</v>
      </c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>
        <v>0</v>
      </c>
    </row>
    <row r="26" spans="1:245" x14ac:dyDescent="0.2">
      <c r="A26" s="2">
        <v>52</v>
      </c>
      <c r="B26" s="2">
        <f t="shared" ref="B26:G26" si="14">B50</f>
        <v>1</v>
      </c>
      <c r="C26" s="2">
        <f t="shared" si="14"/>
        <v>4</v>
      </c>
      <c r="D26" s="2">
        <f t="shared" si="14"/>
        <v>24</v>
      </c>
      <c r="E26" s="2">
        <f t="shared" si="14"/>
        <v>0</v>
      </c>
      <c r="F26" s="2" t="str">
        <f t="shared" si="14"/>
        <v>Новый раздел</v>
      </c>
      <c r="G26" s="2" t="str">
        <f t="shared" si="14"/>
        <v>Пракладка кабеля в траншеи</v>
      </c>
      <c r="H26" s="2"/>
      <c r="I26" s="2"/>
      <c r="J26" s="2"/>
      <c r="K26" s="2"/>
      <c r="L26" s="2"/>
      <c r="M26" s="2"/>
      <c r="N26" s="2"/>
      <c r="O26" s="2">
        <f t="shared" ref="O26:AT26" si="15">O50</f>
        <v>759921.63</v>
      </c>
      <c r="P26" s="2">
        <f t="shared" si="15"/>
        <v>301162.21999999997</v>
      </c>
      <c r="Q26" s="2">
        <f t="shared" si="15"/>
        <v>300386.98</v>
      </c>
      <c r="R26" s="2">
        <f t="shared" si="15"/>
        <v>105804.99</v>
      </c>
      <c r="S26" s="2">
        <f t="shared" si="15"/>
        <v>158372.43</v>
      </c>
      <c r="T26" s="2">
        <f t="shared" si="15"/>
        <v>0</v>
      </c>
      <c r="U26" s="2">
        <f t="shared" si="15"/>
        <v>546.02759000000003</v>
      </c>
      <c r="V26" s="2">
        <f t="shared" si="15"/>
        <v>0</v>
      </c>
      <c r="W26" s="2">
        <f t="shared" si="15"/>
        <v>0</v>
      </c>
      <c r="X26" s="2">
        <f t="shared" si="15"/>
        <v>142320.82999999999</v>
      </c>
      <c r="Y26" s="2">
        <f t="shared" si="15"/>
        <v>68585.47</v>
      </c>
      <c r="Z26" s="2">
        <f t="shared" si="15"/>
        <v>0</v>
      </c>
      <c r="AA26" s="2">
        <f t="shared" si="15"/>
        <v>0</v>
      </c>
      <c r="AB26" s="2">
        <f t="shared" si="15"/>
        <v>759921.63</v>
      </c>
      <c r="AC26" s="2">
        <f t="shared" si="15"/>
        <v>301162.21999999997</v>
      </c>
      <c r="AD26" s="2">
        <f t="shared" si="15"/>
        <v>300386.98</v>
      </c>
      <c r="AE26" s="2">
        <f t="shared" si="15"/>
        <v>105804.99</v>
      </c>
      <c r="AF26" s="2">
        <f t="shared" si="15"/>
        <v>158372.43</v>
      </c>
      <c r="AG26" s="2">
        <f t="shared" si="15"/>
        <v>0</v>
      </c>
      <c r="AH26" s="2">
        <f t="shared" si="15"/>
        <v>546.02759000000003</v>
      </c>
      <c r="AI26" s="2">
        <f t="shared" si="15"/>
        <v>0</v>
      </c>
      <c r="AJ26" s="2">
        <f t="shared" si="15"/>
        <v>0</v>
      </c>
      <c r="AK26" s="2">
        <f t="shared" si="15"/>
        <v>142320.82999999999</v>
      </c>
      <c r="AL26" s="2">
        <f t="shared" si="15"/>
        <v>68585.47</v>
      </c>
      <c r="AM26" s="2">
        <f t="shared" si="15"/>
        <v>0</v>
      </c>
      <c r="AN26" s="2">
        <f t="shared" si="15"/>
        <v>0</v>
      </c>
      <c r="AO26" s="2">
        <f t="shared" si="15"/>
        <v>0</v>
      </c>
      <c r="AP26" s="2">
        <f t="shared" si="15"/>
        <v>0</v>
      </c>
      <c r="AQ26" s="2">
        <f t="shared" si="15"/>
        <v>0</v>
      </c>
      <c r="AR26" s="2">
        <f t="shared" si="15"/>
        <v>1136941.76</v>
      </c>
      <c r="AS26" s="2">
        <f t="shared" si="15"/>
        <v>143807.76999999999</v>
      </c>
      <c r="AT26" s="2">
        <f t="shared" si="15"/>
        <v>891208</v>
      </c>
      <c r="AU26" s="2">
        <f t="shared" ref="AU26:BZ26" si="16">AU50</f>
        <v>101925.99</v>
      </c>
      <c r="AV26" s="2">
        <f t="shared" si="16"/>
        <v>301162.21999999997</v>
      </c>
      <c r="AW26" s="2">
        <f t="shared" si="16"/>
        <v>301162.21999999997</v>
      </c>
      <c r="AX26" s="2">
        <f t="shared" si="16"/>
        <v>0</v>
      </c>
      <c r="AY26" s="2">
        <f t="shared" si="16"/>
        <v>301162.21999999997</v>
      </c>
      <c r="AZ26" s="2">
        <f t="shared" si="16"/>
        <v>0</v>
      </c>
      <c r="BA26" s="2">
        <f t="shared" si="16"/>
        <v>0</v>
      </c>
      <c r="BB26" s="2">
        <f t="shared" si="16"/>
        <v>0</v>
      </c>
      <c r="BC26" s="2">
        <f t="shared" si="16"/>
        <v>0</v>
      </c>
      <c r="BD26" s="2">
        <f t="shared" si="16"/>
        <v>0</v>
      </c>
      <c r="BE26" s="2">
        <f t="shared" si="16"/>
        <v>0</v>
      </c>
      <c r="BF26" s="2">
        <f t="shared" si="16"/>
        <v>0</v>
      </c>
      <c r="BG26" s="2">
        <f t="shared" si="16"/>
        <v>0</v>
      </c>
      <c r="BH26" s="2">
        <f t="shared" si="16"/>
        <v>0</v>
      </c>
      <c r="BI26" s="2">
        <f t="shared" si="16"/>
        <v>0</v>
      </c>
      <c r="BJ26" s="2">
        <f t="shared" si="16"/>
        <v>0</v>
      </c>
      <c r="BK26" s="2">
        <f t="shared" si="16"/>
        <v>0</v>
      </c>
      <c r="BL26" s="2">
        <f t="shared" si="16"/>
        <v>0</v>
      </c>
      <c r="BM26" s="2">
        <f t="shared" si="16"/>
        <v>0</v>
      </c>
      <c r="BN26" s="2">
        <f t="shared" si="16"/>
        <v>0</v>
      </c>
      <c r="BO26" s="2">
        <f t="shared" si="16"/>
        <v>0</v>
      </c>
      <c r="BP26" s="2">
        <f t="shared" si="16"/>
        <v>0</v>
      </c>
      <c r="BQ26" s="2">
        <f t="shared" si="16"/>
        <v>0</v>
      </c>
      <c r="BR26" s="2">
        <f t="shared" si="16"/>
        <v>0</v>
      </c>
      <c r="BS26" s="2">
        <f t="shared" si="16"/>
        <v>0</v>
      </c>
      <c r="BT26" s="2">
        <f t="shared" si="16"/>
        <v>0</v>
      </c>
      <c r="BU26" s="2">
        <f t="shared" si="16"/>
        <v>0</v>
      </c>
      <c r="BV26" s="2">
        <f t="shared" si="16"/>
        <v>0</v>
      </c>
      <c r="BW26" s="2">
        <f t="shared" si="16"/>
        <v>0</v>
      </c>
      <c r="BX26" s="2">
        <f t="shared" si="16"/>
        <v>0</v>
      </c>
      <c r="BY26" s="2">
        <f t="shared" si="16"/>
        <v>0</v>
      </c>
      <c r="BZ26" s="2">
        <f t="shared" si="16"/>
        <v>0</v>
      </c>
      <c r="CA26" s="2">
        <f t="shared" ref="CA26:DF26" si="17">CA50</f>
        <v>1136941.76</v>
      </c>
      <c r="CB26" s="2">
        <f t="shared" si="17"/>
        <v>143807.76999999999</v>
      </c>
      <c r="CC26" s="2">
        <f t="shared" si="17"/>
        <v>891208</v>
      </c>
      <c r="CD26" s="2">
        <f t="shared" si="17"/>
        <v>101925.99</v>
      </c>
      <c r="CE26" s="2">
        <f t="shared" si="17"/>
        <v>301162.21999999997</v>
      </c>
      <c r="CF26" s="2">
        <f t="shared" si="17"/>
        <v>301162.21999999997</v>
      </c>
      <c r="CG26" s="2">
        <f t="shared" si="17"/>
        <v>0</v>
      </c>
      <c r="CH26" s="2">
        <f t="shared" si="17"/>
        <v>301162.21999999997</v>
      </c>
      <c r="CI26" s="2">
        <f t="shared" si="17"/>
        <v>0</v>
      </c>
      <c r="CJ26" s="2">
        <f t="shared" si="17"/>
        <v>0</v>
      </c>
      <c r="CK26" s="2">
        <f t="shared" si="17"/>
        <v>0</v>
      </c>
      <c r="CL26" s="2">
        <f t="shared" si="17"/>
        <v>0</v>
      </c>
      <c r="CM26" s="2">
        <f t="shared" si="17"/>
        <v>0</v>
      </c>
      <c r="CN26" s="2">
        <f t="shared" si="17"/>
        <v>0</v>
      </c>
      <c r="CO26" s="2">
        <f t="shared" si="17"/>
        <v>0</v>
      </c>
      <c r="CP26" s="2">
        <f t="shared" si="17"/>
        <v>0</v>
      </c>
      <c r="CQ26" s="2">
        <f t="shared" si="17"/>
        <v>0</v>
      </c>
      <c r="CR26" s="2">
        <f t="shared" si="17"/>
        <v>0</v>
      </c>
      <c r="CS26" s="2">
        <f t="shared" si="17"/>
        <v>0</v>
      </c>
      <c r="CT26" s="2">
        <f t="shared" si="17"/>
        <v>0</v>
      </c>
      <c r="CU26" s="2">
        <f t="shared" si="17"/>
        <v>0</v>
      </c>
      <c r="CV26" s="2">
        <f t="shared" si="17"/>
        <v>0</v>
      </c>
      <c r="CW26" s="2">
        <f t="shared" si="17"/>
        <v>0</v>
      </c>
      <c r="CX26" s="2">
        <f t="shared" si="17"/>
        <v>0</v>
      </c>
      <c r="CY26" s="2">
        <f t="shared" si="17"/>
        <v>0</v>
      </c>
      <c r="CZ26" s="2">
        <f t="shared" si="17"/>
        <v>0</v>
      </c>
      <c r="DA26" s="2">
        <f t="shared" si="17"/>
        <v>0</v>
      </c>
      <c r="DB26" s="2">
        <f t="shared" si="17"/>
        <v>0</v>
      </c>
      <c r="DC26" s="2">
        <f t="shared" si="17"/>
        <v>0</v>
      </c>
      <c r="DD26" s="2">
        <f t="shared" si="17"/>
        <v>0</v>
      </c>
      <c r="DE26" s="2">
        <f t="shared" si="17"/>
        <v>0</v>
      </c>
      <c r="DF26" s="2">
        <f t="shared" si="17"/>
        <v>0</v>
      </c>
      <c r="DG26" s="3">
        <f t="shared" ref="DG26:EL26" si="18">DG50</f>
        <v>0</v>
      </c>
      <c r="DH26" s="3">
        <f t="shared" si="18"/>
        <v>0</v>
      </c>
      <c r="DI26" s="3">
        <f t="shared" si="18"/>
        <v>0</v>
      </c>
      <c r="DJ26" s="3">
        <f t="shared" si="18"/>
        <v>0</v>
      </c>
      <c r="DK26" s="3">
        <f t="shared" si="18"/>
        <v>0</v>
      </c>
      <c r="DL26" s="3">
        <f t="shared" si="18"/>
        <v>0</v>
      </c>
      <c r="DM26" s="3">
        <f t="shared" si="18"/>
        <v>0</v>
      </c>
      <c r="DN26" s="3">
        <f t="shared" si="18"/>
        <v>0</v>
      </c>
      <c r="DO26" s="3">
        <f t="shared" si="18"/>
        <v>0</v>
      </c>
      <c r="DP26" s="3">
        <f t="shared" si="18"/>
        <v>0</v>
      </c>
      <c r="DQ26" s="3">
        <f t="shared" si="18"/>
        <v>0</v>
      </c>
      <c r="DR26" s="3">
        <f t="shared" si="18"/>
        <v>0</v>
      </c>
      <c r="DS26" s="3">
        <f t="shared" si="18"/>
        <v>0</v>
      </c>
      <c r="DT26" s="3">
        <f t="shared" si="18"/>
        <v>0</v>
      </c>
      <c r="DU26" s="3">
        <f t="shared" si="18"/>
        <v>0</v>
      </c>
      <c r="DV26" s="3">
        <f t="shared" si="18"/>
        <v>0</v>
      </c>
      <c r="DW26" s="3">
        <f t="shared" si="18"/>
        <v>0</v>
      </c>
      <c r="DX26" s="3">
        <f t="shared" si="18"/>
        <v>0</v>
      </c>
      <c r="DY26" s="3">
        <f t="shared" si="18"/>
        <v>0</v>
      </c>
      <c r="DZ26" s="3">
        <f t="shared" si="18"/>
        <v>0</v>
      </c>
      <c r="EA26" s="3">
        <f t="shared" si="18"/>
        <v>0</v>
      </c>
      <c r="EB26" s="3">
        <f t="shared" si="18"/>
        <v>0</v>
      </c>
      <c r="EC26" s="3">
        <f t="shared" si="18"/>
        <v>0</v>
      </c>
      <c r="ED26" s="3">
        <f t="shared" si="18"/>
        <v>0</v>
      </c>
      <c r="EE26" s="3">
        <f t="shared" si="18"/>
        <v>0</v>
      </c>
      <c r="EF26" s="3">
        <f t="shared" si="18"/>
        <v>0</v>
      </c>
      <c r="EG26" s="3">
        <f t="shared" si="18"/>
        <v>0</v>
      </c>
      <c r="EH26" s="3">
        <f t="shared" si="18"/>
        <v>0</v>
      </c>
      <c r="EI26" s="3">
        <f t="shared" si="18"/>
        <v>0</v>
      </c>
      <c r="EJ26" s="3">
        <f t="shared" si="18"/>
        <v>0</v>
      </c>
      <c r="EK26" s="3">
        <f t="shared" si="18"/>
        <v>0</v>
      </c>
      <c r="EL26" s="3">
        <f t="shared" si="18"/>
        <v>0</v>
      </c>
      <c r="EM26" s="3">
        <f t="shared" ref="EM26:FR26" si="19">EM50</f>
        <v>0</v>
      </c>
      <c r="EN26" s="3">
        <f t="shared" si="19"/>
        <v>0</v>
      </c>
      <c r="EO26" s="3">
        <f t="shared" si="19"/>
        <v>0</v>
      </c>
      <c r="EP26" s="3">
        <f t="shared" si="19"/>
        <v>0</v>
      </c>
      <c r="EQ26" s="3">
        <f t="shared" si="19"/>
        <v>0</v>
      </c>
      <c r="ER26" s="3">
        <f t="shared" si="19"/>
        <v>0</v>
      </c>
      <c r="ES26" s="3">
        <f t="shared" si="19"/>
        <v>0</v>
      </c>
      <c r="ET26" s="3">
        <f t="shared" si="19"/>
        <v>0</v>
      </c>
      <c r="EU26" s="3">
        <f t="shared" si="19"/>
        <v>0</v>
      </c>
      <c r="EV26" s="3">
        <f t="shared" si="19"/>
        <v>0</v>
      </c>
      <c r="EW26" s="3">
        <f t="shared" si="19"/>
        <v>0</v>
      </c>
      <c r="EX26" s="3">
        <f t="shared" si="19"/>
        <v>0</v>
      </c>
      <c r="EY26" s="3">
        <f t="shared" si="19"/>
        <v>0</v>
      </c>
      <c r="EZ26" s="3">
        <f t="shared" si="19"/>
        <v>0</v>
      </c>
      <c r="FA26" s="3">
        <f t="shared" si="19"/>
        <v>0</v>
      </c>
      <c r="FB26" s="3">
        <f t="shared" si="19"/>
        <v>0</v>
      </c>
      <c r="FC26" s="3">
        <f t="shared" si="19"/>
        <v>0</v>
      </c>
      <c r="FD26" s="3">
        <f t="shared" si="19"/>
        <v>0</v>
      </c>
      <c r="FE26" s="3">
        <f t="shared" si="19"/>
        <v>0</v>
      </c>
      <c r="FF26" s="3">
        <f t="shared" si="19"/>
        <v>0</v>
      </c>
      <c r="FG26" s="3">
        <f t="shared" si="19"/>
        <v>0</v>
      </c>
      <c r="FH26" s="3">
        <f t="shared" si="19"/>
        <v>0</v>
      </c>
      <c r="FI26" s="3">
        <f t="shared" si="19"/>
        <v>0</v>
      </c>
      <c r="FJ26" s="3">
        <f t="shared" si="19"/>
        <v>0</v>
      </c>
      <c r="FK26" s="3">
        <f t="shared" si="19"/>
        <v>0</v>
      </c>
      <c r="FL26" s="3">
        <f t="shared" si="19"/>
        <v>0</v>
      </c>
      <c r="FM26" s="3">
        <f t="shared" si="19"/>
        <v>0</v>
      </c>
      <c r="FN26" s="3">
        <f t="shared" si="19"/>
        <v>0</v>
      </c>
      <c r="FO26" s="3">
        <f t="shared" si="19"/>
        <v>0</v>
      </c>
      <c r="FP26" s="3">
        <f t="shared" si="19"/>
        <v>0</v>
      </c>
      <c r="FQ26" s="3">
        <f t="shared" si="19"/>
        <v>0</v>
      </c>
      <c r="FR26" s="3">
        <f t="shared" si="19"/>
        <v>0</v>
      </c>
      <c r="FS26" s="3">
        <f t="shared" ref="FS26:GX26" si="20">FS50</f>
        <v>0</v>
      </c>
      <c r="FT26" s="3">
        <f t="shared" si="20"/>
        <v>0</v>
      </c>
      <c r="FU26" s="3">
        <f t="shared" si="20"/>
        <v>0</v>
      </c>
      <c r="FV26" s="3">
        <f t="shared" si="20"/>
        <v>0</v>
      </c>
      <c r="FW26" s="3">
        <f t="shared" si="20"/>
        <v>0</v>
      </c>
      <c r="FX26" s="3">
        <f t="shared" si="20"/>
        <v>0</v>
      </c>
      <c r="FY26" s="3">
        <f t="shared" si="20"/>
        <v>0</v>
      </c>
      <c r="FZ26" s="3">
        <f t="shared" si="20"/>
        <v>0</v>
      </c>
      <c r="GA26" s="3">
        <f t="shared" si="20"/>
        <v>0</v>
      </c>
      <c r="GB26" s="3">
        <f t="shared" si="20"/>
        <v>0</v>
      </c>
      <c r="GC26" s="3">
        <f t="shared" si="20"/>
        <v>0</v>
      </c>
      <c r="GD26" s="3">
        <f t="shared" si="20"/>
        <v>0</v>
      </c>
      <c r="GE26" s="3">
        <f t="shared" si="20"/>
        <v>0</v>
      </c>
      <c r="GF26" s="3">
        <f t="shared" si="20"/>
        <v>0</v>
      </c>
      <c r="GG26" s="3">
        <f t="shared" si="20"/>
        <v>0</v>
      </c>
      <c r="GH26" s="3">
        <f t="shared" si="20"/>
        <v>0</v>
      </c>
      <c r="GI26" s="3">
        <f t="shared" si="20"/>
        <v>0</v>
      </c>
      <c r="GJ26" s="3">
        <f t="shared" si="20"/>
        <v>0</v>
      </c>
      <c r="GK26" s="3">
        <f t="shared" si="20"/>
        <v>0</v>
      </c>
      <c r="GL26" s="3">
        <f t="shared" si="20"/>
        <v>0</v>
      </c>
      <c r="GM26" s="3">
        <f t="shared" si="20"/>
        <v>0</v>
      </c>
      <c r="GN26" s="3">
        <f t="shared" si="20"/>
        <v>0</v>
      </c>
      <c r="GO26" s="3">
        <f t="shared" si="20"/>
        <v>0</v>
      </c>
      <c r="GP26" s="3">
        <f t="shared" si="20"/>
        <v>0</v>
      </c>
      <c r="GQ26" s="3">
        <f t="shared" si="20"/>
        <v>0</v>
      </c>
      <c r="GR26" s="3">
        <f t="shared" si="20"/>
        <v>0</v>
      </c>
      <c r="GS26" s="3">
        <f t="shared" si="20"/>
        <v>0</v>
      </c>
      <c r="GT26" s="3">
        <f t="shared" si="20"/>
        <v>0</v>
      </c>
      <c r="GU26" s="3">
        <f t="shared" si="20"/>
        <v>0</v>
      </c>
      <c r="GV26" s="3">
        <f t="shared" si="20"/>
        <v>0</v>
      </c>
      <c r="GW26" s="3">
        <f t="shared" si="20"/>
        <v>0</v>
      </c>
      <c r="GX26" s="3">
        <f t="shared" si="20"/>
        <v>0</v>
      </c>
    </row>
    <row r="28" spans="1:245" x14ac:dyDescent="0.2">
      <c r="A28">
        <v>17</v>
      </c>
      <c r="B28">
        <v>1</v>
      </c>
      <c r="C28">
        <f>ROW(SmtRes!A2)</f>
        <v>2</v>
      </c>
      <c r="D28">
        <f>ROW(EtalonRes!A2)</f>
        <v>2</v>
      </c>
      <c r="E28" t="s">
        <v>17</v>
      </c>
      <c r="F28" t="s">
        <v>18</v>
      </c>
      <c r="G28" t="s">
        <v>19</v>
      </c>
      <c r="H28" t="s">
        <v>20</v>
      </c>
      <c r="I28">
        <f>ROUND(326.7/100,9)</f>
        <v>3.2669999999999999</v>
      </c>
      <c r="J28">
        <v>0</v>
      </c>
      <c r="O28">
        <f t="shared" ref="O28:O48" si="21">ROUND(CP28,2)</f>
        <v>14151.16</v>
      </c>
      <c r="P28">
        <f t="shared" ref="P28:P48" si="22">ROUND((ROUND((AC28*AW28*I28),2)*BC28),2)</f>
        <v>0</v>
      </c>
      <c r="Q28">
        <f t="shared" ref="Q28:Q48" si="23">(ROUND((ROUND(((ET28)*AV28*I28),2)*BB28),2)+ROUND((ROUND(((AE28-(EU28))*AV28*I28),2)*BS28),2))</f>
        <v>13408.06</v>
      </c>
      <c r="R28">
        <f t="shared" ref="R28:R48" si="24">ROUND((ROUND((AE28*AV28*I28),2)*BS28),2)</f>
        <v>5501.41</v>
      </c>
      <c r="S28">
        <f t="shared" ref="S28:S48" si="25">ROUND((ROUND((AF28*AV28*I28),2)*BA28),2)</f>
        <v>743.1</v>
      </c>
      <c r="T28">
        <f t="shared" ref="T28:T48" si="26">ROUND(CU28*I28,2)</f>
        <v>0</v>
      </c>
      <c r="U28">
        <f t="shared" ref="U28:U48" si="27">CV28*I28</f>
        <v>3.0383100000000001</v>
      </c>
      <c r="V28">
        <f t="shared" ref="V28:V48" si="28">CW28*I28</f>
        <v>0</v>
      </c>
      <c r="W28">
        <f t="shared" ref="W28:W48" si="29">ROUND(CX28*I28,2)</f>
        <v>0</v>
      </c>
      <c r="X28">
        <f t="shared" ref="X28:X48" si="30">ROUND(CY28,2)</f>
        <v>683.65</v>
      </c>
      <c r="Y28">
        <f t="shared" ref="Y28:Y48" si="31">ROUND(CZ28,2)</f>
        <v>371.55</v>
      </c>
      <c r="AA28">
        <v>44002026</v>
      </c>
      <c r="AB28">
        <f t="shared" ref="AB28:AB48" si="32">ROUND((AC28+AD28+AF28),2)</f>
        <v>431.73</v>
      </c>
      <c r="AC28">
        <f t="shared" ref="AC28:AC48" si="33">ROUND((ES28),2)</f>
        <v>0</v>
      </c>
      <c r="AD28">
        <f t="shared" ref="AD28:AD48" si="34">ROUND((((ET28)-(EU28))+AE28),2)</f>
        <v>422.23</v>
      </c>
      <c r="AE28">
        <f t="shared" ref="AE28:AE48" si="35">ROUND((EU28),2)</f>
        <v>70.34</v>
      </c>
      <c r="AF28">
        <f t="shared" ref="AF28:AF48" si="36">ROUND((EV28),2)</f>
        <v>9.5</v>
      </c>
      <c r="AG28">
        <f t="shared" ref="AG28:AG48" si="37">ROUND((AP28),2)</f>
        <v>0</v>
      </c>
      <c r="AH28">
        <f t="shared" ref="AH28:AH48" si="38">(EW28)</f>
        <v>0.93</v>
      </c>
      <c r="AI28">
        <f t="shared" ref="AI28:AI48" si="39">(EX28)</f>
        <v>0</v>
      </c>
      <c r="AJ28">
        <f t="shared" ref="AJ28:AJ48" si="40">(AS28)</f>
        <v>0</v>
      </c>
      <c r="AK28">
        <v>431.73</v>
      </c>
      <c r="AL28">
        <v>0</v>
      </c>
      <c r="AM28">
        <v>422.23</v>
      </c>
      <c r="AN28">
        <v>70.34</v>
      </c>
      <c r="AO28">
        <v>9.5</v>
      </c>
      <c r="AP28">
        <v>0</v>
      </c>
      <c r="AQ28">
        <v>0.93</v>
      </c>
      <c r="AR28">
        <v>0</v>
      </c>
      <c r="AS28">
        <v>0</v>
      </c>
      <c r="AT28">
        <v>92</v>
      </c>
      <c r="AU28">
        <v>50</v>
      </c>
      <c r="AV28">
        <v>1</v>
      </c>
      <c r="AW28">
        <v>1</v>
      </c>
      <c r="AZ28">
        <v>1</v>
      </c>
      <c r="BA28">
        <v>23.94</v>
      </c>
      <c r="BB28">
        <v>9.7200000000000006</v>
      </c>
      <c r="BC28">
        <v>1</v>
      </c>
      <c r="BD28" t="s">
        <v>3</v>
      </c>
      <c r="BE28" t="s">
        <v>3</v>
      </c>
      <c r="BF28" t="s">
        <v>3</v>
      </c>
      <c r="BG28" t="s">
        <v>3</v>
      </c>
      <c r="BH28">
        <v>0</v>
      </c>
      <c r="BI28">
        <v>1</v>
      </c>
      <c r="BJ28" t="s">
        <v>21</v>
      </c>
      <c r="BM28">
        <v>2</v>
      </c>
      <c r="BN28">
        <v>0</v>
      </c>
      <c r="BO28" t="s">
        <v>18</v>
      </c>
      <c r="BP28">
        <v>1</v>
      </c>
      <c r="BQ28">
        <v>30</v>
      </c>
      <c r="BR28">
        <v>0</v>
      </c>
      <c r="BS28">
        <v>23.94</v>
      </c>
      <c r="BT28">
        <v>1</v>
      </c>
      <c r="BU28">
        <v>1</v>
      </c>
      <c r="BV28">
        <v>1</v>
      </c>
      <c r="BW28">
        <v>1</v>
      </c>
      <c r="BX28">
        <v>1</v>
      </c>
      <c r="BY28" t="s">
        <v>3</v>
      </c>
      <c r="BZ28">
        <v>92</v>
      </c>
      <c r="CA28">
        <v>50</v>
      </c>
      <c r="CE28">
        <v>30</v>
      </c>
      <c r="CF28">
        <v>0</v>
      </c>
      <c r="CG28">
        <v>0</v>
      </c>
      <c r="CM28">
        <v>0</v>
      </c>
      <c r="CN28" t="s">
        <v>3</v>
      </c>
      <c r="CO28">
        <v>0</v>
      </c>
      <c r="CP28">
        <f t="shared" ref="CP28:CP48" si="41">(P28+Q28+S28)</f>
        <v>14151.16</v>
      </c>
      <c r="CQ28">
        <f t="shared" ref="CQ28:CQ48" si="42">ROUND((ROUND((AC28*AW28*1),2)*BC28),2)</f>
        <v>0</v>
      </c>
      <c r="CR28">
        <f t="shared" ref="CR28:CR48" si="43">(ROUND((ROUND(((ET28)*AV28*1),2)*BB28),2)+ROUND((ROUND(((AE28-(EU28))*AV28*1),2)*BS28),2))</f>
        <v>4104.08</v>
      </c>
      <c r="CS28">
        <f t="shared" ref="CS28:CS48" si="44">ROUND((ROUND((AE28*AV28*1),2)*BS28),2)</f>
        <v>1683.94</v>
      </c>
      <c r="CT28">
        <f t="shared" ref="CT28:CT48" si="45">ROUND((ROUND((AF28*AV28*1),2)*BA28),2)</f>
        <v>227.43</v>
      </c>
      <c r="CU28">
        <f t="shared" ref="CU28:CU48" si="46">AG28</f>
        <v>0</v>
      </c>
      <c r="CV28">
        <f t="shared" ref="CV28:CV48" si="47">(AH28*AV28)</f>
        <v>0.93</v>
      </c>
      <c r="CW28">
        <f t="shared" ref="CW28:CW48" si="48">AI28</f>
        <v>0</v>
      </c>
      <c r="CX28">
        <f t="shared" ref="CX28:CX48" si="49">AJ28</f>
        <v>0</v>
      </c>
      <c r="CY28">
        <f t="shared" ref="CY28:CY48" si="50">S28*(BZ28/100)</f>
        <v>683.65200000000004</v>
      </c>
      <c r="CZ28">
        <f t="shared" ref="CZ28:CZ48" si="51">S28*(CA28/100)</f>
        <v>371.55</v>
      </c>
      <c r="DC28" t="s">
        <v>3</v>
      </c>
      <c r="DD28" t="s">
        <v>3</v>
      </c>
      <c r="DE28" t="s">
        <v>3</v>
      </c>
      <c r="DF28" t="s">
        <v>3</v>
      </c>
      <c r="DG28" t="s">
        <v>3</v>
      </c>
      <c r="DH28" t="s">
        <v>3</v>
      </c>
      <c r="DI28" t="s">
        <v>3</v>
      </c>
      <c r="DJ28" t="s">
        <v>3</v>
      </c>
      <c r="DK28" t="s">
        <v>3</v>
      </c>
      <c r="DL28" t="s">
        <v>3</v>
      </c>
      <c r="DM28" t="s">
        <v>3</v>
      </c>
      <c r="DN28">
        <v>98</v>
      </c>
      <c r="DO28">
        <v>77</v>
      </c>
      <c r="DP28">
        <v>1</v>
      </c>
      <c r="DQ28">
        <v>1</v>
      </c>
      <c r="DU28">
        <v>1013</v>
      </c>
      <c r="DV28" t="s">
        <v>20</v>
      </c>
      <c r="DW28" t="s">
        <v>20</v>
      </c>
      <c r="DX28">
        <v>1</v>
      </c>
      <c r="EE28">
        <v>43770337</v>
      </c>
      <c r="EF28">
        <v>30</v>
      </c>
      <c r="EG28" t="s">
        <v>22</v>
      </c>
      <c r="EH28">
        <v>0</v>
      </c>
      <c r="EI28" t="s">
        <v>3</v>
      </c>
      <c r="EJ28">
        <v>1</v>
      </c>
      <c r="EK28">
        <v>2</v>
      </c>
      <c r="EL28" t="s">
        <v>23</v>
      </c>
      <c r="EM28" t="s">
        <v>24</v>
      </c>
      <c r="EO28" t="s">
        <v>3</v>
      </c>
      <c r="EQ28">
        <v>131072</v>
      </c>
      <c r="ER28">
        <v>431.73</v>
      </c>
      <c r="ES28">
        <v>0</v>
      </c>
      <c r="ET28">
        <v>422.23</v>
      </c>
      <c r="EU28">
        <v>70.34</v>
      </c>
      <c r="EV28">
        <v>9.5</v>
      </c>
      <c r="EW28">
        <v>0.93</v>
      </c>
      <c r="EX28">
        <v>0</v>
      </c>
      <c r="EY28">
        <v>0</v>
      </c>
      <c r="FQ28">
        <v>0</v>
      </c>
      <c r="FR28">
        <f t="shared" ref="FR28:FR48" si="52">ROUND(IF(AND(BH28=3,BI28=3),P28,0),2)</f>
        <v>0</v>
      </c>
      <c r="FS28">
        <v>0</v>
      </c>
      <c r="FX28">
        <v>98</v>
      </c>
      <c r="FY28">
        <v>77</v>
      </c>
      <c r="GA28" t="s">
        <v>3</v>
      </c>
      <c r="GD28">
        <v>0</v>
      </c>
      <c r="GF28">
        <v>-148124622</v>
      </c>
      <c r="GG28">
        <v>2</v>
      </c>
      <c r="GH28">
        <v>1</v>
      </c>
      <c r="GI28">
        <v>2</v>
      </c>
      <c r="GJ28">
        <v>0</v>
      </c>
      <c r="GK28">
        <f>ROUND(R28*(R12)/100,2)</f>
        <v>8637.2099999999991</v>
      </c>
      <c r="GL28">
        <f t="shared" ref="GL28:GL48" si="53">ROUND(IF(AND(BH28=3,BI28=3,FS28&lt;&gt;0),P28,0),2)</f>
        <v>0</v>
      </c>
      <c r="GM28">
        <f t="shared" ref="GM28:GM48" si="54">ROUND(O28+X28+Y28+GK28,2)+GX28</f>
        <v>23843.57</v>
      </c>
      <c r="GN28">
        <f t="shared" ref="GN28:GN48" si="55">IF(OR(BI28=0,BI28=1),ROUND(O28+X28+Y28+GK28,2),0)</f>
        <v>23843.57</v>
      </c>
      <c r="GO28">
        <f t="shared" ref="GO28:GO48" si="56">IF(BI28=2,ROUND(O28+X28+Y28+GK28,2),0)</f>
        <v>0</v>
      </c>
      <c r="GP28">
        <f t="shared" ref="GP28:GP48" si="57">IF(BI28=4,ROUND(O28+X28+Y28+GK28,2)+GX28,0)</f>
        <v>0</v>
      </c>
      <c r="GR28">
        <v>0</v>
      </c>
      <c r="GS28">
        <v>3</v>
      </c>
      <c r="GT28">
        <v>0</v>
      </c>
      <c r="GU28" t="s">
        <v>3</v>
      </c>
      <c r="GV28">
        <f t="shared" ref="GV28:GV48" si="58">ROUND((GT28),2)</f>
        <v>0</v>
      </c>
      <c r="GW28">
        <v>1</v>
      </c>
      <c r="GX28">
        <f t="shared" ref="GX28:GX48" si="59">ROUND(HC28*I28,2)</f>
        <v>0</v>
      </c>
      <c r="HA28">
        <v>0</v>
      </c>
      <c r="HB28">
        <v>0</v>
      </c>
      <c r="HC28">
        <f t="shared" ref="HC28:HC48" si="60">GV28*GW28</f>
        <v>0</v>
      </c>
      <c r="IK28">
        <v>0</v>
      </c>
    </row>
    <row r="29" spans="1:245" x14ac:dyDescent="0.2">
      <c r="A29">
        <v>17</v>
      </c>
      <c r="B29">
        <v>1</v>
      </c>
      <c r="C29">
        <f>ROW(SmtRes!A5)</f>
        <v>5</v>
      </c>
      <c r="D29">
        <f>ROW(EtalonRes!A5)</f>
        <v>5</v>
      </c>
      <c r="E29" t="s">
        <v>25</v>
      </c>
      <c r="F29" t="s">
        <v>26</v>
      </c>
      <c r="G29" t="s">
        <v>27</v>
      </c>
      <c r="H29" t="s">
        <v>20</v>
      </c>
      <c r="I29">
        <f>ROUND(181.5/100,9)</f>
        <v>1.8149999999999999</v>
      </c>
      <c r="J29">
        <v>0</v>
      </c>
      <c r="O29">
        <f t="shared" si="21"/>
        <v>13729.64</v>
      </c>
      <c r="P29">
        <f t="shared" si="22"/>
        <v>0</v>
      </c>
      <c r="Q29">
        <f t="shared" si="23"/>
        <v>13117.02</v>
      </c>
      <c r="R29">
        <f t="shared" si="24"/>
        <v>6103.98</v>
      </c>
      <c r="S29">
        <f t="shared" si="25"/>
        <v>612.62</v>
      </c>
      <c r="T29">
        <f t="shared" si="26"/>
        <v>0</v>
      </c>
      <c r="U29">
        <f t="shared" si="27"/>
        <v>2.5046999999999997</v>
      </c>
      <c r="V29">
        <f t="shared" si="28"/>
        <v>0</v>
      </c>
      <c r="W29">
        <f t="shared" si="29"/>
        <v>0</v>
      </c>
      <c r="X29">
        <f t="shared" si="30"/>
        <v>563.61</v>
      </c>
      <c r="Y29">
        <f t="shared" si="31"/>
        <v>306.31</v>
      </c>
      <c r="AA29">
        <v>44002026</v>
      </c>
      <c r="AB29">
        <f t="shared" si="32"/>
        <v>771.65</v>
      </c>
      <c r="AC29">
        <f t="shared" si="33"/>
        <v>0</v>
      </c>
      <c r="AD29">
        <f t="shared" si="34"/>
        <v>757.55</v>
      </c>
      <c r="AE29">
        <f t="shared" si="35"/>
        <v>140.47999999999999</v>
      </c>
      <c r="AF29">
        <f t="shared" si="36"/>
        <v>14.1</v>
      </c>
      <c r="AG29">
        <f t="shared" si="37"/>
        <v>0</v>
      </c>
      <c r="AH29">
        <f t="shared" si="38"/>
        <v>1.38</v>
      </c>
      <c r="AI29">
        <f t="shared" si="39"/>
        <v>0</v>
      </c>
      <c r="AJ29">
        <f t="shared" si="40"/>
        <v>0</v>
      </c>
      <c r="AK29">
        <v>771.65</v>
      </c>
      <c r="AL29">
        <v>0</v>
      </c>
      <c r="AM29">
        <v>757.55</v>
      </c>
      <c r="AN29">
        <v>140.47999999999999</v>
      </c>
      <c r="AO29">
        <v>14.1</v>
      </c>
      <c r="AP29">
        <v>0</v>
      </c>
      <c r="AQ29">
        <v>1.38</v>
      </c>
      <c r="AR29">
        <v>0</v>
      </c>
      <c r="AS29">
        <v>0</v>
      </c>
      <c r="AT29">
        <v>92</v>
      </c>
      <c r="AU29">
        <v>50</v>
      </c>
      <c r="AV29">
        <v>1</v>
      </c>
      <c r="AW29">
        <v>1</v>
      </c>
      <c r="AZ29">
        <v>1</v>
      </c>
      <c r="BA29">
        <v>23.94</v>
      </c>
      <c r="BB29">
        <v>9.5399999999999991</v>
      </c>
      <c r="BC29">
        <v>1</v>
      </c>
      <c r="BD29" t="s">
        <v>3</v>
      </c>
      <c r="BE29" t="s">
        <v>3</v>
      </c>
      <c r="BF29" t="s">
        <v>3</v>
      </c>
      <c r="BG29" t="s">
        <v>3</v>
      </c>
      <c r="BH29">
        <v>0</v>
      </c>
      <c r="BI29">
        <v>1</v>
      </c>
      <c r="BJ29" t="s">
        <v>28</v>
      </c>
      <c r="BM29">
        <v>2</v>
      </c>
      <c r="BN29">
        <v>0</v>
      </c>
      <c r="BO29" t="s">
        <v>26</v>
      </c>
      <c r="BP29">
        <v>1</v>
      </c>
      <c r="BQ29">
        <v>30</v>
      </c>
      <c r="BR29">
        <v>0</v>
      </c>
      <c r="BS29">
        <v>23.94</v>
      </c>
      <c r="BT29">
        <v>1</v>
      </c>
      <c r="BU29">
        <v>1</v>
      </c>
      <c r="BV29">
        <v>1</v>
      </c>
      <c r="BW29">
        <v>1</v>
      </c>
      <c r="BX29">
        <v>1</v>
      </c>
      <c r="BY29" t="s">
        <v>3</v>
      </c>
      <c r="BZ29">
        <v>92</v>
      </c>
      <c r="CA29">
        <v>50</v>
      </c>
      <c r="CE29">
        <v>30</v>
      </c>
      <c r="CF29">
        <v>0</v>
      </c>
      <c r="CG29">
        <v>0</v>
      </c>
      <c r="CM29">
        <v>0</v>
      </c>
      <c r="CN29" t="s">
        <v>3</v>
      </c>
      <c r="CO29">
        <v>0</v>
      </c>
      <c r="CP29">
        <f t="shared" si="41"/>
        <v>13729.640000000001</v>
      </c>
      <c r="CQ29">
        <f t="shared" si="42"/>
        <v>0</v>
      </c>
      <c r="CR29">
        <f t="shared" si="43"/>
        <v>7227.03</v>
      </c>
      <c r="CS29">
        <f t="shared" si="44"/>
        <v>3363.09</v>
      </c>
      <c r="CT29">
        <f t="shared" si="45"/>
        <v>337.55</v>
      </c>
      <c r="CU29">
        <f t="shared" si="46"/>
        <v>0</v>
      </c>
      <c r="CV29">
        <f t="shared" si="47"/>
        <v>1.38</v>
      </c>
      <c r="CW29">
        <f t="shared" si="48"/>
        <v>0</v>
      </c>
      <c r="CX29">
        <f t="shared" si="49"/>
        <v>0</v>
      </c>
      <c r="CY29">
        <f t="shared" si="50"/>
        <v>563.61040000000003</v>
      </c>
      <c r="CZ29">
        <f t="shared" si="51"/>
        <v>306.31</v>
      </c>
      <c r="DC29" t="s">
        <v>3</v>
      </c>
      <c r="DD29" t="s">
        <v>3</v>
      </c>
      <c r="DE29" t="s">
        <v>3</v>
      </c>
      <c r="DF29" t="s">
        <v>3</v>
      </c>
      <c r="DG29" t="s">
        <v>3</v>
      </c>
      <c r="DH29" t="s">
        <v>3</v>
      </c>
      <c r="DI29" t="s">
        <v>3</v>
      </c>
      <c r="DJ29" t="s">
        <v>3</v>
      </c>
      <c r="DK29" t="s">
        <v>3</v>
      </c>
      <c r="DL29" t="s">
        <v>3</v>
      </c>
      <c r="DM29" t="s">
        <v>3</v>
      </c>
      <c r="DN29">
        <v>98</v>
      </c>
      <c r="DO29">
        <v>77</v>
      </c>
      <c r="DP29">
        <v>1</v>
      </c>
      <c r="DQ29">
        <v>1</v>
      </c>
      <c r="DU29">
        <v>1013</v>
      </c>
      <c r="DV29" t="s">
        <v>20</v>
      </c>
      <c r="DW29" t="s">
        <v>20</v>
      </c>
      <c r="DX29">
        <v>1</v>
      </c>
      <c r="EE29">
        <v>43770337</v>
      </c>
      <c r="EF29">
        <v>30</v>
      </c>
      <c r="EG29" t="s">
        <v>22</v>
      </c>
      <c r="EH29">
        <v>0</v>
      </c>
      <c r="EI29" t="s">
        <v>3</v>
      </c>
      <c r="EJ29">
        <v>1</v>
      </c>
      <c r="EK29">
        <v>2</v>
      </c>
      <c r="EL29" t="s">
        <v>23</v>
      </c>
      <c r="EM29" t="s">
        <v>24</v>
      </c>
      <c r="EO29" t="s">
        <v>3</v>
      </c>
      <c r="EQ29">
        <v>131072</v>
      </c>
      <c r="ER29">
        <v>771.65</v>
      </c>
      <c r="ES29">
        <v>0</v>
      </c>
      <c r="ET29">
        <v>757.55</v>
      </c>
      <c r="EU29">
        <v>140.47999999999999</v>
      </c>
      <c r="EV29">
        <v>14.1</v>
      </c>
      <c r="EW29">
        <v>1.38</v>
      </c>
      <c r="EX29">
        <v>0</v>
      </c>
      <c r="EY29">
        <v>0</v>
      </c>
      <c r="FQ29">
        <v>0</v>
      </c>
      <c r="FR29">
        <f t="shared" si="52"/>
        <v>0</v>
      </c>
      <c r="FS29">
        <v>0</v>
      </c>
      <c r="FX29">
        <v>98</v>
      </c>
      <c r="FY29">
        <v>77</v>
      </c>
      <c r="GA29" t="s">
        <v>3</v>
      </c>
      <c r="GD29">
        <v>0</v>
      </c>
      <c r="GF29">
        <v>445216503</v>
      </c>
      <c r="GG29">
        <v>2</v>
      </c>
      <c r="GH29">
        <v>1</v>
      </c>
      <c r="GI29">
        <v>2</v>
      </c>
      <c r="GJ29">
        <v>0</v>
      </c>
      <c r="GK29">
        <f>ROUND(R29*(R12)/100,2)</f>
        <v>9583.25</v>
      </c>
      <c r="GL29">
        <f t="shared" si="53"/>
        <v>0</v>
      </c>
      <c r="GM29">
        <f t="shared" si="54"/>
        <v>24182.81</v>
      </c>
      <c r="GN29">
        <f t="shared" si="55"/>
        <v>24182.81</v>
      </c>
      <c r="GO29">
        <f t="shared" si="56"/>
        <v>0</v>
      </c>
      <c r="GP29">
        <f t="shared" si="57"/>
        <v>0</v>
      </c>
      <c r="GR29">
        <v>0</v>
      </c>
      <c r="GS29">
        <v>3</v>
      </c>
      <c r="GT29">
        <v>0</v>
      </c>
      <c r="GU29" t="s">
        <v>3</v>
      </c>
      <c r="GV29">
        <f t="shared" si="58"/>
        <v>0</v>
      </c>
      <c r="GW29">
        <v>1</v>
      </c>
      <c r="GX29">
        <f t="shared" si="59"/>
        <v>0</v>
      </c>
      <c r="HA29">
        <v>0</v>
      </c>
      <c r="HB29">
        <v>0</v>
      </c>
      <c r="HC29">
        <f t="shared" si="60"/>
        <v>0</v>
      </c>
      <c r="IK29">
        <v>0</v>
      </c>
    </row>
    <row r="30" spans="1:245" x14ac:dyDescent="0.2">
      <c r="A30">
        <v>17</v>
      </c>
      <c r="B30">
        <v>1</v>
      </c>
      <c r="C30">
        <f>ROW(SmtRes!A6)</f>
        <v>6</v>
      </c>
      <c r="D30">
        <f>ROW(EtalonRes!A6)</f>
        <v>6</v>
      </c>
      <c r="E30" t="s">
        <v>29</v>
      </c>
      <c r="F30" t="s">
        <v>30</v>
      </c>
      <c r="G30" t="s">
        <v>31</v>
      </c>
      <c r="H30" t="s">
        <v>32</v>
      </c>
      <c r="I30">
        <f>ROUND(I29*140,9)</f>
        <v>254.1</v>
      </c>
      <c r="J30">
        <v>0</v>
      </c>
      <c r="O30">
        <f t="shared" si="21"/>
        <v>101925.99</v>
      </c>
      <c r="P30">
        <f t="shared" si="22"/>
        <v>0</v>
      </c>
      <c r="Q30">
        <f t="shared" si="23"/>
        <v>101925.99</v>
      </c>
      <c r="R30">
        <f t="shared" si="24"/>
        <v>0</v>
      </c>
      <c r="S30">
        <f t="shared" si="25"/>
        <v>0</v>
      </c>
      <c r="T30">
        <f t="shared" si="26"/>
        <v>0</v>
      </c>
      <c r="U30">
        <f t="shared" si="27"/>
        <v>0</v>
      </c>
      <c r="V30">
        <f t="shared" si="28"/>
        <v>0</v>
      </c>
      <c r="W30">
        <f t="shared" si="29"/>
        <v>0</v>
      </c>
      <c r="X30">
        <f t="shared" si="30"/>
        <v>0</v>
      </c>
      <c r="Y30">
        <f t="shared" si="31"/>
        <v>0</v>
      </c>
      <c r="AA30">
        <v>44002026</v>
      </c>
      <c r="AB30">
        <f t="shared" si="32"/>
        <v>39.020000000000003</v>
      </c>
      <c r="AC30">
        <f t="shared" si="33"/>
        <v>0</v>
      </c>
      <c r="AD30">
        <f t="shared" si="34"/>
        <v>39.020000000000003</v>
      </c>
      <c r="AE30">
        <f t="shared" si="35"/>
        <v>0</v>
      </c>
      <c r="AF30">
        <f t="shared" si="36"/>
        <v>0</v>
      </c>
      <c r="AG30">
        <f t="shared" si="37"/>
        <v>0</v>
      </c>
      <c r="AH30">
        <f t="shared" si="38"/>
        <v>0</v>
      </c>
      <c r="AI30">
        <f t="shared" si="39"/>
        <v>0</v>
      </c>
      <c r="AJ30">
        <f t="shared" si="40"/>
        <v>0</v>
      </c>
      <c r="AK30">
        <v>39.020000000000003</v>
      </c>
      <c r="AL30">
        <v>0</v>
      </c>
      <c r="AM30">
        <v>39.020000000000003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93</v>
      </c>
      <c r="AU30">
        <v>64</v>
      </c>
      <c r="AV30">
        <v>1</v>
      </c>
      <c r="AW30">
        <v>1</v>
      </c>
      <c r="AZ30">
        <v>1</v>
      </c>
      <c r="BA30">
        <v>1</v>
      </c>
      <c r="BB30">
        <v>10.28</v>
      </c>
      <c r="BC30">
        <v>1</v>
      </c>
      <c r="BD30" t="s">
        <v>3</v>
      </c>
      <c r="BE30" t="s">
        <v>3</v>
      </c>
      <c r="BF30" t="s">
        <v>3</v>
      </c>
      <c r="BG30" t="s">
        <v>3</v>
      </c>
      <c r="BH30">
        <v>0</v>
      </c>
      <c r="BI30">
        <v>4</v>
      </c>
      <c r="BJ30" t="s">
        <v>33</v>
      </c>
      <c r="BM30">
        <v>1111</v>
      </c>
      <c r="BN30">
        <v>0</v>
      </c>
      <c r="BO30" t="s">
        <v>30</v>
      </c>
      <c r="BP30">
        <v>1</v>
      </c>
      <c r="BQ30">
        <v>150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 t="s">
        <v>3</v>
      </c>
      <c r="BZ30">
        <v>93</v>
      </c>
      <c r="CA30">
        <v>64</v>
      </c>
      <c r="CE30">
        <v>30</v>
      </c>
      <c r="CF30">
        <v>0</v>
      </c>
      <c r="CG30">
        <v>0</v>
      </c>
      <c r="CM30">
        <v>0</v>
      </c>
      <c r="CN30" t="s">
        <v>3</v>
      </c>
      <c r="CO30">
        <v>0</v>
      </c>
      <c r="CP30">
        <f t="shared" si="41"/>
        <v>101925.99</v>
      </c>
      <c r="CQ30">
        <f t="shared" si="42"/>
        <v>0</v>
      </c>
      <c r="CR30">
        <f t="shared" si="43"/>
        <v>401.13</v>
      </c>
      <c r="CS30">
        <f t="shared" si="44"/>
        <v>0</v>
      </c>
      <c r="CT30">
        <f t="shared" si="45"/>
        <v>0</v>
      </c>
      <c r="CU30">
        <f t="shared" si="46"/>
        <v>0</v>
      </c>
      <c r="CV30">
        <f t="shared" si="47"/>
        <v>0</v>
      </c>
      <c r="CW30">
        <f t="shared" si="48"/>
        <v>0</v>
      </c>
      <c r="CX30">
        <f t="shared" si="49"/>
        <v>0</v>
      </c>
      <c r="CY30">
        <f t="shared" si="50"/>
        <v>0</v>
      </c>
      <c r="CZ30">
        <f t="shared" si="51"/>
        <v>0</v>
      </c>
      <c r="DC30" t="s">
        <v>3</v>
      </c>
      <c r="DD30" t="s">
        <v>3</v>
      </c>
      <c r="DE30" t="s">
        <v>3</v>
      </c>
      <c r="DF30" t="s">
        <v>3</v>
      </c>
      <c r="DG30" t="s">
        <v>3</v>
      </c>
      <c r="DH30" t="s">
        <v>3</v>
      </c>
      <c r="DI30" t="s">
        <v>3</v>
      </c>
      <c r="DJ30" t="s">
        <v>3</v>
      </c>
      <c r="DK30" t="s">
        <v>3</v>
      </c>
      <c r="DL30" t="s">
        <v>3</v>
      </c>
      <c r="DM30" t="s">
        <v>3</v>
      </c>
      <c r="DN30">
        <v>0</v>
      </c>
      <c r="DO30">
        <v>0</v>
      </c>
      <c r="DP30">
        <v>1</v>
      </c>
      <c r="DQ30">
        <v>1</v>
      </c>
      <c r="DU30">
        <v>1009</v>
      </c>
      <c r="DV30" t="s">
        <v>32</v>
      </c>
      <c r="DW30" t="s">
        <v>32</v>
      </c>
      <c r="DX30">
        <v>1000</v>
      </c>
      <c r="EE30">
        <v>43771402</v>
      </c>
      <c r="EF30">
        <v>150</v>
      </c>
      <c r="EG30" t="s">
        <v>34</v>
      </c>
      <c r="EH30">
        <v>0</v>
      </c>
      <c r="EI30" t="s">
        <v>3</v>
      </c>
      <c r="EJ30">
        <v>4</v>
      </c>
      <c r="EK30">
        <v>1111</v>
      </c>
      <c r="EL30" t="s">
        <v>35</v>
      </c>
      <c r="EM30" t="s">
        <v>36</v>
      </c>
      <c r="EO30" t="s">
        <v>3</v>
      </c>
      <c r="EQ30">
        <v>131072</v>
      </c>
      <c r="ER30">
        <v>39.020000000000003</v>
      </c>
      <c r="ES30">
        <v>0</v>
      </c>
      <c r="ET30">
        <v>39.020000000000003</v>
      </c>
      <c r="EU30">
        <v>0</v>
      </c>
      <c r="EV30">
        <v>0</v>
      </c>
      <c r="EW30">
        <v>0</v>
      </c>
      <c r="EX30">
        <v>0</v>
      </c>
      <c r="EY30">
        <v>0</v>
      </c>
      <c r="FQ30">
        <v>0</v>
      </c>
      <c r="FR30">
        <f t="shared" si="52"/>
        <v>0</v>
      </c>
      <c r="FS30">
        <v>0</v>
      </c>
      <c r="FX30">
        <v>0</v>
      </c>
      <c r="FY30">
        <v>0</v>
      </c>
      <c r="GA30" t="s">
        <v>3</v>
      </c>
      <c r="GD30">
        <v>0</v>
      </c>
      <c r="GF30">
        <v>-390112457</v>
      </c>
      <c r="GG30">
        <v>2</v>
      </c>
      <c r="GH30">
        <v>1</v>
      </c>
      <c r="GI30">
        <v>2</v>
      </c>
      <c r="GJ30">
        <v>0</v>
      </c>
      <c r="GK30">
        <f>ROUND(R30*(R12)/100,2)</f>
        <v>0</v>
      </c>
      <c r="GL30">
        <f t="shared" si="53"/>
        <v>0</v>
      </c>
      <c r="GM30">
        <f t="shared" si="54"/>
        <v>101925.99</v>
      </c>
      <c r="GN30">
        <f t="shared" si="55"/>
        <v>0</v>
      </c>
      <c r="GO30">
        <f t="shared" si="56"/>
        <v>0</v>
      </c>
      <c r="GP30">
        <f t="shared" si="57"/>
        <v>101925.99</v>
      </c>
      <c r="GR30">
        <v>0</v>
      </c>
      <c r="GS30">
        <v>3</v>
      </c>
      <c r="GT30">
        <v>0</v>
      </c>
      <c r="GU30" t="s">
        <v>3</v>
      </c>
      <c r="GV30">
        <f t="shared" si="58"/>
        <v>0</v>
      </c>
      <c r="GW30">
        <v>1</v>
      </c>
      <c r="GX30">
        <f t="shared" si="59"/>
        <v>0</v>
      </c>
      <c r="HA30">
        <v>0</v>
      </c>
      <c r="HB30">
        <v>0</v>
      </c>
      <c r="HC30">
        <f t="shared" si="60"/>
        <v>0</v>
      </c>
      <c r="IK30">
        <v>0</v>
      </c>
    </row>
    <row r="31" spans="1:245" x14ac:dyDescent="0.2">
      <c r="A31">
        <v>17</v>
      </c>
      <c r="B31">
        <v>1</v>
      </c>
      <c r="C31">
        <f>ROW(SmtRes!A8)</f>
        <v>8</v>
      </c>
      <c r="D31">
        <f>ROW(EtalonRes!A7)</f>
        <v>7</v>
      </c>
      <c r="E31" t="s">
        <v>37</v>
      </c>
      <c r="F31" t="s">
        <v>38</v>
      </c>
      <c r="G31" t="s">
        <v>39</v>
      </c>
      <c r="H31" t="s">
        <v>40</v>
      </c>
      <c r="I31">
        <f>ROUND(2420/100,9)</f>
        <v>24.2</v>
      </c>
      <c r="J31">
        <v>0</v>
      </c>
      <c r="O31">
        <f t="shared" si="21"/>
        <v>133486.10999999999</v>
      </c>
      <c r="P31">
        <f t="shared" si="22"/>
        <v>74.25</v>
      </c>
      <c r="Q31">
        <f t="shared" si="23"/>
        <v>89978.240000000005</v>
      </c>
      <c r="R31">
        <f t="shared" si="24"/>
        <v>52054.42</v>
      </c>
      <c r="S31">
        <f t="shared" si="25"/>
        <v>43433.62</v>
      </c>
      <c r="T31">
        <f t="shared" si="26"/>
        <v>0</v>
      </c>
      <c r="U31">
        <f t="shared" si="27"/>
        <v>147.136</v>
      </c>
      <c r="V31">
        <f t="shared" si="28"/>
        <v>0</v>
      </c>
      <c r="W31">
        <f t="shared" si="29"/>
        <v>0</v>
      </c>
      <c r="X31">
        <f t="shared" si="30"/>
        <v>39090.26</v>
      </c>
      <c r="Y31">
        <f t="shared" si="31"/>
        <v>18676.46</v>
      </c>
      <c r="AA31">
        <v>44002026</v>
      </c>
      <c r="AB31">
        <f t="shared" si="32"/>
        <v>462.43</v>
      </c>
      <c r="AC31">
        <f t="shared" si="33"/>
        <v>0.56000000000000005</v>
      </c>
      <c r="AD31">
        <f t="shared" si="34"/>
        <v>386.9</v>
      </c>
      <c r="AE31">
        <f t="shared" si="35"/>
        <v>89.85</v>
      </c>
      <c r="AF31">
        <f t="shared" si="36"/>
        <v>74.97</v>
      </c>
      <c r="AG31">
        <f t="shared" si="37"/>
        <v>0</v>
      </c>
      <c r="AH31">
        <f t="shared" si="38"/>
        <v>6.08</v>
      </c>
      <c r="AI31">
        <f t="shared" si="39"/>
        <v>0</v>
      </c>
      <c r="AJ31">
        <f t="shared" si="40"/>
        <v>0</v>
      </c>
      <c r="AK31">
        <v>462.43</v>
      </c>
      <c r="AL31">
        <v>0.56000000000000005</v>
      </c>
      <c r="AM31">
        <v>386.9</v>
      </c>
      <c r="AN31">
        <v>89.85</v>
      </c>
      <c r="AO31">
        <v>74.97</v>
      </c>
      <c r="AP31">
        <v>0</v>
      </c>
      <c r="AQ31">
        <v>6.08</v>
      </c>
      <c r="AR31">
        <v>0</v>
      </c>
      <c r="AS31">
        <v>0</v>
      </c>
      <c r="AT31">
        <v>90</v>
      </c>
      <c r="AU31">
        <v>43</v>
      </c>
      <c r="AV31">
        <v>1</v>
      </c>
      <c r="AW31">
        <v>1</v>
      </c>
      <c r="AZ31">
        <v>1</v>
      </c>
      <c r="BA31">
        <v>23.94</v>
      </c>
      <c r="BB31">
        <v>9.61</v>
      </c>
      <c r="BC31">
        <v>5.48</v>
      </c>
      <c r="BD31" t="s">
        <v>3</v>
      </c>
      <c r="BE31" t="s">
        <v>3</v>
      </c>
      <c r="BF31" t="s">
        <v>3</v>
      </c>
      <c r="BG31" t="s">
        <v>3</v>
      </c>
      <c r="BH31">
        <v>0</v>
      </c>
      <c r="BI31">
        <v>2</v>
      </c>
      <c r="BJ31" t="s">
        <v>41</v>
      </c>
      <c r="BM31">
        <v>318</v>
      </c>
      <c r="BN31">
        <v>0</v>
      </c>
      <c r="BO31" t="s">
        <v>38</v>
      </c>
      <c r="BP31">
        <v>1</v>
      </c>
      <c r="BQ31">
        <v>40</v>
      </c>
      <c r="BR31">
        <v>0</v>
      </c>
      <c r="BS31">
        <v>23.94</v>
      </c>
      <c r="BT31">
        <v>1</v>
      </c>
      <c r="BU31">
        <v>1</v>
      </c>
      <c r="BV31">
        <v>1</v>
      </c>
      <c r="BW31">
        <v>1</v>
      </c>
      <c r="BX31">
        <v>1</v>
      </c>
      <c r="BY31" t="s">
        <v>3</v>
      </c>
      <c r="BZ31">
        <v>90</v>
      </c>
      <c r="CA31">
        <v>43</v>
      </c>
      <c r="CE31">
        <v>30</v>
      </c>
      <c r="CF31">
        <v>0</v>
      </c>
      <c r="CG31">
        <v>0</v>
      </c>
      <c r="CM31">
        <v>0</v>
      </c>
      <c r="CN31" t="s">
        <v>3</v>
      </c>
      <c r="CO31">
        <v>0</v>
      </c>
      <c r="CP31">
        <f t="shared" si="41"/>
        <v>133486.11000000002</v>
      </c>
      <c r="CQ31">
        <f t="shared" si="42"/>
        <v>3.07</v>
      </c>
      <c r="CR31">
        <f t="shared" si="43"/>
        <v>3718.11</v>
      </c>
      <c r="CS31">
        <f t="shared" si="44"/>
        <v>2151.0100000000002</v>
      </c>
      <c r="CT31">
        <f t="shared" si="45"/>
        <v>1794.78</v>
      </c>
      <c r="CU31">
        <f t="shared" si="46"/>
        <v>0</v>
      </c>
      <c r="CV31">
        <f t="shared" si="47"/>
        <v>6.08</v>
      </c>
      <c r="CW31">
        <f t="shared" si="48"/>
        <v>0</v>
      </c>
      <c r="CX31">
        <f t="shared" si="49"/>
        <v>0</v>
      </c>
      <c r="CY31">
        <f t="shared" si="50"/>
        <v>39090.258000000002</v>
      </c>
      <c r="CZ31">
        <f t="shared" si="51"/>
        <v>18676.456600000001</v>
      </c>
      <c r="DC31" t="s">
        <v>3</v>
      </c>
      <c r="DD31" t="s">
        <v>3</v>
      </c>
      <c r="DE31" t="s">
        <v>3</v>
      </c>
      <c r="DF31" t="s">
        <v>3</v>
      </c>
      <c r="DG31" t="s">
        <v>3</v>
      </c>
      <c r="DH31" t="s">
        <v>3</v>
      </c>
      <c r="DI31" t="s">
        <v>3</v>
      </c>
      <c r="DJ31" t="s">
        <v>3</v>
      </c>
      <c r="DK31" t="s">
        <v>3</v>
      </c>
      <c r="DL31" t="s">
        <v>3</v>
      </c>
      <c r="DM31" t="s">
        <v>3</v>
      </c>
      <c r="DN31">
        <v>112</v>
      </c>
      <c r="DO31">
        <v>70</v>
      </c>
      <c r="DP31">
        <v>1</v>
      </c>
      <c r="DQ31">
        <v>1</v>
      </c>
      <c r="DU31">
        <v>1013</v>
      </c>
      <c r="DV31" t="s">
        <v>40</v>
      </c>
      <c r="DW31" t="s">
        <v>40</v>
      </c>
      <c r="DX31">
        <v>1</v>
      </c>
      <c r="EE31">
        <v>43770609</v>
      </c>
      <c r="EF31">
        <v>40</v>
      </c>
      <c r="EG31" t="s">
        <v>42</v>
      </c>
      <c r="EH31">
        <v>0</v>
      </c>
      <c r="EI31" t="s">
        <v>3</v>
      </c>
      <c r="EJ31">
        <v>2</v>
      </c>
      <c r="EK31">
        <v>318</v>
      </c>
      <c r="EL31" t="s">
        <v>43</v>
      </c>
      <c r="EM31" t="s">
        <v>44</v>
      </c>
      <c r="EO31" t="s">
        <v>3</v>
      </c>
      <c r="EQ31">
        <v>131072</v>
      </c>
      <c r="ER31">
        <v>462.43</v>
      </c>
      <c r="ES31">
        <v>0.56000000000000005</v>
      </c>
      <c r="ET31">
        <v>386.9</v>
      </c>
      <c r="EU31">
        <v>89.85</v>
      </c>
      <c r="EV31">
        <v>74.97</v>
      </c>
      <c r="EW31">
        <v>6.08</v>
      </c>
      <c r="EX31">
        <v>0</v>
      </c>
      <c r="EY31">
        <v>0</v>
      </c>
      <c r="FQ31">
        <v>0</v>
      </c>
      <c r="FR31">
        <f t="shared" si="52"/>
        <v>0</v>
      </c>
      <c r="FS31">
        <v>0</v>
      </c>
      <c r="FX31">
        <v>112</v>
      </c>
      <c r="FY31">
        <v>70</v>
      </c>
      <c r="GA31" t="s">
        <v>3</v>
      </c>
      <c r="GD31">
        <v>0</v>
      </c>
      <c r="GF31">
        <v>137885402</v>
      </c>
      <c r="GG31">
        <v>2</v>
      </c>
      <c r="GH31">
        <v>1</v>
      </c>
      <c r="GI31">
        <v>2</v>
      </c>
      <c r="GJ31">
        <v>0</v>
      </c>
      <c r="GK31">
        <f>ROUND(R31*(R12)/100,2)</f>
        <v>81725.440000000002</v>
      </c>
      <c r="GL31">
        <f t="shared" si="53"/>
        <v>0</v>
      </c>
      <c r="GM31">
        <f t="shared" si="54"/>
        <v>272978.27</v>
      </c>
      <c r="GN31">
        <f t="shared" si="55"/>
        <v>0</v>
      </c>
      <c r="GO31">
        <f t="shared" si="56"/>
        <v>272978.27</v>
      </c>
      <c r="GP31">
        <f t="shared" si="57"/>
        <v>0</v>
      </c>
      <c r="GR31">
        <v>0</v>
      </c>
      <c r="GS31">
        <v>3</v>
      </c>
      <c r="GT31">
        <v>0</v>
      </c>
      <c r="GU31" t="s">
        <v>3</v>
      </c>
      <c r="GV31">
        <f t="shared" si="58"/>
        <v>0</v>
      </c>
      <c r="GW31">
        <v>1</v>
      </c>
      <c r="GX31">
        <f t="shared" si="59"/>
        <v>0</v>
      </c>
      <c r="HA31">
        <v>0</v>
      </c>
      <c r="HB31">
        <v>0</v>
      </c>
      <c r="HC31">
        <f t="shared" si="60"/>
        <v>0</v>
      </c>
      <c r="IK31">
        <v>0</v>
      </c>
    </row>
    <row r="32" spans="1:245" x14ac:dyDescent="0.2">
      <c r="A32">
        <v>18</v>
      </c>
      <c r="B32">
        <v>1</v>
      </c>
      <c r="C32">
        <v>8</v>
      </c>
      <c r="E32" t="s">
        <v>45</v>
      </c>
      <c r="F32" t="s">
        <v>46</v>
      </c>
      <c r="G32" t="s">
        <v>47</v>
      </c>
      <c r="H32" t="s">
        <v>48</v>
      </c>
      <c r="I32">
        <f>I31*J32</f>
        <v>181.5</v>
      </c>
      <c r="J32">
        <v>7.5</v>
      </c>
      <c r="O32">
        <f t="shared" si="21"/>
        <v>100232.93</v>
      </c>
      <c r="P32">
        <f t="shared" si="22"/>
        <v>100232.93</v>
      </c>
      <c r="Q32">
        <f t="shared" si="23"/>
        <v>0</v>
      </c>
      <c r="R32">
        <f t="shared" si="24"/>
        <v>0</v>
      </c>
      <c r="S32">
        <f t="shared" si="25"/>
        <v>0</v>
      </c>
      <c r="T32">
        <f t="shared" si="26"/>
        <v>0</v>
      </c>
      <c r="U32">
        <f t="shared" si="27"/>
        <v>0</v>
      </c>
      <c r="V32">
        <f t="shared" si="28"/>
        <v>0</v>
      </c>
      <c r="W32">
        <f t="shared" si="29"/>
        <v>0</v>
      </c>
      <c r="X32">
        <f t="shared" si="30"/>
        <v>0</v>
      </c>
      <c r="Y32">
        <f t="shared" si="31"/>
        <v>0</v>
      </c>
      <c r="AA32">
        <v>44002026</v>
      </c>
      <c r="AB32">
        <f t="shared" si="32"/>
        <v>104.99</v>
      </c>
      <c r="AC32">
        <f t="shared" si="33"/>
        <v>104.99</v>
      </c>
      <c r="AD32">
        <f t="shared" si="34"/>
        <v>0</v>
      </c>
      <c r="AE32">
        <f t="shared" si="35"/>
        <v>0</v>
      </c>
      <c r="AF32">
        <f t="shared" si="36"/>
        <v>0</v>
      </c>
      <c r="AG32">
        <f t="shared" si="37"/>
        <v>0</v>
      </c>
      <c r="AH32">
        <f t="shared" si="38"/>
        <v>0</v>
      </c>
      <c r="AI32">
        <f t="shared" si="39"/>
        <v>0</v>
      </c>
      <c r="AJ32">
        <f t="shared" si="40"/>
        <v>0</v>
      </c>
      <c r="AK32">
        <v>104.99</v>
      </c>
      <c r="AL32">
        <v>104.99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Z32">
        <v>1</v>
      </c>
      <c r="BA32">
        <v>1</v>
      </c>
      <c r="BB32">
        <v>1</v>
      </c>
      <c r="BC32">
        <v>5.26</v>
      </c>
      <c r="BD32" t="s">
        <v>3</v>
      </c>
      <c r="BE32" t="s">
        <v>3</v>
      </c>
      <c r="BF32" t="s">
        <v>3</v>
      </c>
      <c r="BG32" t="s">
        <v>3</v>
      </c>
      <c r="BH32">
        <v>3</v>
      </c>
      <c r="BI32">
        <v>2</v>
      </c>
      <c r="BJ32" t="s">
        <v>49</v>
      </c>
      <c r="BM32">
        <v>318</v>
      </c>
      <c r="BN32">
        <v>0</v>
      </c>
      <c r="BO32" t="s">
        <v>46</v>
      </c>
      <c r="BP32">
        <v>1</v>
      </c>
      <c r="BQ32">
        <v>40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 t="s">
        <v>3</v>
      </c>
      <c r="BZ32">
        <v>0</v>
      </c>
      <c r="CA32">
        <v>0</v>
      </c>
      <c r="CE32">
        <v>30</v>
      </c>
      <c r="CF32">
        <v>0</v>
      </c>
      <c r="CG32">
        <v>0</v>
      </c>
      <c r="CM32">
        <v>0</v>
      </c>
      <c r="CN32" t="s">
        <v>3</v>
      </c>
      <c r="CO32">
        <v>0</v>
      </c>
      <c r="CP32">
        <f t="shared" si="41"/>
        <v>100232.93</v>
      </c>
      <c r="CQ32">
        <f t="shared" si="42"/>
        <v>552.25</v>
      </c>
      <c r="CR32">
        <f t="shared" si="43"/>
        <v>0</v>
      </c>
      <c r="CS32">
        <f t="shared" si="44"/>
        <v>0</v>
      </c>
      <c r="CT32">
        <f t="shared" si="45"/>
        <v>0</v>
      </c>
      <c r="CU32">
        <f t="shared" si="46"/>
        <v>0</v>
      </c>
      <c r="CV32">
        <f t="shared" si="47"/>
        <v>0</v>
      </c>
      <c r="CW32">
        <f t="shared" si="48"/>
        <v>0</v>
      </c>
      <c r="CX32">
        <f t="shared" si="49"/>
        <v>0</v>
      </c>
      <c r="CY32">
        <f t="shared" si="50"/>
        <v>0</v>
      </c>
      <c r="CZ32">
        <f t="shared" si="51"/>
        <v>0</v>
      </c>
      <c r="DC32" t="s">
        <v>3</v>
      </c>
      <c r="DD32" t="s">
        <v>3</v>
      </c>
      <c r="DE32" t="s">
        <v>3</v>
      </c>
      <c r="DF32" t="s">
        <v>3</v>
      </c>
      <c r="DG32" t="s">
        <v>3</v>
      </c>
      <c r="DH32" t="s">
        <v>3</v>
      </c>
      <c r="DI32" t="s">
        <v>3</v>
      </c>
      <c r="DJ32" t="s">
        <v>3</v>
      </c>
      <c r="DK32" t="s">
        <v>3</v>
      </c>
      <c r="DL32" t="s">
        <v>3</v>
      </c>
      <c r="DM32" t="s">
        <v>3</v>
      </c>
      <c r="DN32">
        <v>112</v>
      </c>
      <c r="DO32">
        <v>70</v>
      </c>
      <c r="DP32">
        <v>1</v>
      </c>
      <c r="DQ32">
        <v>1</v>
      </c>
      <c r="DU32">
        <v>1007</v>
      </c>
      <c r="DV32" t="s">
        <v>48</v>
      </c>
      <c r="DW32" t="s">
        <v>48</v>
      </c>
      <c r="DX32">
        <v>1</v>
      </c>
      <c r="EE32">
        <v>43770609</v>
      </c>
      <c r="EF32">
        <v>40</v>
      </c>
      <c r="EG32" t="s">
        <v>42</v>
      </c>
      <c r="EH32">
        <v>0</v>
      </c>
      <c r="EI32" t="s">
        <v>3</v>
      </c>
      <c r="EJ32">
        <v>2</v>
      </c>
      <c r="EK32">
        <v>318</v>
      </c>
      <c r="EL32" t="s">
        <v>43</v>
      </c>
      <c r="EM32" t="s">
        <v>44</v>
      </c>
      <c r="EO32" t="s">
        <v>3</v>
      </c>
      <c r="EQ32">
        <v>0</v>
      </c>
      <c r="ER32">
        <v>104.99</v>
      </c>
      <c r="ES32">
        <v>104.99</v>
      </c>
      <c r="ET32">
        <v>0</v>
      </c>
      <c r="EU32">
        <v>0</v>
      </c>
      <c r="EV32">
        <v>0</v>
      </c>
      <c r="EW32">
        <v>0</v>
      </c>
      <c r="EX32">
        <v>0</v>
      </c>
      <c r="FQ32">
        <v>0</v>
      </c>
      <c r="FR32">
        <f t="shared" si="52"/>
        <v>0</v>
      </c>
      <c r="FS32">
        <v>0</v>
      </c>
      <c r="FX32">
        <v>112</v>
      </c>
      <c r="FY32">
        <v>70</v>
      </c>
      <c r="GA32" t="s">
        <v>3</v>
      </c>
      <c r="GD32">
        <v>0</v>
      </c>
      <c r="GF32">
        <v>2069056849</v>
      </c>
      <c r="GG32">
        <v>2</v>
      </c>
      <c r="GH32">
        <v>1</v>
      </c>
      <c r="GI32">
        <v>2</v>
      </c>
      <c r="GJ32">
        <v>0</v>
      </c>
      <c r="GK32">
        <f>ROUND(R32*(R12)/100,2)</f>
        <v>0</v>
      </c>
      <c r="GL32">
        <f t="shared" si="53"/>
        <v>0</v>
      </c>
      <c r="GM32">
        <f t="shared" si="54"/>
        <v>100232.93</v>
      </c>
      <c r="GN32">
        <f t="shared" si="55"/>
        <v>0</v>
      </c>
      <c r="GO32">
        <f t="shared" si="56"/>
        <v>100232.93</v>
      </c>
      <c r="GP32">
        <f t="shared" si="57"/>
        <v>0</v>
      </c>
      <c r="GR32">
        <v>0</v>
      </c>
      <c r="GS32">
        <v>3</v>
      </c>
      <c r="GT32">
        <v>0</v>
      </c>
      <c r="GU32" t="s">
        <v>3</v>
      </c>
      <c r="GV32">
        <f t="shared" si="58"/>
        <v>0</v>
      </c>
      <c r="GW32">
        <v>1</v>
      </c>
      <c r="GX32">
        <f t="shared" si="59"/>
        <v>0</v>
      </c>
      <c r="HA32">
        <v>0</v>
      </c>
      <c r="HB32">
        <v>0</v>
      </c>
      <c r="HC32">
        <f t="shared" si="60"/>
        <v>0</v>
      </c>
      <c r="IK32">
        <v>0</v>
      </c>
    </row>
    <row r="33" spans="1:245" x14ac:dyDescent="0.2">
      <c r="A33">
        <v>17</v>
      </c>
      <c r="B33">
        <v>1</v>
      </c>
      <c r="C33">
        <f>ROW(SmtRes!A12)</f>
        <v>12</v>
      </c>
      <c r="D33">
        <f>ROW(EtalonRes!A8)</f>
        <v>8</v>
      </c>
      <c r="E33" t="s">
        <v>50</v>
      </c>
      <c r="F33" t="s">
        <v>51</v>
      </c>
      <c r="G33" t="s">
        <v>52</v>
      </c>
      <c r="H33" t="s">
        <v>40</v>
      </c>
      <c r="I33">
        <f>ROUND(1920/100,9)</f>
        <v>19.2</v>
      </c>
      <c r="J33">
        <v>0</v>
      </c>
      <c r="O33">
        <f t="shared" si="21"/>
        <v>125523.36</v>
      </c>
      <c r="P33">
        <f t="shared" si="22"/>
        <v>2621.96</v>
      </c>
      <c r="Q33">
        <f t="shared" si="23"/>
        <v>56027.16</v>
      </c>
      <c r="R33">
        <f t="shared" si="24"/>
        <v>26379.25</v>
      </c>
      <c r="S33">
        <f t="shared" si="25"/>
        <v>66874.240000000005</v>
      </c>
      <c r="T33">
        <f t="shared" si="26"/>
        <v>0</v>
      </c>
      <c r="U33">
        <f t="shared" si="27"/>
        <v>226.56</v>
      </c>
      <c r="V33">
        <f t="shared" si="28"/>
        <v>0</v>
      </c>
      <c r="W33">
        <f t="shared" si="29"/>
        <v>0</v>
      </c>
      <c r="X33">
        <f t="shared" si="30"/>
        <v>60186.82</v>
      </c>
      <c r="Y33">
        <f t="shared" si="31"/>
        <v>28755.919999999998</v>
      </c>
      <c r="AA33">
        <v>44002026</v>
      </c>
      <c r="AB33">
        <f t="shared" si="32"/>
        <v>520.72</v>
      </c>
      <c r="AC33">
        <f t="shared" si="33"/>
        <v>24.92</v>
      </c>
      <c r="AD33">
        <f t="shared" si="34"/>
        <v>350.31</v>
      </c>
      <c r="AE33">
        <f t="shared" si="35"/>
        <v>57.39</v>
      </c>
      <c r="AF33">
        <f t="shared" si="36"/>
        <v>145.49</v>
      </c>
      <c r="AG33">
        <f t="shared" si="37"/>
        <v>0</v>
      </c>
      <c r="AH33">
        <f t="shared" si="38"/>
        <v>11.8</v>
      </c>
      <c r="AI33">
        <f t="shared" si="39"/>
        <v>0</v>
      </c>
      <c r="AJ33">
        <f t="shared" si="40"/>
        <v>0</v>
      </c>
      <c r="AK33">
        <v>520.72</v>
      </c>
      <c r="AL33">
        <v>24.92</v>
      </c>
      <c r="AM33">
        <v>350.31</v>
      </c>
      <c r="AN33">
        <v>57.39</v>
      </c>
      <c r="AO33">
        <v>145.49</v>
      </c>
      <c r="AP33">
        <v>0</v>
      </c>
      <c r="AQ33">
        <v>11.8</v>
      </c>
      <c r="AR33">
        <v>0</v>
      </c>
      <c r="AS33">
        <v>0</v>
      </c>
      <c r="AT33">
        <v>90</v>
      </c>
      <c r="AU33">
        <v>43</v>
      </c>
      <c r="AV33">
        <v>1</v>
      </c>
      <c r="AW33">
        <v>1</v>
      </c>
      <c r="AZ33">
        <v>1</v>
      </c>
      <c r="BA33">
        <v>23.94</v>
      </c>
      <c r="BB33">
        <v>8.33</v>
      </c>
      <c r="BC33">
        <v>5.48</v>
      </c>
      <c r="BD33" t="s">
        <v>3</v>
      </c>
      <c r="BE33" t="s">
        <v>3</v>
      </c>
      <c r="BF33" t="s">
        <v>3</v>
      </c>
      <c r="BG33" t="s">
        <v>3</v>
      </c>
      <c r="BH33">
        <v>0</v>
      </c>
      <c r="BI33">
        <v>2</v>
      </c>
      <c r="BJ33" t="s">
        <v>53</v>
      </c>
      <c r="BM33">
        <v>318</v>
      </c>
      <c r="BN33">
        <v>0</v>
      </c>
      <c r="BO33" t="s">
        <v>51</v>
      </c>
      <c r="BP33">
        <v>1</v>
      </c>
      <c r="BQ33">
        <v>40</v>
      </c>
      <c r="BR33">
        <v>0</v>
      </c>
      <c r="BS33">
        <v>23.94</v>
      </c>
      <c r="BT33">
        <v>1</v>
      </c>
      <c r="BU33">
        <v>1</v>
      </c>
      <c r="BV33">
        <v>1</v>
      </c>
      <c r="BW33">
        <v>1</v>
      </c>
      <c r="BX33">
        <v>1</v>
      </c>
      <c r="BY33" t="s">
        <v>3</v>
      </c>
      <c r="BZ33">
        <v>90</v>
      </c>
      <c r="CA33">
        <v>43</v>
      </c>
      <c r="CE33">
        <v>30</v>
      </c>
      <c r="CF33">
        <v>0</v>
      </c>
      <c r="CG33">
        <v>0</v>
      </c>
      <c r="CM33">
        <v>0</v>
      </c>
      <c r="CN33" t="s">
        <v>3</v>
      </c>
      <c r="CO33">
        <v>0</v>
      </c>
      <c r="CP33">
        <f t="shared" si="41"/>
        <v>125523.36000000002</v>
      </c>
      <c r="CQ33">
        <f t="shared" si="42"/>
        <v>136.56</v>
      </c>
      <c r="CR33">
        <f t="shared" si="43"/>
        <v>2918.08</v>
      </c>
      <c r="CS33">
        <f t="shared" si="44"/>
        <v>1373.92</v>
      </c>
      <c r="CT33">
        <f t="shared" si="45"/>
        <v>3483.03</v>
      </c>
      <c r="CU33">
        <f t="shared" si="46"/>
        <v>0</v>
      </c>
      <c r="CV33">
        <f t="shared" si="47"/>
        <v>11.8</v>
      </c>
      <c r="CW33">
        <f t="shared" si="48"/>
        <v>0</v>
      </c>
      <c r="CX33">
        <f t="shared" si="49"/>
        <v>0</v>
      </c>
      <c r="CY33">
        <f t="shared" si="50"/>
        <v>60186.816000000006</v>
      </c>
      <c r="CZ33">
        <f t="shared" si="51"/>
        <v>28755.923200000001</v>
      </c>
      <c r="DC33" t="s">
        <v>3</v>
      </c>
      <c r="DD33" t="s">
        <v>3</v>
      </c>
      <c r="DE33" t="s">
        <v>3</v>
      </c>
      <c r="DF33" t="s">
        <v>3</v>
      </c>
      <c r="DG33" t="s">
        <v>3</v>
      </c>
      <c r="DH33" t="s">
        <v>3</v>
      </c>
      <c r="DI33" t="s">
        <v>3</v>
      </c>
      <c r="DJ33" t="s">
        <v>3</v>
      </c>
      <c r="DK33" t="s">
        <v>3</v>
      </c>
      <c r="DL33" t="s">
        <v>3</v>
      </c>
      <c r="DM33" t="s">
        <v>3</v>
      </c>
      <c r="DN33">
        <v>112</v>
      </c>
      <c r="DO33">
        <v>70</v>
      </c>
      <c r="DP33">
        <v>1</v>
      </c>
      <c r="DQ33">
        <v>1</v>
      </c>
      <c r="DU33">
        <v>1013</v>
      </c>
      <c r="DV33" t="s">
        <v>40</v>
      </c>
      <c r="DW33" t="s">
        <v>40</v>
      </c>
      <c r="DX33">
        <v>1</v>
      </c>
      <c r="EE33">
        <v>43770609</v>
      </c>
      <c r="EF33">
        <v>40</v>
      </c>
      <c r="EG33" t="s">
        <v>42</v>
      </c>
      <c r="EH33">
        <v>0</v>
      </c>
      <c r="EI33" t="s">
        <v>3</v>
      </c>
      <c r="EJ33">
        <v>2</v>
      </c>
      <c r="EK33">
        <v>318</v>
      </c>
      <c r="EL33" t="s">
        <v>43</v>
      </c>
      <c r="EM33" t="s">
        <v>44</v>
      </c>
      <c r="EO33" t="s">
        <v>3</v>
      </c>
      <c r="EQ33">
        <v>131072</v>
      </c>
      <c r="ER33">
        <v>520.72</v>
      </c>
      <c r="ES33">
        <v>24.92</v>
      </c>
      <c r="ET33">
        <v>350.31</v>
      </c>
      <c r="EU33">
        <v>57.39</v>
      </c>
      <c r="EV33">
        <v>145.49</v>
      </c>
      <c r="EW33">
        <v>11.8</v>
      </c>
      <c r="EX33">
        <v>0</v>
      </c>
      <c r="EY33">
        <v>0</v>
      </c>
      <c r="FQ33">
        <v>0</v>
      </c>
      <c r="FR33">
        <f t="shared" si="52"/>
        <v>0</v>
      </c>
      <c r="FS33">
        <v>0</v>
      </c>
      <c r="FX33">
        <v>112</v>
      </c>
      <c r="FY33">
        <v>70</v>
      </c>
      <c r="GA33" t="s">
        <v>3</v>
      </c>
      <c r="GD33">
        <v>0</v>
      </c>
      <c r="GF33">
        <v>-930857839</v>
      </c>
      <c r="GG33">
        <v>2</v>
      </c>
      <c r="GH33">
        <v>1</v>
      </c>
      <c r="GI33">
        <v>2</v>
      </c>
      <c r="GJ33">
        <v>0</v>
      </c>
      <c r="GK33">
        <f>ROUND(R33*(R12)/100,2)</f>
        <v>41415.42</v>
      </c>
      <c r="GL33">
        <f t="shared" si="53"/>
        <v>0</v>
      </c>
      <c r="GM33">
        <f t="shared" si="54"/>
        <v>255881.52</v>
      </c>
      <c r="GN33">
        <f t="shared" si="55"/>
        <v>0</v>
      </c>
      <c r="GO33">
        <f t="shared" si="56"/>
        <v>255881.52</v>
      </c>
      <c r="GP33">
        <f t="shared" si="57"/>
        <v>0</v>
      </c>
      <c r="GR33">
        <v>0</v>
      </c>
      <c r="GS33">
        <v>3</v>
      </c>
      <c r="GT33">
        <v>0</v>
      </c>
      <c r="GU33" t="s">
        <v>3</v>
      </c>
      <c r="GV33">
        <f t="shared" si="58"/>
        <v>0</v>
      </c>
      <c r="GW33">
        <v>1</v>
      </c>
      <c r="GX33">
        <f t="shared" si="59"/>
        <v>0</v>
      </c>
      <c r="HA33">
        <v>0</v>
      </c>
      <c r="HB33">
        <v>0</v>
      </c>
      <c r="HC33">
        <f t="shared" si="60"/>
        <v>0</v>
      </c>
      <c r="IK33">
        <v>0</v>
      </c>
    </row>
    <row r="34" spans="1:245" x14ac:dyDescent="0.2">
      <c r="A34">
        <v>18</v>
      </c>
      <c r="B34">
        <v>1</v>
      </c>
      <c r="C34">
        <v>11</v>
      </c>
      <c r="E34" t="s">
        <v>54</v>
      </c>
      <c r="F34" t="s">
        <v>55</v>
      </c>
      <c r="G34" t="s">
        <v>56</v>
      </c>
      <c r="H34" t="s">
        <v>57</v>
      </c>
      <c r="I34">
        <f>I33*J34</f>
        <v>0.51</v>
      </c>
      <c r="J34">
        <v>2.6562500000000003E-2</v>
      </c>
      <c r="O34">
        <f t="shared" si="21"/>
        <v>39052.61</v>
      </c>
      <c r="P34">
        <f t="shared" si="22"/>
        <v>39052.61</v>
      </c>
      <c r="Q34">
        <f t="shared" si="23"/>
        <v>0</v>
      </c>
      <c r="R34">
        <f t="shared" si="24"/>
        <v>0</v>
      </c>
      <c r="S34">
        <f t="shared" si="25"/>
        <v>0</v>
      </c>
      <c r="T34">
        <f t="shared" si="26"/>
        <v>0</v>
      </c>
      <c r="U34">
        <f t="shared" si="27"/>
        <v>0</v>
      </c>
      <c r="V34">
        <f t="shared" si="28"/>
        <v>0</v>
      </c>
      <c r="W34">
        <f t="shared" si="29"/>
        <v>0</v>
      </c>
      <c r="X34">
        <f t="shared" si="30"/>
        <v>0</v>
      </c>
      <c r="Y34">
        <f t="shared" si="31"/>
        <v>0</v>
      </c>
      <c r="AA34">
        <v>44002026</v>
      </c>
      <c r="AB34">
        <f t="shared" si="32"/>
        <v>18860.52</v>
      </c>
      <c r="AC34">
        <f t="shared" si="33"/>
        <v>18860.52</v>
      </c>
      <c r="AD34">
        <f t="shared" si="34"/>
        <v>0</v>
      </c>
      <c r="AE34">
        <f t="shared" si="35"/>
        <v>0</v>
      </c>
      <c r="AF34">
        <f t="shared" si="36"/>
        <v>0</v>
      </c>
      <c r="AG34">
        <f t="shared" si="37"/>
        <v>0</v>
      </c>
      <c r="AH34">
        <f t="shared" si="38"/>
        <v>0</v>
      </c>
      <c r="AI34">
        <f t="shared" si="39"/>
        <v>0</v>
      </c>
      <c r="AJ34">
        <f t="shared" si="40"/>
        <v>0</v>
      </c>
      <c r="AK34">
        <v>18860.52</v>
      </c>
      <c r="AL34">
        <v>18860.52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Z34">
        <v>1</v>
      </c>
      <c r="BA34">
        <v>1</v>
      </c>
      <c r="BB34">
        <v>1</v>
      </c>
      <c r="BC34">
        <v>4.0599999999999996</v>
      </c>
      <c r="BD34" t="s">
        <v>3</v>
      </c>
      <c r="BE34" t="s">
        <v>3</v>
      </c>
      <c r="BF34" t="s">
        <v>3</v>
      </c>
      <c r="BG34" t="s">
        <v>3</v>
      </c>
      <c r="BH34">
        <v>3</v>
      </c>
      <c r="BI34">
        <v>2</v>
      </c>
      <c r="BJ34" t="s">
        <v>58</v>
      </c>
      <c r="BM34">
        <v>318</v>
      </c>
      <c r="BN34">
        <v>0</v>
      </c>
      <c r="BO34" t="s">
        <v>55</v>
      </c>
      <c r="BP34">
        <v>1</v>
      </c>
      <c r="BQ34">
        <v>40</v>
      </c>
      <c r="BR34">
        <v>0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 t="s">
        <v>3</v>
      </c>
      <c r="BZ34">
        <v>0</v>
      </c>
      <c r="CA34">
        <v>0</v>
      </c>
      <c r="CE34">
        <v>30</v>
      </c>
      <c r="CF34">
        <v>0</v>
      </c>
      <c r="CG34">
        <v>0</v>
      </c>
      <c r="CM34">
        <v>0</v>
      </c>
      <c r="CN34" t="s">
        <v>3</v>
      </c>
      <c r="CO34">
        <v>0</v>
      </c>
      <c r="CP34">
        <f t="shared" si="41"/>
        <v>39052.61</v>
      </c>
      <c r="CQ34">
        <f t="shared" si="42"/>
        <v>76573.710000000006</v>
      </c>
      <c r="CR34">
        <f t="shared" si="43"/>
        <v>0</v>
      </c>
      <c r="CS34">
        <f t="shared" si="44"/>
        <v>0</v>
      </c>
      <c r="CT34">
        <f t="shared" si="45"/>
        <v>0</v>
      </c>
      <c r="CU34">
        <f t="shared" si="46"/>
        <v>0</v>
      </c>
      <c r="CV34">
        <f t="shared" si="47"/>
        <v>0</v>
      </c>
      <c r="CW34">
        <f t="shared" si="48"/>
        <v>0</v>
      </c>
      <c r="CX34">
        <f t="shared" si="49"/>
        <v>0</v>
      </c>
      <c r="CY34">
        <f t="shared" si="50"/>
        <v>0</v>
      </c>
      <c r="CZ34">
        <f t="shared" si="51"/>
        <v>0</v>
      </c>
      <c r="DC34" t="s">
        <v>3</v>
      </c>
      <c r="DD34" t="s">
        <v>3</v>
      </c>
      <c r="DE34" t="s">
        <v>3</v>
      </c>
      <c r="DF34" t="s">
        <v>3</v>
      </c>
      <c r="DG34" t="s">
        <v>3</v>
      </c>
      <c r="DH34" t="s">
        <v>3</v>
      </c>
      <c r="DI34" t="s">
        <v>3</v>
      </c>
      <c r="DJ34" t="s">
        <v>3</v>
      </c>
      <c r="DK34" t="s">
        <v>3</v>
      </c>
      <c r="DL34" t="s">
        <v>3</v>
      </c>
      <c r="DM34" t="s">
        <v>3</v>
      </c>
      <c r="DN34">
        <v>112</v>
      </c>
      <c r="DO34">
        <v>70</v>
      </c>
      <c r="DP34">
        <v>1</v>
      </c>
      <c r="DQ34">
        <v>1</v>
      </c>
      <c r="DU34">
        <v>1003</v>
      </c>
      <c r="DV34" t="s">
        <v>57</v>
      </c>
      <c r="DW34" t="s">
        <v>57</v>
      </c>
      <c r="DX34">
        <v>1000</v>
      </c>
      <c r="EE34">
        <v>43770609</v>
      </c>
      <c r="EF34">
        <v>40</v>
      </c>
      <c r="EG34" t="s">
        <v>42</v>
      </c>
      <c r="EH34">
        <v>0</v>
      </c>
      <c r="EI34" t="s">
        <v>3</v>
      </c>
      <c r="EJ34">
        <v>2</v>
      </c>
      <c r="EK34">
        <v>318</v>
      </c>
      <c r="EL34" t="s">
        <v>43</v>
      </c>
      <c r="EM34" t="s">
        <v>44</v>
      </c>
      <c r="EO34" t="s">
        <v>3</v>
      </c>
      <c r="EQ34">
        <v>0</v>
      </c>
      <c r="ER34">
        <v>18860.52</v>
      </c>
      <c r="ES34">
        <v>18860.52</v>
      </c>
      <c r="ET34">
        <v>0</v>
      </c>
      <c r="EU34">
        <v>0</v>
      </c>
      <c r="EV34">
        <v>0</v>
      </c>
      <c r="EW34">
        <v>0</v>
      </c>
      <c r="EX34">
        <v>0</v>
      </c>
      <c r="FQ34">
        <v>0</v>
      </c>
      <c r="FR34">
        <f t="shared" si="52"/>
        <v>0</v>
      </c>
      <c r="FS34">
        <v>0</v>
      </c>
      <c r="FX34">
        <v>112</v>
      </c>
      <c r="FY34">
        <v>70</v>
      </c>
      <c r="GA34" t="s">
        <v>3</v>
      </c>
      <c r="GD34">
        <v>0</v>
      </c>
      <c r="GF34">
        <v>855499765</v>
      </c>
      <c r="GG34">
        <v>2</v>
      </c>
      <c r="GH34">
        <v>1</v>
      </c>
      <c r="GI34">
        <v>2</v>
      </c>
      <c r="GJ34">
        <v>0</v>
      </c>
      <c r="GK34">
        <f>ROUND(R34*(R12)/100,2)</f>
        <v>0</v>
      </c>
      <c r="GL34">
        <f t="shared" si="53"/>
        <v>0</v>
      </c>
      <c r="GM34">
        <f t="shared" si="54"/>
        <v>39052.61</v>
      </c>
      <c r="GN34">
        <f t="shared" si="55"/>
        <v>0</v>
      </c>
      <c r="GO34">
        <f t="shared" si="56"/>
        <v>39052.61</v>
      </c>
      <c r="GP34">
        <f t="shared" si="57"/>
        <v>0</v>
      </c>
      <c r="GR34">
        <v>0</v>
      </c>
      <c r="GS34">
        <v>3</v>
      </c>
      <c r="GT34">
        <v>0</v>
      </c>
      <c r="GU34" t="s">
        <v>3</v>
      </c>
      <c r="GV34">
        <f t="shared" si="58"/>
        <v>0</v>
      </c>
      <c r="GW34">
        <v>1</v>
      </c>
      <c r="GX34">
        <f t="shared" si="59"/>
        <v>0</v>
      </c>
      <c r="HA34">
        <v>0</v>
      </c>
      <c r="HB34">
        <v>0</v>
      </c>
      <c r="HC34">
        <f t="shared" si="60"/>
        <v>0</v>
      </c>
      <c r="IK34">
        <v>0</v>
      </c>
    </row>
    <row r="35" spans="1:245" x14ac:dyDescent="0.2">
      <c r="A35">
        <v>18</v>
      </c>
      <c r="B35">
        <v>1</v>
      </c>
      <c r="C35">
        <v>12</v>
      </c>
      <c r="E35" t="s">
        <v>59</v>
      </c>
      <c r="F35" t="s">
        <v>60</v>
      </c>
      <c r="G35" t="s">
        <v>61</v>
      </c>
      <c r="H35" t="s">
        <v>57</v>
      </c>
      <c r="I35">
        <f>I33*J35</f>
        <v>1.44</v>
      </c>
      <c r="J35">
        <v>7.4999999999999997E-2</v>
      </c>
      <c r="O35">
        <f t="shared" si="21"/>
        <v>121623.03999999999</v>
      </c>
      <c r="P35">
        <f t="shared" si="22"/>
        <v>121623.03999999999</v>
      </c>
      <c r="Q35">
        <f t="shared" si="23"/>
        <v>0</v>
      </c>
      <c r="R35">
        <f t="shared" si="24"/>
        <v>0</v>
      </c>
      <c r="S35">
        <f t="shared" si="25"/>
        <v>0</v>
      </c>
      <c r="T35">
        <f t="shared" si="26"/>
        <v>0</v>
      </c>
      <c r="U35">
        <f t="shared" si="27"/>
        <v>0</v>
      </c>
      <c r="V35">
        <f t="shared" si="28"/>
        <v>0</v>
      </c>
      <c r="W35">
        <f t="shared" si="29"/>
        <v>0</v>
      </c>
      <c r="X35">
        <f t="shared" si="30"/>
        <v>0</v>
      </c>
      <c r="Y35">
        <f t="shared" si="31"/>
        <v>0</v>
      </c>
      <c r="AA35">
        <v>44002026</v>
      </c>
      <c r="AB35">
        <f t="shared" si="32"/>
        <v>28826.09</v>
      </c>
      <c r="AC35">
        <f t="shared" si="33"/>
        <v>28826.09</v>
      </c>
      <c r="AD35">
        <f t="shared" si="34"/>
        <v>0</v>
      </c>
      <c r="AE35">
        <f t="shared" si="35"/>
        <v>0</v>
      </c>
      <c r="AF35">
        <f t="shared" si="36"/>
        <v>0</v>
      </c>
      <c r="AG35">
        <f t="shared" si="37"/>
        <v>0</v>
      </c>
      <c r="AH35">
        <f t="shared" si="38"/>
        <v>0</v>
      </c>
      <c r="AI35">
        <f t="shared" si="39"/>
        <v>0</v>
      </c>
      <c r="AJ35">
        <f t="shared" si="40"/>
        <v>0</v>
      </c>
      <c r="AK35">
        <v>28826.09</v>
      </c>
      <c r="AL35">
        <v>28826.09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Z35">
        <v>1</v>
      </c>
      <c r="BA35">
        <v>1</v>
      </c>
      <c r="BB35">
        <v>1</v>
      </c>
      <c r="BC35">
        <v>2.93</v>
      </c>
      <c r="BD35" t="s">
        <v>3</v>
      </c>
      <c r="BE35" t="s">
        <v>3</v>
      </c>
      <c r="BF35" t="s">
        <v>3</v>
      </c>
      <c r="BG35" t="s">
        <v>3</v>
      </c>
      <c r="BH35">
        <v>3</v>
      </c>
      <c r="BI35">
        <v>2</v>
      </c>
      <c r="BJ35" t="s">
        <v>62</v>
      </c>
      <c r="BM35">
        <v>318</v>
      </c>
      <c r="BN35">
        <v>0</v>
      </c>
      <c r="BO35" t="s">
        <v>60</v>
      </c>
      <c r="BP35">
        <v>1</v>
      </c>
      <c r="BQ35">
        <v>40</v>
      </c>
      <c r="BR35">
        <v>0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 t="s">
        <v>3</v>
      </c>
      <c r="BZ35">
        <v>0</v>
      </c>
      <c r="CA35">
        <v>0</v>
      </c>
      <c r="CE35">
        <v>30</v>
      </c>
      <c r="CF35">
        <v>0</v>
      </c>
      <c r="CG35">
        <v>0</v>
      </c>
      <c r="CM35">
        <v>0</v>
      </c>
      <c r="CN35" t="s">
        <v>3</v>
      </c>
      <c r="CO35">
        <v>0</v>
      </c>
      <c r="CP35">
        <f t="shared" si="41"/>
        <v>121623.03999999999</v>
      </c>
      <c r="CQ35">
        <f t="shared" si="42"/>
        <v>84460.44</v>
      </c>
      <c r="CR35">
        <f t="shared" si="43"/>
        <v>0</v>
      </c>
      <c r="CS35">
        <f t="shared" si="44"/>
        <v>0</v>
      </c>
      <c r="CT35">
        <f t="shared" si="45"/>
        <v>0</v>
      </c>
      <c r="CU35">
        <f t="shared" si="46"/>
        <v>0</v>
      </c>
      <c r="CV35">
        <f t="shared" si="47"/>
        <v>0</v>
      </c>
      <c r="CW35">
        <f t="shared" si="48"/>
        <v>0</v>
      </c>
      <c r="CX35">
        <f t="shared" si="49"/>
        <v>0</v>
      </c>
      <c r="CY35">
        <f t="shared" si="50"/>
        <v>0</v>
      </c>
      <c r="CZ35">
        <f t="shared" si="51"/>
        <v>0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s">
        <v>3</v>
      </c>
      <c r="DJ35" t="s">
        <v>3</v>
      </c>
      <c r="DK35" t="s">
        <v>3</v>
      </c>
      <c r="DL35" t="s">
        <v>3</v>
      </c>
      <c r="DM35" t="s">
        <v>3</v>
      </c>
      <c r="DN35">
        <v>112</v>
      </c>
      <c r="DO35">
        <v>70</v>
      </c>
      <c r="DP35">
        <v>1</v>
      </c>
      <c r="DQ35">
        <v>1</v>
      </c>
      <c r="DU35">
        <v>1003</v>
      </c>
      <c r="DV35" t="s">
        <v>57</v>
      </c>
      <c r="DW35" t="s">
        <v>57</v>
      </c>
      <c r="DX35">
        <v>1000</v>
      </c>
      <c r="EE35">
        <v>43770609</v>
      </c>
      <c r="EF35">
        <v>40</v>
      </c>
      <c r="EG35" t="s">
        <v>42</v>
      </c>
      <c r="EH35">
        <v>0</v>
      </c>
      <c r="EI35" t="s">
        <v>3</v>
      </c>
      <c r="EJ35">
        <v>2</v>
      </c>
      <c r="EK35">
        <v>318</v>
      </c>
      <c r="EL35" t="s">
        <v>43</v>
      </c>
      <c r="EM35" t="s">
        <v>44</v>
      </c>
      <c r="EO35" t="s">
        <v>3</v>
      </c>
      <c r="EQ35">
        <v>0</v>
      </c>
      <c r="ER35">
        <v>28826.09</v>
      </c>
      <c r="ES35">
        <v>28826.09</v>
      </c>
      <c r="ET35">
        <v>0</v>
      </c>
      <c r="EU35">
        <v>0</v>
      </c>
      <c r="EV35">
        <v>0</v>
      </c>
      <c r="EW35">
        <v>0</v>
      </c>
      <c r="EX35">
        <v>0</v>
      </c>
      <c r="FQ35">
        <v>0</v>
      </c>
      <c r="FR35">
        <f t="shared" si="52"/>
        <v>0</v>
      </c>
      <c r="FS35">
        <v>0</v>
      </c>
      <c r="FX35">
        <v>112</v>
      </c>
      <c r="FY35">
        <v>70</v>
      </c>
      <c r="GA35" t="s">
        <v>3</v>
      </c>
      <c r="GD35">
        <v>0</v>
      </c>
      <c r="GF35">
        <v>-335072208</v>
      </c>
      <c r="GG35">
        <v>2</v>
      </c>
      <c r="GH35">
        <v>1</v>
      </c>
      <c r="GI35">
        <v>2</v>
      </c>
      <c r="GJ35">
        <v>0</v>
      </c>
      <c r="GK35">
        <f>ROUND(R35*(R12)/100,2)</f>
        <v>0</v>
      </c>
      <c r="GL35">
        <f t="shared" si="53"/>
        <v>0</v>
      </c>
      <c r="GM35">
        <f t="shared" si="54"/>
        <v>121623.03999999999</v>
      </c>
      <c r="GN35">
        <f t="shared" si="55"/>
        <v>0</v>
      </c>
      <c r="GO35">
        <f t="shared" si="56"/>
        <v>121623.03999999999</v>
      </c>
      <c r="GP35">
        <f t="shared" si="57"/>
        <v>0</v>
      </c>
      <c r="GR35">
        <v>0</v>
      </c>
      <c r="GS35">
        <v>3</v>
      </c>
      <c r="GT35">
        <v>0</v>
      </c>
      <c r="GU35" t="s">
        <v>3</v>
      </c>
      <c r="GV35">
        <f t="shared" si="58"/>
        <v>0</v>
      </c>
      <c r="GW35">
        <v>1</v>
      </c>
      <c r="GX35">
        <f t="shared" si="59"/>
        <v>0</v>
      </c>
      <c r="HA35">
        <v>0</v>
      </c>
      <c r="HB35">
        <v>0</v>
      </c>
      <c r="HC35">
        <f t="shared" si="60"/>
        <v>0</v>
      </c>
      <c r="IK35">
        <v>0</v>
      </c>
    </row>
    <row r="36" spans="1:245" x14ac:dyDescent="0.2">
      <c r="A36">
        <v>18</v>
      </c>
      <c r="B36">
        <v>1</v>
      </c>
      <c r="C36">
        <v>10</v>
      </c>
      <c r="E36" t="s">
        <v>63</v>
      </c>
      <c r="F36" t="s">
        <v>64</v>
      </c>
      <c r="G36" t="s">
        <v>65</v>
      </c>
      <c r="H36" t="s">
        <v>66</v>
      </c>
      <c r="I36">
        <f>I33*J36</f>
        <v>1920</v>
      </c>
      <c r="J36">
        <v>100</v>
      </c>
      <c r="O36">
        <f t="shared" si="21"/>
        <v>2286.14</v>
      </c>
      <c r="P36">
        <f t="shared" si="22"/>
        <v>2286.14</v>
      </c>
      <c r="Q36">
        <f t="shared" si="23"/>
        <v>0</v>
      </c>
      <c r="R36">
        <f t="shared" si="24"/>
        <v>0</v>
      </c>
      <c r="S36">
        <f t="shared" si="25"/>
        <v>0</v>
      </c>
      <c r="T36">
        <f t="shared" si="26"/>
        <v>0</v>
      </c>
      <c r="U36">
        <f t="shared" si="27"/>
        <v>0</v>
      </c>
      <c r="V36">
        <f t="shared" si="28"/>
        <v>0</v>
      </c>
      <c r="W36">
        <f t="shared" si="29"/>
        <v>0</v>
      </c>
      <c r="X36">
        <f t="shared" si="30"/>
        <v>0</v>
      </c>
      <c r="Y36">
        <f t="shared" si="31"/>
        <v>0</v>
      </c>
      <c r="AA36">
        <v>44002026</v>
      </c>
      <c r="AB36">
        <f t="shared" si="32"/>
        <v>0.49</v>
      </c>
      <c r="AC36">
        <f t="shared" si="33"/>
        <v>0.49</v>
      </c>
      <c r="AD36">
        <f t="shared" si="34"/>
        <v>0</v>
      </c>
      <c r="AE36">
        <f t="shared" si="35"/>
        <v>0</v>
      </c>
      <c r="AF36">
        <f t="shared" si="36"/>
        <v>0</v>
      </c>
      <c r="AG36">
        <f t="shared" si="37"/>
        <v>0</v>
      </c>
      <c r="AH36">
        <f t="shared" si="38"/>
        <v>0</v>
      </c>
      <c r="AI36">
        <f t="shared" si="39"/>
        <v>0</v>
      </c>
      <c r="AJ36">
        <f t="shared" si="40"/>
        <v>0</v>
      </c>
      <c r="AK36">
        <v>0.49</v>
      </c>
      <c r="AL36">
        <v>0.49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Z36">
        <v>1</v>
      </c>
      <c r="BA36">
        <v>1</v>
      </c>
      <c r="BB36">
        <v>1</v>
      </c>
      <c r="BC36">
        <v>2.4300000000000002</v>
      </c>
      <c r="BD36" t="s">
        <v>3</v>
      </c>
      <c r="BE36" t="s">
        <v>3</v>
      </c>
      <c r="BF36" t="s">
        <v>3</v>
      </c>
      <c r="BG36" t="s">
        <v>3</v>
      </c>
      <c r="BH36">
        <v>3</v>
      </c>
      <c r="BI36">
        <v>2</v>
      </c>
      <c r="BJ36" t="s">
        <v>67</v>
      </c>
      <c r="BM36">
        <v>318</v>
      </c>
      <c r="BN36">
        <v>0</v>
      </c>
      <c r="BO36" t="s">
        <v>64</v>
      </c>
      <c r="BP36">
        <v>1</v>
      </c>
      <c r="BQ36">
        <v>40</v>
      </c>
      <c r="BR36">
        <v>0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 t="s">
        <v>3</v>
      </c>
      <c r="BZ36">
        <v>0</v>
      </c>
      <c r="CA36">
        <v>0</v>
      </c>
      <c r="CE36">
        <v>30</v>
      </c>
      <c r="CF36">
        <v>0</v>
      </c>
      <c r="CG36">
        <v>0</v>
      </c>
      <c r="CM36">
        <v>0</v>
      </c>
      <c r="CN36" t="s">
        <v>3</v>
      </c>
      <c r="CO36">
        <v>0</v>
      </c>
      <c r="CP36">
        <f t="shared" si="41"/>
        <v>2286.14</v>
      </c>
      <c r="CQ36">
        <f t="shared" si="42"/>
        <v>1.19</v>
      </c>
      <c r="CR36">
        <f t="shared" si="43"/>
        <v>0</v>
      </c>
      <c r="CS36">
        <f t="shared" si="44"/>
        <v>0</v>
      </c>
      <c r="CT36">
        <f t="shared" si="45"/>
        <v>0</v>
      </c>
      <c r="CU36">
        <f t="shared" si="46"/>
        <v>0</v>
      </c>
      <c r="CV36">
        <f t="shared" si="47"/>
        <v>0</v>
      </c>
      <c r="CW36">
        <f t="shared" si="48"/>
        <v>0</v>
      </c>
      <c r="CX36">
        <f t="shared" si="49"/>
        <v>0</v>
      </c>
      <c r="CY36">
        <f t="shared" si="50"/>
        <v>0</v>
      </c>
      <c r="CZ36">
        <f t="shared" si="51"/>
        <v>0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s">
        <v>3</v>
      </c>
      <c r="DJ36" t="s">
        <v>3</v>
      </c>
      <c r="DK36" t="s">
        <v>3</v>
      </c>
      <c r="DL36" t="s">
        <v>3</v>
      </c>
      <c r="DM36" t="s">
        <v>3</v>
      </c>
      <c r="DN36">
        <v>112</v>
      </c>
      <c r="DO36">
        <v>70</v>
      </c>
      <c r="DP36">
        <v>1</v>
      </c>
      <c r="DQ36">
        <v>1</v>
      </c>
      <c r="DU36">
        <v>1003</v>
      </c>
      <c r="DV36" t="s">
        <v>66</v>
      </c>
      <c r="DW36" t="s">
        <v>66</v>
      </c>
      <c r="DX36">
        <v>1</v>
      </c>
      <c r="EE36">
        <v>43770609</v>
      </c>
      <c r="EF36">
        <v>40</v>
      </c>
      <c r="EG36" t="s">
        <v>42</v>
      </c>
      <c r="EH36">
        <v>0</v>
      </c>
      <c r="EI36" t="s">
        <v>3</v>
      </c>
      <c r="EJ36">
        <v>2</v>
      </c>
      <c r="EK36">
        <v>318</v>
      </c>
      <c r="EL36" t="s">
        <v>43</v>
      </c>
      <c r="EM36" t="s">
        <v>44</v>
      </c>
      <c r="EO36" t="s">
        <v>3</v>
      </c>
      <c r="EQ36">
        <v>0</v>
      </c>
      <c r="ER36">
        <v>0.49</v>
      </c>
      <c r="ES36">
        <v>0.49</v>
      </c>
      <c r="ET36">
        <v>0</v>
      </c>
      <c r="EU36">
        <v>0</v>
      </c>
      <c r="EV36">
        <v>0</v>
      </c>
      <c r="EW36">
        <v>0</v>
      </c>
      <c r="EX36">
        <v>0</v>
      </c>
      <c r="FQ36">
        <v>0</v>
      </c>
      <c r="FR36">
        <f t="shared" si="52"/>
        <v>0</v>
      </c>
      <c r="FS36">
        <v>0</v>
      </c>
      <c r="FX36">
        <v>112</v>
      </c>
      <c r="FY36">
        <v>70</v>
      </c>
      <c r="GA36" t="s">
        <v>3</v>
      </c>
      <c r="GD36">
        <v>0</v>
      </c>
      <c r="GF36">
        <v>1047663974</v>
      </c>
      <c r="GG36">
        <v>2</v>
      </c>
      <c r="GH36">
        <v>1</v>
      </c>
      <c r="GI36">
        <v>2</v>
      </c>
      <c r="GJ36">
        <v>0</v>
      </c>
      <c r="GK36">
        <f>ROUND(R36*(R12)/100,2)</f>
        <v>0</v>
      </c>
      <c r="GL36">
        <f t="shared" si="53"/>
        <v>0</v>
      </c>
      <c r="GM36">
        <f t="shared" si="54"/>
        <v>2286.14</v>
      </c>
      <c r="GN36">
        <f t="shared" si="55"/>
        <v>0</v>
      </c>
      <c r="GO36">
        <f t="shared" si="56"/>
        <v>2286.14</v>
      </c>
      <c r="GP36">
        <f t="shared" si="57"/>
        <v>0</v>
      </c>
      <c r="GR36">
        <v>0</v>
      </c>
      <c r="GS36">
        <v>3</v>
      </c>
      <c r="GT36">
        <v>0</v>
      </c>
      <c r="GU36" t="s">
        <v>3</v>
      </c>
      <c r="GV36">
        <f t="shared" si="58"/>
        <v>0</v>
      </c>
      <c r="GW36">
        <v>1</v>
      </c>
      <c r="GX36">
        <f t="shared" si="59"/>
        <v>0</v>
      </c>
      <c r="HA36">
        <v>0</v>
      </c>
      <c r="HB36">
        <v>0</v>
      </c>
      <c r="HC36">
        <f t="shared" si="60"/>
        <v>0</v>
      </c>
      <c r="IK36">
        <v>0</v>
      </c>
    </row>
    <row r="37" spans="1:245" x14ac:dyDescent="0.2">
      <c r="A37">
        <v>17</v>
      </c>
      <c r="B37">
        <v>1</v>
      </c>
      <c r="C37">
        <f>ROW(SmtRes!A18)</f>
        <v>18</v>
      </c>
      <c r="D37">
        <f>ROW(EtalonRes!A14)</f>
        <v>14</v>
      </c>
      <c r="E37" t="s">
        <v>68</v>
      </c>
      <c r="F37" t="s">
        <v>69</v>
      </c>
      <c r="G37" t="s">
        <v>70</v>
      </c>
      <c r="H37" t="s">
        <v>71</v>
      </c>
      <c r="I37">
        <v>0.05</v>
      </c>
      <c r="J37">
        <v>0</v>
      </c>
      <c r="O37">
        <f t="shared" si="21"/>
        <v>2278.6999999999998</v>
      </c>
      <c r="P37">
        <f t="shared" si="22"/>
        <v>256.39</v>
      </c>
      <c r="Q37">
        <f t="shared" si="23"/>
        <v>28.35</v>
      </c>
      <c r="R37">
        <f t="shared" si="24"/>
        <v>14.12</v>
      </c>
      <c r="S37">
        <f t="shared" si="25"/>
        <v>1993.96</v>
      </c>
      <c r="T37">
        <f t="shared" si="26"/>
        <v>0</v>
      </c>
      <c r="U37">
        <f t="shared" si="27"/>
        <v>7.5895000000000001</v>
      </c>
      <c r="V37">
        <f t="shared" si="28"/>
        <v>0</v>
      </c>
      <c r="W37">
        <f t="shared" si="29"/>
        <v>0</v>
      </c>
      <c r="X37">
        <f t="shared" si="30"/>
        <v>1794.56</v>
      </c>
      <c r="Y37">
        <f t="shared" si="31"/>
        <v>817.52</v>
      </c>
      <c r="AA37">
        <v>44002026</v>
      </c>
      <c r="AB37">
        <f t="shared" si="32"/>
        <v>2299.31</v>
      </c>
      <c r="AC37">
        <f t="shared" si="33"/>
        <v>570.49</v>
      </c>
      <c r="AD37">
        <f t="shared" si="34"/>
        <v>62.98</v>
      </c>
      <c r="AE37">
        <f t="shared" si="35"/>
        <v>11.78</v>
      </c>
      <c r="AF37">
        <f t="shared" si="36"/>
        <v>1665.84</v>
      </c>
      <c r="AG37">
        <f t="shared" si="37"/>
        <v>0</v>
      </c>
      <c r="AH37">
        <f t="shared" si="38"/>
        <v>151.79</v>
      </c>
      <c r="AI37">
        <f t="shared" si="39"/>
        <v>0</v>
      </c>
      <c r="AJ37">
        <f t="shared" si="40"/>
        <v>0</v>
      </c>
      <c r="AK37">
        <v>2299.31</v>
      </c>
      <c r="AL37">
        <v>570.49</v>
      </c>
      <c r="AM37">
        <v>62.98</v>
      </c>
      <c r="AN37">
        <v>11.78</v>
      </c>
      <c r="AO37">
        <v>1665.84</v>
      </c>
      <c r="AP37">
        <v>0</v>
      </c>
      <c r="AQ37">
        <v>151.79</v>
      </c>
      <c r="AR37">
        <v>0</v>
      </c>
      <c r="AS37">
        <v>0</v>
      </c>
      <c r="AT37">
        <v>90</v>
      </c>
      <c r="AU37">
        <v>41</v>
      </c>
      <c r="AV37">
        <v>1</v>
      </c>
      <c r="AW37">
        <v>1</v>
      </c>
      <c r="AZ37">
        <v>1</v>
      </c>
      <c r="BA37">
        <v>23.94</v>
      </c>
      <c r="BB37">
        <v>9</v>
      </c>
      <c r="BC37">
        <v>8.99</v>
      </c>
      <c r="BD37" t="s">
        <v>3</v>
      </c>
      <c r="BE37" t="s">
        <v>3</v>
      </c>
      <c r="BF37" t="s">
        <v>3</v>
      </c>
      <c r="BG37" t="s">
        <v>3</v>
      </c>
      <c r="BH37">
        <v>0</v>
      </c>
      <c r="BI37">
        <v>1</v>
      </c>
      <c r="BJ37" t="s">
        <v>72</v>
      </c>
      <c r="BM37">
        <v>1561</v>
      </c>
      <c r="BN37">
        <v>0</v>
      </c>
      <c r="BO37" t="s">
        <v>69</v>
      </c>
      <c r="BP37">
        <v>1</v>
      </c>
      <c r="BQ37">
        <v>30</v>
      </c>
      <c r="BR37">
        <v>0</v>
      </c>
      <c r="BS37">
        <v>23.94</v>
      </c>
      <c r="BT37">
        <v>1</v>
      </c>
      <c r="BU37">
        <v>1</v>
      </c>
      <c r="BV37">
        <v>1</v>
      </c>
      <c r="BW37">
        <v>1</v>
      </c>
      <c r="BX37">
        <v>1</v>
      </c>
      <c r="BY37" t="s">
        <v>3</v>
      </c>
      <c r="BZ37">
        <v>90</v>
      </c>
      <c r="CA37">
        <v>41</v>
      </c>
      <c r="CE37">
        <v>30</v>
      </c>
      <c r="CF37">
        <v>0</v>
      </c>
      <c r="CG37">
        <v>0</v>
      </c>
      <c r="CM37">
        <v>0</v>
      </c>
      <c r="CN37" t="s">
        <v>3</v>
      </c>
      <c r="CO37">
        <v>0</v>
      </c>
      <c r="CP37">
        <f t="shared" si="41"/>
        <v>2278.6999999999998</v>
      </c>
      <c r="CQ37">
        <f t="shared" si="42"/>
        <v>5128.71</v>
      </c>
      <c r="CR37">
        <f t="shared" si="43"/>
        <v>566.82000000000005</v>
      </c>
      <c r="CS37">
        <f t="shared" si="44"/>
        <v>282.01</v>
      </c>
      <c r="CT37">
        <f t="shared" si="45"/>
        <v>39880.21</v>
      </c>
      <c r="CU37">
        <f t="shared" si="46"/>
        <v>0</v>
      </c>
      <c r="CV37">
        <f t="shared" si="47"/>
        <v>151.79</v>
      </c>
      <c r="CW37">
        <f t="shared" si="48"/>
        <v>0</v>
      </c>
      <c r="CX37">
        <f t="shared" si="49"/>
        <v>0</v>
      </c>
      <c r="CY37">
        <f t="shared" si="50"/>
        <v>1794.5640000000001</v>
      </c>
      <c r="CZ37">
        <f t="shared" si="51"/>
        <v>817.52359999999999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s">
        <v>3</v>
      </c>
      <c r="DJ37" t="s">
        <v>3</v>
      </c>
      <c r="DK37" t="s">
        <v>3</v>
      </c>
      <c r="DL37" t="s">
        <v>3</v>
      </c>
      <c r="DM37" t="s">
        <v>3</v>
      </c>
      <c r="DN37">
        <v>112</v>
      </c>
      <c r="DO37">
        <v>70</v>
      </c>
      <c r="DP37">
        <v>1</v>
      </c>
      <c r="DQ37">
        <v>1</v>
      </c>
      <c r="DU37">
        <v>1013</v>
      </c>
      <c r="DV37" t="s">
        <v>71</v>
      </c>
      <c r="DW37" t="s">
        <v>71</v>
      </c>
      <c r="DX37">
        <v>1</v>
      </c>
      <c r="EE37">
        <v>43771852</v>
      </c>
      <c r="EF37">
        <v>30</v>
      </c>
      <c r="EG37" t="s">
        <v>22</v>
      </c>
      <c r="EH37">
        <v>0</v>
      </c>
      <c r="EI37" t="s">
        <v>3</v>
      </c>
      <c r="EJ37">
        <v>1</v>
      </c>
      <c r="EK37">
        <v>1561</v>
      </c>
      <c r="EL37" t="s">
        <v>73</v>
      </c>
      <c r="EM37" t="s">
        <v>74</v>
      </c>
      <c r="EO37" t="s">
        <v>3</v>
      </c>
      <c r="EQ37">
        <v>131072</v>
      </c>
      <c r="ER37">
        <v>2299.31</v>
      </c>
      <c r="ES37">
        <v>570.49</v>
      </c>
      <c r="ET37">
        <v>62.98</v>
      </c>
      <c r="EU37">
        <v>11.78</v>
      </c>
      <c r="EV37">
        <v>1665.84</v>
      </c>
      <c r="EW37">
        <v>151.79</v>
      </c>
      <c r="EX37">
        <v>0</v>
      </c>
      <c r="EY37">
        <v>0</v>
      </c>
      <c r="FQ37">
        <v>0</v>
      </c>
      <c r="FR37">
        <f t="shared" si="52"/>
        <v>0</v>
      </c>
      <c r="FS37">
        <v>0</v>
      </c>
      <c r="FX37">
        <v>112</v>
      </c>
      <c r="FY37">
        <v>70</v>
      </c>
      <c r="GA37" t="s">
        <v>3</v>
      </c>
      <c r="GD37">
        <v>0</v>
      </c>
      <c r="GF37">
        <v>-2123698861</v>
      </c>
      <c r="GG37">
        <v>2</v>
      </c>
      <c r="GH37">
        <v>1</v>
      </c>
      <c r="GI37">
        <v>2</v>
      </c>
      <c r="GJ37">
        <v>0</v>
      </c>
      <c r="GK37">
        <f>ROUND(R37*(R12)/100,2)</f>
        <v>22.17</v>
      </c>
      <c r="GL37">
        <f t="shared" si="53"/>
        <v>0</v>
      </c>
      <c r="GM37">
        <f t="shared" si="54"/>
        <v>4912.95</v>
      </c>
      <c r="GN37">
        <f t="shared" si="55"/>
        <v>4912.95</v>
      </c>
      <c r="GO37">
        <f t="shared" si="56"/>
        <v>0</v>
      </c>
      <c r="GP37">
        <f t="shared" si="57"/>
        <v>0</v>
      </c>
      <c r="GR37">
        <v>0</v>
      </c>
      <c r="GS37">
        <v>3</v>
      </c>
      <c r="GT37">
        <v>0</v>
      </c>
      <c r="GU37" t="s">
        <v>3</v>
      </c>
      <c r="GV37">
        <f t="shared" si="58"/>
        <v>0</v>
      </c>
      <c r="GW37">
        <v>1</v>
      </c>
      <c r="GX37">
        <f t="shared" si="59"/>
        <v>0</v>
      </c>
      <c r="HA37">
        <v>0</v>
      </c>
      <c r="HB37">
        <v>0</v>
      </c>
      <c r="HC37">
        <f t="shared" si="60"/>
        <v>0</v>
      </c>
      <c r="IK37">
        <v>0</v>
      </c>
    </row>
    <row r="38" spans="1:245" x14ac:dyDescent="0.2">
      <c r="A38">
        <v>18</v>
      </c>
      <c r="B38">
        <v>1</v>
      </c>
      <c r="C38">
        <v>17</v>
      </c>
      <c r="E38" t="s">
        <v>75</v>
      </c>
      <c r="F38" t="s">
        <v>76</v>
      </c>
      <c r="G38" t="s">
        <v>77</v>
      </c>
      <c r="H38" t="s">
        <v>66</v>
      </c>
      <c r="I38">
        <f>I37*J38</f>
        <v>51.5</v>
      </c>
      <c r="J38">
        <v>1030</v>
      </c>
      <c r="O38">
        <f t="shared" si="21"/>
        <v>3331.44</v>
      </c>
      <c r="P38">
        <f t="shared" si="22"/>
        <v>3331.44</v>
      </c>
      <c r="Q38">
        <f t="shared" si="23"/>
        <v>0</v>
      </c>
      <c r="R38">
        <f t="shared" si="24"/>
        <v>0</v>
      </c>
      <c r="S38">
        <f t="shared" si="25"/>
        <v>0</v>
      </c>
      <c r="T38">
        <f t="shared" si="26"/>
        <v>0</v>
      </c>
      <c r="U38">
        <f t="shared" si="27"/>
        <v>0</v>
      </c>
      <c r="V38">
        <f t="shared" si="28"/>
        <v>0</v>
      </c>
      <c r="W38">
        <f t="shared" si="29"/>
        <v>0</v>
      </c>
      <c r="X38">
        <f t="shared" si="30"/>
        <v>0</v>
      </c>
      <c r="Y38">
        <f t="shared" si="31"/>
        <v>0</v>
      </c>
      <c r="AA38">
        <v>44002026</v>
      </c>
      <c r="AB38">
        <f t="shared" si="32"/>
        <v>10.35</v>
      </c>
      <c r="AC38">
        <f t="shared" si="33"/>
        <v>10.35</v>
      </c>
      <c r="AD38">
        <f t="shared" si="34"/>
        <v>0</v>
      </c>
      <c r="AE38">
        <f t="shared" si="35"/>
        <v>0</v>
      </c>
      <c r="AF38">
        <f t="shared" si="36"/>
        <v>0</v>
      </c>
      <c r="AG38">
        <f t="shared" si="37"/>
        <v>0</v>
      </c>
      <c r="AH38">
        <f t="shared" si="38"/>
        <v>0</v>
      </c>
      <c r="AI38">
        <f t="shared" si="39"/>
        <v>0</v>
      </c>
      <c r="AJ38">
        <f t="shared" si="40"/>
        <v>0</v>
      </c>
      <c r="AK38">
        <v>10.35</v>
      </c>
      <c r="AL38">
        <v>10.35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Z38">
        <v>1</v>
      </c>
      <c r="BA38">
        <v>1</v>
      </c>
      <c r="BB38">
        <v>1</v>
      </c>
      <c r="BC38">
        <v>6.25</v>
      </c>
      <c r="BD38" t="s">
        <v>3</v>
      </c>
      <c r="BE38" t="s">
        <v>3</v>
      </c>
      <c r="BF38" t="s">
        <v>3</v>
      </c>
      <c r="BG38" t="s">
        <v>3</v>
      </c>
      <c r="BH38">
        <v>3</v>
      </c>
      <c r="BI38">
        <v>1</v>
      </c>
      <c r="BJ38" t="s">
        <v>78</v>
      </c>
      <c r="BM38">
        <v>1561</v>
      </c>
      <c r="BN38">
        <v>0</v>
      </c>
      <c r="BO38" t="s">
        <v>76</v>
      </c>
      <c r="BP38">
        <v>1</v>
      </c>
      <c r="BQ38">
        <v>30</v>
      </c>
      <c r="BR38">
        <v>0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 t="s">
        <v>3</v>
      </c>
      <c r="BZ38">
        <v>0</v>
      </c>
      <c r="CA38">
        <v>0</v>
      </c>
      <c r="CE38">
        <v>30</v>
      </c>
      <c r="CF38">
        <v>0</v>
      </c>
      <c r="CG38">
        <v>0</v>
      </c>
      <c r="CM38">
        <v>0</v>
      </c>
      <c r="CN38" t="s">
        <v>3</v>
      </c>
      <c r="CO38">
        <v>0</v>
      </c>
      <c r="CP38">
        <f t="shared" si="41"/>
        <v>3331.44</v>
      </c>
      <c r="CQ38">
        <f t="shared" si="42"/>
        <v>64.69</v>
      </c>
      <c r="CR38">
        <f t="shared" si="43"/>
        <v>0</v>
      </c>
      <c r="CS38">
        <f t="shared" si="44"/>
        <v>0</v>
      </c>
      <c r="CT38">
        <f t="shared" si="45"/>
        <v>0</v>
      </c>
      <c r="CU38">
        <f t="shared" si="46"/>
        <v>0</v>
      </c>
      <c r="CV38">
        <f t="shared" si="47"/>
        <v>0</v>
      </c>
      <c r="CW38">
        <f t="shared" si="48"/>
        <v>0</v>
      </c>
      <c r="CX38">
        <f t="shared" si="49"/>
        <v>0</v>
      </c>
      <c r="CY38">
        <f t="shared" si="50"/>
        <v>0</v>
      </c>
      <c r="CZ38">
        <f t="shared" si="51"/>
        <v>0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s">
        <v>3</v>
      </c>
      <c r="DJ38" t="s">
        <v>3</v>
      </c>
      <c r="DK38" t="s">
        <v>3</v>
      </c>
      <c r="DL38" t="s">
        <v>3</v>
      </c>
      <c r="DM38" t="s">
        <v>3</v>
      </c>
      <c r="DN38">
        <v>112</v>
      </c>
      <c r="DO38">
        <v>70</v>
      </c>
      <c r="DP38">
        <v>1</v>
      </c>
      <c r="DQ38">
        <v>1</v>
      </c>
      <c r="DU38">
        <v>1003</v>
      </c>
      <c r="DV38" t="s">
        <v>66</v>
      </c>
      <c r="DW38" t="s">
        <v>66</v>
      </c>
      <c r="DX38">
        <v>1</v>
      </c>
      <c r="EE38">
        <v>43771852</v>
      </c>
      <c r="EF38">
        <v>30</v>
      </c>
      <c r="EG38" t="s">
        <v>22</v>
      </c>
      <c r="EH38">
        <v>0</v>
      </c>
      <c r="EI38" t="s">
        <v>3</v>
      </c>
      <c r="EJ38">
        <v>1</v>
      </c>
      <c r="EK38">
        <v>1561</v>
      </c>
      <c r="EL38" t="s">
        <v>73</v>
      </c>
      <c r="EM38" t="s">
        <v>74</v>
      </c>
      <c r="EO38" t="s">
        <v>3</v>
      </c>
      <c r="EQ38">
        <v>0</v>
      </c>
      <c r="ER38">
        <v>10.35</v>
      </c>
      <c r="ES38">
        <v>10.35</v>
      </c>
      <c r="ET38">
        <v>0</v>
      </c>
      <c r="EU38">
        <v>0</v>
      </c>
      <c r="EV38">
        <v>0</v>
      </c>
      <c r="EW38">
        <v>0</v>
      </c>
      <c r="EX38">
        <v>0</v>
      </c>
      <c r="FQ38">
        <v>0</v>
      </c>
      <c r="FR38">
        <f t="shared" si="52"/>
        <v>0</v>
      </c>
      <c r="FS38">
        <v>0</v>
      </c>
      <c r="FX38">
        <v>112</v>
      </c>
      <c r="FY38">
        <v>70</v>
      </c>
      <c r="GA38" t="s">
        <v>3</v>
      </c>
      <c r="GD38">
        <v>0</v>
      </c>
      <c r="GF38">
        <v>1708548343</v>
      </c>
      <c r="GG38">
        <v>2</v>
      </c>
      <c r="GH38">
        <v>1</v>
      </c>
      <c r="GI38">
        <v>2</v>
      </c>
      <c r="GJ38">
        <v>0</v>
      </c>
      <c r="GK38">
        <f>ROUND(R38*(R12)/100,2)</f>
        <v>0</v>
      </c>
      <c r="GL38">
        <f t="shared" si="53"/>
        <v>0</v>
      </c>
      <c r="GM38">
        <f t="shared" si="54"/>
        <v>3331.44</v>
      </c>
      <c r="GN38">
        <f t="shared" si="55"/>
        <v>3331.44</v>
      </c>
      <c r="GO38">
        <f t="shared" si="56"/>
        <v>0</v>
      </c>
      <c r="GP38">
        <f t="shared" si="57"/>
        <v>0</v>
      </c>
      <c r="GR38">
        <v>0</v>
      </c>
      <c r="GS38">
        <v>3</v>
      </c>
      <c r="GT38">
        <v>0</v>
      </c>
      <c r="GU38" t="s">
        <v>3</v>
      </c>
      <c r="GV38">
        <f t="shared" si="58"/>
        <v>0</v>
      </c>
      <c r="GW38">
        <v>1</v>
      </c>
      <c r="GX38">
        <f t="shared" si="59"/>
        <v>0</v>
      </c>
      <c r="HA38">
        <v>0</v>
      </c>
      <c r="HB38">
        <v>0</v>
      </c>
      <c r="HC38">
        <f t="shared" si="60"/>
        <v>0</v>
      </c>
      <c r="IK38">
        <v>0</v>
      </c>
    </row>
    <row r="39" spans="1:245" x14ac:dyDescent="0.2">
      <c r="A39">
        <v>17</v>
      </c>
      <c r="B39">
        <v>1</v>
      </c>
      <c r="C39">
        <f>ROW(SmtRes!A20)</f>
        <v>20</v>
      </c>
      <c r="D39">
        <f>ROW(EtalonRes!A15)</f>
        <v>15</v>
      </c>
      <c r="E39" t="s">
        <v>79</v>
      </c>
      <c r="F39" t="s">
        <v>80</v>
      </c>
      <c r="G39" t="s">
        <v>81</v>
      </c>
      <c r="H39" t="s">
        <v>82</v>
      </c>
      <c r="I39">
        <f>ROUND(50/100,9)</f>
        <v>0.5</v>
      </c>
      <c r="J39">
        <v>0</v>
      </c>
      <c r="O39">
        <f t="shared" si="21"/>
        <v>1122.1300000000001</v>
      </c>
      <c r="P39">
        <f t="shared" si="22"/>
        <v>41.65</v>
      </c>
      <c r="Q39">
        <f t="shared" si="23"/>
        <v>16.350000000000001</v>
      </c>
      <c r="R39">
        <f t="shared" si="24"/>
        <v>9.58</v>
      </c>
      <c r="S39">
        <f t="shared" si="25"/>
        <v>1064.1300000000001</v>
      </c>
      <c r="T39">
        <f t="shared" si="26"/>
        <v>0</v>
      </c>
      <c r="U39">
        <f t="shared" si="27"/>
        <v>3.605</v>
      </c>
      <c r="V39">
        <f t="shared" si="28"/>
        <v>0</v>
      </c>
      <c r="W39">
        <f t="shared" si="29"/>
        <v>0</v>
      </c>
      <c r="X39">
        <f t="shared" si="30"/>
        <v>957.72</v>
      </c>
      <c r="Y39">
        <f t="shared" si="31"/>
        <v>457.58</v>
      </c>
      <c r="AA39">
        <v>44002026</v>
      </c>
      <c r="AB39">
        <f t="shared" si="32"/>
        <v>107.48</v>
      </c>
      <c r="AC39">
        <f t="shared" si="33"/>
        <v>15.19</v>
      </c>
      <c r="AD39">
        <f t="shared" si="34"/>
        <v>3.39</v>
      </c>
      <c r="AE39">
        <f t="shared" si="35"/>
        <v>0.79</v>
      </c>
      <c r="AF39">
        <f t="shared" si="36"/>
        <v>88.9</v>
      </c>
      <c r="AG39">
        <f t="shared" si="37"/>
        <v>0</v>
      </c>
      <c r="AH39">
        <f t="shared" si="38"/>
        <v>7.21</v>
      </c>
      <c r="AI39">
        <f t="shared" si="39"/>
        <v>0</v>
      </c>
      <c r="AJ39">
        <f t="shared" si="40"/>
        <v>0</v>
      </c>
      <c r="AK39">
        <v>107.48</v>
      </c>
      <c r="AL39">
        <v>15.19</v>
      </c>
      <c r="AM39">
        <v>3.39</v>
      </c>
      <c r="AN39">
        <v>0.79</v>
      </c>
      <c r="AO39">
        <v>88.9</v>
      </c>
      <c r="AP39">
        <v>0</v>
      </c>
      <c r="AQ39">
        <v>7.21</v>
      </c>
      <c r="AR39">
        <v>0</v>
      </c>
      <c r="AS39">
        <v>0</v>
      </c>
      <c r="AT39">
        <v>90</v>
      </c>
      <c r="AU39">
        <v>43</v>
      </c>
      <c r="AV39">
        <v>1</v>
      </c>
      <c r="AW39">
        <v>1</v>
      </c>
      <c r="AZ39">
        <v>1</v>
      </c>
      <c r="BA39">
        <v>23.94</v>
      </c>
      <c r="BB39">
        <v>9.6199999999999992</v>
      </c>
      <c r="BC39">
        <v>5.48</v>
      </c>
      <c r="BD39" t="s">
        <v>3</v>
      </c>
      <c r="BE39" t="s">
        <v>3</v>
      </c>
      <c r="BF39" t="s">
        <v>3</v>
      </c>
      <c r="BG39" t="s">
        <v>3</v>
      </c>
      <c r="BH39">
        <v>0</v>
      </c>
      <c r="BI39">
        <v>2</v>
      </c>
      <c r="BJ39" t="s">
        <v>83</v>
      </c>
      <c r="BM39">
        <v>331</v>
      </c>
      <c r="BN39">
        <v>0</v>
      </c>
      <c r="BO39" t="s">
        <v>80</v>
      </c>
      <c r="BP39">
        <v>1</v>
      </c>
      <c r="BQ39">
        <v>40</v>
      </c>
      <c r="BR39">
        <v>0</v>
      </c>
      <c r="BS39">
        <v>23.94</v>
      </c>
      <c r="BT39">
        <v>1</v>
      </c>
      <c r="BU39">
        <v>1</v>
      </c>
      <c r="BV39">
        <v>1</v>
      </c>
      <c r="BW39">
        <v>1</v>
      </c>
      <c r="BX39">
        <v>1</v>
      </c>
      <c r="BY39" t="s">
        <v>3</v>
      </c>
      <c r="BZ39">
        <v>90</v>
      </c>
      <c r="CA39">
        <v>43</v>
      </c>
      <c r="CE39">
        <v>30</v>
      </c>
      <c r="CF39">
        <v>0</v>
      </c>
      <c r="CG39">
        <v>0</v>
      </c>
      <c r="CM39">
        <v>0</v>
      </c>
      <c r="CN39" t="s">
        <v>3</v>
      </c>
      <c r="CO39">
        <v>0</v>
      </c>
      <c r="CP39">
        <f t="shared" si="41"/>
        <v>1122.1300000000001</v>
      </c>
      <c r="CQ39">
        <f t="shared" si="42"/>
        <v>83.24</v>
      </c>
      <c r="CR39">
        <f t="shared" si="43"/>
        <v>32.61</v>
      </c>
      <c r="CS39">
        <f t="shared" si="44"/>
        <v>18.91</v>
      </c>
      <c r="CT39">
        <f t="shared" si="45"/>
        <v>2128.27</v>
      </c>
      <c r="CU39">
        <f t="shared" si="46"/>
        <v>0</v>
      </c>
      <c r="CV39">
        <f t="shared" si="47"/>
        <v>7.21</v>
      </c>
      <c r="CW39">
        <f t="shared" si="48"/>
        <v>0</v>
      </c>
      <c r="CX39">
        <f t="shared" si="49"/>
        <v>0</v>
      </c>
      <c r="CY39">
        <f t="shared" si="50"/>
        <v>957.7170000000001</v>
      </c>
      <c r="CZ39">
        <f t="shared" si="51"/>
        <v>457.57590000000005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s">
        <v>3</v>
      </c>
      <c r="DJ39" t="s">
        <v>3</v>
      </c>
      <c r="DK39" t="s">
        <v>3</v>
      </c>
      <c r="DL39" t="s">
        <v>3</v>
      </c>
      <c r="DM39" t="s">
        <v>3</v>
      </c>
      <c r="DN39">
        <v>112</v>
      </c>
      <c r="DO39">
        <v>70</v>
      </c>
      <c r="DP39">
        <v>1</v>
      </c>
      <c r="DQ39">
        <v>1</v>
      </c>
      <c r="DU39">
        <v>1003</v>
      </c>
      <c r="DV39" t="s">
        <v>82</v>
      </c>
      <c r="DW39" t="s">
        <v>82</v>
      </c>
      <c r="DX39">
        <v>100</v>
      </c>
      <c r="EE39">
        <v>43770622</v>
      </c>
      <c r="EF39">
        <v>40</v>
      </c>
      <c r="EG39" t="s">
        <v>42</v>
      </c>
      <c r="EH39">
        <v>0</v>
      </c>
      <c r="EI39" t="s">
        <v>3</v>
      </c>
      <c r="EJ39">
        <v>2</v>
      </c>
      <c r="EK39">
        <v>331</v>
      </c>
      <c r="EL39" t="s">
        <v>84</v>
      </c>
      <c r="EM39" t="s">
        <v>85</v>
      </c>
      <c r="EO39" t="s">
        <v>3</v>
      </c>
      <c r="EQ39">
        <v>131072</v>
      </c>
      <c r="ER39">
        <v>107.48</v>
      </c>
      <c r="ES39">
        <v>15.19</v>
      </c>
      <c r="ET39">
        <v>3.39</v>
      </c>
      <c r="EU39">
        <v>0.79</v>
      </c>
      <c r="EV39">
        <v>88.9</v>
      </c>
      <c r="EW39">
        <v>7.21</v>
      </c>
      <c r="EX39">
        <v>0</v>
      </c>
      <c r="EY39">
        <v>0</v>
      </c>
      <c r="FQ39">
        <v>0</v>
      </c>
      <c r="FR39">
        <f t="shared" si="52"/>
        <v>0</v>
      </c>
      <c r="FS39">
        <v>0</v>
      </c>
      <c r="FX39">
        <v>112</v>
      </c>
      <c r="FY39">
        <v>70</v>
      </c>
      <c r="GA39" t="s">
        <v>3</v>
      </c>
      <c r="GD39">
        <v>0</v>
      </c>
      <c r="GF39">
        <v>2050499607</v>
      </c>
      <c r="GG39">
        <v>2</v>
      </c>
      <c r="GH39">
        <v>1</v>
      </c>
      <c r="GI39">
        <v>2</v>
      </c>
      <c r="GJ39">
        <v>0</v>
      </c>
      <c r="GK39">
        <f>ROUND(R39*(R12)/100,2)</f>
        <v>15.04</v>
      </c>
      <c r="GL39">
        <f t="shared" si="53"/>
        <v>0</v>
      </c>
      <c r="GM39">
        <f t="shared" si="54"/>
        <v>2552.4699999999998</v>
      </c>
      <c r="GN39">
        <f t="shared" si="55"/>
        <v>0</v>
      </c>
      <c r="GO39">
        <f t="shared" si="56"/>
        <v>2552.4699999999998</v>
      </c>
      <c r="GP39">
        <f t="shared" si="57"/>
        <v>0</v>
      </c>
      <c r="GR39">
        <v>0</v>
      </c>
      <c r="GS39">
        <v>3</v>
      </c>
      <c r="GT39">
        <v>0</v>
      </c>
      <c r="GU39" t="s">
        <v>3</v>
      </c>
      <c r="GV39">
        <f t="shared" si="58"/>
        <v>0</v>
      </c>
      <c r="GW39">
        <v>1</v>
      </c>
      <c r="GX39">
        <f t="shared" si="59"/>
        <v>0</v>
      </c>
      <c r="HA39">
        <v>0</v>
      </c>
      <c r="HB39">
        <v>0</v>
      </c>
      <c r="HC39">
        <f t="shared" si="60"/>
        <v>0</v>
      </c>
      <c r="IK39">
        <v>0</v>
      </c>
    </row>
    <row r="40" spans="1:245" x14ac:dyDescent="0.2">
      <c r="A40">
        <v>18</v>
      </c>
      <c r="B40">
        <v>1</v>
      </c>
      <c r="C40">
        <v>20</v>
      </c>
      <c r="E40" t="s">
        <v>86</v>
      </c>
      <c r="F40" t="s">
        <v>60</v>
      </c>
      <c r="G40" t="s">
        <v>61</v>
      </c>
      <c r="H40" t="s">
        <v>57</v>
      </c>
      <c r="I40">
        <f>I39*J40</f>
        <v>5.0999999999999997E-2</v>
      </c>
      <c r="J40">
        <v>0.10199999999999999</v>
      </c>
      <c r="O40">
        <f t="shared" si="21"/>
        <v>4307.4799999999996</v>
      </c>
      <c r="P40">
        <f t="shared" si="22"/>
        <v>4307.4799999999996</v>
      </c>
      <c r="Q40">
        <f t="shared" si="23"/>
        <v>0</v>
      </c>
      <c r="R40">
        <f t="shared" si="24"/>
        <v>0</v>
      </c>
      <c r="S40">
        <f t="shared" si="25"/>
        <v>0</v>
      </c>
      <c r="T40">
        <f t="shared" si="26"/>
        <v>0</v>
      </c>
      <c r="U40">
        <f t="shared" si="27"/>
        <v>0</v>
      </c>
      <c r="V40">
        <f t="shared" si="28"/>
        <v>0</v>
      </c>
      <c r="W40">
        <f t="shared" si="29"/>
        <v>0</v>
      </c>
      <c r="X40">
        <f t="shared" si="30"/>
        <v>0</v>
      </c>
      <c r="Y40">
        <f t="shared" si="31"/>
        <v>0</v>
      </c>
      <c r="AA40">
        <v>44002026</v>
      </c>
      <c r="AB40">
        <f t="shared" si="32"/>
        <v>28826.09</v>
      </c>
      <c r="AC40">
        <f t="shared" si="33"/>
        <v>28826.09</v>
      </c>
      <c r="AD40">
        <f t="shared" si="34"/>
        <v>0</v>
      </c>
      <c r="AE40">
        <f t="shared" si="35"/>
        <v>0</v>
      </c>
      <c r="AF40">
        <f t="shared" si="36"/>
        <v>0</v>
      </c>
      <c r="AG40">
        <f t="shared" si="37"/>
        <v>0</v>
      </c>
      <c r="AH40">
        <f t="shared" si="38"/>
        <v>0</v>
      </c>
      <c r="AI40">
        <f t="shared" si="39"/>
        <v>0</v>
      </c>
      <c r="AJ40">
        <f t="shared" si="40"/>
        <v>0</v>
      </c>
      <c r="AK40">
        <v>28826.09</v>
      </c>
      <c r="AL40">
        <v>28826.09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Z40">
        <v>1</v>
      </c>
      <c r="BA40">
        <v>1</v>
      </c>
      <c r="BB40">
        <v>1</v>
      </c>
      <c r="BC40">
        <v>2.93</v>
      </c>
      <c r="BD40" t="s">
        <v>3</v>
      </c>
      <c r="BE40" t="s">
        <v>3</v>
      </c>
      <c r="BF40" t="s">
        <v>3</v>
      </c>
      <c r="BG40" t="s">
        <v>3</v>
      </c>
      <c r="BH40">
        <v>3</v>
      </c>
      <c r="BI40">
        <v>2</v>
      </c>
      <c r="BJ40" t="s">
        <v>62</v>
      </c>
      <c r="BM40">
        <v>331</v>
      </c>
      <c r="BN40">
        <v>0</v>
      </c>
      <c r="BO40" t="s">
        <v>60</v>
      </c>
      <c r="BP40">
        <v>1</v>
      </c>
      <c r="BQ40">
        <v>40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 t="s">
        <v>3</v>
      </c>
      <c r="BZ40">
        <v>0</v>
      </c>
      <c r="CA40">
        <v>0</v>
      </c>
      <c r="CE40">
        <v>30</v>
      </c>
      <c r="CF40">
        <v>0</v>
      </c>
      <c r="CG40">
        <v>0</v>
      </c>
      <c r="CM40">
        <v>0</v>
      </c>
      <c r="CN40" t="s">
        <v>3</v>
      </c>
      <c r="CO40">
        <v>0</v>
      </c>
      <c r="CP40">
        <f t="shared" si="41"/>
        <v>4307.4799999999996</v>
      </c>
      <c r="CQ40">
        <f t="shared" si="42"/>
        <v>84460.44</v>
      </c>
      <c r="CR40">
        <f t="shared" si="43"/>
        <v>0</v>
      </c>
      <c r="CS40">
        <f t="shared" si="44"/>
        <v>0</v>
      </c>
      <c r="CT40">
        <f t="shared" si="45"/>
        <v>0</v>
      </c>
      <c r="CU40">
        <f t="shared" si="46"/>
        <v>0</v>
      </c>
      <c r="CV40">
        <f t="shared" si="47"/>
        <v>0</v>
      </c>
      <c r="CW40">
        <f t="shared" si="48"/>
        <v>0</v>
      </c>
      <c r="CX40">
        <f t="shared" si="49"/>
        <v>0</v>
      </c>
      <c r="CY40">
        <f t="shared" si="50"/>
        <v>0</v>
      </c>
      <c r="CZ40">
        <f t="shared" si="51"/>
        <v>0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s">
        <v>3</v>
      </c>
      <c r="DJ40" t="s">
        <v>3</v>
      </c>
      <c r="DK40" t="s">
        <v>3</v>
      </c>
      <c r="DL40" t="s">
        <v>3</v>
      </c>
      <c r="DM40" t="s">
        <v>3</v>
      </c>
      <c r="DN40">
        <v>112</v>
      </c>
      <c r="DO40">
        <v>70</v>
      </c>
      <c r="DP40">
        <v>1</v>
      </c>
      <c r="DQ40">
        <v>1</v>
      </c>
      <c r="DU40">
        <v>1003</v>
      </c>
      <c r="DV40" t="s">
        <v>57</v>
      </c>
      <c r="DW40" t="s">
        <v>57</v>
      </c>
      <c r="DX40">
        <v>1000</v>
      </c>
      <c r="EE40">
        <v>43770622</v>
      </c>
      <c r="EF40">
        <v>40</v>
      </c>
      <c r="EG40" t="s">
        <v>42</v>
      </c>
      <c r="EH40">
        <v>0</v>
      </c>
      <c r="EI40" t="s">
        <v>3</v>
      </c>
      <c r="EJ40">
        <v>2</v>
      </c>
      <c r="EK40">
        <v>331</v>
      </c>
      <c r="EL40" t="s">
        <v>84</v>
      </c>
      <c r="EM40" t="s">
        <v>85</v>
      </c>
      <c r="EO40" t="s">
        <v>3</v>
      </c>
      <c r="EQ40">
        <v>0</v>
      </c>
      <c r="ER40">
        <v>28826.09</v>
      </c>
      <c r="ES40">
        <v>28826.09</v>
      </c>
      <c r="ET40">
        <v>0</v>
      </c>
      <c r="EU40">
        <v>0</v>
      </c>
      <c r="EV40">
        <v>0</v>
      </c>
      <c r="EW40">
        <v>0</v>
      </c>
      <c r="EX40">
        <v>0</v>
      </c>
      <c r="FQ40">
        <v>0</v>
      </c>
      <c r="FR40">
        <f t="shared" si="52"/>
        <v>0</v>
      </c>
      <c r="FS40">
        <v>0</v>
      </c>
      <c r="FX40">
        <v>112</v>
      </c>
      <c r="FY40">
        <v>70</v>
      </c>
      <c r="GA40" t="s">
        <v>3</v>
      </c>
      <c r="GD40">
        <v>0</v>
      </c>
      <c r="GF40">
        <v>-335072208</v>
      </c>
      <c r="GG40">
        <v>2</v>
      </c>
      <c r="GH40">
        <v>1</v>
      </c>
      <c r="GI40">
        <v>2</v>
      </c>
      <c r="GJ40">
        <v>0</v>
      </c>
      <c r="GK40">
        <f>ROUND(R40*(R12)/100,2)</f>
        <v>0</v>
      </c>
      <c r="GL40">
        <f t="shared" si="53"/>
        <v>0</v>
      </c>
      <c r="GM40">
        <f t="shared" si="54"/>
        <v>4307.4799999999996</v>
      </c>
      <c r="GN40">
        <f t="shared" si="55"/>
        <v>0</v>
      </c>
      <c r="GO40">
        <f t="shared" si="56"/>
        <v>4307.4799999999996</v>
      </c>
      <c r="GP40">
        <f t="shared" si="57"/>
        <v>0</v>
      </c>
      <c r="GR40">
        <v>0</v>
      </c>
      <c r="GS40">
        <v>3</v>
      </c>
      <c r="GT40">
        <v>0</v>
      </c>
      <c r="GU40" t="s">
        <v>3</v>
      </c>
      <c r="GV40">
        <f t="shared" si="58"/>
        <v>0</v>
      </c>
      <c r="GW40">
        <v>1</v>
      </c>
      <c r="GX40">
        <f t="shared" si="59"/>
        <v>0</v>
      </c>
      <c r="HA40">
        <v>0</v>
      </c>
      <c r="HB40">
        <v>0</v>
      </c>
      <c r="HC40">
        <f t="shared" si="60"/>
        <v>0</v>
      </c>
      <c r="IK40">
        <v>0</v>
      </c>
    </row>
    <row r="41" spans="1:245" x14ac:dyDescent="0.2">
      <c r="A41">
        <v>17</v>
      </c>
      <c r="B41">
        <v>1</v>
      </c>
      <c r="C41">
        <f>ROW(SmtRes!A21)</f>
        <v>21</v>
      </c>
      <c r="D41">
        <f>ROW(EtalonRes!A16)</f>
        <v>16</v>
      </c>
      <c r="E41" t="s">
        <v>87</v>
      </c>
      <c r="F41" t="s">
        <v>88</v>
      </c>
      <c r="G41" t="s">
        <v>89</v>
      </c>
      <c r="H41" t="s">
        <v>20</v>
      </c>
      <c r="I41">
        <f>ROUND(294/100,9)</f>
        <v>2.94</v>
      </c>
      <c r="J41">
        <v>0</v>
      </c>
      <c r="O41">
        <f t="shared" si="21"/>
        <v>2428.41</v>
      </c>
      <c r="P41">
        <f t="shared" si="22"/>
        <v>0</v>
      </c>
      <c r="Q41">
        <f t="shared" si="23"/>
        <v>2428.41</v>
      </c>
      <c r="R41">
        <f t="shared" si="24"/>
        <v>1396.42</v>
      </c>
      <c r="S41">
        <f t="shared" si="25"/>
        <v>0</v>
      </c>
      <c r="T41">
        <f t="shared" si="26"/>
        <v>0</v>
      </c>
      <c r="U41">
        <f t="shared" si="27"/>
        <v>0</v>
      </c>
      <c r="V41">
        <f t="shared" si="28"/>
        <v>0</v>
      </c>
      <c r="W41">
        <f t="shared" si="29"/>
        <v>0</v>
      </c>
      <c r="X41">
        <f t="shared" si="30"/>
        <v>0</v>
      </c>
      <c r="Y41">
        <f t="shared" si="31"/>
        <v>0</v>
      </c>
      <c r="AA41">
        <v>44002026</v>
      </c>
      <c r="AB41">
        <f t="shared" si="32"/>
        <v>84.89</v>
      </c>
      <c r="AC41">
        <f t="shared" si="33"/>
        <v>0</v>
      </c>
      <c r="AD41">
        <f t="shared" si="34"/>
        <v>84.89</v>
      </c>
      <c r="AE41">
        <f t="shared" si="35"/>
        <v>19.84</v>
      </c>
      <c r="AF41">
        <f t="shared" si="36"/>
        <v>0</v>
      </c>
      <c r="AG41">
        <f t="shared" si="37"/>
        <v>0</v>
      </c>
      <c r="AH41">
        <f t="shared" si="38"/>
        <v>0</v>
      </c>
      <c r="AI41">
        <f t="shared" si="39"/>
        <v>0</v>
      </c>
      <c r="AJ41">
        <f t="shared" si="40"/>
        <v>0</v>
      </c>
      <c r="AK41">
        <v>84.89</v>
      </c>
      <c r="AL41">
        <v>0</v>
      </c>
      <c r="AM41">
        <v>84.89</v>
      </c>
      <c r="AN41">
        <v>19.84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92</v>
      </c>
      <c r="AU41">
        <v>50</v>
      </c>
      <c r="AV41">
        <v>1</v>
      </c>
      <c r="AW41">
        <v>1</v>
      </c>
      <c r="AZ41">
        <v>1</v>
      </c>
      <c r="BA41">
        <v>23.94</v>
      </c>
      <c r="BB41">
        <v>9.73</v>
      </c>
      <c r="BC41">
        <v>1</v>
      </c>
      <c r="BD41" t="s">
        <v>3</v>
      </c>
      <c r="BE41" t="s">
        <v>3</v>
      </c>
      <c r="BF41" t="s">
        <v>3</v>
      </c>
      <c r="BG41" t="s">
        <v>3</v>
      </c>
      <c r="BH41">
        <v>0</v>
      </c>
      <c r="BI41">
        <v>1</v>
      </c>
      <c r="BJ41" t="s">
        <v>90</v>
      </c>
      <c r="BM41">
        <v>5</v>
      </c>
      <c r="BN41">
        <v>0</v>
      </c>
      <c r="BO41" t="s">
        <v>88</v>
      </c>
      <c r="BP41">
        <v>1</v>
      </c>
      <c r="BQ41">
        <v>30</v>
      </c>
      <c r="BR41">
        <v>0</v>
      </c>
      <c r="BS41">
        <v>23.94</v>
      </c>
      <c r="BT41">
        <v>1</v>
      </c>
      <c r="BU41">
        <v>1</v>
      </c>
      <c r="BV41">
        <v>1</v>
      </c>
      <c r="BW41">
        <v>1</v>
      </c>
      <c r="BX41">
        <v>1</v>
      </c>
      <c r="BY41" t="s">
        <v>3</v>
      </c>
      <c r="BZ41">
        <v>92</v>
      </c>
      <c r="CA41">
        <v>50</v>
      </c>
      <c r="CE41">
        <v>30</v>
      </c>
      <c r="CF41">
        <v>0</v>
      </c>
      <c r="CG41">
        <v>0</v>
      </c>
      <c r="CM41">
        <v>0</v>
      </c>
      <c r="CN41" t="s">
        <v>3</v>
      </c>
      <c r="CO41">
        <v>0</v>
      </c>
      <c r="CP41">
        <f t="shared" si="41"/>
        <v>2428.41</v>
      </c>
      <c r="CQ41">
        <f t="shared" si="42"/>
        <v>0</v>
      </c>
      <c r="CR41">
        <f t="shared" si="43"/>
        <v>825.98</v>
      </c>
      <c r="CS41">
        <f t="shared" si="44"/>
        <v>474.97</v>
      </c>
      <c r="CT41">
        <f t="shared" si="45"/>
        <v>0</v>
      </c>
      <c r="CU41">
        <f t="shared" si="46"/>
        <v>0</v>
      </c>
      <c r="CV41">
        <f t="shared" si="47"/>
        <v>0</v>
      </c>
      <c r="CW41">
        <f t="shared" si="48"/>
        <v>0</v>
      </c>
      <c r="CX41">
        <f t="shared" si="49"/>
        <v>0</v>
      </c>
      <c r="CY41">
        <f t="shared" si="50"/>
        <v>0</v>
      </c>
      <c r="CZ41">
        <f t="shared" si="51"/>
        <v>0</v>
      </c>
      <c r="DC41" t="s">
        <v>3</v>
      </c>
      <c r="DD41" t="s">
        <v>3</v>
      </c>
      <c r="DE41" t="s">
        <v>3</v>
      </c>
      <c r="DF41" t="s">
        <v>3</v>
      </c>
      <c r="DG41" t="s">
        <v>3</v>
      </c>
      <c r="DH41" t="s">
        <v>3</v>
      </c>
      <c r="DI41" t="s">
        <v>3</v>
      </c>
      <c r="DJ41" t="s">
        <v>3</v>
      </c>
      <c r="DK41" t="s">
        <v>3</v>
      </c>
      <c r="DL41" t="s">
        <v>3</v>
      </c>
      <c r="DM41" t="s">
        <v>3</v>
      </c>
      <c r="DN41">
        <v>98</v>
      </c>
      <c r="DO41">
        <v>77</v>
      </c>
      <c r="DP41">
        <v>1</v>
      </c>
      <c r="DQ41">
        <v>1</v>
      </c>
      <c r="DU41">
        <v>1013</v>
      </c>
      <c r="DV41" t="s">
        <v>20</v>
      </c>
      <c r="DW41" t="s">
        <v>20</v>
      </c>
      <c r="DX41">
        <v>1</v>
      </c>
      <c r="EE41">
        <v>43770340</v>
      </c>
      <c r="EF41">
        <v>30</v>
      </c>
      <c r="EG41" t="s">
        <v>22</v>
      </c>
      <c r="EH41">
        <v>0</v>
      </c>
      <c r="EI41" t="s">
        <v>3</v>
      </c>
      <c r="EJ41">
        <v>1</v>
      </c>
      <c r="EK41">
        <v>5</v>
      </c>
      <c r="EL41" t="s">
        <v>91</v>
      </c>
      <c r="EM41" t="s">
        <v>92</v>
      </c>
      <c r="EO41" t="s">
        <v>3</v>
      </c>
      <c r="EQ41">
        <v>131072</v>
      </c>
      <c r="ER41">
        <v>84.89</v>
      </c>
      <c r="ES41">
        <v>0</v>
      </c>
      <c r="ET41">
        <v>84.89</v>
      </c>
      <c r="EU41">
        <v>19.84</v>
      </c>
      <c r="EV41">
        <v>0</v>
      </c>
      <c r="EW41">
        <v>0</v>
      </c>
      <c r="EX41">
        <v>0</v>
      </c>
      <c r="EY41">
        <v>0</v>
      </c>
      <c r="FQ41">
        <v>0</v>
      </c>
      <c r="FR41">
        <f t="shared" si="52"/>
        <v>0</v>
      </c>
      <c r="FS41">
        <v>0</v>
      </c>
      <c r="FX41">
        <v>98</v>
      </c>
      <c r="FY41">
        <v>77</v>
      </c>
      <c r="GA41" t="s">
        <v>3</v>
      </c>
      <c r="GD41">
        <v>0</v>
      </c>
      <c r="GF41">
        <v>323187003</v>
      </c>
      <c r="GG41">
        <v>2</v>
      </c>
      <c r="GH41">
        <v>1</v>
      </c>
      <c r="GI41">
        <v>2</v>
      </c>
      <c r="GJ41">
        <v>0</v>
      </c>
      <c r="GK41">
        <f>ROUND(R41*(R12)/100,2)</f>
        <v>2192.38</v>
      </c>
      <c r="GL41">
        <f t="shared" si="53"/>
        <v>0</v>
      </c>
      <c r="GM41">
        <f t="shared" si="54"/>
        <v>4620.79</v>
      </c>
      <c r="GN41">
        <f t="shared" si="55"/>
        <v>4620.79</v>
      </c>
      <c r="GO41">
        <f t="shared" si="56"/>
        <v>0</v>
      </c>
      <c r="GP41">
        <f t="shared" si="57"/>
        <v>0</v>
      </c>
      <c r="GR41">
        <v>0</v>
      </c>
      <c r="GS41">
        <v>3</v>
      </c>
      <c r="GT41">
        <v>0</v>
      </c>
      <c r="GU41" t="s">
        <v>3</v>
      </c>
      <c r="GV41">
        <f t="shared" si="58"/>
        <v>0</v>
      </c>
      <c r="GW41">
        <v>1</v>
      </c>
      <c r="GX41">
        <f t="shared" si="59"/>
        <v>0</v>
      </c>
      <c r="HA41">
        <v>0</v>
      </c>
      <c r="HB41">
        <v>0</v>
      </c>
      <c r="HC41">
        <f t="shared" si="60"/>
        <v>0</v>
      </c>
      <c r="IK41">
        <v>0</v>
      </c>
    </row>
    <row r="42" spans="1:245" x14ac:dyDescent="0.2">
      <c r="A42">
        <v>17</v>
      </c>
      <c r="B42">
        <v>1</v>
      </c>
      <c r="C42">
        <f>ROW(SmtRes!A22)</f>
        <v>22</v>
      </c>
      <c r="D42">
        <f>ROW(EtalonRes!A17)</f>
        <v>17</v>
      </c>
      <c r="E42" t="s">
        <v>93</v>
      </c>
      <c r="F42" t="s">
        <v>94</v>
      </c>
      <c r="G42" t="s">
        <v>95</v>
      </c>
      <c r="H42" t="s">
        <v>20</v>
      </c>
      <c r="I42">
        <f>ROUND(32.7/100,9)</f>
        <v>0.32700000000000001</v>
      </c>
      <c r="J42">
        <v>0</v>
      </c>
      <c r="O42">
        <f t="shared" si="21"/>
        <v>8228.66</v>
      </c>
      <c r="P42">
        <f t="shared" si="22"/>
        <v>0</v>
      </c>
      <c r="Q42">
        <f t="shared" si="23"/>
        <v>0</v>
      </c>
      <c r="R42">
        <f t="shared" si="24"/>
        <v>0</v>
      </c>
      <c r="S42">
        <f t="shared" si="25"/>
        <v>8228.66</v>
      </c>
      <c r="T42">
        <f t="shared" si="26"/>
        <v>0</v>
      </c>
      <c r="U42">
        <f t="shared" si="27"/>
        <v>35.002080000000007</v>
      </c>
      <c r="V42">
        <f t="shared" si="28"/>
        <v>0</v>
      </c>
      <c r="W42">
        <f t="shared" si="29"/>
        <v>0</v>
      </c>
      <c r="X42">
        <f t="shared" si="30"/>
        <v>6994.36</v>
      </c>
      <c r="Y42">
        <f t="shared" si="31"/>
        <v>3373.75</v>
      </c>
      <c r="AA42">
        <v>44002026</v>
      </c>
      <c r="AB42">
        <f t="shared" si="32"/>
        <v>1051.1300000000001</v>
      </c>
      <c r="AC42">
        <f t="shared" si="33"/>
        <v>0</v>
      </c>
      <c r="AD42">
        <f t="shared" si="34"/>
        <v>0</v>
      </c>
      <c r="AE42">
        <f t="shared" si="35"/>
        <v>0</v>
      </c>
      <c r="AF42">
        <f t="shared" si="36"/>
        <v>1051.1300000000001</v>
      </c>
      <c r="AG42">
        <f t="shared" si="37"/>
        <v>0</v>
      </c>
      <c r="AH42">
        <f t="shared" si="38"/>
        <v>107.04</v>
      </c>
      <c r="AI42">
        <f t="shared" si="39"/>
        <v>0</v>
      </c>
      <c r="AJ42">
        <f t="shared" si="40"/>
        <v>0</v>
      </c>
      <c r="AK42">
        <v>1051.1300000000001</v>
      </c>
      <c r="AL42">
        <v>0</v>
      </c>
      <c r="AM42">
        <v>0</v>
      </c>
      <c r="AN42">
        <v>0</v>
      </c>
      <c r="AO42">
        <v>1051.1300000000001</v>
      </c>
      <c r="AP42">
        <v>0</v>
      </c>
      <c r="AQ42">
        <v>107.04</v>
      </c>
      <c r="AR42">
        <v>0</v>
      </c>
      <c r="AS42">
        <v>0</v>
      </c>
      <c r="AT42">
        <v>85</v>
      </c>
      <c r="AU42">
        <v>41</v>
      </c>
      <c r="AV42">
        <v>1</v>
      </c>
      <c r="AW42">
        <v>1</v>
      </c>
      <c r="AZ42">
        <v>1</v>
      </c>
      <c r="BA42">
        <v>23.94</v>
      </c>
      <c r="BB42">
        <v>1</v>
      </c>
      <c r="BC42">
        <v>1</v>
      </c>
      <c r="BD42" t="s">
        <v>3</v>
      </c>
      <c r="BE42" t="s">
        <v>3</v>
      </c>
      <c r="BF42" t="s">
        <v>3</v>
      </c>
      <c r="BG42" t="s">
        <v>3</v>
      </c>
      <c r="BH42">
        <v>0</v>
      </c>
      <c r="BI42">
        <v>1</v>
      </c>
      <c r="BJ42" t="s">
        <v>96</v>
      </c>
      <c r="BM42">
        <v>16</v>
      </c>
      <c r="BN42">
        <v>0</v>
      </c>
      <c r="BO42" t="s">
        <v>94</v>
      </c>
      <c r="BP42">
        <v>1</v>
      </c>
      <c r="BQ42">
        <v>30</v>
      </c>
      <c r="BR42">
        <v>0</v>
      </c>
      <c r="BS42">
        <v>23.94</v>
      </c>
      <c r="BT42">
        <v>1</v>
      </c>
      <c r="BU42">
        <v>1</v>
      </c>
      <c r="BV42">
        <v>1</v>
      </c>
      <c r="BW42">
        <v>1</v>
      </c>
      <c r="BX42">
        <v>1</v>
      </c>
      <c r="BY42" t="s">
        <v>3</v>
      </c>
      <c r="BZ42">
        <v>85</v>
      </c>
      <c r="CA42">
        <v>41</v>
      </c>
      <c r="CE42">
        <v>30</v>
      </c>
      <c r="CF42">
        <v>0</v>
      </c>
      <c r="CG42">
        <v>0</v>
      </c>
      <c r="CM42">
        <v>0</v>
      </c>
      <c r="CN42" t="s">
        <v>3</v>
      </c>
      <c r="CO42">
        <v>0</v>
      </c>
      <c r="CP42">
        <f t="shared" si="41"/>
        <v>8228.66</v>
      </c>
      <c r="CQ42">
        <f t="shared" si="42"/>
        <v>0</v>
      </c>
      <c r="CR42">
        <f t="shared" si="43"/>
        <v>0</v>
      </c>
      <c r="CS42">
        <f t="shared" si="44"/>
        <v>0</v>
      </c>
      <c r="CT42">
        <f t="shared" si="45"/>
        <v>25164.05</v>
      </c>
      <c r="CU42">
        <f t="shared" si="46"/>
        <v>0</v>
      </c>
      <c r="CV42">
        <f t="shared" si="47"/>
        <v>107.04</v>
      </c>
      <c r="CW42">
        <f t="shared" si="48"/>
        <v>0</v>
      </c>
      <c r="CX42">
        <f t="shared" si="49"/>
        <v>0</v>
      </c>
      <c r="CY42">
        <f t="shared" si="50"/>
        <v>6994.3609999999999</v>
      </c>
      <c r="CZ42">
        <f t="shared" si="51"/>
        <v>3373.7505999999998</v>
      </c>
      <c r="DC42" t="s">
        <v>3</v>
      </c>
      <c r="DD42" t="s">
        <v>3</v>
      </c>
      <c r="DE42" t="s">
        <v>3</v>
      </c>
      <c r="DF42" t="s">
        <v>3</v>
      </c>
      <c r="DG42" t="s">
        <v>3</v>
      </c>
      <c r="DH42" t="s">
        <v>3</v>
      </c>
      <c r="DI42" t="s">
        <v>3</v>
      </c>
      <c r="DJ42" t="s">
        <v>3</v>
      </c>
      <c r="DK42" t="s">
        <v>3</v>
      </c>
      <c r="DL42" t="s">
        <v>3</v>
      </c>
      <c r="DM42" t="s">
        <v>3</v>
      </c>
      <c r="DN42">
        <v>105</v>
      </c>
      <c r="DO42">
        <v>77</v>
      </c>
      <c r="DP42">
        <v>1</v>
      </c>
      <c r="DQ42">
        <v>1</v>
      </c>
      <c r="DU42">
        <v>1013</v>
      </c>
      <c r="DV42" t="s">
        <v>20</v>
      </c>
      <c r="DW42" t="s">
        <v>20</v>
      </c>
      <c r="DX42">
        <v>1</v>
      </c>
      <c r="EE42">
        <v>43770351</v>
      </c>
      <c r="EF42">
        <v>30</v>
      </c>
      <c r="EG42" t="s">
        <v>22</v>
      </c>
      <c r="EH42">
        <v>0</v>
      </c>
      <c r="EI42" t="s">
        <v>3</v>
      </c>
      <c r="EJ42">
        <v>1</v>
      </c>
      <c r="EK42">
        <v>16</v>
      </c>
      <c r="EL42" t="s">
        <v>97</v>
      </c>
      <c r="EM42" t="s">
        <v>98</v>
      </c>
      <c r="EO42" t="s">
        <v>3</v>
      </c>
      <c r="EQ42">
        <v>0</v>
      </c>
      <c r="ER42">
        <v>1051.1300000000001</v>
      </c>
      <c r="ES42">
        <v>0</v>
      </c>
      <c r="ET42">
        <v>0</v>
      </c>
      <c r="EU42">
        <v>0</v>
      </c>
      <c r="EV42">
        <v>1051.1300000000001</v>
      </c>
      <c r="EW42">
        <v>107.04</v>
      </c>
      <c r="EX42">
        <v>0</v>
      </c>
      <c r="EY42">
        <v>0</v>
      </c>
      <c r="FQ42">
        <v>0</v>
      </c>
      <c r="FR42">
        <f t="shared" si="52"/>
        <v>0</v>
      </c>
      <c r="FS42">
        <v>0</v>
      </c>
      <c r="FX42">
        <v>105</v>
      </c>
      <c r="FY42">
        <v>77</v>
      </c>
      <c r="GA42" t="s">
        <v>3</v>
      </c>
      <c r="GD42">
        <v>0</v>
      </c>
      <c r="GF42">
        <v>-367495180</v>
      </c>
      <c r="GG42">
        <v>2</v>
      </c>
      <c r="GH42">
        <v>1</v>
      </c>
      <c r="GI42">
        <v>2</v>
      </c>
      <c r="GJ42">
        <v>0</v>
      </c>
      <c r="GK42">
        <f>ROUND(R42*(R12)/100,2)</f>
        <v>0</v>
      </c>
      <c r="GL42">
        <f t="shared" si="53"/>
        <v>0</v>
      </c>
      <c r="GM42">
        <f t="shared" si="54"/>
        <v>18596.77</v>
      </c>
      <c r="GN42">
        <f t="shared" si="55"/>
        <v>18596.77</v>
      </c>
      <c r="GO42">
        <f t="shared" si="56"/>
        <v>0</v>
      </c>
      <c r="GP42">
        <f t="shared" si="57"/>
        <v>0</v>
      </c>
      <c r="GR42">
        <v>0</v>
      </c>
      <c r="GS42">
        <v>3</v>
      </c>
      <c r="GT42">
        <v>0</v>
      </c>
      <c r="GU42" t="s">
        <v>3</v>
      </c>
      <c r="GV42">
        <f t="shared" si="58"/>
        <v>0</v>
      </c>
      <c r="GW42">
        <v>1</v>
      </c>
      <c r="GX42">
        <f t="shared" si="59"/>
        <v>0</v>
      </c>
      <c r="HA42">
        <v>0</v>
      </c>
      <c r="HB42">
        <v>0</v>
      </c>
      <c r="HC42">
        <f t="shared" si="60"/>
        <v>0</v>
      </c>
      <c r="IK42">
        <v>0</v>
      </c>
    </row>
    <row r="43" spans="1:245" x14ac:dyDescent="0.2">
      <c r="A43">
        <v>17</v>
      </c>
      <c r="B43">
        <v>1</v>
      </c>
      <c r="C43">
        <f>ROW(SmtRes!A25)</f>
        <v>25</v>
      </c>
      <c r="D43">
        <f>ROW(EtalonRes!A20)</f>
        <v>20</v>
      </c>
      <c r="E43" t="s">
        <v>99</v>
      </c>
      <c r="F43" t="s">
        <v>100</v>
      </c>
      <c r="G43" t="s">
        <v>101</v>
      </c>
      <c r="H43" t="s">
        <v>102</v>
      </c>
      <c r="I43">
        <f>ROUND(294/100,9)</f>
        <v>2.94</v>
      </c>
      <c r="J43">
        <v>0</v>
      </c>
      <c r="O43">
        <f t="shared" si="21"/>
        <v>30706.28</v>
      </c>
      <c r="P43">
        <f t="shared" si="22"/>
        <v>0</v>
      </c>
      <c r="Q43">
        <f t="shared" si="23"/>
        <v>22208.06</v>
      </c>
      <c r="R43">
        <f t="shared" si="24"/>
        <v>13723.37</v>
      </c>
      <c r="S43">
        <f t="shared" si="25"/>
        <v>8498.2199999999993</v>
      </c>
      <c r="T43">
        <f t="shared" si="26"/>
        <v>0</v>
      </c>
      <c r="U43">
        <f t="shared" si="27"/>
        <v>31.752000000000002</v>
      </c>
      <c r="V43">
        <f t="shared" si="28"/>
        <v>0</v>
      </c>
      <c r="W43">
        <f t="shared" si="29"/>
        <v>0</v>
      </c>
      <c r="X43">
        <f t="shared" si="30"/>
        <v>7818.36</v>
      </c>
      <c r="Y43">
        <f t="shared" si="31"/>
        <v>4249.1099999999997</v>
      </c>
      <c r="AA43">
        <v>44002026</v>
      </c>
      <c r="AB43">
        <f t="shared" si="32"/>
        <v>764.71</v>
      </c>
      <c r="AC43">
        <f t="shared" si="33"/>
        <v>0</v>
      </c>
      <c r="AD43">
        <f t="shared" si="34"/>
        <v>643.97</v>
      </c>
      <c r="AE43">
        <f t="shared" si="35"/>
        <v>194.98</v>
      </c>
      <c r="AF43">
        <f t="shared" si="36"/>
        <v>120.74</v>
      </c>
      <c r="AG43">
        <f t="shared" si="37"/>
        <v>0</v>
      </c>
      <c r="AH43">
        <f t="shared" si="38"/>
        <v>10.8</v>
      </c>
      <c r="AI43">
        <f t="shared" si="39"/>
        <v>0</v>
      </c>
      <c r="AJ43">
        <f t="shared" si="40"/>
        <v>0</v>
      </c>
      <c r="AK43">
        <v>764.71</v>
      </c>
      <c r="AL43">
        <v>0</v>
      </c>
      <c r="AM43">
        <v>643.97</v>
      </c>
      <c r="AN43">
        <v>194.98</v>
      </c>
      <c r="AO43">
        <v>120.74</v>
      </c>
      <c r="AP43">
        <v>0</v>
      </c>
      <c r="AQ43">
        <v>10.8</v>
      </c>
      <c r="AR43">
        <v>0</v>
      </c>
      <c r="AS43">
        <v>0</v>
      </c>
      <c r="AT43">
        <v>92</v>
      </c>
      <c r="AU43">
        <v>50</v>
      </c>
      <c r="AV43">
        <v>1</v>
      </c>
      <c r="AW43">
        <v>1</v>
      </c>
      <c r="AZ43">
        <v>1</v>
      </c>
      <c r="BA43">
        <v>23.94</v>
      </c>
      <c r="BB43">
        <v>11.73</v>
      </c>
      <c r="BC43">
        <v>1</v>
      </c>
      <c r="BD43" t="s">
        <v>3</v>
      </c>
      <c r="BE43" t="s">
        <v>3</v>
      </c>
      <c r="BF43" t="s">
        <v>3</v>
      </c>
      <c r="BG43" t="s">
        <v>3</v>
      </c>
      <c r="BH43">
        <v>0</v>
      </c>
      <c r="BI43">
        <v>1</v>
      </c>
      <c r="BJ43" t="s">
        <v>103</v>
      </c>
      <c r="BM43">
        <v>10</v>
      </c>
      <c r="BN43">
        <v>0</v>
      </c>
      <c r="BO43" t="s">
        <v>100</v>
      </c>
      <c r="BP43">
        <v>1</v>
      </c>
      <c r="BQ43">
        <v>30</v>
      </c>
      <c r="BR43">
        <v>0</v>
      </c>
      <c r="BS43">
        <v>23.94</v>
      </c>
      <c r="BT43">
        <v>1</v>
      </c>
      <c r="BU43">
        <v>1</v>
      </c>
      <c r="BV43">
        <v>1</v>
      </c>
      <c r="BW43">
        <v>1</v>
      </c>
      <c r="BX43">
        <v>1</v>
      </c>
      <c r="BY43" t="s">
        <v>3</v>
      </c>
      <c r="BZ43">
        <v>92</v>
      </c>
      <c r="CA43">
        <v>50</v>
      </c>
      <c r="CE43">
        <v>30</v>
      </c>
      <c r="CF43">
        <v>0</v>
      </c>
      <c r="CG43">
        <v>0</v>
      </c>
      <c r="CM43">
        <v>0</v>
      </c>
      <c r="CN43" t="s">
        <v>3</v>
      </c>
      <c r="CO43">
        <v>0</v>
      </c>
      <c r="CP43">
        <f t="shared" si="41"/>
        <v>30706.28</v>
      </c>
      <c r="CQ43">
        <f t="shared" si="42"/>
        <v>0</v>
      </c>
      <c r="CR43">
        <f t="shared" si="43"/>
        <v>7553.77</v>
      </c>
      <c r="CS43">
        <f t="shared" si="44"/>
        <v>4667.82</v>
      </c>
      <c r="CT43">
        <f t="shared" si="45"/>
        <v>2890.52</v>
      </c>
      <c r="CU43">
        <f t="shared" si="46"/>
        <v>0</v>
      </c>
      <c r="CV43">
        <f t="shared" si="47"/>
        <v>10.8</v>
      </c>
      <c r="CW43">
        <f t="shared" si="48"/>
        <v>0</v>
      </c>
      <c r="CX43">
        <f t="shared" si="49"/>
        <v>0</v>
      </c>
      <c r="CY43">
        <f t="shared" si="50"/>
        <v>7818.3624</v>
      </c>
      <c r="CZ43">
        <f t="shared" si="51"/>
        <v>4249.1099999999997</v>
      </c>
      <c r="DC43" t="s">
        <v>3</v>
      </c>
      <c r="DD43" t="s">
        <v>3</v>
      </c>
      <c r="DE43" t="s">
        <v>3</v>
      </c>
      <c r="DF43" t="s">
        <v>3</v>
      </c>
      <c r="DG43" t="s">
        <v>3</v>
      </c>
      <c r="DH43" t="s">
        <v>3</v>
      </c>
      <c r="DI43" t="s">
        <v>3</v>
      </c>
      <c r="DJ43" t="s">
        <v>3</v>
      </c>
      <c r="DK43" t="s">
        <v>3</v>
      </c>
      <c r="DL43" t="s">
        <v>3</v>
      </c>
      <c r="DM43" t="s">
        <v>3</v>
      </c>
      <c r="DN43">
        <v>98</v>
      </c>
      <c r="DO43">
        <v>77</v>
      </c>
      <c r="DP43">
        <v>1</v>
      </c>
      <c r="DQ43">
        <v>1</v>
      </c>
      <c r="DU43">
        <v>1013</v>
      </c>
      <c r="DV43" t="s">
        <v>102</v>
      </c>
      <c r="DW43" t="s">
        <v>102</v>
      </c>
      <c r="DX43">
        <v>1</v>
      </c>
      <c r="EE43">
        <v>43770345</v>
      </c>
      <c r="EF43">
        <v>30</v>
      </c>
      <c r="EG43" t="s">
        <v>22</v>
      </c>
      <c r="EH43">
        <v>0</v>
      </c>
      <c r="EI43" t="s">
        <v>3</v>
      </c>
      <c r="EJ43">
        <v>1</v>
      </c>
      <c r="EK43">
        <v>10</v>
      </c>
      <c r="EL43" t="s">
        <v>104</v>
      </c>
      <c r="EM43" t="s">
        <v>105</v>
      </c>
      <c r="EO43" t="s">
        <v>3</v>
      </c>
      <c r="EQ43">
        <v>131072</v>
      </c>
      <c r="ER43">
        <v>764.71</v>
      </c>
      <c r="ES43">
        <v>0</v>
      </c>
      <c r="ET43">
        <v>643.97</v>
      </c>
      <c r="EU43">
        <v>194.98</v>
      </c>
      <c r="EV43">
        <v>120.74</v>
      </c>
      <c r="EW43">
        <v>10.8</v>
      </c>
      <c r="EX43">
        <v>0</v>
      </c>
      <c r="EY43">
        <v>0</v>
      </c>
      <c r="FQ43">
        <v>0</v>
      </c>
      <c r="FR43">
        <f t="shared" si="52"/>
        <v>0</v>
      </c>
      <c r="FS43">
        <v>0</v>
      </c>
      <c r="FX43">
        <v>98</v>
      </c>
      <c r="FY43">
        <v>77</v>
      </c>
      <c r="GA43" t="s">
        <v>3</v>
      </c>
      <c r="GD43">
        <v>0</v>
      </c>
      <c r="GF43">
        <v>-1696570498</v>
      </c>
      <c r="GG43">
        <v>2</v>
      </c>
      <c r="GH43">
        <v>1</v>
      </c>
      <c r="GI43">
        <v>2</v>
      </c>
      <c r="GJ43">
        <v>0</v>
      </c>
      <c r="GK43">
        <f>ROUND(R43*(R12)/100,2)</f>
        <v>21545.69</v>
      </c>
      <c r="GL43">
        <f t="shared" si="53"/>
        <v>0</v>
      </c>
      <c r="GM43">
        <f t="shared" si="54"/>
        <v>64319.44</v>
      </c>
      <c r="GN43">
        <f t="shared" si="55"/>
        <v>64319.44</v>
      </c>
      <c r="GO43">
        <f t="shared" si="56"/>
        <v>0</v>
      </c>
      <c r="GP43">
        <f t="shared" si="57"/>
        <v>0</v>
      </c>
      <c r="GR43">
        <v>0</v>
      </c>
      <c r="GS43">
        <v>3</v>
      </c>
      <c r="GT43">
        <v>0</v>
      </c>
      <c r="GU43" t="s">
        <v>3</v>
      </c>
      <c r="GV43">
        <f t="shared" si="58"/>
        <v>0</v>
      </c>
      <c r="GW43">
        <v>1</v>
      </c>
      <c r="GX43">
        <f t="shared" si="59"/>
        <v>0</v>
      </c>
      <c r="HA43">
        <v>0</v>
      </c>
      <c r="HB43">
        <v>0</v>
      </c>
      <c r="HC43">
        <f t="shared" si="60"/>
        <v>0</v>
      </c>
      <c r="IK43">
        <v>0</v>
      </c>
    </row>
    <row r="44" spans="1:245" x14ac:dyDescent="0.2">
      <c r="A44">
        <v>17</v>
      </c>
      <c r="B44">
        <v>1</v>
      </c>
      <c r="C44">
        <f>ROW(SmtRes!A28)</f>
        <v>28</v>
      </c>
      <c r="D44">
        <f>ROW(EtalonRes!A24)</f>
        <v>24</v>
      </c>
      <c r="E44" t="s">
        <v>106</v>
      </c>
      <c r="F44" t="s">
        <v>107</v>
      </c>
      <c r="G44" t="s">
        <v>108</v>
      </c>
      <c r="H44" t="s">
        <v>82</v>
      </c>
      <c r="I44">
        <f>ROUND(400/100,9)</f>
        <v>4</v>
      </c>
      <c r="J44">
        <v>0</v>
      </c>
      <c r="O44">
        <f t="shared" si="21"/>
        <v>26418.95</v>
      </c>
      <c r="P44">
        <f t="shared" si="22"/>
        <v>6889.24</v>
      </c>
      <c r="Q44">
        <f t="shared" si="23"/>
        <v>1118.8900000000001</v>
      </c>
      <c r="R44">
        <f t="shared" si="24"/>
        <v>546.79</v>
      </c>
      <c r="S44">
        <f t="shared" si="25"/>
        <v>18410.82</v>
      </c>
      <c r="T44">
        <f t="shared" si="26"/>
        <v>0</v>
      </c>
      <c r="U44">
        <f t="shared" si="27"/>
        <v>60</v>
      </c>
      <c r="V44">
        <f t="shared" si="28"/>
        <v>0</v>
      </c>
      <c r="W44">
        <f t="shared" si="29"/>
        <v>0</v>
      </c>
      <c r="X44">
        <f t="shared" si="30"/>
        <v>16569.740000000002</v>
      </c>
      <c r="Y44">
        <f t="shared" si="31"/>
        <v>7916.65</v>
      </c>
      <c r="AA44">
        <v>44002026</v>
      </c>
      <c r="AB44">
        <f t="shared" si="32"/>
        <v>539.41999999999996</v>
      </c>
      <c r="AC44">
        <f t="shared" si="33"/>
        <v>314.29000000000002</v>
      </c>
      <c r="AD44">
        <f t="shared" si="34"/>
        <v>32.869999999999997</v>
      </c>
      <c r="AE44">
        <f t="shared" si="35"/>
        <v>5.71</v>
      </c>
      <c r="AF44">
        <f t="shared" si="36"/>
        <v>192.26</v>
      </c>
      <c r="AG44">
        <f t="shared" si="37"/>
        <v>0</v>
      </c>
      <c r="AH44">
        <f t="shared" si="38"/>
        <v>15</v>
      </c>
      <c r="AI44">
        <f t="shared" si="39"/>
        <v>0</v>
      </c>
      <c r="AJ44">
        <f t="shared" si="40"/>
        <v>0</v>
      </c>
      <c r="AK44">
        <v>539.41999999999996</v>
      </c>
      <c r="AL44">
        <v>314.29000000000002</v>
      </c>
      <c r="AM44">
        <v>32.869999999999997</v>
      </c>
      <c r="AN44">
        <v>5.71</v>
      </c>
      <c r="AO44">
        <v>192.26</v>
      </c>
      <c r="AP44">
        <v>0</v>
      </c>
      <c r="AQ44">
        <v>15</v>
      </c>
      <c r="AR44">
        <v>0</v>
      </c>
      <c r="AS44">
        <v>0</v>
      </c>
      <c r="AT44">
        <v>90</v>
      </c>
      <c r="AU44">
        <v>43</v>
      </c>
      <c r="AV44">
        <v>1</v>
      </c>
      <c r="AW44">
        <v>1</v>
      </c>
      <c r="AZ44">
        <v>1</v>
      </c>
      <c r="BA44">
        <v>23.94</v>
      </c>
      <c r="BB44">
        <v>8.51</v>
      </c>
      <c r="BC44">
        <v>5.48</v>
      </c>
      <c r="BD44" t="s">
        <v>3</v>
      </c>
      <c r="BE44" t="s">
        <v>3</v>
      </c>
      <c r="BF44" t="s">
        <v>3</v>
      </c>
      <c r="BG44" t="s">
        <v>3</v>
      </c>
      <c r="BH44">
        <v>0</v>
      </c>
      <c r="BI44">
        <v>2</v>
      </c>
      <c r="BJ44" t="s">
        <v>109</v>
      </c>
      <c r="BM44">
        <v>1518</v>
      </c>
      <c r="BN44">
        <v>0</v>
      </c>
      <c r="BO44" t="s">
        <v>107</v>
      </c>
      <c r="BP44">
        <v>1</v>
      </c>
      <c r="BQ44">
        <v>40</v>
      </c>
      <c r="BR44">
        <v>0</v>
      </c>
      <c r="BS44">
        <v>23.94</v>
      </c>
      <c r="BT44">
        <v>1</v>
      </c>
      <c r="BU44">
        <v>1</v>
      </c>
      <c r="BV44">
        <v>1</v>
      </c>
      <c r="BW44">
        <v>1</v>
      </c>
      <c r="BX44">
        <v>1</v>
      </c>
      <c r="BY44" t="s">
        <v>3</v>
      </c>
      <c r="BZ44">
        <v>90</v>
      </c>
      <c r="CA44">
        <v>43</v>
      </c>
      <c r="CE44">
        <v>30</v>
      </c>
      <c r="CF44">
        <v>0</v>
      </c>
      <c r="CG44">
        <v>0</v>
      </c>
      <c r="CM44">
        <v>0</v>
      </c>
      <c r="CN44" t="s">
        <v>3</v>
      </c>
      <c r="CO44">
        <v>0</v>
      </c>
      <c r="CP44">
        <f t="shared" si="41"/>
        <v>26418.95</v>
      </c>
      <c r="CQ44">
        <f t="shared" si="42"/>
        <v>1722.31</v>
      </c>
      <c r="CR44">
        <f t="shared" si="43"/>
        <v>279.72000000000003</v>
      </c>
      <c r="CS44">
        <f t="shared" si="44"/>
        <v>136.69999999999999</v>
      </c>
      <c r="CT44">
        <f t="shared" si="45"/>
        <v>4602.7</v>
      </c>
      <c r="CU44">
        <f t="shared" si="46"/>
        <v>0</v>
      </c>
      <c r="CV44">
        <f t="shared" si="47"/>
        <v>15</v>
      </c>
      <c r="CW44">
        <f t="shared" si="48"/>
        <v>0</v>
      </c>
      <c r="CX44">
        <f t="shared" si="49"/>
        <v>0</v>
      </c>
      <c r="CY44">
        <f t="shared" si="50"/>
        <v>16569.738000000001</v>
      </c>
      <c r="CZ44">
        <f t="shared" si="51"/>
        <v>7916.6525999999994</v>
      </c>
      <c r="DC44" t="s">
        <v>3</v>
      </c>
      <c r="DD44" t="s">
        <v>3</v>
      </c>
      <c r="DE44" t="s">
        <v>3</v>
      </c>
      <c r="DF44" t="s">
        <v>3</v>
      </c>
      <c r="DG44" t="s">
        <v>3</v>
      </c>
      <c r="DH44" t="s">
        <v>3</v>
      </c>
      <c r="DI44" t="s">
        <v>3</v>
      </c>
      <c r="DJ44" t="s">
        <v>3</v>
      </c>
      <c r="DK44" t="s">
        <v>3</v>
      </c>
      <c r="DL44" t="s">
        <v>3</v>
      </c>
      <c r="DM44" t="s">
        <v>3</v>
      </c>
      <c r="DN44">
        <v>112</v>
      </c>
      <c r="DO44">
        <v>70</v>
      </c>
      <c r="DP44">
        <v>1</v>
      </c>
      <c r="DQ44">
        <v>1</v>
      </c>
      <c r="DU44">
        <v>1003</v>
      </c>
      <c r="DV44" t="s">
        <v>82</v>
      </c>
      <c r="DW44" t="s">
        <v>82</v>
      </c>
      <c r="DX44">
        <v>100</v>
      </c>
      <c r="EE44">
        <v>43771809</v>
      </c>
      <c r="EF44">
        <v>40</v>
      </c>
      <c r="EG44" t="s">
        <v>42</v>
      </c>
      <c r="EH44">
        <v>0</v>
      </c>
      <c r="EI44" t="s">
        <v>3</v>
      </c>
      <c r="EJ44">
        <v>2</v>
      </c>
      <c r="EK44">
        <v>1518</v>
      </c>
      <c r="EL44" t="s">
        <v>110</v>
      </c>
      <c r="EM44" t="s">
        <v>111</v>
      </c>
      <c r="EO44" t="s">
        <v>3</v>
      </c>
      <c r="EQ44">
        <v>131072</v>
      </c>
      <c r="ER44">
        <v>539.41999999999996</v>
      </c>
      <c r="ES44">
        <v>314.29000000000002</v>
      </c>
      <c r="ET44">
        <v>32.869999999999997</v>
      </c>
      <c r="EU44">
        <v>5.71</v>
      </c>
      <c r="EV44">
        <v>192.26</v>
      </c>
      <c r="EW44">
        <v>15</v>
      </c>
      <c r="EX44">
        <v>0</v>
      </c>
      <c r="EY44">
        <v>0</v>
      </c>
      <c r="FQ44">
        <v>0</v>
      </c>
      <c r="FR44">
        <f t="shared" si="52"/>
        <v>0</v>
      </c>
      <c r="FS44">
        <v>0</v>
      </c>
      <c r="FX44">
        <v>112</v>
      </c>
      <c r="FY44">
        <v>70</v>
      </c>
      <c r="GA44" t="s">
        <v>3</v>
      </c>
      <c r="GD44">
        <v>0</v>
      </c>
      <c r="GF44">
        <v>1462491871</v>
      </c>
      <c r="GG44">
        <v>2</v>
      </c>
      <c r="GH44">
        <v>1</v>
      </c>
      <c r="GI44">
        <v>2</v>
      </c>
      <c r="GJ44">
        <v>0</v>
      </c>
      <c r="GK44">
        <f>ROUND(R44*(R12)/100,2)</f>
        <v>858.46</v>
      </c>
      <c r="GL44">
        <f t="shared" si="53"/>
        <v>0</v>
      </c>
      <c r="GM44">
        <f t="shared" si="54"/>
        <v>51763.8</v>
      </c>
      <c r="GN44">
        <f t="shared" si="55"/>
        <v>0</v>
      </c>
      <c r="GO44">
        <f t="shared" si="56"/>
        <v>51763.8</v>
      </c>
      <c r="GP44">
        <f t="shared" si="57"/>
        <v>0</v>
      </c>
      <c r="GR44">
        <v>0</v>
      </c>
      <c r="GS44">
        <v>3</v>
      </c>
      <c r="GT44">
        <v>0</v>
      </c>
      <c r="GU44" t="s">
        <v>3</v>
      </c>
      <c r="GV44">
        <f t="shared" si="58"/>
        <v>0</v>
      </c>
      <c r="GW44">
        <v>1</v>
      </c>
      <c r="GX44">
        <f t="shared" si="59"/>
        <v>0</v>
      </c>
      <c r="HA44">
        <v>0</v>
      </c>
      <c r="HB44">
        <v>0</v>
      </c>
      <c r="HC44">
        <f t="shared" si="60"/>
        <v>0</v>
      </c>
      <c r="IK44">
        <v>0</v>
      </c>
    </row>
    <row r="45" spans="1:245" x14ac:dyDescent="0.2">
      <c r="A45">
        <v>18</v>
      </c>
      <c r="B45">
        <v>1</v>
      </c>
      <c r="C45">
        <v>27</v>
      </c>
      <c r="E45" t="s">
        <v>112</v>
      </c>
      <c r="F45" t="s">
        <v>113</v>
      </c>
      <c r="G45" t="s">
        <v>114</v>
      </c>
      <c r="H45" t="s">
        <v>66</v>
      </c>
      <c r="I45">
        <f>I44*J45</f>
        <v>408</v>
      </c>
      <c r="J45">
        <v>102</v>
      </c>
      <c r="O45">
        <f t="shared" si="21"/>
        <v>4269.8</v>
      </c>
      <c r="P45">
        <f t="shared" si="22"/>
        <v>4269.8</v>
      </c>
      <c r="Q45">
        <f t="shared" si="23"/>
        <v>0</v>
      </c>
      <c r="R45">
        <f t="shared" si="24"/>
        <v>0</v>
      </c>
      <c r="S45">
        <f t="shared" si="25"/>
        <v>0</v>
      </c>
      <c r="T45">
        <f t="shared" si="26"/>
        <v>0</v>
      </c>
      <c r="U45">
        <f t="shared" si="27"/>
        <v>0</v>
      </c>
      <c r="V45">
        <f t="shared" si="28"/>
        <v>0</v>
      </c>
      <c r="W45">
        <f t="shared" si="29"/>
        <v>0</v>
      </c>
      <c r="X45">
        <f t="shared" si="30"/>
        <v>0</v>
      </c>
      <c r="Y45">
        <f t="shared" si="31"/>
        <v>0</v>
      </c>
      <c r="AA45">
        <v>44002026</v>
      </c>
      <c r="AB45">
        <f t="shared" si="32"/>
        <v>4.59</v>
      </c>
      <c r="AC45">
        <f t="shared" si="33"/>
        <v>4.59</v>
      </c>
      <c r="AD45">
        <f t="shared" si="34"/>
        <v>0</v>
      </c>
      <c r="AE45">
        <f t="shared" si="35"/>
        <v>0</v>
      </c>
      <c r="AF45">
        <f t="shared" si="36"/>
        <v>0</v>
      </c>
      <c r="AG45">
        <f t="shared" si="37"/>
        <v>0</v>
      </c>
      <c r="AH45">
        <f t="shared" si="38"/>
        <v>0</v>
      </c>
      <c r="AI45">
        <f t="shared" si="39"/>
        <v>0</v>
      </c>
      <c r="AJ45">
        <f t="shared" si="40"/>
        <v>0</v>
      </c>
      <c r="AK45">
        <v>4.59</v>
      </c>
      <c r="AL45">
        <v>4.59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Z45">
        <v>1</v>
      </c>
      <c r="BA45">
        <v>1</v>
      </c>
      <c r="BB45">
        <v>1</v>
      </c>
      <c r="BC45">
        <v>2.2799999999999998</v>
      </c>
      <c r="BD45" t="s">
        <v>3</v>
      </c>
      <c r="BE45" t="s">
        <v>3</v>
      </c>
      <c r="BF45" t="s">
        <v>3</v>
      </c>
      <c r="BG45" t="s">
        <v>3</v>
      </c>
      <c r="BH45">
        <v>3</v>
      </c>
      <c r="BI45">
        <v>2</v>
      </c>
      <c r="BJ45" t="s">
        <v>115</v>
      </c>
      <c r="BM45">
        <v>1518</v>
      </c>
      <c r="BN45">
        <v>0</v>
      </c>
      <c r="BO45" t="s">
        <v>113</v>
      </c>
      <c r="BP45">
        <v>1</v>
      </c>
      <c r="BQ45">
        <v>40</v>
      </c>
      <c r="BR45">
        <v>0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 t="s">
        <v>3</v>
      </c>
      <c r="BZ45">
        <v>0</v>
      </c>
      <c r="CA45">
        <v>0</v>
      </c>
      <c r="CE45">
        <v>30</v>
      </c>
      <c r="CF45">
        <v>0</v>
      </c>
      <c r="CG45">
        <v>0</v>
      </c>
      <c r="CM45">
        <v>0</v>
      </c>
      <c r="CN45" t="s">
        <v>3</v>
      </c>
      <c r="CO45">
        <v>0</v>
      </c>
      <c r="CP45">
        <f t="shared" si="41"/>
        <v>4269.8</v>
      </c>
      <c r="CQ45">
        <f t="shared" si="42"/>
        <v>10.47</v>
      </c>
      <c r="CR45">
        <f t="shared" si="43"/>
        <v>0</v>
      </c>
      <c r="CS45">
        <f t="shared" si="44"/>
        <v>0</v>
      </c>
      <c r="CT45">
        <f t="shared" si="45"/>
        <v>0</v>
      </c>
      <c r="CU45">
        <f t="shared" si="46"/>
        <v>0</v>
      </c>
      <c r="CV45">
        <f t="shared" si="47"/>
        <v>0</v>
      </c>
      <c r="CW45">
        <f t="shared" si="48"/>
        <v>0</v>
      </c>
      <c r="CX45">
        <f t="shared" si="49"/>
        <v>0</v>
      </c>
      <c r="CY45">
        <f t="shared" si="50"/>
        <v>0</v>
      </c>
      <c r="CZ45">
        <f t="shared" si="51"/>
        <v>0</v>
      </c>
      <c r="DC45" t="s">
        <v>3</v>
      </c>
      <c r="DD45" t="s">
        <v>3</v>
      </c>
      <c r="DE45" t="s">
        <v>3</v>
      </c>
      <c r="DF45" t="s">
        <v>3</v>
      </c>
      <c r="DG45" t="s">
        <v>3</v>
      </c>
      <c r="DH45" t="s">
        <v>3</v>
      </c>
      <c r="DI45" t="s">
        <v>3</v>
      </c>
      <c r="DJ45" t="s">
        <v>3</v>
      </c>
      <c r="DK45" t="s">
        <v>3</v>
      </c>
      <c r="DL45" t="s">
        <v>3</v>
      </c>
      <c r="DM45" t="s">
        <v>3</v>
      </c>
      <c r="DN45">
        <v>112</v>
      </c>
      <c r="DO45">
        <v>70</v>
      </c>
      <c r="DP45">
        <v>1</v>
      </c>
      <c r="DQ45">
        <v>1</v>
      </c>
      <c r="DU45">
        <v>1003</v>
      </c>
      <c r="DV45" t="s">
        <v>66</v>
      </c>
      <c r="DW45" t="s">
        <v>66</v>
      </c>
      <c r="DX45">
        <v>1</v>
      </c>
      <c r="EE45">
        <v>43771809</v>
      </c>
      <c r="EF45">
        <v>40</v>
      </c>
      <c r="EG45" t="s">
        <v>42</v>
      </c>
      <c r="EH45">
        <v>0</v>
      </c>
      <c r="EI45" t="s">
        <v>3</v>
      </c>
      <c r="EJ45">
        <v>2</v>
      </c>
      <c r="EK45">
        <v>1518</v>
      </c>
      <c r="EL45" t="s">
        <v>110</v>
      </c>
      <c r="EM45" t="s">
        <v>111</v>
      </c>
      <c r="EO45" t="s">
        <v>3</v>
      </c>
      <c r="EQ45">
        <v>0</v>
      </c>
      <c r="ER45">
        <v>4.59</v>
      </c>
      <c r="ES45">
        <v>4.59</v>
      </c>
      <c r="ET45">
        <v>0</v>
      </c>
      <c r="EU45">
        <v>0</v>
      </c>
      <c r="EV45">
        <v>0</v>
      </c>
      <c r="EW45">
        <v>0</v>
      </c>
      <c r="EX45">
        <v>0</v>
      </c>
      <c r="FQ45">
        <v>0</v>
      </c>
      <c r="FR45">
        <f t="shared" si="52"/>
        <v>0</v>
      </c>
      <c r="FS45">
        <v>0</v>
      </c>
      <c r="FX45">
        <v>112</v>
      </c>
      <c r="FY45">
        <v>70</v>
      </c>
      <c r="GA45" t="s">
        <v>3</v>
      </c>
      <c r="GD45">
        <v>0</v>
      </c>
      <c r="GF45">
        <v>-1102095183</v>
      </c>
      <c r="GG45">
        <v>2</v>
      </c>
      <c r="GH45">
        <v>1</v>
      </c>
      <c r="GI45">
        <v>2</v>
      </c>
      <c r="GJ45">
        <v>0</v>
      </c>
      <c r="GK45">
        <f>ROUND(R45*(R12)/100,2)</f>
        <v>0</v>
      </c>
      <c r="GL45">
        <f t="shared" si="53"/>
        <v>0</v>
      </c>
      <c r="GM45">
        <f t="shared" si="54"/>
        <v>4269.8</v>
      </c>
      <c r="GN45">
        <f t="shared" si="55"/>
        <v>0</v>
      </c>
      <c r="GO45">
        <f t="shared" si="56"/>
        <v>4269.8</v>
      </c>
      <c r="GP45">
        <f t="shared" si="57"/>
        <v>0</v>
      </c>
      <c r="GR45">
        <v>0</v>
      </c>
      <c r="GS45">
        <v>3</v>
      </c>
      <c r="GT45">
        <v>0</v>
      </c>
      <c r="GU45" t="s">
        <v>3</v>
      </c>
      <c r="GV45">
        <f t="shared" si="58"/>
        <v>0</v>
      </c>
      <c r="GW45">
        <v>1</v>
      </c>
      <c r="GX45">
        <f t="shared" si="59"/>
        <v>0</v>
      </c>
      <c r="HA45">
        <v>0</v>
      </c>
      <c r="HB45">
        <v>0</v>
      </c>
      <c r="HC45">
        <f t="shared" si="60"/>
        <v>0</v>
      </c>
      <c r="IK45">
        <v>0</v>
      </c>
    </row>
    <row r="46" spans="1:245" x14ac:dyDescent="0.2">
      <c r="A46">
        <v>18</v>
      </c>
      <c r="B46">
        <v>1</v>
      </c>
      <c r="C46">
        <v>28</v>
      </c>
      <c r="E46" t="s">
        <v>116</v>
      </c>
      <c r="F46" t="s">
        <v>117</v>
      </c>
      <c r="G46" t="s">
        <v>118</v>
      </c>
      <c r="H46" t="s">
        <v>119</v>
      </c>
      <c r="I46">
        <f>I44*J46</f>
        <v>4</v>
      </c>
      <c r="J46">
        <v>1</v>
      </c>
      <c r="O46">
        <f t="shared" si="21"/>
        <v>699.2</v>
      </c>
      <c r="P46">
        <f t="shared" si="22"/>
        <v>699.2</v>
      </c>
      <c r="Q46">
        <f t="shared" si="23"/>
        <v>0</v>
      </c>
      <c r="R46">
        <f t="shared" si="24"/>
        <v>0</v>
      </c>
      <c r="S46">
        <f t="shared" si="25"/>
        <v>0</v>
      </c>
      <c r="T46">
        <f t="shared" si="26"/>
        <v>0</v>
      </c>
      <c r="U46">
        <f t="shared" si="27"/>
        <v>0</v>
      </c>
      <c r="V46">
        <f t="shared" si="28"/>
        <v>0</v>
      </c>
      <c r="W46">
        <f t="shared" si="29"/>
        <v>0</v>
      </c>
      <c r="X46">
        <f t="shared" si="30"/>
        <v>0</v>
      </c>
      <c r="Y46">
        <f t="shared" si="31"/>
        <v>0</v>
      </c>
      <c r="AA46">
        <v>44002026</v>
      </c>
      <c r="AB46">
        <f t="shared" si="32"/>
        <v>146.88999999999999</v>
      </c>
      <c r="AC46">
        <f t="shared" si="33"/>
        <v>146.88999999999999</v>
      </c>
      <c r="AD46">
        <f t="shared" si="34"/>
        <v>0</v>
      </c>
      <c r="AE46">
        <f t="shared" si="35"/>
        <v>0</v>
      </c>
      <c r="AF46">
        <f t="shared" si="36"/>
        <v>0</v>
      </c>
      <c r="AG46">
        <f t="shared" si="37"/>
        <v>0</v>
      </c>
      <c r="AH46">
        <f t="shared" si="38"/>
        <v>0</v>
      </c>
      <c r="AI46">
        <f t="shared" si="39"/>
        <v>0</v>
      </c>
      <c r="AJ46">
        <f t="shared" si="40"/>
        <v>0</v>
      </c>
      <c r="AK46">
        <v>146.88999999999999</v>
      </c>
      <c r="AL46">
        <v>146.88999999999999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Z46">
        <v>1</v>
      </c>
      <c r="BA46">
        <v>1</v>
      </c>
      <c r="BB46">
        <v>1</v>
      </c>
      <c r="BC46">
        <v>1.19</v>
      </c>
      <c r="BD46" t="s">
        <v>3</v>
      </c>
      <c r="BE46" t="s">
        <v>3</v>
      </c>
      <c r="BF46" t="s">
        <v>3</v>
      </c>
      <c r="BG46" t="s">
        <v>3</v>
      </c>
      <c r="BH46">
        <v>3</v>
      </c>
      <c r="BI46">
        <v>2</v>
      </c>
      <c r="BJ46" t="s">
        <v>120</v>
      </c>
      <c r="BM46">
        <v>1518</v>
      </c>
      <c r="BN46">
        <v>0</v>
      </c>
      <c r="BO46" t="s">
        <v>117</v>
      </c>
      <c r="BP46">
        <v>1</v>
      </c>
      <c r="BQ46">
        <v>40</v>
      </c>
      <c r="BR46">
        <v>0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 t="s">
        <v>3</v>
      </c>
      <c r="BZ46">
        <v>0</v>
      </c>
      <c r="CA46">
        <v>0</v>
      </c>
      <c r="CE46">
        <v>30</v>
      </c>
      <c r="CF46">
        <v>0</v>
      </c>
      <c r="CG46">
        <v>0</v>
      </c>
      <c r="CM46">
        <v>0</v>
      </c>
      <c r="CN46" t="s">
        <v>3</v>
      </c>
      <c r="CO46">
        <v>0</v>
      </c>
      <c r="CP46">
        <f t="shared" si="41"/>
        <v>699.2</v>
      </c>
      <c r="CQ46">
        <f t="shared" si="42"/>
        <v>174.8</v>
      </c>
      <c r="CR46">
        <f t="shared" si="43"/>
        <v>0</v>
      </c>
      <c r="CS46">
        <f t="shared" si="44"/>
        <v>0</v>
      </c>
      <c r="CT46">
        <f t="shared" si="45"/>
        <v>0</v>
      </c>
      <c r="CU46">
        <f t="shared" si="46"/>
        <v>0</v>
      </c>
      <c r="CV46">
        <f t="shared" si="47"/>
        <v>0</v>
      </c>
      <c r="CW46">
        <f t="shared" si="48"/>
        <v>0</v>
      </c>
      <c r="CX46">
        <f t="shared" si="49"/>
        <v>0</v>
      </c>
      <c r="CY46">
        <f t="shared" si="50"/>
        <v>0</v>
      </c>
      <c r="CZ46">
        <f t="shared" si="51"/>
        <v>0</v>
      </c>
      <c r="DC46" t="s">
        <v>3</v>
      </c>
      <c r="DD46" t="s">
        <v>3</v>
      </c>
      <c r="DE46" t="s">
        <v>3</v>
      </c>
      <c r="DF46" t="s">
        <v>3</v>
      </c>
      <c r="DG46" t="s">
        <v>3</v>
      </c>
      <c r="DH46" t="s">
        <v>3</v>
      </c>
      <c r="DI46" t="s">
        <v>3</v>
      </c>
      <c r="DJ46" t="s">
        <v>3</v>
      </c>
      <c r="DK46" t="s">
        <v>3</v>
      </c>
      <c r="DL46" t="s">
        <v>3</v>
      </c>
      <c r="DM46" t="s">
        <v>3</v>
      </c>
      <c r="DN46">
        <v>112</v>
      </c>
      <c r="DO46">
        <v>70</v>
      </c>
      <c r="DP46">
        <v>1</v>
      </c>
      <c r="DQ46">
        <v>1</v>
      </c>
      <c r="DU46">
        <v>1010</v>
      </c>
      <c r="DV46" t="s">
        <v>119</v>
      </c>
      <c r="DW46" t="s">
        <v>119</v>
      </c>
      <c r="DX46">
        <v>100</v>
      </c>
      <c r="EE46">
        <v>43771809</v>
      </c>
      <c r="EF46">
        <v>40</v>
      </c>
      <c r="EG46" t="s">
        <v>42</v>
      </c>
      <c r="EH46">
        <v>0</v>
      </c>
      <c r="EI46" t="s">
        <v>3</v>
      </c>
      <c r="EJ46">
        <v>2</v>
      </c>
      <c r="EK46">
        <v>1518</v>
      </c>
      <c r="EL46" t="s">
        <v>110</v>
      </c>
      <c r="EM46" t="s">
        <v>111</v>
      </c>
      <c r="EO46" t="s">
        <v>3</v>
      </c>
      <c r="EQ46">
        <v>0</v>
      </c>
      <c r="ER46">
        <v>146.88999999999999</v>
      </c>
      <c r="ES46">
        <v>146.88999999999999</v>
      </c>
      <c r="ET46">
        <v>0</v>
      </c>
      <c r="EU46">
        <v>0</v>
      </c>
      <c r="EV46">
        <v>0</v>
      </c>
      <c r="EW46">
        <v>0</v>
      </c>
      <c r="EX46">
        <v>0</v>
      </c>
      <c r="FQ46">
        <v>0</v>
      </c>
      <c r="FR46">
        <f t="shared" si="52"/>
        <v>0</v>
      </c>
      <c r="FS46">
        <v>0</v>
      </c>
      <c r="FX46">
        <v>112</v>
      </c>
      <c r="FY46">
        <v>70</v>
      </c>
      <c r="GA46" t="s">
        <v>3</v>
      </c>
      <c r="GD46">
        <v>0</v>
      </c>
      <c r="GF46">
        <v>128275168</v>
      </c>
      <c r="GG46">
        <v>2</v>
      </c>
      <c r="GH46">
        <v>1</v>
      </c>
      <c r="GI46">
        <v>2</v>
      </c>
      <c r="GJ46">
        <v>0</v>
      </c>
      <c r="GK46">
        <f>ROUND(R46*(R12)/100,2)</f>
        <v>0</v>
      </c>
      <c r="GL46">
        <f t="shared" si="53"/>
        <v>0</v>
      </c>
      <c r="GM46">
        <f t="shared" si="54"/>
        <v>699.2</v>
      </c>
      <c r="GN46">
        <f t="shared" si="55"/>
        <v>0</v>
      </c>
      <c r="GO46">
        <f t="shared" si="56"/>
        <v>699.2</v>
      </c>
      <c r="GP46">
        <f t="shared" si="57"/>
        <v>0</v>
      </c>
      <c r="GR46">
        <v>0</v>
      </c>
      <c r="GS46">
        <v>3</v>
      </c>
      <c r="GT46">
        <v>0</v>
      </c>
      <c r="GU46" t="s">
        <v>3</v>
      </c>
      <c r="GV46">
        <f t="shared" si="58"/>
        <v>0</v>
      </c>
      <c r="GW46">
        <v>1</v>
      </c>
      <c r="GX46">
        <f t="shared" si="59"/>
        <v>0</v>
      </c>
      <c r="HA46">
        <v>0</v>
      </c>
      <c r="HB46">
        <v>0</v>
      </c>
      <c r="HC46">
        <f t="shared" si="60"/>
        <v>0</v>
      </c>
      <c r="IK46">
        <v>0</v>
      </c>
    </row>
    <row r="47" spans="1:245" x14ac:dyDescent="0.2">
      <c r="A47">
        <v>17</v>
      </c>
      <c r="B47">
        <v>1</v>
      </c>
      <c r="C47">
        <f>ROW(SmtRes!A30)</f>
        <v>30</v>
      </c>
      <c r="D47">
        <f>ROW(EtalonRes!A25)</f>
        <v>25</v>
      </c>
      <c r="E47" t="s">
        <v>121</v>
      </c>
      <c r="F47" t="s">
        <v>80</v>
      </c>
      <c r="G47" t="s">
        <v>81</v>
      </c>
      <c r="H47" t="s">
        <v>82</v>
      </c>
      <c r="I47">
        <f>ROUND(400/100,9)</f>
        <v>4</v>
      </c>
      <c r="J47">
        <v>0</v>
      </c>
      <c r="O47">
        <f t="shared" si="21"/>
        <v>8976.4699999999993</v>
      </c>
      <c r="P47">
        <f t="shared" si="22"/>
        <v>332.96</v>
      </c>
      <c r="Q47">
        <f t="shared" si="23"/>
        <v>130.44999999999999</v>
      </c>
      <c r="R47">
        <f t="shared" si="24"/>
        <v>75.650000000000006</v>
      </c>
      <c r="S47">
        <f t="shared" si="25"/>
        <v>8513.06</v>
      </c>
      <c r="T47">
        <f t="shared" si="26"/>
        <v>0</v>
      </c>
      <c r="U47">
        <f t="shared" si="27"/>
        <v>28.84</v>
      </c>
      <c r="V47">
        <f t="shared" si="28"/>
        <v>0</v>
      </c>
      <c r="W47">
        <f t="shared" si="29"/>
        <v>0</v>
      </c>
      <c r="X47">
        <f t="shared" si="30"/>
        <v>7661.75</v>
      </c>
      <c r="Y47">
        <f t="shared" si="31"/>
        <v>3660.62</v>
      </c>
      <c r="AA47">
        <v>44002026</v>
      </c>
      <c r="AB47">
        <f t="shared" si="32"/>
        <v>107.48</v>
      </c>
      <c r="AC47">
        <f t="shared" si="33"/>
        <v>15.19</v>
      </c>
      <c r="AD47">
        <f t="shared" si="34"/>
        <v>3.39</v>
      </c>
      <c r="AE47">
        <f t="shared" si="35"/>
        <v>0.79</v>
      </c>
      <c r="AF47">
        <f t="shared" si="36"/>
        <v>88.9</v>
      </c>
      <c r="AG47">
        <f t="shared" si="37"/>
        <v>0</v>
      </c>
      <c r="AH47">
        <f t="shared" si="38"/>
        <v>7.21</v>
      </c>
      <c r="AI47">
        <f t="shared" si="39"/>
        <v>0</v>
      </c>
      <c r="AJ47">
        <f t="shared" si="40"/>
        <v>0</v>
      </c>
      <c r="AK47">
        <v>107.48</v>
      </c>
      <c r="AL47">
        <v>15.19</v>
      </c>
      <c r="AM47">
        <v>3.39</v>
      </c>
      <c r="AN47">
        <v>0.79</v>
      </c>
      <c r="AO47">
        <v>88.9</v>
      </c>
      <c r="AP47">
        <v>0</v>
      </c>
      <c r="AQ47">
        <v>7.21</v>
      </c>
      <c r="AR47">
        <v>0</v>
      </c>
      <c r="AS47">
        <v>0</v>
      </c>
      <c r="AT47">
        <v>90</v>
      </c>
      <c r="AU47">
        <v>43</v>
      </c>
      <c r="AV47">
        <v>1</v>
      </c>
      <c r="AW47">
        <v>1</v>
      </c>
      <c r="AZ47">
        <v>1</v>
      </c>
      <c r="BA47">
        <v>23.94</v>
      </c>
      <c r="BB47">
        <v>9.6199999999999992</v>
      </c>
      <c r="BC47">
        <v>5.48</v>
      </c>
      <c r="BD47" t="s">
        <v>3</v>
      </c>
      <c r="BE47" t="s">
        <v>3</v>
      </c>
      <c r="BF47" t="s">
        <v>3</v>
      </c>
      <c r="BG47" t="s">
        <v>3</v>
      </c>
      <c r="BH47">
        <v>0</v>
      </c>
      <c r="BI47">
        <v>2</v>
      </c>
      <c r="BJ47" t="s">
        <v>83</v>
      </c>
      <c r="BM47">
        <v>331</v>
      </c>
      <c r="BN47">
        <v>0</v>
      </c>
      <c r="BO47" t="s">
        <v>80</v>
      </c>
      <c r="BP47">
        <v>1</v>
      </c>
      <c r="BQ47">
        <v>40</v>
      </c>
      <c r="BR47">
        <v>0</v>
      </c>
      <c r="BS47">
        <v>23.94</v>
      </c>
      <c r="BT47">
        <v>1</v>
      </c>
      <c r="BU47">
        <v>1</v>
      </c>
      <c r="BV47">
        <v>1</v>
      </c>
      <c r="BW47">
        <v>1</v>
      </c>
      <c r="BX47">
        <v>1</v>
      </c>
      <c r="BY47" t="s">
        <v>3</v>
      </c>
      <c r="BZ47">
        <v>90</v>
      </c>
      <c r="CA47">
        <v>43</v>
      </c>
      <c r="CE47">
        <v>30</v>
      </c>
      <c r="CF47">
        <v>0</v>
      </c>
      <c r="CG47">
        <v>0</v>
      </c>
      <c r="CM47">
        <v>0</v>
      </c>
      <c r="CN47" t="s">
        <v>3</v>
      </c>
      <c r="CO47">
        <v>0</v>
      </c>
      <c r="CP47">
        <f t="shared" si="41"/>
        <v>8976.4699999999993</v>
      </c>
      <c r="CQ47">
        <f t="shared" si="42"/>
        <v>83.24</v>
      </c>
      <c r="CR47">
        <f t="shared" si="43"/>
        <v>32.61</v>
      </c>
      <c r="CS47">
        <f t="shared" si="44"/>
        <v>18.91</v>
      </c>
      <c r="CT47">
        <f t="shared" si="45"/>
        <v>2128.27</v>
      </c>
      <c r="CU47">
        <f t="shared" si="46"/>
        <v>0</v>
      </c>
      <c r="CV47">
        <f t="shared" si="47"/>
        <v>7.21</v>
      </c>
      <c r="CW47">
        <f t="shared" si="48"/>
        <v>0</v>
      </c>
      <c r="CX47">
        <f t="shared" si="49"/>
        <v>0</v>
      </c>
      <c r="CY47">
        <f t="shared" si="50"/>
        <v>7661.7539999999999</v>
      </c>
      <c r="CZ47">
        <f t="shared" si="51"/>
        <v>3660.6157999999996</v>
      </c>
      <c r="DC47" t="s">
        <v>3</v>
      </c>
      <c r="DD47" t="s">
        <v>3</v>
      </c>
      <c r="DE47" t="s">
        <v>3</v>
      </c>
      <c r="DF47" t="s">
        <v>3</v>
      </c>
      <c r="DG47" t="s">
        <v>3</v>
      </c>
      <c r="DH47" t="s">
        <v>3</v>
      </c>
      <c r="DI47" t="s">
        <v>3</v>
      </c>
      <c r="DJ47" t="s">
        <v>3</v>
      </c>
      <c r="DK47" t="s">
        <v>3</v>
      </c>
      <c r="DL47" t="s">
        <v>3</v>
      </c>
      <c r="DM47" t="s">
        <v>3</v>
      </c>
      <c r="DN47">
        <v>112</v>
      </c>
      <c r="DO47">
        <v>70</v>
      </c>
      <c r="DP47">
        <v>1</v>
      </c>
      <c r="DQ47">
        <v>1</v>
      </c>
      <c r="DU47">
        <v>1003</v>
      </c>
      <c r="DV47" t="s">
        <v>82</v>
      </c>
      <c r="DW47" t="s">
        <v>82</v>
      </c>
      <c r="DX47">
        <v>100</v>
      </c>
      <c r="EE47">
        <v>43770622</v>
      </c>
      <c r="EF47">
        <v>40</v>
      </c>
      <c r="EG47" t="s">
        <v>42</v>
      </c>
      <c r="EH47">
        <v>0</v>
      </c>
      <c r="EI47" t="s">
        <v>3</v>
      </c>
      <c r="EJ47">
        <v>2</v>
      </c>
      <c r="EK47">
        <v>331</v>
      </c>
      <c r="EL47" t="s">
        <v>84</v>
      </c>
      <c r="EM47" t="s">
        <v>85</v>
      </c>
      <c r="EO47" t="s">
        <v>3</v>
      </c>
      <c r="EQ47">
        <v>131072</v>
      </c>
      <c r="ER47">
        <v>107.48</v>
      </c>
      <c r="ES47">
        <v>15.19</v>
      </c>
      <c r="ET47">
        <v>3.39</v>
      </c>
      <c r="EU47">
        <v>0.79</v>
      </c>
      <c r="EV47">
        <v>88.9</v>
      </c>
      <c r="EW47">
        <v>7.21</v>
      </c>
      <c r="EX47">
        <v>0</v>
      </c>
      <c r="EY47">
        <v>0</v>
      </c>
      <c r="FQ47">
        <v>0</v>
      </c>
      <c r="FR47">
        <f t="shared" si="52"/>
        <v>0</v>
      </c>
      <c r="FS47">
        <v>0</v>
      </c>
      <c r="FX47">
        <v>112</v>
      </c>
      <c r="FY47">
        <v>70</v>
      </c>
      <c r="GA47" t="s">
        <v>3</v>
      </c>
      <c r="GD47">
        <v>0</v>
      </c>
      <c r="GF47">
        <v>2050499607</v>
      </c>
      <c r="GG47">
        <v>2</v>
      </c>
      <c r="GH47">
        <v>1</v>
      </c>
      <c r="GI47">
        <v>2</v>
      </c>
      <c r="GJ47">
        <v>0</v>
      </c>
      <c r="GK47">
        <f>ROUND(R47*(R12)/100,2)</f>
        <v>118.77</v>
      </c>
      <c r="GL47">
        <f t="shared" si="53"/>
        <v>0</v>
      </c>
      <c r="GM47">
        <f t="shared" si="54"/>
        <v>20417.61</v>
      </c>
      <c r="GN47">
        <f t="shared" si="55"/>
        <v>0</v>
      </c>
      <c r="GO47">
        <f t="shared" si="56"/>
        <v>20417.61</v>
      </c>
      <c r="GP47">
        <f t="shared" si="57"/>
        <v>0</v>
      </c>
      <c r="GR47">
        <v>0</v>
      </c>
      <c r="GS47">
        <v>3</v>
      </c>
      <c r="GT47">
        <v>0</v>
      </c>
      <c r="GU47" t="s">
        <v>3</v>
      </c>
      <c r="GV47">
        <f t="shared" si="58"/>
        <v>0</v>
      </c>
      <c r="GW47">
        <v>1</v>
      </c>
      <c r="GX47">
        <f t="shared" si="59"/>
        <v>0</v>
      </c>
      <c r="HA47">
        <v>0</v>
      </c>
      <c r="HB47">
        <v>0</v>
      </c>
      <c r="HC47">
        <f t="shared" si="60"/>
        <v>0</v>
      </c>
      <c r="IK47">
        <v>0</v>
      </c>
    </row>
    <row r="48" spans="1:245" x14ac:dyDescent="0.2">
      <c r="A48">
        <v>18</v>
      </c>
      <c r="B48">
        <v>1</v>
      </c>
      <c r="C48">
        <v>30</v>
      </c>
      <c r="E48" t="s">
        <v>122</v>
      </c>
      <c r="F48" t="s">
        <v>123</v>
      </c>
      <c r="G48" t="s">
        <v>124</v>
      </c>
      <c r="H48" t="s">
        <v>57</v>
      </c>
      <c r="I48">
        <f>I47*J48</f>
        <v>0.40799999999999997</v>
      </c>
      <c r="J48">
        <v>0.10199999999999999</v>
      </c>
      <c r="O48">
        <f t="shared" si="21"/>
        <v>15143.13</v>
      </c>
      <c r="P48">
        <f t="shared" si="22"/>
        <v>15143.13</v>
      </c>
      <c r="Q48">
        <f t="shared" si="23"/>
        <v>0</v>
      </c>
      <c r="R48">
        <f t="shared" si="24"/>
        <v>0</v>
      </c>
      <c r="S48">
        <f t="shared" si="25"/>
        <v>0</v>
      </c>
      <c r="T48">
        <f t="shared" si="26"/>
        <v>0</v>
      </c>
      <c r="U48">
        <f t="shared" si="27"/>
        <v>0</v>
      </c>
      <c r="V48">
        <f t="shared" si="28"/>
        <v>0</v>
      </c>
      <c r="W48">
        <f t="shared" si="29"/>
        <v>0</v>
      </c>
      <c r="X48">
        <f t="shared" si="30"/>
        <v>0</v>
      </c>
      <c r="Y48">
        <f t="shared" si="31"/>
        <v>0</v>
      </c>
      <c r="AA48">
        <v>44002026</v>
      </c>
      <c r="AB48">
        <f t="shared" si="32"/>
        <v>12798.46</v>
      </c>
      <c r="AC48">
        <f t="shared" si="33"/>
        <v>12798.46</v>
      </c>
      <c r="AD48">
        <f t="shared" si="34"/>
        <v>0</v>
      </c>
      <c r="AE48">
        <f t="shared" si="35"/>
        <v>0</v>
      </c>
      <c r="AF48">
        <f t="shared" si="36"/>
        <v>0</v>
      </c>
      <c r="AG48">
        <f t="shared" si="37"/>
        <v>0</v>
      </c>
      <c r="AH48">
        <f t="shared" si="38"/>
        <v>0</v>
      </c>
      <c r="AI48">
        <f t="shared" si="39"/>
        <v>0</v>
      </c>
      <c r="AJ48">
        <f t="shared" si="40"/>
        <v>0</v>
      </c>
      <c r="AK48">
        <v>12798.46</v>
      </c>
      <c r="AL48">
        <v>12798.46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Z48">
        <v>1</v>
      </c>
      <c r="BA48">
        <v>1</v>
      </c>
      <c r="BB48">
        <v>1</v>
      </c>
      <c r="BC48">
        <v>2.9</v>
      </c>
      <c r="BD48" t="s">
        <v>3</v>
      </c>
      <c r="BE48" t="s">
        <v>3</v>
      </c>
      <c r="BF48" t="s">
        <v>3</v>
      </c>
      <c r="BG48" t="s">
        <v>3</v>
      </c>
      <c r="BH48">
        <v>3</v>
      </c>
      <c r="BI48">
        <v>2</v>
      </c>
      <c r="BJ48" t="s">
        <v>125</v>
      </c>
      <c r="BM48">
        <v>331</v>
      </c>
      <c r="BN48">
        <v>0</v>
      </c>
      <c r="BO48" t="s">
        <v>123</v>
      </c>
      <c r="BP48">
        <v>1</v>
      </c>
      <c r="BQ48">
        <v>40</v>
      </c>
      <c r="BR48">
        <v>0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 t="s">
        <v>3</v>
      </c>
      <c r="BZ48">
        <v>0</v>
      </c>
      <c r="CA48">
        <v>0</v>
      </c>
      <c r="CE48">
        <v>30</v>
      </c>
      <c r="CF48">
        <v>0</v>
      </c>
      <c r="CG48">
        <v>0</v>
      </c>
      <c r="CM48">
        <v>0</v>
      </c>
      <c r="CN48" t="s">
        <v>3</v>
      </c>
      <c r="CO48">
        <v>0</v>
      </c>
      <c r="CP48">
        <f t="shared" si="41"/>
        <v>15143.13</v>
      </c>
      <c r="CQ48">
        <f t="shared" si="42"/>
        <v>37115.53</v>
      </c>
      <c r="CR48">
        <f t="shared" si="43"/>
        <v>0</v>
      </c>
      <c r="CS48">
        <f t="shared" si="44"/>
        <v>0</v>
      </c>
      <c r="CT48">
        <f t="shared" si="45"/>
        <v>0</v>
      </c>
      <c r="CU48">
        <f t="shared" si="46"/>
        <v>0</v>
      </c>
      <c r="CV48">
        <f t="shared" si="47"/>
        <v>0</v>
      </c>
      <c r="CW48">
        <f t="shared" si="48"/>
        <v>0</v>
      </c>
      <c r="CX48">
        <f t="shared" si="49"/>
        <v>0</v>
      </c>
      <c r="CY48">
        <f t="shared" si="50"/>
        <v>0</v>
      </c>
      <c r="CZ48">
        <f t="shared" si="51"/>
        <v>0</v>
      </c>
      <c r="DC48" t="s">
        <v>3</v>
      </c>
      <c r="DD48" t="s">
        <v>3</v>
      </c>
      <c r="DE48" t="s">
        <v>3</v>
      </c>
      <c r="DF48" t="s">
        <v>3</v>
      </c>
      <c r="DG48" t="s">
        <v>3</v>
      </c>
      <c r="DH48" t="s">
        <v>3</v>
      </c>
      <c r="DI48" t="s">
        <v>3</v>
      </c>
      <c r="DJ48" t="s">
        <v>3</v>
      </c>
      <c r="DK48" t="s">
        <v>3</v>
      </c>
      <c r="DL48" t="s">
        <v>3</v>
      </c>
      <c r="DM48" t="s">
        <v>3</v>
      </c>
      <c r="DN48">
        <v>112</v>
      </c>
      <c r="DO48">
        <v>70</v>
      </c>
      <c r="DP48">
        <v>1</v>
      </c>
      <c r="DQ48">
        <v>1</v>
      </c>
      <c r="DU48">
        <v>1003</v>
      </c>
      <c r="DV48" t="s">
        <v>57</v>
      </c>
      <c r="DW48" t="s">
        <v>57</v>
      </c>
      <c r="DX48">
        <v>1000</v>
      </c>
      <c r="EE48">
        <v>43770622</v>
      </c>
      <c r="EF48">
        <v>40</v>
      </c>
      <c r="EG48" t="s">
        <v>42</v>
      </c>
      <c r="EH48">
        <v>0</v>
      </c>
      <c r="EI48" t="s">
        <v>3</v>
      </c>
      <c r="EJ48">
        <v>2</v>
      </c>
      <c r="EK48">
        <v>331</v>
      </c>
      <c r="EL48" t="s">
        <v>84</v>
      </c>
      <c r="EM48" t="s">
        <v>85</v>
      </c>
      <c r="EO48" t="s">
        <v>3</v>
      </c>
      <c r="EQ48">
        <v>0</v>
      </c>
      <c r="ER48">
        <v>12798.46</v>
      </c>
      <c r="ES48">
        <v>12798.46</v>
      </c>
      <c r="ET48">
        <v>0</v>
      </c>
      <c r="EU48">
        <v>0</v>
      </c>
      <c r="EV48">
        <v>0</v>
      </c>
      <c r="EW48">
        <v>0</v>
      </c>
      <c r="EX48">
        <v>0</v>
      </c>
      <c r="FQ48">
        <v>0</v>
      </c>
      <c r="FR48">
        <f t="shared" si="52"/>
        <v>0</v>
      </c>
      <c r="FS48">
        <v>0</v>
      </c>
      <c r="FX48">
        <v>112</v>
      </c>
      <c r="FY48">
        <v>70</v>
      </c>
      <c r="GA48" t="s">
        <v>3</v>
      </c>
      <c r="GD48">
        <v>0</v>
      </c>
      <c r="GF48">
        <v>568479160</v>
      </c>
      <c r="GG48">
        <v>2</v>
      </c>
      <c r="GH48">
        <v>1</v>
      </c>
      <c r="GI48">
        <v>2</v>
      </c>
      <c r="GJ48">
        <v>0</v>
      </c>
      <c r="GK48">
        <f>ROUND(R48*(R12)/100,2)</f>
        <v>0</v>
      </c>
      <c r="GL48">
        <f t="shared" si="53"/>
        <v>0</v>
      </c>
      <c r="GM48">
        <f t="shared" si="54"/>
        <v>15143.13</v>
      </c>
      <c r="GN48">
        <f t="shared" si="55"/>
        <v>0</v>
      </c>
      <c r="GO48">
        <f t="shared" si="56"/>
        <v>15143.13</v>
      </c>
      <c r="GP48">
        <f t="shared" si="57"/>
        <v>0</v>
      </c>
      <c r="GR48">
        <v>0</v>
      </c>
      <c r="GS48">
        <v>3</v>
      </c>
      <c r="GT48">
        <v>0</v>
      </c>
      <c r="GU48" t="s">
        <v>3</v>
      </c>
      <c r="GV48">
        <f t="shared" si="58"/>
        <v>0</v>
      </c>
      <c r="GW48">
        <v>1</v>
      </c>
      <c r="GX48">
        <f t="shared" si="59"/>
        <v>0</v>
      </c>
      <c r="HA48">
        <v>0</v>
      </c>
      <c r="HB48">
        <v>0</v>
      </c>
      <c r="HC48">
        <f t="shared" si="60"/>
        <v>0</v>
      </c>
      <c r="IK48">
        <v>0</v>
      </c>
    </row>
    <row r="50" spans="1:206" x14ac:dyDescent="0.2">
      <c r="A50" s="2">
        <v>51</v>
      </c>
      <c r="B50" s="2">
        <f>B24</f>
        <v>1</v>
      </c>
      <c r="C50" s="2">
        <f>A24</f>
        <v>4</v>
      </c>
      <c r="D50" s="2">
        <f>ROW(A24)</f>
        <v>24</v>
      </c>
      <c r="E50" s="2"/>
      <c r="F50" s="2" t="str">
        <f>IF(F24&lt;&gt;"",F24,"")</f>
        <v>Новый раздел</v>
      </c>
      <c r="G50" s="2" t="str">
        <f>IF(G24&lt;&gt;"",G24,"")</f>
        <v>Пракладка кабеля в траншеи</v>
      </c>
      <c r="H50" s="2">
        <v>0</v>
      </c>
      <c r="I50" s="2"/>
      <c r="J50" s="2"/>
      <c r="K50" s="2"/>
      <c r="L50" s="2"/>
      <c r="M50" s="2"/>
      <c r="N50" s="2"/>
      <c r="O50" s="2">
        <f t="shared" ref="O50:T50" si="61">ROUND(AB50,2)</f>
        <v>759921.63</v>
      </c>
      <c r="P50" s="2">
        <f t="shared" si="61"/>
        <v>301162.21999999997</v>
      </c>
      <c r="Q50" s="2">
        <f t="shared" si="61"/>
        <v>300386.98</v>
      </c>
      <c r="R50" s="2">
        <f t="shared" si="61"/>
        <v>105804.99</v>
      </c>
      <c r="S50" s="2">
        <f t="shared" si="61"/>
        <v>158372.43</v>
      </c>
      <c r="T50" s="2">
        <f t="shared" si="61"/>
        <v>0</v>
      </c>
      <c r="U50" s="2">
        <f>AH50</f>
        <v>546.02759000000003</v>
      </c>
      <c r="V50" s="2">
        <f>AI50</f>
        <v>0</v>
      </c>
      <c r="W50" s="2">
        <f>ROUND(AJ50,2)</f>
        <v>0</v>
      </c>
      <c r="X50" s="2">
        <f>ROUND(AK50,2)</f>
        <v>142320.82999999999</v>
      </c>
      <c r="Y50" s="2">
        <f>ROUND(AL50,2)</f>
        <v>68585.47</v>
      </c>
      <c r="Z50" s="2"/>
      <c r="AA50" s="2"/>
      <c r="AB50" s="2">
        <f>ROUND(SUMIF(AA28:AA48,"=44002026",O28:O48),2)</f>
        <v>759921.63</v>
      </c>
      <c r="AC50" s="2">
        <f>ROUND(SUMIF(AA28:AA48,"=44002026",P28:P48),2)</f>
        <v>301162.21999999997</v>
      </c>
      <c r="AD50" s="2">
        <f>ROUND(SUMIF(AA28:AA48,"=44002026",Q28:Q48),2)</f>
        <v>300386.98</v>
      </c>
      <c r="AE50" s="2">
        <f>ROUND(SUMIF(AA28:AA48,"=44002026",R28:R48),2)</f>
        <v>105804.99</v>
      </c>
      <c r="AF50" s="2">
        <f>ROUND(SUMIF(AA28:AA48,"=44002026",S28:S48),2)</f>
        <v>158372.43</v>
      </c>
      <c r="AG50" s="2">
        <f>ROUND(SUMIF(AA28:AA48,"=44002026",T28:T48),2)</f>
        <v>0</v>
      </c>
      <c r="AH50" s="2">
        <f>SUMIF(AA28:AA48,"=44002026",U28:U48)</f>
        <v>546.02759000000003</v>
      </c>
      <c r="AI50" s="2">
        <f>SUMIF(AA28:AA48,"=44002026",V28:V48)</f>
        <v>0</v>
      </c>
      <c r="AJ50" s="2">
        <f>ROUND(SUMIF(AA28:AA48,"=44002026",W28:W48),2)</f>
        <v>0</v>
      </c>
      <c r="AK50" s="2">
        <f>ROUND(SUMIF(AA28:AA48,"=44002026",X28:X48),2)</f>
        <v>142320.82999999999</v>
      </c>
      <c r="AL50" s="2">
        <f>ROUND(SUMIF(AA28:AA48,"=44002026",Y28:Y48),2)</f>
        <v>68585.47</v>
      </c>
      <c r="AM50" s="2"/>
      <c r="AN50" s="2"/>
      <c r="AO50" s="2">
        <f t="shared" ref="AO50:BD50" si="62">ROUND(BX50,2)</f>
        <v>0</v>
      </c>
      <c r="AP50" s="2">
        <f t="shared" si="62"/>
        <v>0</v>
      </c>
      <c r="AQ50" s="2">
        <f t="shared" si="62"/>
        <v>0</v>
      </c>
      <c r="AR50" s="2">
        <f t="shared" si="62"/>
        <v>1136941.76</v>
      </c>
      <c r="AS50" s="2">
        <f t="shared" si="62"/>
        <v>143807.76999999999</v>
      </c>
      <c r="AT50" s="2">
        <f t="shared" si="62"/>
        <v>891208</v>
      </c>
      <c r="AU50" s="2">
        <f t="shared" si="62"/>
        <v>101925.99</v>
      </c>
      <c r="AV50" s="2">
        <f t="shared" si="62"/>
        <v>301162.21999999997</v>
      </c>
      <c r="AW50" s="2">
        <f t="shared" si="62"/>
        <v>301162.21999999997</v>
      </c>
      <c r="AX50" s="2">
        <f t="shared" si="62"/>
        <v>0</v>
      </c>
      <c r="AY50" s="2">
        <f t="shared" si="62"/>
        <v>301162.21999999997</v>
      </c>
      <c r="AZ50" s="2">
        <f t="shared" si="62"/>
        <v>0</v>
      </c>
      <c r="BA50" s="2">
        <f t="shared" si="62"/>
        <v>0</v>
      </c>
      <c r="BB50" s="2">
        <f t="shared" si="62"/>
        <v>0</v>
      </c>
      <c r="BC50" s="2">
        <f t="shared" si="62"/>
        <v>0</v>
      </c>
      <c r="BD50" s="2">
        <f t="shared" si="62"/>
        <v>0</v>
      </c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>
        <f>ROUND(SUMIF(AA28:AA48,"=44002026",FQ28:FQ48),2)</f>
        <v>0</v>
      </c>
      <c r="BY50" s="2">
        <f>ROUND(SUMIF(AA28:AA48,"=44002026",FR28:FR48),2)</f>
        <v>0</v>
      </c>
      <c r="BZ50" s="2">
        <f>ROUND(SUMIF(AA28:AA48,"=44002026",GL28:GL48),2)</f>
        <v>0</v>
      </c>
      <c r="CA50" s="2">
        <f>ROUND(SUMIF(AA28:AA48,"=44002026",GM28:GM48),2)</f>
        <v>1136941.76</v>
      </c>
      <c r="CB50" s="2">
        <f>ROUND(SUMIF(AA28:AA48,"=44002026",GN28:GN48),2)</f>
        <v>143807.76999999999</v>
      </c>
      <c r="CC50" s="2">
        <f>ROUND(SUMIF(AA28:AA48,"=44002026",GO28:GO48),2)</f>
        <v>891208</v>
      </c>
      <c r="CD50" s="2">
        <f>ROUND(SUMIF(AA28:AA48,"=44002026",GP28:GP48),2)</f>
        <v>101925.99</v>
      </c>
      <c r="CE50" s="2">
        <f>AC50-BX50</f>
        <v>301162.21999999997</v>
      </c>
      <c r="CF50" s="2">
        <f>AC50-BY50</f>
        <v>301162.21999999997</v>
      </c>
      <c r="CG50" s="2">
        <f>BX50-BZ50</f>
        <v>0</v>
      </c>
      <c r="CH50" s="2">
        <f>AC50-BX50-BY50+BZ50</f>
        <v>301162.21999999997</v>
      </c>
      <c r="CI50" s="2">
        <f>BY50-BZ50</f>
        <v>0</v>
      </c>
      <c r="CJ50" s="2">
        <f>ROUND(SUMIF(AA28:AA48,"=44002026",GX28:GX48),2)</f>
        <v>0</v>
      </c>
      <c r="CK50" s="2">
        <f>ROUND(SUMIF(AA28:AA48,"=44002026",GY28:GY48),2)</f>
        <v>0</v>
      </c>
      <c r="CL50" s="2">
        <f>ROUND(SUMIF(AA28:AA48,"=44002026",GZ28:GZ48),2)</f>
        <v>0</v>
      </c>
      <c r="CM50" s="2">
        <f>ROUND(SUMIF(AA28:AA48,"=44002026",HD28:HD48),2)</f>
        <v>0</v>
      </c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>
        <v>0</v>
      </c>
    </row>
    <row r="52" spans="1:206" x14ac:dyDescent="0.2">
      <c r="A52" s="4">
        <v>50</v>
      </c>
      <c r="B52" s="4">
        <v>0</v>
      </c>
      <c r="C52" s="4">
        <v>0</v>
      </c>
      <c r="D52" s="4">
        <v>1</v>
      </c>
      <c r="E52" s="4">
        <v>201</v>
      </c>
      <c r="F52" s="4">
        <f>ROUND(Source!O50,O52)</f>
        <v>759921.63</v>
      </c>
      <c r="G52" s="4" t="s">
        <v>126</v>
      </c>
      <c r="H52" s="4" t="s">
        <v>127</v>
      </c>
      <c r="I52" s="4"/>
      <c r="J52" s="4"/>
      <c r="K52" s="4">
        <v>201</v>
      </c>
      <c r="L52" s="4">
        <v>1</v>
      </c>
      <c r="M52" s="4">
        <v>3</v>
      </c>
      <c r="N52" s="4" t="s">
        <v>3</v>
      </c>
      <c r="O52" s="4">
        <v>2</v>
      </c>
      <c r="P52" s="4"/>
      <c r="Q52" s="4"/>
      <c r="R52" s="4"/>
      <c r="S52" s="4"/>
      <c r="T52" s="4"/>
      <c r="U52" s="4"/>
      <c r="V52" s="4"/>
      <c r="W52" s="4"/>
    </row>
    <row r="53" spans="1:206" x14ac:dyDescent="0.2">
      <c r="A53" s="4">
        <v>50</v>
      </c>
      <c r="B53" s="4">
        <v>0</v>
      </c>
      <c r="C53" s="4">
        <v>0</v>
      </c>
      <c r="D53" s="4">
        <v>1</v>
      </c>
      <c r="E53" s="4">
        <v>202</v>
      </c>
      <c r="F53" s="4">
        <f>ROUND(Source!P50,O53)</f>
        <v>301162.21999999997</v>
      </c>
      <c r="G53" s="4" t="s">
        <v>128</v>
      </c>
      <c r="H53" s="4" t="s">
        <v>129</v>
      </c>
      <c r="I53" s="4"/>
      <c r="J53" s="4"/>
      <c r="K53" s="4">
        <v>202</v>
      </c>
      <c r="L53" s="4">
        <v>2</v>
      </c>
      <c r="M53" s="4">
        <v>3</v>
      </c>
      <c r="N53" s="4" t="s">
        <v>3</v>
      </c>
      <c r="O53" s="4">
        <v>2</v>
      </c>
      <c r="P53" s="4"/>
      <c r="Q53" s="4"/>
      <c r="R53" s="4"/>
      <c r="S53" s="4"/>
      <c r="T53" s="4"/>
      <c r="U53" s="4"/>
      <c r="V53" s="4"/>
      <c r="W53" s="4"/>
    </row>
    <row r="54" spans="1:206" x14ac:dyDescent="0.2">
      <c r="A54" s="4">
        <v>50</v>
      </c>
      <c r="B54" s="4">
        <v>0</v>
      </c>
      <c r="C54" s="4">
        <v>0</v>
      </c>
      <c r="D54" s="4">
        <v>1</v>
      </c>
      <c r="E54" s="4">
        <v>222</v>
      </c>
      <c r="F54" s="4">
        <f>ROUND(Source!AO50,O54)</f>
        <v>0</v>
      </c>
      <c r="G54" s="4" t="s">
        <v>130</v>
      </c>
      <c r="H54" s="4" t="s">
        <v>131</v>
      </c>
      <c r="I54" s="4"/>
      <c r="J54" s="4"/>
      <c r="K54" s="4">
        <v>222</v>
      </c>
      <c r="L54" s="4">
        <v>3</v>
      </c>
      <c r="M54" s="4">
        <v>3</v>
      </c>
      <c r="N54" s="4" t="s">
        <v>3</v>
      </c>
      <c r="O54" s="4">
        <v>2</v>
      </c>
      <c r="P54" s="4"/>
      <c r="Q54" s="4"/>
      <c r="R54" s="4"/>
      <c r="S54" s="4"/>
      <c r="T54" s="4"/>
      <c r="U54" s="4"/>
      <c r="V54" s="4"/>
      <c r="W54" s="4"/>
    </row>
    <row r="55" spans="1:206" x14ac:dyDescent="0.2">
      <c r="A55" s="4">
        <v>50</v>
      </c>
      <c r="B55" s="4">
        <v>0</v>
      </c>
      <c r="C55" s="4">
        <v>0</v>
      </c>
      <c r="D55" s="4">
        <v>1</v>
      </c>
      <c r="E55" s="4">
        <v>225</v>
      </c>
      <c r="F55" s="4">
        <f>ROUND(Source!AV50,O55)</f>
        <v>301162.21999999997</v>
      </c>
      <c r="G55" s="4" t="s">
        <v>132</v>
      </c>
      <c r="H55" s="4" t="s">
        <v>133</v>
      </c>
      <c r="I55" s="4"/>
      <c r="J55" s="4"/>
      <c r="K55" s="4">
        <v>225</v>
      </c>
      <c r="L55" s="4">
        <v>4</v>
      </c>
      <c r="M55" s="4">
        <v>3</v>
      </c>
      <c r="N55" s="4" t="s">
        <v>3</v>
      </c>
      <c r="O55" s="4">
        <v>2</v>
      </c>
      <c r="P55" s="4"/>
      <c r="Q55" s="4"/>
      <c r="R55" s="4"/>
      <c r="S55" s="4"/>
      <c r="T55" s="4"/>
      <c r="U55" s="4"/>
      <c r="V55" s="4"/>
      <c r="W55" s="4"/>
    </row>
    <row r="56" spans="1:206" x14ac:dyDescent="0.2">
      <c r="A56" s="4">
        <v>50</v>
      </c>
      <c r="B56" s="4">
        <v>0</v>
      </c>
      <c r="C56" s="4">
        <v>0</v>
      </c>
      <c r="D56" s="4">
        <v>1</v>
      </c>
      <c r="E56" s="4">
        <v>226</v>
      </c>
      <c r="F56" s="4">
        <f>ROUND(Source!AW50,O56)</f>
        <v>301162.21999999997</v>
      </c>
      <c r="G56" s="4" t="s">
        <v>134</v>
      </c>
      <c r="H56" s="4" t="s">
        <v>135</v>
      </c>
      <c r="I56" s="4"/>
      <c r="J56" s="4"/>
      <c r="K56" s="4">
        <v>226</v>
      </c>
      <c r="L56" s="4">
        <v>5</v>
      </c>
      <c r="M56" s="4">
        <v>3</v>
      </c>
      <c r="N56" s="4" t="s">
        <v>3</v>
      </c>
      <c r="O56" s="4">
        <v>2</v>
      </c>
      <c r="P56" s="4"/>
      <c r="Q56" s="4"/>
      <c r="R56" s="4"/>
      <c r="S56" s="4"/>
      <c r="T56" s="4"/>
      <c r="U56" s="4"/>
      <c r="V56" s="4"/>
      <c r="W56" s="4"/>
    </row>
    <row r="57" spans="1:206" x14ac:dyDescent="0.2">
      <c r="A57" s="4">
        <v>50</v>
      </c>
      <c r="B57" s="4">
        <v>0</v>
      </c>
      <c r="C57" s="4">
        <v>0</v>
      </c>
      <c r="D57" s="4">
        <v>1</v>
      </c>
      <c r="E57" s="4">
        <v>227</v>
      </c>
      <c r="F57" s="4">
        <f>ROUND(Source!AX50,O57)</f>
        <v>0</v>
      </c>
      <c r="G57" s="4" t="s">
        <v>136</v>
      </c>
      <c r="H57" s="4" t="s">
        <v>137</v>
      </c>
      <c r="I57" s="4"/>
      <c r="J57" s="4"/>
      <c r="K57" s="4">
        <v>227</v>
      </c>
      <c r="L57" s="4">
        <v>6</v>
      </c>
      <c r="M57" s="4">
        <v>3</v>
      </c>
      <c r="N57" s="4" t="s">
        <v>3</v>
      </c>
      <c r="O57" s="4">
        <v>2</v>
      </c>
      <c r="P57" s="4"/>
      <c r="Q57" s="4"/>
      <c r="R57" s="4"/>
      <c r="S57" s="4"/>
      <c r="T57" s="4"/>
      <c r="U57" s="4"/>
      <c r="V57" s="4"/>
      <c r="W57" s="4"/>
    </row>
    <row r="58" spans="1:206" x14ac:dyDescent="0.2">
      <c r="A58" s="4">
        <v>50</v>
      </c>
      <c r="B58" s="4">
        <v>0</v>
      </c>
      <c r="C58" s="4">
        <v>0</v>
      </c>
      <c r="D58" s="4">
        <v>1</v>
      </c>
      <c r="E58" s="4">
        <v>228</v>
      </c>
      <c r="F58" s="4">
        <f>ROUND(Source!AY50,O58)</f>
        <v>301162.21999999997</v>
      </c>
      <c r="G58" s="4" t="s">
        <v>138</v>
      </c>
      <c r="H58" s="4" t="s">
        <v>139</v>
      </c>
      <c r="I58" s="4"/>
      <c r="J58" s="4"/>
      <c r="K58" s="4">
        <v>228</v>
      </c>
      <c r="L58" s="4">
        <v>7</v>
      </c>
      <c r="M58" s="4">
        <v>3</v>
      </c>
      <c r="N58" s="4" t="s">
        <v>3</v>
      </c>
      <c r="O58" s="4">
        <v>2</v>
      </c>
      <c r="P58" s="4"/>
      <c r="Q58" s="4"/>
      <c r="R58" s="4"/>
      <c r="S58" s="4"/>
      <c r="T58" s="4"/>
      <c r="U58" s="4"/>
      <c r="V58" s="4"/>
      <c r="W58" s="4"/>
    </row>
    <row r="59" spans="1:206" x14ac:dyDescent="0.2">
      <c r="A59" s="4">
        <v>50</v>
      </c>
      <c r="B59" s="4">
        <v>0</v>
      </c>
      <c r="C59" s="4">
        <v>0</v>
      </c>
      <c r="D59" s="4">
        <v>1</v>
      </c>
      <c r="E59" s="4">
        <v>216</v>
      </c>
      <c r="F59" s="4">
        <f>ROUND(Source!AP50,O59)</f>
        <v>0</v>
      </c>
      <c r="G59" s="4" t="s">
        <v>140</v>
      </c>
      <c r="H59" s="4" t="s">
        <v>141</v>
      </c>
      <c r="I59" s="4"/>
      <c r="J59" s="4"/>
      <c r="K59" s="4">
        <v>216</v>
      </c>
      <c r="L59" s="4">
        <v>8</v>
      </c>
      <c r="M59" s="4">
        <v>3</v>
      </c>
      <c r="N59" s="4" t="s">
        <v>3</v>
      </c>
      <c r="O59" s="4">
        <v>2</v>
      </c>
      <c r="P59" s="4"/>
      <c r="Q59" s="4"/>
      <c r="R59" s="4"/>
      <c r="S59" s="4"/>
      <c r="T59" s="4"/>
      <c r="U59" s="4"/>
      <c r="V59" s="4"/>
      <c r="W59" s="4"/>
    </row>
    <row r="60" spans="1:206" x14ac:dyDescent="0.2">
      <c r="A60" s="4">
        <v>50</v>
      </c>
      <c r="B60" s="4">
        <v>0</v>
      </c>
      <c r="C60" s="4">
        <v>0</v>
      </c>
      <c r="D60" s="4">
        <v>1</v>
      </c>
      <c r="E60" s="4">
        <v>223</v>
      </c>
      <c r="F60" s="4">
        <f>ROUND(Source!AQ50,O60)</f>
        <v>0</v>
      </c>
      <c r="G60" s="4" t="s">
        <v>142</v>
      </c>
      <c r="H60" s="4" t="s">
        <v>143</v>
      </c>
      <c r="I60" s="4"/>
      <c r="J60" s="4"/>
      <c r="K60" s="4">
        <v>223</v>
      </c>
      <c r="L60" s="4">
        <v>9</v>
      </c>
      <c r="M60" s="4">
        <v>3</v>
      </c>
      <c r="N60" s="4" t="s">
        <v>3</v>
      </c>
      <c r="O60" s="4">
        <v>2</v>
      </c>
      <c r="P60" s="4"/>
      <c r="Q60" s="4"/>
      <c r="R60" s="4"/>
      <c r="S60" s="4"/>
      <c r="T60" s="4"/>
      <c r="U60" s="4"/>
      <c r="V60" s="4"/>
      <c r="W60" s="4"/>
    </row>
    <row r="61" spans="1:206" x14ac:dyDescent="0.2">
      <c r="A61" s="4">
        <v>50</v>
      </c>
      <c r="B61" s="4">
        <v>0</v>
      </c>
      <c r="C61" s="4">
        <v>0</v>
      </c>
      <c r="D61" s="4">
        <v>1</v>
      </c>
      <c r="E61" s="4">
        <v>229</v>
      </c>
      <c r="F61" s="4">
        <f>ROUND(Source!AZ50,O61)</f>
        <v>0</v>
      </c>
      <c r="G61" s="4" t="s">
        <v>144</v>
      </c>
      <c r="H61" s="4" t="s">
        <v>145</v>
      </c>
      <c r="I61" s="4"/>
      <c r="J61" s="4"/>
      <c r="K61" s="4">
        <v>229</v>
      </c>
      <c r="L61" s="4">
        <v>10</v>
      </c>
      <c r="M61" s="4">
        <v>3</v>
      </c>
      <c r="N61" s="4" t="s">
        <v>3</v>
      </c>
      <c r="O61" s="4">
        <v>2</v>
      </c>
      <c r="P61" s="4"/>
      <c r="Q61" s="4"/>
      <c r="R61" s="4"/>
      <c r="S61" s="4"/>
      <c r="T61" s="4"/>
      <c r="U61" s="4"/>
      <c r="V61" s="4"/>
      <c r="W61" s="4"/>
    </row>
    <row r="62" spans="1:206" x14ac:dyDescent="0.2">
      <c r="A62" s="4">
        <v>50</v>
      </c>
      <c r="B62" s="4">
        <v>0</v>
      </c>
      <c r="C62" s="4">
        <v>0</v>
      </c>
      <c r="D62" s="4">
        <v>1</v>
      </c>
      <c r="E62" s="4">
        <v>203</v>
      </c>
      <c r="F62" s="4">
        <f>ROUND(Source!Q50,O62)</f>
        <v>300386.98</v>
      </c>
      <c r="G62" s="4" t="s">
        <v>146</v>
      </c>
      <c r="H62" s="4" t="s">
        <v>147</v>
      </c>
      <c r="I62" s="4"/>
      <c r="J62" s="4"/>
      <c r="K62" s="4">
        <v>203</v>
      </c>
      <c r="L62" s="4">
        <v>11</v>
      </c>
      <c r="M62" s="4">
        <v>3</v>
      </c>
      <c r="N62" s="4" t="s">
        <v>3</v>
      </c>
      <c r="O62" s="4">
        <v>2</v>
      </c>
      <c r="P62" s="4"/>
      <c r="Q62" s="4"/>
      <c r="R62" s="4"/>
      <c r="S62" s="4"/>
      <c r="T62" s="4"/>
      <c r="U62" s="4"/>
      <c r="V62" s="4"/>
      <c r="W62" s="4"/>
    </row>
    <row r="63" spans="1:206" x14ac:dyDescent="0.2">
      <c r="A63" s="4">
        <v>50</v>
      </c>
      <c r="B63" s="4">
        <v>0</v>
      </c>
      <c r="C63" s="4">
        <v>0</v>
      </c>
      <c r="D63" s="4">
        <v>1</v>
      </c>
      <c r="E63" s="4">
        <v>231</v>
      </c>
      <c r="F63" s="4">
        <f>ROUND(Source!BB50,O63)</f>
        <v>0</v>
      </c>
      <c r="G63" s="4" t="s">
        <v>148</v>
      </c>
      <c r="H63" s="4" t="s">
        <v>149</v>
      </c>
      <c r="I63" s="4"/>
      <c r="J63" s="4"/>
      <c r="K63" s="4">
        <v>231</v>
      </c>
      <c r="L63" s="4">
        <v>12</v>
      </c>
      <c r="M63" s="4">
        <v>3</v>
      </c>
      <c r="N63" s="4" t="s">
        <v>3</v>
      </c>
      <c r="O63" s="4">
        <v>2</v>
      </c>
      <c r="P63" s="4"/>
      <c r="Q63" s="4"/>
      <c r="R63" s="4"/>
      <c r="S63" s="4"/>
      <c r="T63" s="4"/>
      <c r="U63" s="4"/>
      <c r="V63" s="4"/>
      <c r="W63" s="4"/>
    </row>
    <row r="64" spans="1:206" x14ac:dyDescent="0.2">
      <c r="A64" s="4">
        <v>50</v>
      </c>
      <c r="B64" s="4">
        <v>0</v>
      </c>
      <c r="C64" s="4">
        <v>0</v>
      </c>
      <c r="D64" s="4">
        <v>1</v>
      </c>
      <c r="E64" s="4">
        <v>204</v>
      </c>
      <c r="F64" s="4">
        <f>ROUND(Source!R50,O64)</f>
        <v>105804.99</v>
      </c>
      <c r="G64" s="4" t="s">
        <v>150</v>
      </c>
      <c r="H64" s="4" t="s">
        <v>151</v>
      </c>
      <c r="I64" s="4"/>
      <c r="J64" s="4"/>
      <c r="K64" s="4">
        <v>204</v>
      </c>
      <c r="L64" s="4">
        <v>13</v>
      </c>
      <c r="M64" s="4">
        <v>3</v>
      </c>
      <c r="N64" s="4" t="s">
        <v>3</v>
      </c>
      <c r="O64" s="4">
        <v>2</v>
      </c>
      <c r="P64" s="4"/>
      <c r="Q64" s="4"/>
      <c r="R64" s="4"/>
      <c r="S64" s="4"/>
      <c r="T64" s="4"/>
      <c r="U64" s="4"/>
      <c r="V64" s="4"/>
      <c r="W64" s="4"/>
    </row>
    <row r="65" spans="1:88" x14ac:dyDescent="0.2">
      <c r="A65" s="4">
        <v>50</v>
      </c>
      <c r="B65" s="4">
        <v>0</v>
      </c>
      <c r="C65" s="4">
        <v>0</v>
      </c>
      <c r="D65" s="4">
        <v>1</v>
      </c>
      <c r="E65" s="4">
        <v>205</v>
      </c>
      <c r="F65" s="4">
        <f>ROUND(Source!S50,O65)</f>
        <v>158372.43</v>
      </c>
      <c r="G65" s="4" t="s">
        <v>152</v>
      </c>
      <c r="H65" s="4" t="s">
        <v>153</v>
      </c>
      <c r="I65" s="4"/>
      <c r="J65" s="4"/>
      <c r="K65" s="4">
        <v>205</v>
      </c>
      <c r="L65" s="4">
        <v>14</v>
      </c>
      <c r="M65" s="4">
        <v>3</v>
      </c>
      <c r="N65" s="4" t="s">
        <v>3</v>
      </c>
      <c r="O65" s="4">
        <v>2</v>
      </c>
      <c r="P65" s="4"/>
      <c r="Q65" s="4"/>
      <c r="R65" s="4"/>
      <c r="S65" s="4"/>
      <c r="T65" s="4"/>
      <c r="U65" s="4"/>
      <c r="V65" s="4"/>
      <c r="W65" s="4"/>
    </row>
    <row r="66" spans="1:88" x14ac:dyDescent="0.2">
      <c r="A66" s="4">
        <v>50</v>
      </c>
      <c r="B66" s="4">
        <v>0</v>
      </c>
      <c r="C66" s="4">
        <v>0</v>
      </c>
      <c r="D66" s="4">
        <v>1</v>
      </c>
      <c r="E66" s="4">
        <v>232</v>
      </c>
      <c r="F66" s="4">
        <f>ROUND(Source!BC50,O66)</f>
        <v>0</v>
      </c>
      <c r="G66" s="4" t="s">
        <v>154</v>
      </c>
      <c r="H66" s="4" t="s">
        <v>155</v>
      </c>
      <c r="I66" s="4"/>
      <c r="J66" s="4"/>
      <c r="K66" s="4">
        <v>232</v>
      </c>
      <c r="L66" s="4">
        <v>15</v>
      </c>
      <c r="M66" s="4">
        <v>3</v>
      </c>
      <c r="N66" s="4" t="s">
        <v>3</v>
      </c>
      <c r="O66" s="4">
        <v>2</v>
      </c>
      <c r="P66" s="4"/>
      <c r="Q66" s="4"/>
      <c r="R66" s="4"/>
      <c r="S66" s="4"/>
      <c r="T66" s="4"/>
      <c r="U66" s="4"/>
      <c r="V66" s="4"/>
      <c r="W66" s="4"/>
    </row>
    <row r="67" spans="1:88" x14ac:dyDescent="0.2">
      <c r="A67" s="4">
        <v>50</v>
      </c>
      <c r="B67" s="4">
        <v>0</v>
      </c>
      <c r="C67" s="4">
        <v>0</v>
      </c>
      <c r="D67" s="4">
        <v>1</v>
      </c>
      <c r="E67" s="4">
        <v>214</v>
      </c>
      <c r="F67" s="4">
        <f>ROUND(Source!AS50,O67)</f>
        <v>143807.76999999999</v>
      </c>
      <c r="G67" s="4" t="s">
        <v>156</v>
      </c>
      <c r="H67" s="4" t="s">
        <v>157</v>
      </c>
      <c r="I67" s="4"/>
      <c r="J67" s="4"/>
      <c r="K67" s="4">
        <v>214</v>
      </c>
      <c r="L67" s="4">
        <v>16</v>
      </c>
      <c r="M67" s="4">
        <v>3</v>
      </c>
      <c r="N67" s="4" t="s">
        <v>3</v>
      </c>
      <c r="O67" s="4">
        <v>2</v>
      </c>
      <c r="P67" s="4"/>
      <c r="Q67" s="4"/>
      <c r="R67" s="4"/>
      <c r="S67" s="4"/>
      <c r="T67" s="4"/>
      <c r="U67" s="4"/>
      <c r="V67" s="4"/>
      <c r="W67" s="4"/>
    </row>
    <row r="68" spans="1:88" x14ac:dyDescent="0.2">
      <c r="A68" s="4">
        <v>50</v>
      </c>
      <c r="B68" s="4">
        <v>0</v>
      </c>
      <c r="C68" s="4">
        <v>0</v>
      </c>
      <c r="D68" s="4">
        <v>1</v>
      </c>
      <c r="E68" s="4">
        <v>215</v>
      </c>
      <c r="F68" s="4">
        <f>ROUND(Source!AT50,O68)</f>
        <v>891208</v>
      </c>
      <c r="G68" s="4" t="s">
        <v>158</v>
      </c>
      <c r="H68" s="4" t="s">
        <v>159</v>
      </c>
      <c r="I68" s="4"/>
      <c r="J68" s="4"/>
      <c r="K68" s="4">
        <v>215</v>
      </c>
      <c r="L68" s="4">
        <v>17</v>
      </c>
      <c r="M68" s="4">
        <v>3</v>
      </c>
      <c r="N68" s="4" t="s">
        <v>3</v>
      </c>
      <c r="O68" s="4">
        <v>2</v>
      </c>
      <c r="P68" s="4"/>
      <c r="Q68" s="4"/>
      <c r="R68" s="4"/>
      <c r="S68" s="4"/>
      <c r="T68" s="4"/>
      <c r="U68" s="4"/>
      <c r="V68" s="4"/>
      <c r="W68" s="4"/>
    </row>
    <row r="69" spans="1:88" x14ac:dyDescent="0.2">
      <c r="A69" s="4">
        <v>50</v>
      </c>
      <c r="B69" s="4">
        <v>0</v>
      </c>
      <c r="C69" s="4">
        <v>0</v>
      </c>
      <c r="D69" s="4">
        <v>1</v>
      </c>
      <c r="E69" s="4">
        <v>217</v>
      </c>
      <c r="F69" s="4">
        <f>ROUND(Source!AU50,O69)</f>
        <v>101925.99</v>
      </c>
      <c r="G69" s="4" t="s">
        <v>160</v>
      </c>
      <c r="H69" s="4" t="s">
        <v>161</v>
      </c>
      <c r="I69" s="4"/>
      <c r="J69" s="4"/>
      <c r="K69" s="4">
        <v>217</v>
      </c>
      <c r="L69" s="4">
        <v>18</v>
      </c>
      <c r="M69" s="4">
        <v>3</v>
      </c>
      <c r="N69" s="4" t="s">
        <v>3</v>
      </c>
      <c r="O69" s="4">
        <v>2</v>
      </c>
      <c r="P69" s="4"/>
      <c r="Q69" s="4"/>
      <c r="R69" s="4"/>
      <c r="S69" s="4"/>
      <c r="T69" s="4"/>
      <c r="U69" s="4"/>
      <c r="V69" s="4"/>
      <c r="W69" s="4"/>
    </row>
    <row r="70" spans="1:88" x14ac:dyDescent="0.2">
      <c r="A70" s="4">
        <v>50</v>
      </c>
      <c r="B70" s="4">
        <v>0</v>
      </c>
      <c r="C70" s="4">
        <v>0</v>
      </c>
      <c r="D70" s="4">
        <v>1</v>
      </c>
      <c r="E70" s="4">
        <v>230</v>
      </c>
      <c r="F70" s="4">
        <f>ROUND(Source!BA50,O70)</f>
        <v>0</v>
      </c>
      <c r="G70" s="4" t="s">
        <v>162</v>
      </c>
      <c r="H70" s="4" t="s">
        <v>163</v>
      </c>
      <c r="I70" s="4"/>
      <c r="J70" s="4"/>
      <c r="K70" s="4">
        <v>230</v>
      </c>
      <c r="L70" s="4">
        <v>19</v>
      </c>
      <c r="M70" s="4">
        <v>3</v>
      </c>
      <c r="N70" s="4" t="s">
        <v>3</v>
      </c>
      <c r="O70" s="4">
        <v>2</v>
      </c>
      <c r="P70" s="4"/>
      <c r="Q70" s="4"/>
      <c r="R70" s="4"/>
      <c r="S70" s="4"/>
      <c r="T70" s="4"/>
      <c r="U70" s="4"/>
      <c r="V70" s="4"/>
      <c r="W70" s="4"/>
    </row>
    <row r="71" spans="1:88" x14ac:dyDescent="0.2">
      <c r="A71" s="4">
        <v>50</v>
      </c>
      <c r="B71" s="4">
        <v>0</v>
      </c>
      <c r="C71" s="4">
        <v>0</v>
      </c>
      <c r="D71" s="4">
        <v>1</v>
      </c>
      <c r="E71" s="4">
        <v>206</v>
      </c>
      <c r="F71" s="4">
        <f>ROUND(Source!T50,O71)</f>
        <v>0</v>
      </c>
      <c r="G71" s="4" t="s">
        <v>164</v>
      </c>
      <c r="H71" s="4" t="s">
        <v>165</v>
      </c>
      <c r="I71" s="4"/>
      <c r="J71" s="4"/>
      <c r="K71" s="4">
        <v>206</v>
      </c>
      <c r="L71" s="4">
        <v>20</v>
      </c>
      <c r="M71" s="4">
        <v>3</v>
      </c>
      <c r="N71" s="4" t="s">
        <v>3</v>
      </c>
      <c r="O71" s="4">
        <v>2</v>
      </c>
      <c r="P71" s="4"/>
      <c r="Q71" s="4"/>
      <c r="R71" s="4"/>
      <c r="S71" s="4"/>
      <c r="T71" s="4"/>
      <c r="U71" s="4"/>
      <c r="V71" s="4"/>
      <c r="W71" s="4"/>
    </row>
    <row r="72" spans="1:88" x14ac:dyDescent="0.2">
      <c r="A72" s="4">
        <v>50</v>
      </c>
      <c r="B72" s="4">
        <v>0</v>
      </c>
      <c r="C72" s="4">
        <v>0</v>
      </c>
      <c r="D72" s="4">
        <v>1</v>
      </c>
      <c r="E72" s="4">
        <v>207</v>
      </c>
      <c r="F72" s="4">
        <f>Source!U50</f>
        <v>546.02759000000003</v>
      </c>
      <c r="G72" s="4" t="s">
        <v>166</v>
      </c>
      <c r="H72" s="4" t="s">
        <v>167</v>
      </c>
      <c r="I72" s="4"/>
      <c r="J72" s="4"/>
      <c r="K72" s="4">
        <v>207</v>
      </c>
      <c r="L72" s="4">
        <v>21</v>
      </c>
      <c r="M72" s="4">
        <v>3</v>
      </c>
      <c r="N72" s="4" t="s">
        <v>3</v>
      </c>
      <c r="O72" s="4">
        <v>-1</v>
      </c>
      <c r="P72" s="4"/>
      <c r="Q72" s="4"/>
      <c r="R72" s="4"/>
      <c r="S72" s="4"/>
      <c r="T72" s="4"/>
      <c r="U72" s="4"/>
      <c r="V72" s="4"/>
      <c r="W72" s="4"/>
    </row>
    <row r="73" spans="1:88" x14ac:dyDescent="0.2">
      <c r="A73" s="4">
        <v>50</v>
      </c>
      <c r="B73" s="4">
        <v>0</v>
      </c>
      <c r="C73" s="4">
        <v>0</v>
      </c>
      <c r="D73" s="4">
        <v>1</v>
      </c>
      <c r="E73" s="4">
        <v>208</v>
      </c>
      <c r="F73" s="4">
        <f>Source!V50</f>
        <v>0</v>
      </c>
      <c r="G73" s="4" t="s">
        <v>168</v>
      </c>
      <c r="H73" s="4" t="s">
        <v>169</v>
      </c>
      <c r="I73" s="4"/>
      <c r="J73" s="4"/>
      <c r="K73" s="4">
        <v>208</v>
      </c>
      <c r="L73" s="4">
        <v>22</v>
      </c>
      <c r="M73" s="4">
        <v>3</v>
      </c>
      <c r="N73" s="4" t="s">
        <v>3</v>
      </c>
      <c r="O73" s="4">
        <v>-1</v>
      </c>
      <c r="P73" s="4"/>
      <c r="Q73" s="4"/>
      <c r="R73" s="4"/>
      <c r="S73" s="4"/>
      <c r="T73" s="4"/>
      <c r="U73" s="4"/>
      <c r="V73" s="4"/>
      <c r="W73" s="4"/>
    </row>
    <row r="74" spans="1:88" x14ac:dyDescent="0.2">
      <c r="A74" s="4">
        <v>50</v>
      </c>
      <c r="B74" s="4">
        <v>0</v>
      </c>
      <c r="C74" s="4">
        <v>0</v>
      </c>
      <c r="D74" s="4">
        <v>1</v>
      </c>
      <c r="E74" s="4">
        <v>209</v>
      </c>
      <c r="F74" s="4">
        <f>ROUND(Source!W50,O74)</f>
        <v>0</v>
      </c>
      <c r="G74" s="4" t="s">
        <v>170</v>
      </c>
      <c r="H74" s="4" t="s">
        <v>171</v>
      </c>
      <c r="I74" s="4"/>
      <c r="J74" s="4"/>
      <c r="K74" s="4">
        <v>209</v>
      </c>
      <c r="L74" s="4">
        <v>23</v>
      </c>
      <c r="M74" s="4">
        <v>3</v>
      </c>
      <c r="N74" s="4" t="s">
        <v>3</v>
      </c>
      <c r="O74" s="4">
        <v>2</v>
      </c>
      <c r="P74" s="4"/>
      <c r="Q74" s="4"/>
      <c r="R74" s="4"/>
      <c r="S74" s="4"/>
      <c r="T74" s="4"/>
      <c r="U74" s="4"/>
      <c r="V74" s="4"/>
      <c r="W74" s="4"/>
    </row>
    <row r="75" spans="1:88" x14ac:dyDescent="0.2">
      <c r="A75" s="4">
        <v>50</v>
      </c>
      <c r="B75" s="4">
        <v>0</v>
      </c>
      <c r="C75" s="4">
        <v>0</v>
      </c>
      <c r="D75" s="4">
        <v>1</v>
      </c>
      <c r="E75" s="4">
        <v>233</v>
      </c>
      <c r="F75" s="4">
        <f>ROUND(Source!BD50,O75)</f>
        <v>0</v>
      </c>
      <c r="G75" s="4" t="s">
        <v>172</v>
      </c>
      <c r="H75" s="4" t="s">
        <v>173</v>
      </c>
      <c r="I75" s="4"/>
      <c r="J75" s="4"/>
      <c r="K75" s="4">
        <v>233</v>
      </c>
      <c r="L75" s="4">
        <v>24</v>
      </c>
      <c r="M75" s="4">
        <v>3</v>
      </c>
      <c r="N75" s="4" t="s">
        <v>3</v>
      </c>
      <c r="O75" s="4">
        <v>2</v>
      </c>
      <c r="P75" s="4"/>
      <c r="Q75" s="4"/>
      <c r="R75" s="4"/>
      <c r="S75" s="4"/>
      <c r="T75" s="4"/>
      <c r="U75" s="4"/>
      <c r="V75" s="4"/>
      <c r="W75" s="4"/>
    </row>
    <row r="76" spans="1:88" x14ac:dyDescent="0.2">
      <c r="A76" s="4">
        <v>50</v>
      </c>
      <c r="B76" s="4">
        <v>0</v>
      </c>
      <c r="C76" s="4">
        <v>0</v>
      </c>
      <c r="D76" s="4">
        <v>1</v>
      </c>
      <c r="E76" s="4">
        <v>210</v>
      </c>
      <c r="F76" s="4">
        <f>ROUND(Source!X50,O76)</f>
        <v>142320.82999999999</v>
      </c>
      <c r="G76" s="4" t="s">
        <v>174</v>
      </c>
      <c r="H76" s="4" t="s">
        <v>175</v>
      </c>
      <c r="I76" s="4"/>
      <c r="J76" s="4"/>
      <c r="K76" s="4">
        <v>210</v>
      </c>
      <c r="L76" s="4">
        <v>25</v>
      </c>
      <c r="M76" s="4">
        <v>3</v>
      </c>
      <c r="N76" s="4" t="s">
        <v>3</v>
      </c>
      <c r="O76" s="4">
        <v>2</v>
      </c>
      <c r="P76" s="4"/>
      <c r="Q76" s="4"/>
      <c r="R76" s="4"/>
      <c r="S76" s="4"/>
      <c r="T76" s="4"/>
      <c r="U76" s="4"/>
      <c r="V76" s="4"/>
      <c r="W76" s="4"/>
    </row>
    <row r="77" spans="1:88" x14ac:dyDescent="0.2">
      <c r="A77" s="4">
        <v>50</v>
      </c>
      <c r="B77" s="4">
        <v>0</v>
      </c>
      <c r="C77" s="4">
        <v>0</v>
      </c>
      <c r="D77" s="4">
        <v>1</v>
      </c>
      <c r="E77" s="4">
        <v>211</v>
      </c>
      <c r="F77" s="4">
        <f>ROUND(Source!Y50,O77)</f>
        <v>68585.47</v>
      </c>
      <c r="G77" s="4" t="s">
        <v>176</v>
      </c>
      <c r="H77" s="4" t="s">
        <v>177</v>
      </c>
      <c r="I77" s="4"/>
      <c r="J77" s="4"/>
      <c r="K77" s="4">
        <v>211</v>
      </c>
      <c r="L77" s="4">
        <v>26</v>
      </c>
      <c r="M77" s="4">
        <v>3</v>
      </c>
      <c r="N77" s="4" t="s">
        <v>3</v>
      </c>
      <c r="O77" s="4">
        <v>2</v>
      </c>
      <c r="P77" s="4"/>
      <c r="Q77" s="4"/>
      <c r="R77" s="4"/>
      <c r="S77" s="4"/>
      <c r="T77" s="4"/>
      <c r="U77" s="4"/>
      <c r="V77" s="4"/>
      <c r="W77" s="4"/>
    </row>
    <row r="78" spans="1:88" x14ac:dyDescent="0.2">
      <c r="A78" s="4">
        <v>50</v>
      </c>
      <c r="B78" s="4">
        <v>0</v>
      </c>
      <c r="C78" s="4">
        <v>0</v>
      </c>
      <c r="D78" s="4">
        <v>1</v>
      </c>
      <c r="E78" s="4">
        <v>224</v>
      </c>
      <c r="F78" s="4">
        <f>ROUND(Source!AR50,O78)</f>
        <v>1136941.76</v>
      </c>
      <c r="G78" s="4" t="s">
        <v>178</v>
      </c>
      <c r="H78" s="4" t="s">
        <v>179</v>
      </c>
      <c r="I78" s="4"/>
      <c r="J78" s="4"/>
      <c r="K78" s="4">
        <v>224</v>
      </c>
      <c r="L78" s="4">
        <v>27</v>
      </c>
      <c r="M78" s="4">
        <v>3</v>
      </c>
      <c r="N78" s="4" t="s">
        <v>3</v>
      </c>
      <c r="O78" s="4">
        <v>2</v>
      </c>
      <c r="P78" s="4"/>
      <c r="Q78" s="4"/>
      <c r="R78" s="4"/>
      <c r="S78" s="4"/>
      <c r="T78" s="4"/>
      <c r="U78" s="4"/>
      <c r="V78" s="4"/>
      <c r="W78" s="4"/>
    </row>
    <row r="80" spans="1:88" x14ac:dyDescent="0.2">
      <c r="A80" s="1">
        <v>4</v>
      </c>
      <c r="B80" s="1">
        <v>1</v>
      </c>
      <c r="C80" s="1"/>
      <c r="D80" s="1">
        <f>ROW(A96)</f>
        <v>96</v>
      </c>
      <c r="E80" s="1"/>
      <c r="F80" s="1" t="s">
        <v>15</v>
      </c>
      <c r="G80" s="1" t="s">
        <v>180</v>
      </c>
      <c r="H80" s="1" t="s">
        <v>3</v>
      </c>
      <c r="I80" s="1">
        <v>0</v>
      </c>
      <c r="J80" s="1"/>
      <c r="K80" s="1">
        <v>0</v>
      </c>
      <c r="L80" s="1"/>
      <c r="M80" s="1"/>
      <c r="N80" s="1"/>
      <c r="O80" s="1"/>
      <c r="P80" s="1"/>
      <c r="Q80" s="1"/>
      <c r="R80" s="1"/>
      <c r="S80" s="1"/>
      <c r="T80" s="1"/>
      <c r="U80" s="1" t="s">
        <v>3</v>
      </c>
      <c r="V80" s="1">
        <v>0</v>
      </c>
      <c r="W80" s="1"/>
      <c r="X80" s="1"/>
      <c r="Y80" s="1"/>
      <c r="Z80" s="1"/>
      <c r="AA80" s="1"/>
      <c r="AB80" s="1" t="s">
        <v>3</v>
      </c>
      <c r="AC80" s="1" t="s">
        <v>3</v>
      </c>
      <c r="AD80" s="1" t="s">
        <v>3</v>
      </c>
      <c r="AE80" s="1" t="s">
        <v>3</v>
      </c>
      <c r="AF80" s="1" t="s">
        <v>3</v>
      </c>
      <c r="AG80" s="1" t="s">
        <v>3</v>
      </c>
      <c r="AH80" s="1"/>
      <c r="AI80" s="1"/>
      <c r="AJ80" s="1"/>
      <c r="AK80" s="1"/>
      <c r="AL80" s="1"/>
      <c r="AM80" s="1"/>
      <c r="AN80" s="1"/>
      <c r="AO80" s="1"/>
      <c r="AP80" s="1" t="s">
        <v>3</v>
      </c>
      <c r="AQ80" s="1" t="s">
        <v>3</v>
      </c>
      <c r="AR80" s="1" t="s">
        <v>3</v>
      </c>
      <c r="AS80" s="1"/>
      <c r="AT80" s="1"/>
      <c r="AU80" s="1"/>
      <c r="AV80" s="1"/>
      <c r="AW80" s="1"/>
      <c r="AX80" s="1"/>
      <c r="AY80" s="1"/>
      <c r="AZ80" s="1" t="s">
        <v>3</v>
      </c>
      <c r="BA80" s="1"/>
      <c r="BB80" s="1" t="s">
        <v>3</v>
      </c>
      <c r="BC80" s="1" t="s">
        <v>3</v>
      </c>
      <c r="BD80" s="1" t="s">
        <v>3</v>
      </c>
      <c r="BE80" s="1" t="s">
        <v>3</v>
      </c>
      <c r="BF80" s="1" t="s">
        <v>3</v>
      </c>
      <c r="BG80" s="1" t="s">
        <v>3</v>
      </c>
      <c r="BH80" s="1" t="s">
        <v>3</v>
      </c>
      <c r="BI80" s="1" t="s">
        <v>3</v>
      </c>
      <c r="BJ80" s="1" t="s">
        <v>3</v>
      </c>
      <c r="BK80" s="1" t="s">
        <v>3</v>
      </c>
      <c r="BL80" s="1" t="s">
        <v>3</v>
      </c>
      <c r="BM80" s="1" t="s">
        <v>3</v>
      </c>
      <c r="BN80" s="1" t="s">
        <v>3</v>
      </c>
      <c r="BO80" s="1" t="s">
        <v>3</v>
      </c>
      <c r="BP80" s="1" t="s">
        <v>3</v>
      </c>
      <c r="BQ80" s="1"/>
      <c r="BR80" s="1"/>
      <c r="BS80" s="1"/>
      <c r="BT80" s="1"/>
      <c r="BU80" s="1"/>
      <c r="BV80" s="1"/>
      <c r="BW80" s="1"/>
      <c r="BX80" s="1">
        <v>0</v>
      </c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>
        <v>0</v>
      </c>
    </row>
    <row r="82" spans="1:245" x14ac:dyDescent="0.2">
      <c r="A82" s="2">
        <v>52</v>
      </c>
      <c r="B82" s="2">
        <f t="shared" ref="B82:G82" si="63">B96</f>
        <v>1</v>
      </c>
      <c r="C82" s="2">
        <f t="shared" si="63"/>
        <v>4</v>
      </c>
      <c r="D82" s="2">
        <f t="shared" si="63"/>
        <v>80</v>
      </c>
      <c r="E82" s="2">
        <f t="shared" si="63"/>
        <v>0</v>
      </c>
      <c r="F82" s="2" t="str">
        <f t="shared" si="63"/>
        <v>Новый раздел</v>
      </c>
      <c r="G82" s="2" t="str">
        <f t="shared" si="63"/>
        <v>Монтаж опор и приборов освещения.</v>
      </c>
      <c r="H82" s="2"/>
      <c r="I82" s="2"/>
      <c r="J82" s="2"/>
      <c r="K82" s="2"/>
      <c r="L82" s="2"/>
      <c r="M82" s="2"/>
      <c r="N82" s="2"/>
      <c r="O82" s="2">
        <f t="shared" ref="O82:AT82" si="64">O96</f>
        <v>2289634.0499999998</v>
      </c>
      <c r="P82" s="2">
        <f t="shared" si="64"/>
        <v>1795962.78</v>
      </c>
      <c r="Q82" s="2">
        <f t="shared" si="64"/>
        <v>101578.84</v>
      </c>
      <c r="R82" s="2">
        <f t="shared" si="64"/>
        <v>57388.01</v>
      </c>
      <c r="S82" s="2">
        <f t="shared" si="64"/>
        <v>392092.43</v>
      </c>
      <c r="T82" s="2">
        <f t="shared" si="64"/>
        <v>0</v>
      </c>
      <c r="U82" s="2">
        <f t="shared" si="64"/>
        <v>1366.08</v>
      </c>
      <c r="V82" s="2">
        <f t="shared" si="64"/>
        <v>0</v>
      </c>
      <c r="W82" s="2">
        <f t="shared" si="64"/>
        <v>0</v>
      </c>
      <c r="X82" s="2">
        <f t="shared" si="64"/>
        <v>355355.37</v>
      </c>
      <c r="Y82" s="2">
        <f t="shared" si="64"/>
        <v>166127.57</v>
      </c>
      <c r="Z82" s="2">
        <f t="shared" si="64"/>
        <v>0</v>
      </c>
      <c r="AA82" s="2">
        <f t="shared" si="64"/>
        <v>0</v>
      </c>
      <c r="AB82" s="2">
        <f t="shared" si="64"/>
        <v>2289634.0499999998</v>
      </c>
      <c r="AC82" s="2">
        <f t="shared" si="64"/>
        <v>1795962.78</v>
      </c>
      <c r="AD82" s="2">
        <f t="shared" si="64"/>
        <v>101578.84</v>
      </c>
      <c r="AE82" s="2">
        <f t="shared" si="64"/>
        <v>57388.01</v>
      </c>
      <c r="AF82" s="2">
        <f t="shared" si="64"/>
        <v>392092.43</v>
      </c>
      <c r="AG82" s="2">
        <f t="shared" si="64"/>
        <v>0</v>
      </c>
      <c r="AH82" s="2">
        <f t="shared" si="64"/>
        <v>1366.08</v>
      </c>
      <c r="AI82" s="2">
        <f t="shared" si="64"/>
        <v>0</v>
      </c>
      <c r="AJ82" s="2">
        <f t="shared" si="64"/>
        <v>0</v>
      </c>
      <c r="AK82" s="2">
        <f t="shared" si="64"/>
        <v>355355.37</v>
      </c>
      <c r="AL82" s="2">
        <f t="shared" si="64"/>
        <v>166127.57</v>
      </c>
      <c r="AM82" s="2">
        <f t="shared" si="64"/>
        <v>0</v>
      </c>
      <c r="AN82" s="2">
        <f t="shared" si="64"/>
        <v>0</v>
      </c>
      <c r="AO82" s="2">
        <f t="shared" si="64"/>
        <v>0</v>
      </c>
      <c r="AP82" s="2">
        <f t="shared" si="64"/>
        <v>0</v>
      </c>
      <c r="AQ82" s="2">
        <f t="shared" si="64"/>
        <v>0</v>
      </c>
      <c r="AR82" s="2">
        <f t="shared" si="64"/>
        <v>2901216.17</v>
      </c>
      <c r="AS82" s="2">
        <f t="shared" si="64"/>
        <v>682027.65</v>
      </c>
      <c r="AT82" s="2">
        <f t="shared" si="64"/>
        <v>2219188.52</v>
      </c>
      <c r="AU82" s="2">
        <f t="shared" ref="AU82:BZ82" si="65">AU96</f>
        <v>0</v>
      </c>
      <c r="AV82" s="2">
        <f t="shared" si="65"/>
        <v>1795962.78</v>
      </c>
      <c r="AW82" s="2">
        <f t="shared" si="65"/>
        <v>1795962.78</v>
      </c>
      <c r="AX82" s="2">
        <f t="shared" si="65"/>
        <v>0</v>
      </c>
      <c r="AY82" s="2">
        <f t="shared" si="65"/>
        <v>1795962.78</v>
      </c>
      <c r="AZ82" s="2">
        <f t="shared" si="65"/>
        <v>0</v>
      </c>
      <c r="BA82" s="2">
        <f t="shared" si="65"/>
        <v>0</v>
      </c>
      <c r="BB82" s="2">
        <f t="shared" si="65"/>
        <v>0</v>
      </c>
      <c r="BC82" s="2">
        <f t="shared" si="65"/>
        <v>0</v>
      </c>
      <c r="BD82" s="2">
        <f t="shared" si="65"/>
        <v>0</v>
      </c>
      <c r="BE82" s="2">
        <f t="shared" si="65"/>
        <v>0</v>
      </c>
      <c r="BF82" s="2">
        <f t="shared" si="65"/>
        <v>0</v>
      </c>
      <c r="BG82" s="2">
        <f t="shared" si="65"/>
        <v>0</v>
      </c>
      <c r="BH82" s="2">
        <f t="shared" si="65"/>
        <v>0</v>
      </c>
      <c r="BI82" s="2">
        <f t="shared" si="65"/>
        <v>0</v>
      </c>
      <c r="BJ82" s="2">
        <f t="shared" si="65"/>
        <v>0</v>
      </c>
      <c r="BK82" s="2">
        <f t="shared" si="65"/>
        <v>0</v>
      </c>
      <c r="BL82" s="2">
        <f t="shared" si="65"/>
        <v>0</v>
      </c>
      <c r="BM82" s="2">
        <f t="shared" si="65"/>
        <v>0</v>
      </c>
      <c r="BN82" s="2">
        <f t="shared" si="65"/>
        <v>0</v>
      </c>
      <c r="BO82" s="2">
        <f t="shared" si="65"/>
        <v>0</v>
      </c>
      <c r="BP82" s="2">
        <f t="shared" si="65"/>
        <v>0</v>
      </c>
      <c r="BQ82" s="2">
        <f t="shared" si="65"/>
        <v>0</v>
      </c>
      <c r="BR82" s="2">
        <f t="shared" si="65"/>
        <v>0</v>
      </c>
      <c r="BS82" s="2">
        <f t="shared" si="65"/>
        <v>0</v>
      </c>
      <c r="BT82" s="2">
        <f t="shared" si="65"/>
        <v>0</v>
      </c>
      <c r="BU82" s="2">
        <f t="shared" si="65"/>
        <v>0</v>
      </c>
      <c r="BV82" s="2">
        <f t="shared" si="65"/>
        <v>0</v>
      </c>
      <c r="BW82" s="2">
        <f t="shared" si="65"/>
        <v>0</v>
      </c>
      <c r="BX82" s="2">
        <f t="shared" si="65"/>
        <v>0</v>
      </c>
      <c r="BY82" s="2">
        <f t="shared" si="65"/>
        <v>0</v>
      </c>
      <c r="BZ82" s="2">
        <f t="shared" si="65"/>
        <v>0</v>
      </c>
      <c r="CA82" s="2">
        <f t="shared" ref="CA82:DF82" si="66">CA96</f>
        <v>2901216.17</v>
      </c>
      <c r="CB82" s="2">
        <f t="shared" si="66"/>
        <v>682027.65</v>
      </c>
      <c r="CC82" s="2">
        <f t="shared" si="66"/>
        <v>2219188.52</v>
      </c>
      <c r="CD82" s="2">
        <f t="shared" si="66"/>
        <v>0</v>
      </c>
      <c r="CE82" s="2">
        <f t="shared" si="66"/>
        <v>1795962.78</v>
      </c>
      <c r="CF82" s="2">
        <f t="shared" si="66"/>
        <v>1795962.78</v>
      </c>
      <c r="CG82" s="2">
        <f t="shared" si="66"/>
        <v>0</v>
      </c>
      <c r="CH82" s="2">
        <f t="shared" si="66"/>
        <v>1795962.78</v>
      </c>
      <c r="CI82" s="2">
        <f t="shared" si="66"/>
        <v>0</v>
      </c>
      <c r="CJ82" s="2">
        <f t="shared" si="66"/>
        <v>0</v>
      </c>
      <c r="CK82" s="2">
        <f t="shared" si="66"/>
        <v>0</v>
      </c>
      <c r="CL82" s="2">
        <f t="shared" si="66"/>
        <v>0</v>
      </c>
      <c r="CM82" s="2">
        <f t="shared" si="66"/>
        <v>0</v>
      </c>
      <c r="CN82" s="2">
        <f t="shared" si="66"/>
        <v>0</v>
      </c>
      <c r="CO82" s="2">
        <f t="shared" si="66"/>
        <v>0</v>
      </c>
      <c r="CP82" s="2">
        <f t="shared" si="66"/>
        <v>0</v>
      </c>
      <c r="CQ82" s="2">
        <f t="shared" si="66"/>
        <v>0</v>
      </c>
      <c r="CR82" s="2">
        <f t="shared" si="66"/>
        <v>0</v>
      </c>
      <c r="CS82" s="2">
        <f t="shared" si="66"/>
        <v>0</v>
      </c>
      <c r="CT82" s="2">
        <f t="shared" si="66"/>
        <v>0</v>
      </c>
      <c r="CU82" s="2">
        <f t="shared" si="66"/>
        <v>0</v>
      </c>
      <c r="CV82" s="2">
        <f t="shared" si="66"/>
        <v>0</v>
      </c>
      <c r="CW82" s="2">
        <f t="shared" si="66"/>
        <v>0</v>
      </c>
      <c r="CX82" s="2">
        <f t="shared" si="66"/>
        <v>0</v>
      </c>
      <c r="CY82" s="2">
        <f t="shared" si="66"/>
        <v>0</v>
      </c>
      <c r="CZ82" s="2">
        <f t="shared" si="66"/>
        <v>0</v>
      </c>
      <c r="DA82" s="2">
        <f t="shared" si="66"/>
        <v>0</v>
      </c>
      <c r="DB82" s="2">
        <f t="shared" si="66"/>
        <v>0</v>
      </c>
      <c r="DC82" s="2">
        <f t="shared" si="66"/>
        <v>0</v>
      </c>
      <c r="DD82" s="2">
        <f t="shared" si="66"/>
        <v>0</v>
      </c>
      <c r="DE82" s="2">
        <f t="shared" si="66"/>
        <v>0</v>
      </c>
      <c r="DF82" s="2">
        <f t="shared" si="66"/>
        <v>0</v>
      </c>
      <c r="DG82" s="3">
        <f t="shared" ref="DG82:EL82" si="67">DG96</f>
        <v>0</v>
      </c>
      <c r="DH82" s="3">
        <f t="shared" si="67"/>
        <v>0</v>
      </c>
      <c r="DI82" s="3">
        <f t="shared" si="67"/>
        <v>0</v>
      </c>
      <c r="DJ82" s="3">
        <f t="shared" si="67"/>
        <v>0</v>
      </c>
      <c r="DK82" s="3">
        <f t="shared" si="67"/>
        <v>0</v>
      </c>
      <c r="DL82" s="3">
        <f t="shared" si="67"/>
        <v>0</v>
      </c>
      <c r="DM82" s="3">
        <f t="shared" si="67"/>
        <v>0</v>
      </c>
      <c r="DN82" s="3">
        <f t="shared" si="67"/>
        <v>0</v>
      </c>
      <c r="DO82" s="3">
        <f t="shared" si="67"/>
        <v>0</v>
      </c>
      <c r="DP82" s="3">
        <f t="shared" si="67"/>
        <v>0</v>
      </c>
      <c r="DQ82" s="3">
        <f t="shared" si="67"/>
        <v>0</v>
      </c>
      <c r="DR82" s="3">
        <f t="shared" si="67"/>
        <v>0</v>
      </c>
      <c r="DS82" s="3">
        <f t="shared" si="67"/>
        <v>0</v>
      </c>
      <c r="DT82" s="3">
        <f t="shared" si="67"/>
        <v>0</v>
      </c>
      <c r="DU82" s="3">
        <f t="shared" si="67"/>
        <v>0</v>
      </c>
      <c r="DV82" s="3">
        <f t="shared" si="67"/>
        <v>0</v>
      </c>
      <c r="DW82" s="3">
        <f t="shared" si="67"/>
        <v>0</v>
      </c>
      <c r="DX82" s="3">
        <f t="shared" si="67"/>
        <v>0</v>
      </c>
      <c r="DY82" s="3">
        <f t="shared" si="67"/>
        <v>0</v>
      </c>
      <c r="DZ82" s="3">
        <f t="shared" si="67"/>
        <v>0</v>
      </c>
      <c r="EA82" s="3">
        <f t="shared" si="67"/>
        <v>0</v>
      </c>
      <c r="EB82" s="3">
        <f t="shared" si="67"/>
        <v>0</v>
      </c>
      <c r="EC82" s="3">
        <f t="shared" si="67"/>
        <v>0</v>
      </c>
      <c r="ED82" s="3">
        <f t="shared" si="67"/>
        <v>0</v>
      </c>
      <c r="EE82" s="3">
        <f t="shared" si="67"/>
        <v>0</v>
      </c>
      <c r="EF82" s="3">
        <f t="shared" si="67"/>
        <v>0</v>
      </c>
      <c r="EG82" s="3">
        <f t="shared" si="67"/>
        <v>0</v>
      </c>
      <c r="EH82" s="3">
        <f t="shared" si="67"/>
        <v>0</v>
      </c>
      <c r="EI82" s="3">
        <f t="shared" si="67"/>
        <v>0</v>
      </c>
      <c r="EJ82" s="3">
        <f t="shared" si="67"/>
        <v>0</v>
      </c>
      <c r="EK82" s="3">
        <f t="shared" si="67"/>
        <v>0</v>
      </c>
      <c r="EL82" s="3">
        <f t="shared" si="67"/>
        <v>0</v>
      </c>
      <c r="EM82" s="3">
        <f t="shared" ref="EM82:FR82" si="68">EM96</f>
        <v>0</v>
      </c>
      <c r="EN82" s="3">
        <f t="shared" si="68"/>
        <v>0</v>
      </c>
      <c r="EO82" s="3">
        <f t="shared" si="68"/>
        <v>0</v>
      </c>
      <c r="EP82" s="3">
        <f t="shared" si="68"/>
        <v>0</v>
      </c>
      <c r="EQ82" s="3">
        <f t="shared" si="68"/>
        <v>0</v>
      </c>
      <c r="ER82" s="3">
        <f t="shared" si="68"/>
        <v>0</v>
      </c>
      <c r="ES82" s="3">
        <f t="shared" si="68"/>
        <v>0</v>
      </c>
      <c r="ET82" s="3">
        <f t="shared" si="68"/>
        <v>0</v>
      </c>
      <c r="EU82" s="3">
        <f t="shared" si="68"/>
        <v>0</v>
      </c>
      <c r="EV82" s="3">
        <f t="shared" si="68"/>
        <v>0</v>
      </c>
      <c r="EW82" s="3">
        <f t="shared" si="68"/>
        <v>0</v>
      </c>
      <c r="EX82" s="3">
        <f t="shared" si="68"/>
        <v>0</v>
      </c>
      <c r="EY82" s="3">
        <f t="shared" si="68"/>
        <v>0</v>
      </c>
      <c r="EZ82" s="3">
        <f t="shared" si="68"/>
        <v>0</v>
      </c>
      <c r="FA82" s="3">
        <f t="shared" si="68"/>
        <v>0</v>
      </c>
      <c r="FB82" s="3">
        <f t="shared" si="68"/>
        <v>0</v>
      </c>
      <c r="FC82" s="3">
        <f t="shared" si="68"/>
        <v>0</v>
      </c>
      <c r="FD82" s="3">
        <f t="shared" si="68"/>
        <v>0</v>
      </c>
      <c r="FE82" s="3">
        <f t="shared" si="68"/>
        <v>0</v>
      </c>
      <c r="FF82" s="3">
        <f t="shared" si="68"/>
        <v>0</v>
      </c>
      <c r="FG82" s="3">
        <f t="shared" si="68"/>
        <v>0</v>
      </c>
      <c r="FH82" s="3">
        <f t="shared" si="68"/>
        <v>0</v>
      </c>
      <c r="FI82" s="3">
        <f t="shared" si="68"/>
        <v>0</v>
      </c>
      <c r="FJ82" s="3">
        <f t="shared" si="68"/>
        <v>0</v>
      </c>
      <c r="FK82" s="3">
        <f t="shared" si="68"/>
        <v>0</v>
      </c>
      <c r="FL82" s="3">
        <f t="shared" si="68"/>
        <v>0</v>
      </c>
      <c r="FM82" s="3">
        <f t="shared" si="68"/>
        <v>0</v>
      </c>
      <c r="FN82" s="3">
        <f t="shared" si="68"/>
        <v>0</v>
      </c>
      <c r="FO82" s="3">
        <f t="shared" si="68"/>
        <v>0</v>
      </c>
      <c r="FP82" s="3">
        <f t="shared" si="68"/>
        <v>0</v>
      </c>
      <c r="FQ82" s="3">
        <f t="shared" si="68"/>
        <v>0</v>
      </c>
      <c r="FR82" s="3">
        <f t="shared" si="68"/>
        <v>0</v>
      </c>
      <c r="FS82" s="3">
        <f t="shared" ref="FS82:GX82" si="69">FS96</f>
        <v>0</v>
      </c>
      <c r="FT82" s="3">
        <f t="shared" si="69"/>
        <v>0</v>
      </c>
      <c r="FU82" s="3">
        <f t="shared" si="69"/>
        <v>0</v>
      </c>
      <c r="FV82" s="3">
        <f t="shared" si="69"/>
        <v>0</v>
      </c>
      <c r="FW82" s="3">
        <f t="shared" si="69"/>
        <v>0</v>
      </c>
      <c r="FX82" s="3">
        <f t="shared" si="69"/>
        <v>0</v>
      </c>
      <c r="FY82" s="3">
        <f t="shared" si="69"/>
        <v>0</v>
      </c>
      <c r="FZ82" s="3">
        <f t="shared" si="69"/>
        <v>0</v>
      </c>
      <c r="GA82" s="3">
        <f t="shared" si="69"/>
        <v>0</v>
      </c>
      <c r="GB82" s="3">
        <f t="shared" si="69"/>
        <v>0</v>
      </c>
      <c r="GC82" s="3">
        <f t="shared" si="69"/>
        <v>0</v>
      </c>
      <c r="GD82" s="3">
        <f t="shared" si="69"/>
        <v>0</v>
      </c>
      <c r="GE82" s="3">
        <f t="shared" si="69"/>
        <v>0</v>
      </c>
      <c r="GF82" s="3">
        <f t="shared" si="69"/>
        <v>0</v>
      </c>
      <c r="GG82" s="3">
        <f t="shared" si="69"/>
        <v>0</v>
      </c>
      <c r="GH82" s="3">
        <f t="shared" si="69"/>
        <v>0</v>
      </c>
      <c r="GI82" s="3">
        <f t="shared" si="69"/>
        <v>0</v>
      </c>
      <c r="GJ82" s="3">
        <f t="shared" si="69"/>
        <v>0</v>
      </c>
      <c r="GK82" s="3">
        <f t="shared" si="69"/>
        <v>0</v>
      </c>
      <c r="GL82" s="3">
        <f t="shared" si="69"/>
        <v>0</v>
      </c>
      <c r="GM82" s="3">
        <f t="shared" si="69"/>
        <v>0</v>
      </c>
      <c r="GN82" s="3">
        <f t="shared" si="69"/>
        <v>0</v>
      </c>
      <c r="GO82" s="3">
        <f t="shared" si="69"/>
        <v>0</v>
      </c>
      <c r="GP82" s="3">
        <f t="shared" si="69"/>
        <v>0</v>
      </c>
      <c r="GQ82" s="3">
        <f t="shared" si="69"/>
        <v>0</v>
      </c>
      <c r="GR82" s="3">
        <f t="shared" si="69"/>
        <v>0</v>
      </c>
      <c r="GS82" s="3">
        <f t="shared" si="69"/>
        <v>0</v>
      </c>
      <c r="GT82" s="3">
        <f t="shared" si="69"/>
        <v>0</v>
      </c>
      <c r="GU82" s="3">
        <f t="shared" si="69"/>
        <v>0</v>
      </c>
      <c r="GV82" s="3">
        <f t="shared" si="69"/>
        <v>0</v>
      </c>
      <c r="GW82" s="3">
        <f t="shared" si="69"/>
        <v>0</v>
      </c>
      <c r="GX82" s="3">
        <f t="shared" si="69"/>
        <v>0</v>
      </c>
    </row>
    <row r="84" spans="1:245" x14ac:dyDescent="0.2">
      <c r="A84">
        <v>17</v>
      </c>
      <c r="B84">
        <v>1</v>
      </c>
      <c r="C84">
        <f>ROW(SmtRes!A32)</f>
        <v>32</v>
      </c>
      <c r="D84">
        <f>ROW(EtalonRes!A27)</f>
        <v>27</v>
      </c>
      <c r="E84" t="s">
        <v>181</v>
      </c>
      <c r="F84" t="s">
        <v>182</v>
      </c>
      <c r="G84" t="s">
        <v>183</v>
      </c>
      <c r="H84" t="s">
        <v>184</v>
      </c>
      <c r="I84">
        <f>ROUND(76/100,9)</f>
        <v>0.76</v>
      </c>
      <c r="J84">
        <v>0</v>
      </c>
      <c r="O84">
        <f t="shared" ref="O84:O94" si="70">ROUND(CP84,2)</f>
        <v>54377.11</v>
      </c>
      <c r="P84">
        <f t="shared" ref="P84:P94" si="71">ROUND((ROUND((AC84*AW84*I84),2)*BC84),2)</f>
        <v>0</v>
      </c>
      <c r="Q84">
        <f t="shared" ref="Q84:Q94" si="72">(ROUND((ROUND(((ET84)*AV84*I84),2)*BB84),2)+ROUND((ROUND(((AE84-(EU84))*AV84*I84),2)*BS84),2))</f>
        <v>17646.21</v>
      </c>
      <c r="R84">
        <f t="shared" ref="R84:R94" si="73">ROUND((ROUND((AE84*AV84*I84),2)*BS84),2)</f>
        <v>8324.42</v>
      </c>
      <c r="S84">
        <f t="shared" ref="S84:S94" si="74">ROUND((ROUND((AF84*AV84*I84),2)*BA84),2)</f>
        <v>36730.9</v>
      </c>
      <c r="T84">
        <f t="shared" ref="T84:T94" si="75">ROUND(CU84*I84,2)</f>
        <v>0</v>
      </c>
      <c r="U84">
        <f t="shared" ref="U84:U94" si="76">CV84*I84</f>
        <v>148.96</v>
      </c>
      <c r="V84">
        <f t="shared" ref="V84:V94" si="77">CW84*I84</f>
        <v>0</v>
      </c>
      <c r="W84">
        <f t="shared" ref="W84:W94" si="78">ROUND(CX84*I84,2)</f>
        <v>0</v>
      </c>
      <c r="X84">
        <f t="shared" ref="X84:X94" si="79">ROUND(CY84,2)</f>
        <v>33792.43</v>
      </c>
      <c r="Y84">
        <f t="shared" ref="Y84:Y94" si="80">ROUND(CZ84,2)</f>
        <v>15059.67</v>
      </c>
      <c r="AA84">
        <v>44002026</v>
      </c>
      <c r="AB84">
        <f t="shared" ref="AB84:AB94" si="81">ROUND((AC84+AD84+AF84),2)</f>
        <v>4255.67</v>
      </c>
      <c r="AC84">
        <f t="shared" ref="AC84:AC94" si="82">ROUND((ES84),2)</f>
        <v>0</v>
      </c>
      <c r="AD84">
        <f t="shared" ref="AD84:AD94" si="83">ROUND((((ET84)-(EU84))+AE84),2)</f>
        <v>2236.87</v>
      </c>
      <c r="AE84">
        <f t="shared" ref="AE84:AE94" si="84">ROUND((EU84),2)</f>
        <v>457.52</v>
      </c>
      <c r="AF84">
        <f t="shared" ref="AF84:AF94" si="85">ROUND((EV84),2)</f>
        <v>2018.8</v>
      </c>
      <c r="AG84">
        <f t="shared" ref="AG84:AG94" si="86">ROUND((AP84),2)</f>
        <v>0</v>
      </c>
      <c r="AH84">
        <f t="shared" ref="AH84:AH94" si="87">(EW84)</f>
        <v>196</v>
      </c>
      <c r="AI84">
        <f t="shared" ref="AI84:AI94" si="88">(EX84)</f>
        <v>0</v>
      </c>
      <c r="AJ84">
        <f t="shared" ref="AJ84:AJ94" si="89">(AS84)</f>
        <v>0</v>
      </c>
      <c r="AK84">
        <v>4255.67</v>
      </c>
      <c r="AL84">
        <v>0</v>
      </c>
      <c r="AM84">
        <v>2236.87</v>
      </c>
      <c r="AN84">
        <v>457.52</v>
      </c>
      <c r="AO84">
        <v>2018.8</v>
      </c>
      <c r="AP84">
        <v>0</v>
      </c>
      <c r="AQ84">
        <v>196</v>
      </c>
      <c r="AR84">
        <v>0</v>
      </c>
      <c r="AS84">
        <v>0</v>
      </c>
      <c r="AT84">
        <v>92</v>
      </c>
      <c r="AU84">
        <v>41</v>
      </c>
      <c r="AV84">
        <v>1</v>
      </c>
      <c r="AW84">
        <v>1</v>
      </c>
      <c r="AZ84">
        <v>1</v>
      </c>
      <c r="BA84">
        <v>23.94</v>
      </c>
      <c r="BB84">
        <v>10.38</v>
      </c>
      <c r="BC84">
        <v>1</v>
      </c>
      <c r="BD84" t="s">
        <v>3</v>
      </c>
      <c r="BE84" t="s">
        <v>3</v>
      </c>
      <c r="BF84" t="s">
        <v>3</v>
      </c>
      <c r="BG84" t="s">
        <v>3</v>
      </c>
      <c r="BH84">
        <v>0</v>
      </c>
      <c r="BI84">
        <v>1</v>
      </c>
      <c r="BJ84" t="s">
        <v>185</v>
      </c>
      <c r="BM84">
        <v>235</v>
      </c>
      <c r="BN84">
        <v>0</v>
      </c>
      <c r="BO84" t="s">
        <v>182</v>
      </c>
      <c r="BP84">
        <v>1</v>
      </c>
      <c r="BQ84">
        <v>30</v>
      </c>
      <c r="BR84">
        <v>0</v>
      </c>
      <c r="BS84">
        <v>23.94</v>
      </c>
      <c r="BT84">
        <v>1</v>
      </c>
      <c r="BU84">
        <v>1</v>
      </c>
      <c r="BV84">
        <v>1</v>
      </c>
      <c r="BW84">
        <v>1</v>
      </c>
      <c r="BX84">
        <v>1</v>
      </c>
      <c r="BY84" t="s">
        <v>3</v>
      </c>
      <c r="BZ84">
        <v>92</v>
      </c>
      <c r="CA84">
        <v>41</v>
      </c>
      <c r="CE84">
        <v>30</v>
      </c>
      <c r="CF84">
        <v>0</v>
      </c>
      <c r="CG84">
        <v>0</v>
      </c>
      <c r="CM84">
        <v>0</v>
      </c>
      <c r="CN84" t="s">
        <v>3</v>
      </c>
      <c r="CO84">
        <v>0</v>
      </c>
      <c r="CP84">
        <f t="shared" ref="CP84:CP94" si="90">(P84+Q84+S84)</f>
        <v>54377.11</v>
      </c>
      <c r="CQ84">
        <f t="shared" ref="CQ84:CQ94" si="91">ROUND((ROUND((AC84*AW84*1),2)*BC84),2)</f>
        <v>0</v>
      </c>
      <c r="CR84">
        <f t="shared" ref="CR84:CR94" si="92">(ROUND((ROUND(((ET84)*AV84*1),2)*BB84),2)+ROUND((ROUND(((AE84-(EU84))*AV84*1),2)*BS84),2))</f>
        <v>23218.71</v>
      </c>
      <c r="CS84">
        <f t="shared" ref="CS84:CS94" si="93">ROUND((ROUND((AE84*AV84*1),2)*BS84),2)</f>
        <v>10953.03</v>
      </c>
      <c r="CT84">
        <f t="shared" ref="CT84:CT94" si="94">ROUND((ROUND((AF84*AV84*1),2)*BA84),2)</f>
        <v>48330.07</v>
      </c>
      <c r="CU84">
        <f t="shared" ref="CU84:CU94" si="95">AG84</f>
        <v>0</v>
      </c>
      <c r="CV84">
        <f t="shared" ref="CV84:CV94" si="96">(AH84*AV84)</f>
        <v>196</v>
      </c>
      <c r="CW84">
        <f t="shared" ref="CW84:CW94" si="97">AI84</f>
        <v>0</v>
      </c>
      <c r="CX84">
        <f t="shared" ref="CX84:CX94" si="98">AJ84</f>
        <v>0</v>
      </c>
      <c r="CY84">
        <f t="shared" ref="CY84:CY94" si="99">S84*(BZ84/100)</f>
        <v>33792.428</v>
      </c>
      <c r="CZ84">
        <f t="shared" ref="CZ84:CZ94" si="100">S84*(CA84/100)</f>
        <v>15059.669</v>
      </c>
      <c r="DC84" t="s">
        <v>3</v>
      </c>
      <c r="DD84" t="s">
        <v>3</v>
      </c>
      <c r="DE84" t="s">
        <v>3</v>
      </c>
      <c r="DF84" t="s">
        <v>3</v>
      </c>
      <c r="DG84" t="s">
        <v>3</v>
      </c>
      <c r="DH84" t="s">
        <v>3</v>
      </c>
      <c r="DI84" t="s">
        <v>3</v>
      </c>
      <c r="DJ84" t="s">
        <v>3</v>
      </c>
      <c r="DK84" t="s">
        <v>3</v>
      </c>
      <c r="DL84" t="s">
        <v>3</v>
      </c>
      <c r="DM84" t="s">
        <v>3</v>
      </c>
      <c r="DN84">
        <v>114</v>
      </c>
      <c r="DO84">
        <v>80</v>
      </c>
      <c r="DP84">
        <v>1</v>
      </c>
      <c r="DQ84">
        <v>1</v>
      </c>
      <c r="DU84">
        <v>1013</v>
      </c>
      <c r="DV84" t="s">
        <v>184</v>
      </c>
      <c r="DW84" t="s">
        <v>184</v>
      </c>
      <c r="DX84">
        <v>1</v>
      </c>
      <c r="EE84">
        <v>43770526</v>
      </c>
      <c r="EF84">
        <v>30</v>
      </c>
      <c r="EG84" t="s">
        <v>22</v>
      </c>
      <c r="EH84">
        <v>0</v>
      </c>
      <c r="EI84" t="s">
        <v>3</v>
      </c>
      <c r="EJ84">
        <v>1</v>
      </c>
      <c r="EK84">
        <v>235</v>
      </c>
      <c r="EL84" t="s">
        <v>186</v>
      </c>
      <c r="EM84" t="s">
        <v>187</v>
      </c>
      <c r="EO84" t="s">
        <v>3</v>
      </c>
      <c r="EQ84">
        <v>131072</v>
      </c>
      <c r="ER84">
        <v>4255.67</v>
      </c>
      <c r="ES84">
        <v>0</v>
      </c>
      <c r="ET84">
        <v>2236.87</v>
      </c>
      <c r="EU84">
        <v>457.52</v>
      </c>
      <c r="EV84">
        <v>2018.8</v>
      </c>
      <c r="EW84">
        <v>196</v>
      </c>
      <c r="EX84">
        <v>0</v>
      </c>
      <c r="EY84">
        <v>0</v>
      </c>
      <c r="FQ84">
        <v>0</v>
      </c>
      <c r="FR84">
        <f t="shared" ref="FR84:FR94" si="101">ROUND(IF(AND(BH84=3,BI84=3),P84,0),2)</f>
        <v>0</v>
      </c>
      <c r="FS84">
        <v>0</v>
      </c>
      <c r="FX84">
        <v>114</v>
      </c>
      <c r="FY84">
        <v>80</v>
      </c>
      <c r="GA84" t="s">
        <v>3</v>
      </c>
      <c r="GD84">
        <v>0</v>
      </c>
      <c r="GF84">
        <v>1616684318</v>
      </c>
      <c r="GG84">
        <v>2</v>
      </c>
      <c r="GH84">
        <v>1</v>
      </c>
      <c r="GI84">
        <v>2</v>
      </c>
      <c r="GJ84">
        <v>0</v>
      </c>
      <c r="GK84">
        <f>ROUND(R84*(R12)/100,2)</f>
        <v>13069.34</v>
      </c>
      <c r="GL84">
        <f t="shared" ref="GL84:GL94" si="102">ROUND(IF(AND(BH84=3,BI84=3,FS84&lt;&gt;0),P84,0),2)</f>
        <v>0</v>
      </c>
      <c r="GM84">
        <f t="shared" ref="GM84:GM94" si="103">ROUND(O84+X84+Y84+GK84,2)+GX84</f>
        <v>116298.55</v>
      </c>
      <c r="GN84">
        <f t="shared" ref="GN84:GN94" si="104">IF(OR(BI84=0,BI84=1),ROUND(O84+X84+Y84+GK84,2),0)</f>
        <v>116298.55</v>
      </c>
      <c r="GO84">
        <f t="shared" ref="GO84:GO94" si="105">IF(BI84=2,ROUND(O84+X84+Y84+GK84,2),0)</f>
        <v>0</v>
      </c>
      <c r="GP84">
        <f t="shared" ref="GP84:GP94" si="106">IF(BI84=4,ROUND(O84+X84+Y84+GK84,2)+GX84,0)</f>
        <v>0</v>
      </c>
      <c r="GR84">
        <v>0</v>
      </c>
      <c r="GS84">
        <v>3</v>
      </c>
      <c r="GT84">
        <v>0</v>
      </c>
      <c r="GU84" t="s">
        <v>3</v>
      </c>
      <c r="GV84">
        <f t="shared" ref="GV84:GV94" si="107">ROUND((GT84),2)</f>
        <v>0</v>
      </c>
      <c r="GW84">
        <v>1</v>
      </c>
      <c r="GX84">
        <f t="shared" ref="GX84:GX94" si="108">ROUND(HC84*I84,2)</f>
        <v>0</v>
      </c>
      <c r="HA84">
        <v>0</v>
      </c>
      <c r="HB84">
        <v>0</v>
      </c>
      <c r="HC84">
        <f t="shared" ref="HC84:HC94" si="109">GV84*GW84</f>
        <v>0</v>
      </c>
      <c r="IK84">
        <v>0</v>
      </c>
    </row>
    <row r="85" spans="1:245" x14ac:dyDescent="0.2">
      <c r="A85">
        <v>17</v>
      </c>
      <c r="B85">
        <v>1</v>
      </c>
      <c r="C85">
        <f>ROW(SmtRes!A37)</f>
        <v>37</v>
      </c>
      <c r="D85">
        <f>ROW(EtalonRes!A32)</f>
        <v>32</v>
      </c>
      <c r="E85" t="s">
        <v>188</v>
      </c>
      <c r="F85" t="s">
        <v>189</v>
      </c>
      <c r="G85" t="s">
        <v>190</v>
      </c>
      <c r="H85" t="s">
        <v>191</v>
      </c>
      <c r="I85">
        <v>76</v>
      </c>
      <c r="J85">
        <v>0</v>
      </c>
      <c r="O85">
        <f t="shared" si="70"/>
        <v>95613.37</v>
      </c>
      <c r="P85">
        <f t="shared" si="71"/>
        <v>0</v>
      </c>
      <c r="Q85">
        <f t="shared" si="72"/>
        <v>8735.11</v>
      </c>
      <c r="R85">
        <f t="shared" si="73"/>
        <v>5985.96</v>
      </c>
      <c r="S85">
        <f t="shared" si="74"/>
        <v>86878.26</v>
      </c>
      <c r="T85">
        <f t="shared" si="75"/>
        <v>0</v>
      </c>
      <c r="U85">
        <f t="shared" si="76"/>
        <v>286.52</v>
      </c>
      <c r="V85">
        <f t="shared" si="77"/>
        <v>0</v>
      </c>
      <c r="W85">
        <f t="shared" si="78"/>
        <v>0</v>
      </c>
      <c r="X85">
        <f t="shared" si="79"/>
        <v>79928</v>
      </c>
      <c r="Y85">
        <f t="shared" si="80"/>
        <v>35620.089999999997</v>
      </c>
      <c r="AA85">
        <v>44002026</v>
      </c>
      <c r="AB85">
        <f t="shared" si="81"/>
        <v>62.01</v>
      </c>
      <c r="AC85">
        <f t="shared" si="82"/>
        <v>0</v>
      </c>
      <c r="AD85">
        <f t="shared" si="83"/>
        <v>14.26</v>
      </c>
      <c r="AE85">
        <f t="shared" si="84"/>
        <v>3.29</v>
      </c>
      <c r="AF85">
        <f t="shared" si="85"/>
        <v>47.75</v>
      </c>
      <c r="AG85">
        <f t="shared" si="86"/>
        <v>0</v>
      </c>
      <c r="AH85">
        <f t="shared" si="87"/>
        <v>3.77</v>
      </c>
      <c r="AI85">
        <f t="shared" si="88"/>
        <v>0</v>
      </c>
      <c r="AJ85">
        <f t="shared" si="89"/>
        <v>0</v>
      </c>
      <c r="AK85">
        <v>62.01</v>
      </c>
      <c r="AL85">
        <v>0</v>
      </c>
      <c r="AM85">
        <v>14.26</v>
      </c>
      <c r="AN85">
        <v>3.29</v>
      </c>
      <c r="AO85">
        <v>47.75</v>
      </c>
      <c r="AP85">
        <v>0</v>
      </c>
      <c r="AQ85">
        <v>3.77</v>
      </c>
      <c r="AR85">
        <v>0</v>
      </c>
      <c r="AS85">
        <v>0</v>
      </c>
      <c r="AT85">
        <v>92</v>
      </c>
      <c r="AU85">
        <v>41</v>
      </c>
      <c r="AV85">
        <v>1</v>
      </c>
      <c r="AW85">
        <v>1</v>
      </c>
      <c r="AZ85">
        <v>1</v>
      </c>
      <c r="BA85">
        <v>23.94</v>
      </c>
      <c r="BB85">
        <v>8.06</v>
      </c>
      <c r="BC85">
        <v>1</v>
      </c>
      <c r="BD85" t="s">
        <v>3</v>
      </c>
      <c r="BE85" t="s">
        <v>3</v>
      </c>
      <c r="BF85" t="s">
        <v>3</v>
      </c>
      <c r="BG85" t="s">
        <v>3</v>
      </c>
      <c r="BH85">
        <v>0</v>
      </c>
      <c r="BI85">
        <v>1</v>
      </c>
      <c r="BJ85" t="s">
        <v>192</v>
      </c>
      <c r="BM85">
        <v>1387</v>
      </c>
      <c r="BN85">
        <v>0</v>
      </c>
      <c r="BO85" t="s">
        <v>189</v>
      </c>
      <c r="BP85">
        <v>1</v>
      </c>
      <c r="BQ85">
        <v>30</v>
      </c>
      <c r="BR85">
        <v>0</v>
      </c>
      <c r="BS85">
        <v>23.94</v>
      </c>
      <c r="BT85">
        <v>1</v>
      </c>
      <c r="BU85">
        <v>1</v>
      </c>
      <c r="BV85">
        <v>1</v>
      </c>
      <c r="BW85">
        <v>1</v>
      </c>
      <c r="BX85">
        <v>1</v>
      </c>
      <c r="BY85" t="s">
        <v>3</v>
      </c>
      <c r="BZ85">
        <v>92</v>
      </c>
      <c r="CA85">
        <v>41</v>
      </c>
      <c r="CE85">
        <v>30</v>
      </c>
      <c r="CF85">
        <v>0</v>
      </c>
      <c r="CG85">
        <v>0</v>
      </c>
      <c r="CM85">
        <v>0</v>
      </c>
      <c r="CN85" t="s">
        <v>3</v>
      </c>
      <c r="CO85">
        <v>0</v>
      </c>
      <c r="CP85">
        <f t="shared" si="90"/>
        <v>95613.37</v>
      </c>
      <c r="CQ85">
        <f t="shared" si="91"/>
        <v>0</v>
      </c>
      <c r="CR85">
        <f t="shared" si="92"/>
        <v>114.94</v>
      </c>
      <c r="CS85">
        <f t="shared" si="93"/>
        <v>78.760000000000005</v>
      </c>
      <c r="CT85">
        <f t="shared" si="94"/>
        <v>1143.1400000000001</v>
      </c>
      <c r="CU85">
        <f t="shared" si="95"/>
        <v>0</v>
      </c>
      <c r="CV85">
        <f t="shared" si="96"/>
        <v>3.77</v>
      </c>
      <c r="CW85">
        <f t="shared" si="97"/>
        <v>0</v>
      </c>
      <c r="CX85">
        <f t="shared" si="98"/>
        <v>0</v>
      </c>
      <c r="CY85">
        <f t="shared" si="99"/>
        <v>79927.999200000006</v>
      </c>
      <c r="CZ85">
        <f t="shared" si="100"/>
        <v>35620.086599999995</v>
      </c>
      <c r="DC85" t="s">
        <v>3</v>
      </c>
      <c r="DD85" t="s">
        <v>3</v>
      </c>
      <c r="DE85" t="s">
        <v>3</v>
      </c>
      <c r="DF85" t="s">
        <v>3</v>
      </c>
      <c r="DG85" t="s">
        <v>3</v>
      </c>
      <c r="DH85" t="s">
        <v>3</v>
      </c>
      <c r="DI85" t="s">
        <v>3</v>
      </c>
      <c r="DJ85" t="s">
        <v>3</v>
      </c>
      <c r="DK85" t="s">
        <v>3</v>
      </c>
      <c r="DL85" t="s">
        <v>3</v>
      </c>
      <c r="DM85" t="s">
        <v>3</v>
      </c>
      <c r="DN85">
        <v>114</v>
      </c>
      <c r="DO85">
        <v>80</v>
      </c>
      <c r="DP85">
        <v>1</v>
      </c>
      <c r="DQ85">
        <v>1</v>
      </c>
      <c r="DU85">
        <v>1013</v>
      </c>
      <c r="DV85" t="s">
        <v>191</v>
      </c>
      <c r="DW85" t="s">
        <v>191</v>
      </c>
      <c r="DX85">
        <v>1</v>
      </c>
      <c r="EE85">
        <v>43771678</v>
      </c>
      <c r="EF85">
        <v>30</v>
      </c>
      <c r="EG85" t="s">
        <v>22</v>
      </c>
      <c r="EH85">
        <v>0</v>
      </c>
      <c r="EI85" t="s">
        <v>3</v>
      </c>
      <c r="EJ85">
        <v>1</v>
      </c>
      <c r="EK85">
        <v>1387</v>
      </c>
      <c r="EL85" t="s">
        <v>193</v>
      </c>
      <c r="EM85" t="s">
        <v>194</v>
      </c>
      <c r="EO85" t="s">
        <v>3</v>
      </c>
      <c r="EQ85">
        <v>131072</v>
      </c>
      <c r="ER85">
        <v>62.01</v>
      </c>
      <c r="ES85">
        <v>0</v>
      </c>
      <c r="ET85">
        <v>14.26</v>
      </c>
      <c r="EU85">
        <v>3.29</v>
      </c>
      <c r="EV85">
        <v>47.75</v>
      </c>
      <c r="EW85">
        <v>3.77</v>
      </c>
      <c r="EX85">
        <v>0</v>
      </c>
      <c r="EY85">
        <v>0</v>
      </c>
      <c r="FQ85">
        <v>0</v>
      </c>
      <c r="FR85">
        <f t="shared" si="101"/>
        <v>0</v>
      </c>
      <c r="FS85">
        <v>0</v>
      </c>
      <c r="FX85">
        <v>114</v>
      </c>
      <c r="FY85">
        <v>80</v>
      </c>
      <c r="GA85" t="s">
        <v>3</v>
      </c>
      <c r="GD85">
        <v>0</v>
      </c>
      <c r="GF85">
        <v>1386714190</v>
      </c>
      <c r="GG85">
        <v>2</v>
      </c>
      <c r="GH85">
        <v>1</v>
      </c>
      <c r="GI85">
        <v>2</v>
      </c>
      <c r="GJ85">
        <v>0</v>
      </c>
      <c r="GK85">
        <f>ROUND(R85*(R12)/100,2)</f>
        <v>9397.9599999999991</v>
      </c>
      <c r="GL85">
        <f t="shared" si="102"/>
        <v>0</v>
      </c>
      <c r="GM85">
        <f t="shared" si="103"/>
        <v>220559.42</v>
      </c>
      <c r="GN85">
        <f t="shared" si="104"/>
        <v>220559.42</v>
      </c>
      <c r="GO85">
        <f t="shared" si="105"/>
        <v>0</v>
      </c>
      <c r="GP85">
        <f t="shared" si="106"/>
        <v>0</v>
      </c>
      <c r="GR85">
        <v>0</v>
      </c>
      <c r="GS85">
        <v>3</v>
      </c>
      <c r="GT85">
        <v>0</v>
      </c>
      <c r="GU85" t="s">
        <v>3</v>
      </c>
      <c r="GV85">
        <f t="shared" si="107"/>
        <v>0</v>
      </c>
      <c r="GW85">
        <v>1</v>
      </c>
      <c r="GX85">
        <f t="shared" si="108"/>
        <v>0</v>
      </c>
      <c r="HA85">
        <v>0</v>
      </c>
      <c r="HB85">
        <v>0</v>
      </c>
      <c r="HC85">
        <f t="shared" si="109"/>
        <v>0</v>
      </c>
      <c r="IK85">
        <v>0</v>
      </c>
    </row>
    <row r="86" spans="1:245" x14ac:dyDescent="0.2">
      <c r="A86">
        <v>18</v>
      </c>
      <c r="B86">
        <v>1</v>
      </c>
      <c r="C86">
        <v>37</v>
      </c>
      <c r="E86" t="s">
        <v>195</v>
      </c>
      <c r="F86" t="s">
        <v>196</v>
      </c>
      <c r="G86" t="s">
        <v>197</v>
      </c>
      <c r="H86" t="s">
        <v>198</v>
      </c>
      <c r="I86">
        <f>I85*J86</f>
        <v>76</v>
      </c>
      <c r="J86">
        <v>1</v>
      </c>
      <c r="O86">
        <f t="shared" si="70"/>
        <v>345169.68</v>
      </c>
      <c r="P86">
        <f t="shared" si="71"/>
        <v>345169.68</v>
      </c>
      <c r="Q86">
        <f t="shared" si="72"/>
        <v>0</v>
      </c>
      <c r="R86">
        <f t="shared" si="73"/>
        <v>0</v>
      </c>
      <c r="S86">
        <f t="shared" si="74"/>
        <v>0</v>
      </c>
      <c r="T86">
        <f t="shared" si="75"/>
        <v>0</v>
      </c>
      <c r="U86">
        <f t="shared" si="76"/>
        <v>0</v>
      </c>
      <c r="V86">
        <f t="shared" si="77"/>
        <v>0</v>
      </c>
      <c r="W86">
        <f t="shared" si="78"/>
        <v>0</v>
      </c>
      <c r="X86">
        <f t="shared" si="79"/>
        <v>0</v>
      </c>
      <c r="Y86">
        <f t="shared" si="80"/>
        <v>0</v>
      </c>
      <c r="AA86">
        <v>44002026</v>
      </c>
      <c r="AB86">
        <f t="shared" si="81"/>
        <v>836.41</v>
      </c>
      <c r="AC86">
        <f t="shared" si="82"/>
        <v>836.41</v>
      </c>
      <c r="AD86">
        <f t="shared" si="83"/>
        <v>0</v>
      </c>
      <c r="AE86">
        <f t="shared" si="84"/>
        <v>0</v>
      </c>
      <c r="AF86">
        <f t="shared" si="85"/>
        <v>0</v>
      </c>
      <c r="AG86">
        <f t="shared" si="86"/>
        <v>0</v>
      </c>
      <c r="AH86">
        <f t="shared" si="87"/>
        <v>0</v>
      </c>
      <c r="AI86">
        <f t="shared" si="88"/>
        <v>0</v>
      </c>
      <c r="AJ86">
        <f t="shared" si="89"/>
        <v>0</v>
      </c>
      <c r="AK86">
        <v>836.41</v>
      </c>
      <c r="AL86">
        <v>836.41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Z86">
        <v>1</v>
      </c>
      <c r="BA86">
        <v>1</v>
      </c>
      <c r="BB86">
        <v>1</v>
      </c>
      <c r="BC86">
        <v>5.43</v>
      </c>
      <c r="BD86" t="s">
        <v>3</v>
      </c>
      <c r="BE86" t="s">
        <v>3</v>
      </c>
      <c r="BF86" t="s">
        <v>3</v>
      </c>
      <c r="BG86" t="s">
        <v>3</v>
      </c>
      <c r="BH86">
        <v>3</v>
      </c>
      <c r="BI86">
        <v>1</v>
      </c>
      <c r="BJ86" t="s">
        <v>3</v>
      </c>
      <c r="BM86">
        <v>1387</v>
      </c>
      <c r="BN86">
        <v>0</v>
      </c>
      <c r="BO86" t="s">
        <v>3</v>
      </c>
      <c r="BP86">
        <v>0</v>
      </c>
      <c r="BQ86">
        <v>30</v>
      </c>
      <c r="BR86">
        <v>0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 t="s">
        <v>3</v>
      </c>
      <c r="BZ86">
        <v>0</v>
      </c>
      <c r="CA86">
        <v>0</v>
      </c>
      <c r="CE86">
        <v>30</v>
      </c>
      <c r="CF86">
        <v>0</v>
      </c>
      <c r="CG86">
        <v>0</v>
      </c>
      <c r="CM86">
        <v>0</v>
      </c>
      <c r="CN86" t="s">
        <v>3</v>
      </c>
      <c r="CO86">
        <v>0</v>
      </c>
      <c r="CP86">
        <f t="shared" si="90"/>
        <v>345169.68</v>
      </c>
      <c r="CQ86">
        <f t="shared" si="91"/>
        <v>4541.71</v>
      </c>
      <c r="CR86">
        <f t="shared" si="92"/>
        <v>0</v>
      </c>
      <c r="CS86">
        <f t="shared" si="93"/>
        <v>0</v>
      </c>
      <c r="CT86">
        <f t="shared" si="94"/>
        <v>0</v>
      </c>
      <c r="CU86">
        <f t="shared" si="95"/>
        <v>0</v>
      </c>
      <c r="CV86">
        <f t="shared" si="96"/>
        <v>0</v>
      </c>
      <c r="CW86">
        <f t="shared" si="97"/>
        <v>0</v>
      </c>
      <c r="CX86">
        <f t="shared" si="98"/>
        <v>0</v>
      </c>
      <c r="CY86">
        <f t="shared" si="99"/>
        <v>0</v>
      </c>
      <c r="CZ86">
        <f t="shared" si="100"/>
        <v>0</v>
      </c>
      <c r="DC86" t="s">
        <v>3</v>
      </c>
      <c r="DD86" t="s">
        <v>3</v>
      </c>
      <c r="DE86" t="s">
        <v>3</v>
      </c>
      <c r="DF86" t="s">
        <v>3</v>
      </c>
      <c r="DG86" t="s">
        <v>3</v>
      </c>
      <c r="DH86" t="s">
        <v>3</v>
      </c>
      <c r="DI86" t="s">
        <v>3</v>
      </c>
      <c r="DJ86" t="s">
        <v>3</v>
      </c>
      <c r="DK86" t="s">
        <v>3</v>
      </c>
      <c r="DL86" t="s">
        <v>3</v>
      </c>
      <c r="DM86" t="s">
        <v>3</v>
      </c>
      <c r="DN86">
        <v>114</v>
      </c>
      <c r="DO86">
        <v>80</v>
      </c>
      <c r="DP86">
        <v>1</v>
      </c>
      <c r="DQ86">
        <v>1</v>
      </c>
      <c r="DU86">
        <v>1013</v>
      </c>
      <c r="DV86" t="s">
        <v>198</v>
      </c>
      <c r="DW86" t="s">
        <v>198</v>
      </c>
      <c r="DX86">
        <v>1</v>
      </c>
      <c r="EE86">
        <v>43771678</v>
      </c>
      <c r="EF86">
        <v>30</v>
      </c>
      <c r="EG86" t="s">
        <v>22</v>
      </c>
      <c r="EH86">
        <v>0</v>
      </c>
      <c r="EI86" t="s">
        <v>3</v>
      </c>
      <c r="EJ86">
        <v>1</v>
      </c>
      <c r="EK86">
        <v>1387</v>
      </c>
      <c r="EL86" t="s">
        <v>193</v>
      </c>
      <c r="EM86" t="s">
        <v>194</v>
      </c>
      <c r="EO86" t="s">
        <v>3</v>
      </c>
      <c r="EQ86">
        <v>0</v>
      </c>
      <c r="ER86">
        <v>836.41</v>
      </c>
      <c r="ES86">
        <v>836.41</v>
      </c>
      <c r="ET86">
        <v>0</v>
      </c>
      <c r="EU86">
        <v>0</v>
      </c>
      <c r="EV86">
        <v>0</v>
      </c>
      <c r="EW86">
        <v>0</v>
      </c>
      <c r="EX86">
        <v>0</v>
      </c>
      <c r="EZ86">
        <v>5</v>
      </c>
      <c r="FC86">
        <v>0</v>
      </c>
      <c r="FD86">
        <v>18</v>
      </c>
      <c r="FF86">
        <v>4541.6888159999999</v>
      </c>
      <c r="FQ86">
        <v>0</v>
      </c>
      <c r="FR86">
        <f t="shared" si="101"/>
        <v>0</v>
      </c>
      <c r="FS86">
        <v>0</v>
      </c>
      <c r="FX86">
        <v>114</v>
      </c>
      <c r="FY86">
        <v>80</v>
      </c>
      <c r="GA86" t="s">
        <v>199</v>
      </c>
      <c r="GD86">
        <v>0</v>
      </c>
      <c r="GF86">
        <v>1370396487</v>
      </c>
      <c r="GG86">
        <v>2</v>
      </c>
      <c r="GH86">
        <v>3</v>
      </c>
      <c r="GI86">
        <v>3</v>
      </c>
      <c r="GJ86">
        <v>0</v>
      </c>
      <c r="GK86">
        <f>ROUND(R86*(R12)/100,2)</f>
        <v>0</v>
      </c>
      <c r="GL86">
        <f t="shared" si="102"/>
        <v>0</v>
      </c>
      <c r="GM86">
        <f t="shared" si="103"/>
        <v>345169.68</v>
      </c>
      <c r="GN86">
        <f t="shared" si="104"/>
        <v>345169.68</v>
      </c>
      <c r="GO86">
        <f t="shared" si="105"/>
        <v>0</v>
      </c>
      <c r="GP86">
        <f t="shared" si="106"/>
        <v>0</v>
      </c>
      <c r="GR86">
        <v>1</v>
      </c>
      <c r="GS86">
        <v>1</v>
      </c>
      <c r="GT86">
        <v>0</v>
      </c>
      <c r="GU86" t="s">
        <v>3</v>
      </c>
      <c r="GV86">
        <f t="shared" si="107"/>
        <v>0</v>
      </c>
      <c r="GW86">
        <v>1</v>
      </c>
      <c r="GX86">
        <f t="shared" si="108"/>
        <v>0</v>
      </c>
      <c r="HA86">
        <v>0</v>
      </c>
      <c r="HB86">
        <v>0</v>
      </c>
      <c r="HC86">
        <f t="shared" si="109"/>
        <v>0</v>
      </c>
      <c r="IK86">
        <v>0</v>
      </c>
    </row>
    <row r="87" spans="1:245" x14ac:dyDescent="0.2">
      <c r="A87">
        <v>17</v>
      </c>
      <c r="B87">
        <v>1</v>
      </c>
      <c r="C87">
        <f>ROW(SmtRes!A39)</f>
        <v>39</v>
      </c>
      <c r="D87">
        <f>ROW(EtalonRes!A33)</f>
        <v>33</v>
      </c>
      <c r="E87" t="s">
        <v>200</v>
      </c>
      <c r="F87" t="s">
        <v>201</v>
      </c>
      <c r="G87" t="s">
        <v>202</v>
      </c>
      <c r="H87" t="s">
        <v>191</v>
      </c>
      <c r="I87">
        <v>76</v>
      </c>
      <c r="J87">
        <v>0</v>
      </c>
      <c r="O87">
        <f t="shared" si="70"/>
        <v>48230.89</v>
      </c>
      <c r="P87">
        <f t="shared" si="71"/>
        <v>50.16</v>
      </c>
      <c r="Q87">
        <f t="shared" si="72"/>
        <v>23381.759999999998</v>
      </c>
      <c r="R87">
        <f t="shared" si="73"/>
        <v>12372.19</v>
      </c>
      <c r="S87">
        <f t="shared" si="74"/>
        <v>24798.97</v>
      </c>
      <c r="T87">
        <f t="shared" si="75"/>
        <v>0</v>
      </c>
      <c r="U87">
        <f t="shared" si="76"/>
        <v>75.239999999999995</v>
      </c>
      <c r="V87">
        <f t="shared" si="77"/>
        <v>0</v>
      </c>
      <c r="W87">
        <f t="shared" si="78"/>
        <v>0</v>
      </c>
      <c r="X87">
        <f t="shared" si="79"/>
        <v>22319.07</v>
      </c>
      <c r="Y87">
        <f t="shared" si="80"/>
        <v>10663.56</v>
      </c>
      <c r="AA87">
        <v>44002026</v>
      </c>
      <c r="AB87">
        <f t="shared" si="81"/>
        <v>48.01</v>
      </c>
      <c r="AC87">
        <f t="shared" si="82"/>
        <v>0.12</v>
      </c>
      <c r="AD87">
        <f t="shared" si="83"/>
        <v>34.26</v>
      </c>
      <c r="AE87">
        <f t="shared" si="84"/>
        <v>6.8</v>
      </c>
      <c r="AF87">
        <f t="shared" si="85"/>
        <v>13.63</v>
      </c>
      <c r="AG87">
        <f t="shared" si="86"/>
        <v>0</v>
      </c>
      <c r="AH87">
        <f t="shared" si="87"/>
        <v>0.99</v>
      </c>
      <c r="AI87">
        <f t="shared" si="88"/>
        <v>0</v>
      </c>
      <c r="AJ87">
        <f t="shared" si="89"/>
        <v>0</v>
      </c>
      <c r="AK87">
        <v>48.01</v>
      </c>
      <c r="AL87">
        <v>0.12</v>
      </c>
      <c r="AM87">
        <v>34.26</v>
      </c>
      <c r="AN87">
        <v>6.8</v>
      </c>
      <c r="AO87">
        <v>13.63</v>
      </c>
      <c r="AP87">
        <v>0</v>
      </c>
      <c r="AQ87">
        <v>0.99</v>
      </c>
      <c r="AR87">
        <v>0</v>
      </c>
      <c r="AS87">
        <v>0</v>
      </c>
      <c r="AT87">
        <v>90</v>
      </c>
      <c r="AU87">
        <v>43</v>
      </c>
      <c r="AV87">
        <v>1</v>
      </c>
      <c r="AW87">
        <v>1</v>
      </c>
      <c r="AZ87">
        <v>1</v>
      </c>
      <c r="BA87">
        <v>23.94</v>
      </c>
      <c r="BB87">
        <v>8.98</v>
      </c>
      <c r="BC87">
        <v>5.5</v>
      </c>
      <c r="BD87" t="s">
        <v>3</v>
      </c>
      <c r="BE87" t="s">
        <v>3</v>
      </c>
      <c r="BF87" t="s">
        <v>3</v>
      </c>
      <c r="BG87" t="s">
        <v>3</v>
      </c>
      <c r="BH87">
        <v>0</v>
      </c>
      <c r="BI87">
        <v>2</v>
      </c>
      <c r="BJ87" t="s">
        <v>203</v>
      </c>
      <c r="BM87">
        <v>329</v>
      </c>
      <c r="BN87">
        <v>0</v>
      </c>
      <c r="BO87" t="s">
        <v>201</v>
      </c>
      <c r="BP87">
        <v>1</v>
      </c>
      <c r="BQ87">
        <v>40</v>
      </c>
      <c r="BR87">
        <v>0</v>
      </c>
      <c r="BS87">
        <v>23.94</v>
      </c>
      <c r="BT87">
        <v>1</v>
      </c>
      <c r="BU87">
        <v>1</v>
      </c>
      <c r="BV87">
        <v>1</v>
      </c>
      <c r="BW87">
        <v>1</v>
      </c>
      <c r="BX87">
        <v>1</v>
      </c>
      <c r="BY87" t="s">
        <v>3</v>
      </c>
      <c r="BZ87">
        <v>90</v>
      </c>
      <c r="CA87">
        <v>43</v>
      </c>
      <c r="CE87">
        <v>30</v>
      </c>
      <c r="CF87">
        <v>0</v>
      </c>
      <c r="CG87">
        <v>0</v>
      </c>
      <c r="CM87">
        <v>0</v>
      </c>
      <c r="CN87" t="s">
        <v>3</v>
      </c>
      <c r="CO87">
        <v>0</v>
      </c>
      <c r="CP87">
        <f t="shared" si="90"/>
        <v>48230.89</v>
      </c>
      <c r="CQ87">
        <f t="shared" si="91"/>
        <v>0.66</v>
      </c>
      <c r="CR87">
        <f t="shared" si="92"/>
        <v>307.64999999999998</v>
      </c>
      <c r="CS87">
        <f t="shared" si="93"/>
        <v>162.79</v>
      </c>
      <c r="CT87">
        <f t="shared" si="94"/>
        <v>326.3</v>
      </c>
      <c r="CU87">
        <f t="shared" si="95"/>
        <v>0</v>
      </c>
      <c r="CV87">
        <f t="shared" si="96"/>
        <v>0.99</v>
      </c>
      <c r="CW87">
        <f t="shared" si="97"/>
        <v>0</v>
      </c>
      <c r="CX87">
        <f t="shared" si="98"/>
        <v>0</v>
      </c>
      <c r="CY87">
        <f t="shared" si="99"/>
        <v>22319.073</v>
      </c>
      <c r="CZ87">
        <f t="shared" si="100"/>
        <v>10663.5571</v>
      </c>
      <c r="DC87" t="s">
        <v>3</v>
      </c>
      <c r="DD87" t="s">
        <v>3</v>
      </c>
      <c r="DE87" t="s">
        <v>3</v>
      </c>
      <c r="DF87" t="s">
        <v>3</v>
      </c>
      <c r="DG87" t="s">
        <v>3</v>
      </c>
      <c r="DH87" t="s">
        <v>3</v>
      </c>
      <c r="DI87" t="s">
        <v>3</v>
      </c>
      <c r="DJ87" t="s">
        <v>3</v>
      </c>
      <c r="DK87" t="s">
        <v>3</v>
      </c>
      <c r="DL87" t="s">
        <v>3</v>
      </c>
      <c r="DM87" t="s">
        <v>3</v>
      </c>
      <c r="DN87">
        <v>112</v>
      </c>
      <c r="DO87">
        <v>70</v>
      </c>
      <c r="DP87">
        <v>1</v>
      </c>
      <c r="DQ87">
        <v>1</v>
      </c>
      <c r="DU87">
        <v>1013</v>
      </c>
      <c r="DV87" t="s">
        <v>191</v>
      </c>
      <c r="DW87" t="s">
        <v>191</v>
      </c>
      <c r="DX87">
        <v>1</v>
      </c>
      <c r="EE87">
        <v>43770620</v>
      </c>
      <c r="EF87">
        <v>40</v>
      </c>
      <c r="EG87" t="s">
        <v>42</v>
      </c>
      <c r="EH87">
        <v>0</v>
      </c>
      <c r="EI87" t="s">
        <v>3</v>
      </c>
      <c r="EJ87">
        <v>2</v>
      </c>
      <c r="EK87">
        <v>329</v>
      </c>
      <c r="EL87" t="s">
        <v>204</v>
      </c>
      <c r="EM87" t="s">
        <v>205</v>
      </c>
      <c r="EO87" t="s">
        <v>3</v>
      </c>
      <c r="EQ87">
        <v>131072</v>
      </c>
      <c r="ER87">
        <v>48.01</v>
      </c>
      <c r="ES87">
        <v>0.12</v>
      </c>
      <c r="ET87">
        <v>34.26</v>
      </c>
      <c r="EU87">
        <v>6.8</v>
      </c>
      <c r="EV87">
        <v>13.63</v>
      </c>
      <c r="EW87">
        <v>0.99</v>
      </c>
      <c r="EX87">
        <v>0</v>
      </c>
      <c r="EY87">
        <v>0</v>
      </c>
      <c r="FQ87">
        <v>0</v>
      </c>
      <c r="FR87">
        <f t="shared" si="101"/>
        <v>0</v>
      </c>
      <c r="FS87">
        <v>0</v>
      </c>
      <c r="FX87">
        <v>112</v>
      </c>
      <c r="FY87">
        <v>70</v>
      </c>
      <c r="GA87" t="s">
        <v>3</v>
      </c>
      <c r="GD87">
        <v>0</v>
      </c>
      <c r="GF87">
        <v>-742754840</v>
      </c>
      <c r="GG87">
        <v>2</v>
      </c>
      <c r="GH87">
        <v>1</v>
      </c>
      <c r="GI87">
        <v>2</v>
      </c>
      <c r="GJ87">
        <v>0</v>
      </c>
      <c r="GK87">
        <f>ROUND(R87*(R12)/100,2)</f>
        <v>19424.34</v>
      </c>
      <c r="GL87">
        <f t="shared" si="102"/>
        <v>0</v>
      </c>
      <c r="GM87">
        <f t="shared" si="103"/>
        <v>100637.86</v>
      </c>
      <c r="GN87">
        <f t="shared" si="104"/>
        <v>0</v>
      </c>
      <c r="GO87">
        <f t="shared" si="105"/>
        <v>100637.86</v>
      </c>
      <c r="GP87">
        <f t="shared" si="106"/>
        <v>0</v>
      </c>
      <c r="GR87">
        <v>0</v>
      </c>
      <c r="GS87">
        <v>3</v>
      </c>
      <c r="GT87">
        <v>0</v>
      </c>
      <c r="GU87" t="s">
        <v>3</v>
      </c>
      <c r="GV87">
        <f t="shared" si="107"/>
        <v>0</v>
      </c>
      <c r="GW87">
        <v>1</v>
      </c>
      <c r="GX87">
        <f t="shared" si="108"/>
        <v>0</v>
      </c>
      <c r="HA87">
        <v>0</v>
      </c>
      <c r="HB87">
        <v>0</v>
      </c>
      <c r="HC87">
        <f t="shared" si="109"/>
        <v>0</v>
      </c>
      <c r="IK87">
        <v>0</v>
      </c>
    </row>
    <row r="88" spans="1:245" x14ac:dyDescent="0.2">
      <c r="A88">
        <v>18</v>
      </c>
      <c r="B88">
        <v>1</v>
      </c>
      <c r="C88">
        <v>39</v>
      </c>
      <c r="E88" t="s">
        <v>206</v>
      </c>
      <c r="F88" t="s">
        <v>207</v>
      </c>
      <c r="G88" t="s">
        <v>208</v>
      </c>
      <c r="H88" t="s">
        <v>209</v>
      </c>
      <c r="I88">
        <f>I87*J88</f>
        <v>76</v>
      </c>
      <c r="J88">
        <v>1</v>
      </c>
      <c r="O88">
        <f t="shared" si="70"/>
        <v>620666.59</v>
      </c>
      <c r="P88">
        <f t="shared" si="71"/>
        <v>620666.59</v>
      </c>
      <c r="Q88">
        <f t="shared" si="72"/>
        <v>0</v>
      </c>
      <c r="R88">
        <f t="shared" si="73"/>
        <v>0</v>
      </c>
      <c r="S88">
        <f t="shared" si="74"/>
        <v>0</v>
      </c>
      <c r="T88">
        <f t="shared" si="75"/>
        <v>0</v>
      </c>
      <c r="U88">
        <f t="shared" si="76"/>
        <v>0</v>
      </c>
      <c r="V88">
        <f t="shared" si="77"/>
        <v>0</v>
      </c>
      <c r="W88">
        <f t="shared" si="78"/>
        <v>0</v>
      </c>
      <c r="X88">
        <f t="shared" si="79"/>
        <v>0</v>
      </c>
      <c r="Y88">
        <f t="shared" si="80"/>
        <v>0</v>
      </c>
      <c r="AA88">
        <v>44002026</v>
      </c>
      <c r="AB88">
        <f t="shared" si="81"/>
        <v>1503.99</v>
      </c>
      <c r="AC88">
        <f t="shared" si="82"/>
        <v>1503.99</v>
      </c>
      <c r="AD88">
        <f t="shared" si="83"/>
        <v>0</v>
      </c>
      <c r="AE88">
        <f t="shared" si="84"/>
        <v>0</v>
      </c>
      <c r="AF88">
        <f t="shared" si="85"/>
        <v>0</v>
      </c>
      <c r="AG88">
        <f t="shared" si="86"/>
        <v>0</v>
      </c>
      <c r="AH88">
        <f t="shared" si="87"/>
        <v>0</v>
      </c>
      <c r="AI88">
        <f t="shared" si="88"/>
        <v>0</v>
      </c>
      <c r="AJ88">
        <f t="shared" si="89"/>
        <v>0</v>
      </c>
      <c r="AK88">
        <v>1503.99</v>
      </c>
      <c r="AL88">
        <v>1503.99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Z88">
        <v>1</v>
      </c>
      <c r="BA88">
        <v>1</v>
      </c>
      <c r="BB88">
        <v>1</v>
      </c>
      <c r="BC88">
        <v>5.43</v>
      </c>
      <c r="BD88" t="s">
        <v>3</v>
      </c>
      <c r="BE88" t="s">
        <v>3</v>
      </c>
      <c r="BF88" t="s">
        <v>3</v>
      </c>
      <c r="BG88" t="s">
        <v>3</v>
      </c>
      <c r="BH88">
        <v>3</v>
      </c>
      <c r="BI88">
        <v>2</v>
      </c>
      <c r="BJ88" t="s">
        <v>3</v>
      </c>
      <c r="BM88">
        <v>333</v>
      </c>
      <c r="BN88">
        <v>0</v>
      </c>
      <c r="BO88" t="s">
        <v>3</v>
      </c>
      <c r="BP88">
        <v>0</v>
      </c>
      <c r="BQ88">
        <v>40</v>
      </c>
      <c r="BR88">
        <v>0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 t="s">
        <v>3</v>
      </c>
      <c r="BZ88">
        <v>0</v>
      </c>
      <c r="CA88">
        <v>0</v>
      </c>
      <c r="CE88">
        <v>30</v>
      </c>
      <c r="CF88">
        <v>0</v>
      </c>
      <c r="CG88">
        <v>0</v>
      </c>
      <c r="CM88">
        <v>0</v>
      </c>
      <c r="CN88" t="s">
        <v>3</v>
      </c>
      <c r="CO88">
        <v>0</v>
      </c>
      <c r="CP88">
        <f t="shared" si="90"/>
        <v>620666.59</v>
      </c>
      <c r="CQ88">
        <f t="shared" si="91"/>
        <v>8166.67</v>
      </c>
      <c r="CR88">
        <f t="shared" si="92"/>
        <v>0</v>
      </c>
      <c r="CS88">
        <f t="shared" si="93"/>
        <v>0</v>
      </c>
      <c r="CT88">
        <f t="shared" si="94"/>
        <v>0</v>
      </c>
      <c r="CU88">
        <f t="shared" si="95"/>
        <v>0</v>
      </c>
      <c r="CV88">
        <f t="shared" si="96"/>
        <v>0</v>
      </c>
      <c r="CW88">
        <f t="shared" si="97"/>
        <v>0</v>
      </c>
      <c r="CX88">
        <f t="shared" si="98"/>
        <v>0</v>
      </c>
      <c r="CY88">
        <f t="shared" si="99"/>
        <v>0</v>
      </c>
      <c r="CZ88">
        <f t="shared" si="100"/>
        <v>0</v>
      </c>
      <c r="DC88" t="s">
        <v>3</v>
      </c>
      <c r="DD88" t="s">
        <v>3</v>
      </c>
      <c r="DE88" t="s">
        <v>3</v>
      </c>
      <c r="DF88" t="s">
        <v>3</v>
      </c>
      <c r="DG88" t="s">
        <v>3</v>
      </c>
      <c r="DH88" t="s">
        <v>3</v>
      </c>
      <c r="DI88" t="s">
        <v>3</v>
      </c>
      <c r="DJ88" t="s">
        <v>3</v>
      </c>
      <c r="DK88" t="s">
        <v>3</v>
      </c>
      <c r="DL88" t="s">
        <v>3</v>
      </c>
      <c r="DM88" t="s">
        <v>3</v>
      </c>
      <c r="DN88">
        <v>112</v>
      </c>
      <c r="DO88">
        <v>70</v>
      </c>
      <c r="DP88">
        <v>1</v>
      </c>
      <c r="DQ88">
        <v>1</v>
      </c>
      <c r="DU88">
        <v>1010</v>
      </c>
      <c r="DV88" t="s">
        <v>209</v>
      </c>
      <c r="DW88" t="s">
        <v>210</v>
      </c>
      <c r="DX88">
        <v>1</v>
      </c>
      <c r="EE88">
        <v>43770624</v>
      </c>
      <c r="EF88">
        <v>40</v>
      </c>
      <c r="EG88" t="s">
        <v>42</v>
      </c>
      <c r="EH88">
        <v>0</v>
      </c>
      <c r="EI88" t="s">
        <v>3</v>
      </c>
      <c r="EJ88">
        <v>2</v>
      </c>
      <c r="EK88">
        <v>333</v>
      </c>
      <c r="EL88" t="s">
        <v>211</v>
      </c>
      <c r="EM88" t="s">
        <v>212</v>
      </c>
      <c r="EO88" t="s">
        <v>3</v>
      </c>
      <c r="EQ88">
        <v>0</v>
      </c>
      <c r="ER88">
        <v>1523.63</v>
      </c>
      <c r="ES88">
        <v>1503.99</v>
      </c>
      <c r="ET88">
        <v>0</v>
      </c>
      <c r="EU88">
        <v>0</v>
      </c>
      <c r="EV88">
        <v>0</v>
      </c>
      <c r="EW88">
        <v>0</v>
      </c>
      <c r="EX88">
        <v>0</v>
      </c>
      <c r="EZ88">
        <v>5</v>
      </c>
      <c r="FC88">
        <v>0</v>
      </c>
      <c r="FD88">
        <v>18</v>
      </c>
      <c r="FF88">
        <v>8166.6568420000003</v>
      </c>
      <c r="FQ88">
        <v>0</v>
      </c>
      <c r="FR88">
        <f t="shared" si="101"/>
        <v>0</v>
      </c>
      <c r="FS88">
        <v>0</v>
      </c>
      <c r="FX88">
        <v>112</v>
      </c>
      <c r="FY88">
        <v>70</v>
      </c>
      <c r="GA88" t="s">
        <v>213</v>
      </c>
      <c r="GD88">
        <v>0</v>
      </c>
      <c r="GF88">
        <v>-2127492810</v>
      </c>
      <c r="GG88">
        <v>2</v>
      </c>
      <c r="GH88">
        <v>3</v>
      </c>
      <c r="GI88">
        <v>3</v>
      </c>
      <c r="GJ88">
        <v>0</v>
      </c>
      <c r="GK88">
        <f>ROUND(R88*(R12)/100,2)</f>
        <v>0</v>
      </c>
      <c r="GL88">
        <f t="shared" si="102"/>
        <v>0</v>
      </c>
      <c r="GM88">
        <f t="shared" si="103"/>
        <v>620666.59</v>
      </c>
      <c r="GN88">
        <f t="shared" si="104"/>
        <v>0</v>
      </c>
      <c r="GO88">
        <f t="shared" si="105"/>
        <v>620666.59</v>
      </c>
      <c r="GP88">
        <f t="shared" si="106"/>
        <v>0</v>
      </c>
      <c r="GR88">
        <v>1</v>
      </c>
      <c r="GS88">
        <v>1</v>
      </c>
      <c r="GT88">
        <v>0</v>
      </c>
      <c r="GU88" t="s">
        <v>3</v>
      </c>
      <c r="GV88">
        <f t="shared" si="107"/>
        <v>0</v>
      </c>
      <c r="GW88">
        <v>1</v>
      </c>
      <c r="GX88">
        <f t="shared" si="108"/>
        <v>0</v>
      </c>
      <c r="HA88">
        <v>0</v>
      </c>
      <c r="HB88">
        <v>0</v>
      </c>
      <c r="HC88">
        <f t="shared" si="109"/>
        <v>0</v>
      </c>
      <c r="IK88">
        <v>0</v>
      </c>
    </row>
    <row r="89" spans="1:245" x14ac:dyDescent="0.2">
      <c r="A89">
        <v>17</v>
      </c>
      <c r="B89">
        <v>1</v>
      </c>
      <c r="C89">
        <f>ROW(SmtRes!A41)</f>
        <v>41</v>
      </c>
      <c r="D89">
        <f>ROW(EtalonRes!A34)</f>
        <v>34</v>
      </c>
      <c r="E89" t="s">
        <v>214</v>
      </c>
      <c r="F89" t="s">
        <v>215</v>
      </c>
      <c r="G89" t="s">
        <v>216</v>
      </c>
      <c r="H89" t="s">
        <v>191</v>
      </c>
      <c r="I89">
        <v>44</v>
      </c>
      <c r="J89">
        <v>0</v>
      </c>
      <c r="O89">
        <f t="shared" si="70"/>
        <v>149811.56</v>
      </c>
      <c r="P89">
        <f t="shared" si="71"/>
        <v>262.82</v>
      </c>
      <c r="Q89">
        <f t="shared" si="72"/>
        <v>24198.9</v>
      </c>
      <c r="R89">
        <f t="shared" si="73"/>
        <v>9216.9</v>
      </c>
      <c r="S89">
        <f t="shared" si="74"/>
        <v>125349.84</v>
      </c>
      <c r="T89">
        <f t="shared" si="75"/>
        <v>0</v>
      </c>
      <c r="U89">
        <f t="shared" si="76"/>
        <v>440</v>
      </c>
      <c r="V89">
        <f t="shared" si="77"/>
        <v>0</v>
      </c>
      <c r="W89">
        <f t="shared" si="78"/>
        <v>0</v>
      </c>
      <c r="X89">
        <f t="shared" si="79"/>
        <v>112814.86</v>
      </c>
      <c r="Y89">
        <f t="shared" si="80"/>
        <v>53900.43</v>
      </c>
      <c r="AA89">
        <v>44002026</v>
      </c>
      <c r="AB89">
        <f t="shared" si="81"/>
        <v>193.42</v>
      </c>
      <c r="AC89">
        <f t="shared" si="82"/>
        <v>1.0900000000000001</v>
      </c>
      <c r="AD89">
        <f t="shared" si="83"/>
        <v>73.33</v>
      </c>
      <c r="AE89">
        <f t="shared" si="84"/>
        <v>8.75</v>
      </c>
      <c r="AF89">
        <f t="shared" si="85"/>
        <v>119</v>
      </c>
      <c r="AG89">
        <f t="shared" si="86"/>
        <v>0</v>
      </c>
      <c r="AH89">
        <f t="shared" si="87"/>
        <v>10</v>
      </c>
      <c r="AI89">
        <f t="shared" si="88"/>
        <v>0</v>
      </c>
      <c r="AJ89">
        <f t="shared" si="89"/>
        <v>0</v>
      </c>
      <c r="AK89">
        <v>193.42</v>
      </c>
      <c r="AL89">
        <v>1.0900000000000001</v>
      </c>
      <c r="AM89">
        <v>73.33</v>
      </c>
      <c r="AN89">
        <v>8.75</v>
      </c>
      <c r="AO89">
        <v>119</v>
      </c>
      <c r="AP89">
        <v>0</v>
      </c>
      <c r="AQ89">
        <v>10</v>
      </c>
      <c r="AR89">
        <v>0</v>
      </c>
      <c r="AS89">
        <v>0</v>
      </c>
      <c r="AT89">
        <v>90</v>
      </c>
      <c r="AU89">
        <v>43</v>
      </c>
      <c r="AV89">
        <v>1</v>
      </c>
      <c r="AW89">
        <v>1</v>
      </c>
      <c r="AZ89">
        <v>1</v>
      </c>
      <c r="BA89">
        <v>23.94</v>
      </c>
      <c r="BB89">
        <v>7.5</v>
      </c>
      <c r="BC89">
        <v>5.48</v>
      </c>
      <c r="BD89" t="s">
        <v>3</v>
      </c>
      <c r="BE89" t="s">
        <v>3</v>
      </c>
      <c r="BF89" t="s">
        <v>3</v>
      </c>
      <c r="BG89" t="s">
        <v>3</v>
      </c>
      <c r="BH89">
        <v>0</v>
      </c>
      <c r="BI89">
        <v>2</v>
      </c>
      <c r="BJ89" t="s">
        <v>217</v>
      </c>
      <c r="BM89">
        <v>1608</v>
      </c>
      <c r="BN89">
        <v>0</v>
      </c>
      <c r="BO89" t="s">
        <v>215</v>
      </c>
      <c r="BP89">
        <v>1</v>
      </c>
      <c r="BQ89">
        <v>40</v>
      </c>
      <c r="BR89">
        <v>0</v>
      </c>
      <c r="BS89">
        <v>23.94</v>
      </c>
      <c r="BT89">
        <v>1</v>
      </c>
      <c r="BU89">
        <v>1</v>
      </c>
      <c r="BV89">
        <v>1</v>
      </c>
      <c r="BW89">
        <v>1</v>
      </c>
      <c r="BX89">
        <v>1</v>
      </c>
      <c r="BY89" t="s">
        <v>3</v>
      </c>
      <c r="BZ89">
        <v>90</v>
      </c>
      <c r="CA89">
        <v>43</v>
      </c>
      <c r="CE89">
        <v>30</v>
      </c>
      <c r="CF89">
        <v>0</v>
      </c>
      <c r="CG89">
        <v>0</v>
      </c>
      <c r="CM89">
        <v>0</v>
      </c>
      <c r="CN89" t="s">
        <v>3</v>
      </c>
      <c r="CO89">
        <v>0</v>
      </c>
      <c r="CP89">
        <f t="shared" si="90"/>
        <v>149811.56</v>
      </c>
      <c r="CQ89">
        <f t="shared" si="91"/>
        <v>5.97</v>
      </c>
      <c r="CR89">
        <f t="shared" si="92"/>
        <v>549.98</v>
      </c>
      <c r="CS89">
        <f t="shared" si="93"/>
        <v>209.48</v>
      </c>
      <c r="CT89">
        <f t="shared" si="94"/>
        <v>2848.86</v>
      </c>
      <c r="CU89">
        <f t="shared" si="95"/>
        <v>0</v>
      </c>
      <c r="CV89">
        <f t="shared" si="96"/>
        <v>10</v>
      </c>
      <c r="CW89">
        <f t="shared" si="97"/>
        <v>0</v>
      </c>
      <c r="CX89">
        <f t="shared" si="98"/>
        <v>0</v>
      </c>
      <c r="CY89">
        <f t="shared" si="99"/>
        <v>112814.856</v>
      </c>
      <c r="CZ89">
        <f t="shared" si="100"/>
        <v>53900.431199999999</v>
      </c>
      <c r="DC89" t="s">
        <v>3</v>
      </c>
      <c r="DD89" t="s">
        <v>3</v>
      </c>
      <c r="DE89" t="s">
        <v>3</v>
      </c>
      <c r="DF89" t="s">
        <v>3</v>
      </c>
      <c r="DG89" t="s">
        <v>3</v>
      </c>
      <c r="DH89" t="s">
        <v>3</v>
      </c>
      <c r="DI89" t="s">
        <v>3</v>
      </c>
      <c r="DJ89" t="s">
        <v>3</v>
      </c>
      <c r="DK89" t="s">
        <v>3</v>
      </c>
      <c r="DL89" t="s">
        <v>3</v>
      </c>
      <c r="DM89" t="s">
        <v>3</v>
      </c>
      <c r="DN89">
        <v>112</v>
      </c>
      <c r="DO89">
        <v>70</v>
      </c>
      <c r="DP89">
        <v>1</v>
      </c>
      <c r="DQ89">
        <v>1</v>
      </c>
      <c r="DU89">
        <v>1013</v>
      </c>
      <c r="DV89" t="s">
        <v>191</v>
      </c>
      <c r="DW89" t="s">
        <v>191</v>
      </c>
      <c r="DX89">
        <v>1</v>
      </c>
      <c r="EE89">
        <v>43771899</v>
      </c>
      <c r="EF89">
        <v>40</v>
      </c>
      <c r="EG89" t="s">
        <v>42</v>
      </c>
      <c r="EH89">
        <v>0</v>
      </c>
      <c r="EI89" t="s">
        <v>3</v>
      </c>
      <c r="EJ89">
        <v>2</v>
      </c>
      <c r="EK89">
        <v>1608</v>
      </c>
      <c r="EL89" t="s">
        <v>218</v>
      </c>
      <c r="EM89" t="s">
        <v>219</v>
      </c>
      <c r="EO89" t="s">
        <v>3</v>
      </c>
      <c r="EQ89">
        <v>131072</v>
      </c>
      <c r="ER89">
        <v>193.42</v>
      </c>
      <c r="ES89">
        <v>1.0900000000000001</v>
      </c>
      <c r="ET89">
        <v>73.33</v>
      </c>
      <c r="EU89">
        <v>8.75</v>
      </c>
      <c r="EV89">
        <v>119</v>
      </c>
      <c r="EW89">
        <v>10</v>
      </c>
      <c r="EX89">
        <v>0</v>
      </c>
      <c r="EY89">
        <v>0</v>
      </c>
      <c r="FQ89">
        <v>0</v>
      </c>
      <c r="FR89">
        <f t="shared" si="101"/>
        <v>0</v>
      </c>
      <c r="FS89">
        <v>0</v>
      </c>
      <c r="FX89">
        <v>112</v>
      </c>
      <c r="FY89">
        <v>70</v>
      </c>
      <c r="GA89" t="s">
        <v>3</v>
      </c>
      <c r="GD89">
        <v>0</v>
      </c>
      <c r="GF89">
        <v>-280167557</v>
      </c>
      <c r="GG89">
        <v>2</v>
      </c>
      <c r="GH89">
        <v>1</v>
      </c>
      <c r="GI89">
        <v>2</v>
      </c>
      <c r="GJ89">
        <v>0</v>
      </c>
      <c r="GK89">
        <f>ROUND(R89*(R12)/100,2)</f>
        <v>14470.53</v>
      </c>
      <c r="GL89">
        <f t="shared" si="102"/>
        <v>0</v>
      </c>
      <c r="GM89">
        <f t="shared" si="103"/>
        <v>330997.38</v>
      </c>
      <c r="GN89">
        <f t="shared" si="104"/>
        <v>0</v>
      </c>
      <c r="GO89">
        <f t="shared" si="105"/>
        <v>330997.38</v>
      </c>
      <c r="GP89">
        <f t="shared" si="106"/>
        <v>0</v>
      </c>
      <c r="GR89">
        <v>0</v>
      </c>
      <c r="GS89">
        <v>3</v>
      </c>
      <c r="GT89">
        <v>0</v>
      </c>
      <c r="GU89" t="s">
        <v>3</v>
      </c>
      <c r="GV89">
        <f t="shared" si="107"/>
        <v>0</v>
      </c>
      <c r="GW89">
        <v>1</v>
      </c>
      <c r="GX89">
        <f t="shared" si="108"/>
        <v>0</v>
      </c>
      <c r="HA89">
        <v>0</v>
      </c>
      <c r="HB89">
        <v>0</v>
      </c>
      <c r="HC89">
        <f t="shared" si="109"/>
        <v>0</v>
      </c>
      <c r="IK89">
        <v>0</v>
      </c>
    </row>
    <row r="90" spans="1:245" x14ac:dyDescent="0.2">
      <c r="A90">
        <v>18</v>
      </c>
      <c r="B90">
        <v>1</v>
      </c>
      <c r="C90">
        <v>41</v>
      </c>
      <c r="E90" t="s">
        <v>220</v>
      </c>
      <c r="F90" t="s">
        <v>221</v>
      </c>
      <c r="G90" t="s">
        <v>222</v>
      </c>
      <c r="H90" t="s">
        <v>209</v>
      </c>
      <c r="I90">
        <f>I89*J90</f>
        <v>44</v>
      </c>
      <c r="J90">
        <v>1</v>
      </c>
      <c r="O90">
        <f t="shared" si="70"/>
        <v>165000.54</v>
      </c>
      <c r="P90">
        <f t="shared" si="71"/>
        <v>165000.54</v>
      </c>
      <c r="Q90">
        <f t="shared" si="72"/>
        <v>0</v>
      </c>
      <c r="R90">
        <f t="shared" si="73"/>
        <v>0</v>
      </c>
      <c r="S90">
        <f t="shared" si="74"/>
        <v>0</v>
      </c>
      <c r="T90">
        <f t="shared" si="75"/>
        <v>0</v>
      </c>
      <c r="U90">
        <f t="shared" si="76"/>
        <v>0</v>
      </c>
      <c r="V90">
        <f t="shared" si="77"/>
        <v>0</v>
      </c>
      <c r="W90">
        <f t="shared" si="78"/>
        <v>0</v>
      </c>
      <c r="X90">
        <f t="shared" si="79"/>
        <v>0</v>
      </c>
      <c r="Y90">
        <f t="shared" si="80"/>
        <v>0</v>
      </c>
      <c r="AA90">
        <v>44002026</v>
      </c>
      <c r="AB90">
        <f t="shared" si="81"/>
        <v>690.61</v>
      </c>
      <c r="AC90">
        <f t="shared" si="82"/>
        <v>690.61</v>
      </c>
      <c r="AD90">
        <f t="shared" si="83"/>
        <v>0</v>
      </c>
      <c r="AE90">
        <f t="shared" si="84"/>
        <v>0</v>
      </c>
      <c r="AF90">
        <f t="shared" si="85"/>
        <v>0</v>
      </c>
      <c r="AG90">
        <f t="shared" si="86"/>
        <v>0</v>
      </c>
      <c r="AH90">
        <f t="shared" si="87"/>
        <v>0</v>
      </c>
      <c r="AI90">
        <f t="shared" si="88"/>
        <v>0</v>
      </c>
      <c r="AJ90">
        <f t="shared" si="89"/>
        <v>0</v>
      </c>
      <c r="AK90">
        <v>690.61</v>
      </c>
      <c r="AL90">
        <v>690.61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Z90">
        <v>1</v>
      </c>
      <c r="BA90">
        <v>1</v>
      </c>
      <c r="BB90">
        <v>1</v>
      </c>
      <c r="BC90">
        <v>5.43</v>
      </c>
      <c r="BD90" t="s">
        <v>3</v>
      </c>
      <c r="BE90" t="s">
        <v>3</v>
      </c>
      <c r="BF90" t="s">
        <v>3</v>
      </c>
      <c r="BG90" t="s">
        <v>3</v>
      </c>
      <c r="BH90">
        <v>3</v>
      </c>
      <c r="BI90">
        <v>2</v>
      </c>
      <c r="BJ90" t="s">
        <v>3</v>
      </c>
      <c r="BM90">
        <v>1608</v>
      </c>
      <c r="BN90">
        <v>0</v>
      </c>
      <c r="BO90" t="s">
        <v>3</v>
      </c>
      <c r="BP90">
        <v>0</v>
      </c>
      <c r="BQ90">
        <v>40</v>
      </c>
      <c r="BR90">
        <v>0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 t="s">
        <v>3</v>
      </c>
      <c r="BZ90">
        <v>0</v>
      </c>
      <c r="CA90">
        <v>0</v>
      </c>
      <c r="CE90">
        <v>30</v>
      </c>
      <c r="CF90">
        <v>0</v>
      </c>
      <c r="CG90">
        <v>0</v>
      </c>
      <c r="CM90">
        <v>0</v>
      </c>
      <c r="CN90" t="s">
        <v>3</v>
      </c>
      <c r="CO90">
        <v>0</v>
      </c>
      <c r="CP90">
        <f t="shared" si="90"/>
        <v>165000.54</v>
      </c>
      <c r="CQ90">
        <f t="shared" si="91"/>
        <v>3750.01</v>
      </c>
      <c r="CR90">
        <f t="shared" si="92"/>
        <v>0</v>
      </c>
      <c r="CS90">
        <f t="shared" si="93"/>
        <v>0</v>
      </c>
      <c r="CT90">
        <f t="shared" si="94"/>
        <v>0</v>
      </c>
      <c r="CU90">
        <f t="shared" si="95"/>
        <v>0</v>
      </c>
      <c r="CV90">
        <f t="shared" si="96"/>
        <v>0</v>
      </c>
      <c r="CW90">
        <f t="shared" si="97"/>
        <v>0</v>
      </c>
      <c r="CX90">
        <f t="shared" si="98"/>
        <v>0</v>
      </c>
      <c r="CY90">
        <f t="shared" si="99"/>
        <v>0</v>
      </c>
      <c r="CZ90">
        <f t="shared" si="100"/>
        <v>0</v>
      </c>
      <c r="DC90" t="s">
        <v>3</v>
      </c>
      <c r="DD90" t="s">
        <v>3</v>
      </c>
      <c r="DE90" t="s">
        <v>3</v>
      </c>
      <c r="DF90" t="s">
        <v>3</v>
      </c>
      <c r="DG90" t="s">
        <v>3</v>
      </c>
      <c r="DH90" t="s">
        <v>3</v>
      </c>
      <c r="DI90" t="s">
        <v>3</v>
      </c>
      <c r="DJ90" t="s">
        <v>3</v>
      </c>
      <c r="DK90" t="s">
        <v>3</v>
      </c>
      <c r="DL90" t="s">
        <v>3</v>
      </c>
      <c r="DM90" t="s">
        <v>3</v>
      </c>
      <c r="DN90">
        <v>112</v>
      </c>
      <c r="DO90">
        <v>70</v>
      </c>
      <c r="DP90">
        <v>1</v>
      </c>
      <c r="DQ90">
        <v>1</v>
      </c>
      <c r="DU90">
        <v>1010</v>
      </c>
      <c r="DV90" t="s">
        <v>209</v>
      </c>
      <c r="DW90" t="s">
        <v>210</v>
      </c>
      <c r="DX90">
        <v>1</v>
      </c>
      <c r="EE90">
        <v>43771899</v>
      </c>
      <c r="EF90">
        <v>40</v>
      </c>
      <c r="EG90" t="s">
        <v>42</v>
      </c>
      <c r="EH90">
        <v>0</v>
      </c>
      <c r="EI90" t="s">
        <v>3</v>
      </c>
      <c r="EJ90">
        <v>2</v>
      </c>
      <c r="EK90">
        <v>1608</v>
      </c>
      <c r="EL90" t="s">
        <v>218</v>
      </c>
      <c r="EM90" t="s">
        <v>219</v>
      </c>
      <c r="EO90" t="s">
        <v>3</v>
      </c>
      <c r="EQ90">
        <v>0</v>
      </c>
      <c r="ER90">
        <v>699.63</v>
      </c>
      <c r="ES90">
        <v>690.61</v>
      </c>
      <c r="ET90">
        <v>0</v>
      </c>
      <c r="EU90">
        <v>0</v>
      </c>
      <c r="EV90">
        <v>0</v>
      </c>
      <c r="EW90">
        <v>0</v>
      </c>
      <c r="EX90">
        <v>0</v>
      </c>
      <c r="EZ90">
        <v>5</v>
      </c>
      <c r="FC90">
        <v>0</v>
      </c>
      <c r="FD90">
        <v>18</v>
      </c>
      <c r="FF90">
        <v>3750.0168180000001</v>
      </c>
      <c r="FQ90">
        <v>0</v>
      </c>
      <c r="FR90">
        <f t="shared" si="101"/>
        <v>0</v>
      </c>
      <c r="FS90">
        <v>0</v>
      </c>
      <c r="FX90">
        <v>112</v>
      </c>
      <c r="FY90">
        <v>70</v>
      </c>
      <c r="GA90" t="s">
        <v>223</v>
      </c>
      <c r="GD90">
        <v>0</v>
      </c>
      <c r="GF90">
        <v>1133697820</v>
      </c>
      <c r="GG90">
        <v>2</v>
      </c>
      <c r="GH90">
        <v>3</v>
      </c>
      <c r="GI90">
        <v>3</v>
      </c>
      <c r="GJ90">
        <v>0</v>
      </c>
      <c r="GK90">
        <f>ROUND(R90*(R12)/100,2)</f>
        <v>0</v>
      </c>
      <c r="GL90">
        <f t="shared" si="102"/>
        <v>0</v>
      </c>
      <c r="GM90">
        <f t="shared" si="103"/>
        <v>165000.54</v>
      </c>
      <c r="GN90">
        <f t="shared" si="104"/>
        <v>0</v>
      </c>
      <c r="GO90">
        <f t="shared" si="105"/>
        <v>165000.54</v>
      </c>
      <c r="GP90">
        <f t="shared" si="106"/>
        <v>0</v>
      </c>
      <c r="GR90">
        <v>1</v>
      </c>
      <c r="GS90">
        <v>1</v>
      </c>
      <c r="GT90">
        <v>0</v>
      </c>
      <c r="GU90" t="s">
        <v>3</v>
      </c>
      <c r="GV90">
        <f t="shared" si="107"/>
        <v>0</v>
      </c>
      <c r="GW90">
        <v>1</v>
      </c>
      <c r="GX90">
        <f t="shared" si="108"/>
        <v>0</v>
      </c>
      <c r="HA90">
        <v>0</v>
      </c>
      <c r="HB90">
        <v>0</v>
      </c>
      <c r="HC90">
        <f t="shared" si="109"/>
        <v>0</v>
      </c>
      <c r="IK90">
        <v>0</v>
      </c>
    </row>
    <row r="91" spans="1:245" x14ac:dyDescent="0.2">
      <c r="A91">
        <v>17</v>
      </c>
      <c r="B91">
        <v>1</v>
      </c>
      <c r="C91">
        <f>ROW(SmtRes!A45)</f>
        <v>45</v>
      </c>
      <c r="D91">
        <f>ROW(EtalonRes!A35)</f>
        <v>35</v>
      </c>
      <c r="E91" t="s">
        <v>224</v>
      </c>
      <c r="F91" t="s">
        <v>225</v>
      </c>
      <c r="G91" t="s">
        <v>226</v>
      </c>
      <c r="H91" t="s">
        <v>191</v>
      </c>
      <c r="I91">
        <v>44</v>
      </c>
      <c r="J91">
        <v>0</v>
      </c>
      <c r="O91">
        <f t="shared" si="70"/>
        <v>146214.14000000001</v>
      </c>
      <c r="P91">
        <f t="shared" si="71"/>
        <v>262.82</v>
      </c>
      <c r="Q91">
        <f t="shared" si="72"/>
        <v>27616.86</v>
      </c>
      <c r="R91">
        <f t="shared" si="73"/>
        <v>21488.54</v>
      </c>
      <c r="S91">
        <f t="shared" si="74"/>
        <v>118334.46</v>
      </c>
      <c r="T91">
        <f t="shared" si="75"/>
        <v>0</v>
      </c>
      <c r="U91">
        <f t="shared" si="76"/>
        <v>415.35999999999996</v>
      </c>
      <c r="V91">
        <f t="shared" si="77"/>
        <v>0</v>
      </c>
      <c r="W91">
        <f t="shared" si="78"/>
        <v>0</v>
      </c>
      <c r="X91">
        <f t="shared" si="79"/>
        <v>106501.01</v>
      </c>
      <c r="Y91">
        <f t="shared" si="80"/>
        <v>50883.82</v>
      </c>
      <c r="AA91">
        <v>44002026</v>
      </c>
      <c r="AB91">
        <f t="shared" si="81"/>
        <v>160.27000000000001</v>
      </c>
      <c r="AC91">
        <f t="shared" si="82"/>
        <v>1.0900000000000001</v>
      </c>
      <c r="AD91">
        <f t="shared" si="83"/>
        <v>46.84</v>
      </c>
      <c r="AE91">
        <f t="shared" si="84"/>
        <v>20.399999999999999</v>
      </c>
      <c r="AF91">
        <f t="shared" si="85"/>
        <v>112.34</v>
      </c>
      <c r="AG91">
        <f t="shared" si="86"/>
        <v>0</v>
      </c>
      <c r="AH91">
        <f t="shared" si="87"/>
        <v>9.44</v>
      </c>
      <c r="AI91">
        <f t="shared" si="88"/>
        <v>0</v>
      </c>
      <c r="AJ91">
        <f t="shared" si="89"/>
        <v>0</v>
      </c>
      <c r="AK91">
        <v>160.27000000000001</v>
      </c>
      <c r="AL91">
        <v>1.0900000000000001</v>
      </c>
      <c r="AM91">
        <v>46.84</v>
      </c>
      <c r="AN91">
        <v>20.399999999999999</v>
      </c>
      <c r="AO91">
        <v>112.34</v>
      </c>
      <c r="AP91">
        <v>0</v>
      </c>
      <c r="AQ91">
        <v>9.44</v>
      </c>
      <c r="AR91">
        <v>0</v>
      </c>
      <c r="AS91">
        <v>0</v>
      </c>
      <c r="AT91">
        <v>90</v>
      </c>
      <c r="AU91">
        <v>43</v>
      </c>
      <c r="AV91">
        <v>1</v>
      </c>
      <c r="AW91">
        <v>1</v>
      </c>
      <c r="AZ91">
        <v>1</v>
      </c>
      <c r="BA91">
        <v>23.94</v>
      </c>
      <c r="BB91">
        <v>13.4</v>
      </c>
      <c r="BC91">
        <v>5.48</v>
      </c>
      <c r="BD91" t="s">
        <v>3</v>
      </c>
      <c r="BE91" t="s">
        <v>3</v>
      </c>
      <c r="BF91" t="s">
        <v>3</v>
      </c>
      <c r="BG91" t="s">
        <v>3</v>
      </c>
      <c r="BH91">
        <v>0</v>
      </c>
      <c r="BI91">
        <v>2</v>
      </c>
      <c r="BJ91" t="s">
        <v>227</v>
      </c>
      <c r="BM91">
        <v>1608</v>
      </c>
      <c r="BN91">
        <v>0</v>
      </c>
      <c r="BO91" t="s">
        <v>225</v>
      </c>
      <c r="BP91">
        <v>1</v>
      </c>
      <c r="BQ91">
        <v>40</v>
      </c>
      <c r="BR91">
        <v>0</v>
      </c>
      <c r="BS91">
        <v>23.94</v>
      </c>
      <c r="BT91">
        <v>1</v>
      </c>
      <c r="BU91">
        <v>1</v>
      </c>
      <c r="BV91">
        <v>1</v>
      </c>
      <c r="BW91">
        <v>1</v>
      </c>
      <c r="BX91">
        <v>1</v>
      </c>
      <c r="BY91" t="s">
        <v>3</v>
      </c>
      <c r="BZ91">
        <v>90</v>
      </c>
      <c r="CA91">
        <v>43</v>
      </c>
      <c r="CE91">
        <v>30</v>
      </c>
      <c r="CF91">
        <v>0</v>
      </c>
      <c r="CG91">
        <v>0</v>
      </c>
      <c r="CM91">
        <v>0</v>
      </c>
      <c r="CN91" t="s">
        <v>3</v>
      </c>
      <c r="CO91">
        <v>0</v>
      </c>
      <c r="CP91">
        <f t="shared" si="90"/>
        <v>146214.14000000001</v>
      </c>
      <c r="CQ91">
        <f t="shared" si="91"/>
        <v>5.97</v>
      </c>
      <c r="CR91">
        <f t="shared" si="92"/>
        <v>627.66</v>
      </c>
      <c r="CS91">
        <f t="shared" si="93"/>
        <v>488.38</v>
      </c>
      <c r="CT91">
        <f t="shared" si="94"/>
        <v>2689.42</v>
      </c>
      <c r="CU91">
        <f t="shared" si="95"/>
        <v>0</v>
      </c>
      <c r="CV91">
        <f t="shared" si="96"/>
        <v>9.44</v>
      </c>
      <c r="CW91">
        <f t="shared" si="97"/>
        <v>0</v>
      </c>
      <c r="CX91">
        <f t="shared" si="98"/>
        <v>0</v>
      </c>
      <c r="CY91">
        <f t="shared" si="99"/>
        <v>106501.01400000001</v>
      </c>
      <c r="CZ91">
        <f t="shared" si="100"/>
        <v>50883.817800000004</v>
      </c>
      <c r="DC91" t="s">
        <v>3</v>
      </c>
      <c r="DD91" t="s">
        <v>3</v>
      </c>
      <c r="DE91" t="s">
        <v>3</v>
      </c>
      <c r="DF91" t="s">
        <v>3</v>
      </c>
      <c r="DG91" t="s">
        <v>3</v>
      </c>
      <c r="DH91" t="s">
        <v>3</v>
      </c>
      <c r="DI91" t="s">
        <v>3</v>
      </c>
      <c r="DJ91" t="s">
        <v>3</v>
      </c>
      <c r="DK91" t="s">
        <v>3</v>
      </c>
      <c r="DL91" t="s">
        <v>3</v>
      </c>
      <c r="DM91" t="s">
        <v>3</v>
      </c>
      <c r="DN91">
        <v>112</v>
      </c>
      <c r="DO91">
        <v>70</v>
      </c>
      <c r="DP91">
        <v>1</v>
      </c>
      <c r="DQ91">
        <v>1</v>
      </c>
      <c r="DU91">
        <v>1013</v>
      </c>
      <c r="DV91" t="s">
        <v>191</v>
      </c>
      <c r="DW91" t="s">
        <v>191</v>
      </c>
      <c r="DX91">
        <v>1</v>
      </c>
      <c r="EE91">
        <v>43771899</v>
      </c>
      <c r="EF91">
        <v>40</v>
      </c>
      <c r="EG91" t="s">
        <v>42</v>
      </c>
      <c r="EH91">
        <v>0</v>
      </c>
      <c r="EI91" t="s">
        <v>3</v>
      </c>
      <c r="EJ91">
        <v>2</v>
      </c>
      <c r="EK91">
        <v>1608</v>
      </c>
      <c r="EL91" t="s">
        <v>218</v>
      </c>
      <c r="EM91" t="s">
        <v>219</v>
      </c>
      <c r="EO91" t="s">
        <v>3</v>
      </c>
      <c r="EQ91">
        <v>131072</v>
      </c>
      <c r="ER91">
        <v>160.27000000000001</v>
      </c>
      <c r="ES91">
        <v>1.0900000000000001</v>
      </c>
      <c r="ET91">
        <v>46.84</v>
      </c>
      <c r="EU91">
        <v>20.399999999999999</v>
      </c>
      <c r="EV91">
        <v>112.34</v>
      </c>
      <c r="EW91">
        <v>9.44</v>
      </c>
      <c r="EX91">
        <v>0</v>
      </c>
      <c r="EY91">
        <v>0</v>
      </c>
      <c r="FQ91">
        <v>0</v>
      </c>
      <c r="FR91">
        <f t="shared" si="101"/>
        <v>0</v>
      </c>
      <c r="FS91">
        <v>0</v>
      </c>
      <c r="FX91">
        <v>112</v>
      </c>
      <c r="FY91">
        <v>70</v>
      </c>
      <c r="GA91" t="s">
        <v>3</v>
      </c>
      <c r="GD91">
        <v>0</v>
      </c>
      <c r="GF91">
        <v>899484675</v>
      </c>
      <c r="GG91">
        <v>2</v>
      </c>
      <c r="GH91">
        <v>1</v>
      </c>
      <c r="GI91">
        <v>2</v>
      </c>
      <c r="GJ91">
        <v>0</v>
      </c>
      <c r="GK91">
        <f>ROUND(R91*(R12)/100,2)</f>
        <v>33737.01</v>
      </c>
      <c r="GL91">
        <f t="shared" si="102"/>
        <v>0</v>
      </c>
      <c r="GM91">
        <f t="shared" si="103"/>
        <v>337335.98</v>
      </c>
      <c r="GN91">
        <f t="shared" si="104"/>
        <v>0</v>
      </c>
      <c r="GO91">
        <f t="shared" si="105"/>
        <v>337335.98</v>
      </c>
      <c r="GP91">
        <f t="shared" si="106"/>
        <v>0</v>
      </c>
      <c r="GR91">
        <v>0</v>
      </c>
      <c r="GS91">
        <v>3</v>
      </c>
      <c r="GT91">
        <v>0</v>
      </c>
      <c r="GU91" t="s">
        <v>3</v>
      </c>
      <c r="GV91">
        <f t="shared" si="107"/>
        <v>0</v>
      </c>
      <c r="GW91">
        <v>1</v>
      </c>
      <c r="GX91">
        <f t="shared" si="108"/>
        <v>0</v>
      </c>
      <c r="HA91">
        <v>0</v>
      </c>
      <c r="HB91">
        <v>0</v>
      </c>
      <c r="HC91">
        <f t="shared" si="109"/>
        <v>0</v>
      </c>
      <c r="IK91">
        <v>0</v>
      </c>
    </row>
    <row r="92" spans="1:245" x14ac:dyDescent="0.2">
      <c r="A92">
        <v>18</v>
      </c>
      <c r="B92">
        <v>1</v>
      </c>
      <c r="C92">
        <v>43</v>
      </c>
      <c r="E92" t="s">
        <v>228</v>
      </c>
      <c r="F92" t="s">
        <v>229</v>
      </c>
      <c r="G92" t="s">
        <v>230</v>
      </c>
      <c r="H92" t="s">
        <v>209</v>
      </c>
      <c r="I92">
        <f>I91*J92</f>
        <v>5</v>
      </c>
      <c r="J92">
        <v>0.11363636363636363</v>
      </c>
      <c r="O92">
        <f t="shared" si="70"/>
        <v>106375.06</v>
      </c>
      <c r="P92">
        <f t="shared" si="71"/>
        <v>106375.06</v>
      </c>
      <c r="Q92">
        <f t="shared" si="72"/>
        <v>0</v>
      </c>
      <c r="R92">
        <f t="shared" si="73"/>
        <v>0</v>
      </c>
      <c r="S92">
        <f t="shared" si="74"/>
        <v>0</v>
      </c>
      <c r="T92">
        <f t="shared" si="75"/>
        <v>0</v>
      </c>
      <c r="U92">
        <f t="shared" si="76"/>
        <v>0</v>
      </c>
      <c r="V92">
        <f t="shared" si="77"/>
        <v>0</v>
      </c>
      <c r="W92">
        <f t="shared" si="78"/>
        <v>0</v>
      </c>
      <c r="X92">
        <f t="shared" si="79"/>
        <v>0</v>
      </c>
      <c r="Y92">
        <f t="shared" si="80"/>
        <v>0</v>
      </c>
      <c r="AA92">
        <v>44002026</v>
      </c>
      <c r="AB92">
        <f t="shared" si="81"/>
        <v>3918.05</v>
      </c>
      <c r="AC92">
        <f t="shared" si="82"/>
        <v>3918.05</v>
      </c>
      <c r="AD92">
        <f t="shared" si="83"/>
        <v>0</v>
      </c>
      <c r="AE92">
        <f t="shared" si="84"/>
        <v>0</v>
      </c>
      <c r="AF92">
        <f t="shared" si="85"/>
        <v>0</v>
      </c>
      <c r="AG92">
        <f t="shared" si="86"/>
        <v>0</v>
      </c>
      <c r="AH92">
        <f t="shared" si="87"/>
        <v>0</v>
      </c>
      <c r="AI92">
        <f t="shared" si="88"/>
        <v>0</v>
      </c>
      <c r="AJ92">
        <f t="shared" si="89"/>
        <v>0</v>
      </c>
      <c r="AK92">
        <v>3918.05</v>
      </c>
      <c r="AL92">
        <v>3918.05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Z92">
        <v>1</v>
      </c>
      <c r="BA92">
        <v>1</v>
      </c>
      <c r="BB92">
        <v>1</v>
      </c>
      <c r="BC92">
        <v>5.43</v>
      </c>
      <c r="BD92" t="s">
        <v>3</v>
      </c>
      <c r="BE92" t="s">
        <v>3</v>
      </c>
      <c r="BF92" t="s">
        <v>3</v>
      </c>
      <c r="BG92" t="s">
        <v>3</v>
      </c>
      <c r="BH92">
        <v>3</v>
      </c>
      <c r="BI92">
        <v>2</v>
      </c>
      <c r="BJ92" t="s">
        <v>3</v>
      </c>
      <c r="BM92">
        <v>1608</v>
      </c>
      <c r="BN92">
        <v>0</v>
      </c>
      <c r="BO92" t="s">
        <v>3</v>
      </c>
      <c r="BP92">
        <v>0</v>
      </c>
      <c r="BQ92">
        <v>40</v>
      </c>
      <c r="BR92">
        <v>0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 t="s">
        <v>3</v>
      </c>
      <c r="BZ92">
        <v>0</v>
      </c>
      <c r="CA92">
        <v>0</v>
      </c>
      <c r="CE92">
        <v>30</v>
      </c>
      <c r="CF92">
        <v>0</v>
      </c>
      <c r="CG92">
        <v>0</v>
      </c>
      <c r="CM92">
        <v>0</v>
      </c>
      <c r="CN92" t="s">
        <v>3</v>
      </c>
      <c r="CO92">
        <v>0</v>
      </c>
      <c r="CP92">
        <f t="shared" si="90"/>
        <v>106375.06</v>
      </c>
      <c r="CQ92">
        <f t="shared" si="91"/>
        <v>21275.01</v>
      </c>
      <c r="CR92">
        <f t="shared" si="92"/>
        <v>0</v>
      </c>
      <c r="CS92">
        <f t="shared" si="93"/>
        <v>0</v>
      </c>
      <c r="CT92">
        <f t="shared" si="94"/>
        <v>0</v>
      </c>
      <c r="CU92">
        <f t="shared" si="95"/>
        <v>0</v>
      </c>
      <c r="CV92">
        <f t="shared" si="96"/>
        <v>0</v>
      </c>
      <c r="CW92">
        <f t="shared" si="97"/>
        <v>0</v>
      </c>
      <c r="CX92">
        <f t="shared" si="98"/>
        <v>0</v>
      </c>
      <c r="CY92">
        <f t="shared" si="99"/>
        <v>0</v>
      </c>
      <c r="CZ92">
        <f t="shared" si="100"/>
        <v>0</v>
      </c>
      <c r="DC92" t="s">
        <v>3</v>
      </c>
      <c r="DD92" t="s">
        <v>3</v>
      </c>
      <c r="DE92" t="s">
        <v>3</v>
      </c>
      <c r="DF92" t="s">
        <v>3</v>
      </c>
      <c r="DG92" t="s">
        <v>3</v>
      </c>
      <c r="DH92" t="s">
        <v>3</v>
      </c>
      <c r="DI92" t="s">
        <v>3</v>
      </c>
      <c r="DJ92" t="s">
        <v>3</v>
      </c>
      <c r="DK92" t="s">
        <v>3</v>
      </c>
      <c r="DL92" t="s">
        <v>3</v>
      </c>
      <c r="DM92" t="s">
        <v>3</v>
      </c>
      <c r="DN92">
        <v>112</v>
      </c>
      <c r="DO92">
        <v>70</v>
      </c>
      <c r="DP92">
        <v>1</v>
      </c>
      <c r="DQ92">
        <v>1</v>
      </c>
      <c r="DU92">
        <v>1010</v>
      </c>
      <c r="DV92" t="s">
        <v>209</v>
      </c>
      <c r="DW92" t="s">
        <v>210</v>
      </c>
      <c r="DX92">
        <v>1</v>
      </c>
      <c r="EE92">
        <v>43771899</v>
      </c>
      <c r="EF92">
        <v>40</v>
      </c>
      <c r="EG92" t="s">
        <v>42</v>
      </c>
      <c r="EH92">
        <v>0</v>
      </c>
      <c r="EI92" t="s">
        <v>3</v>
      </c>
      <c r="EJ92">
        <v>2</v>
      </c>
      <c r="EK92">
        <v>1608</v>
      </c>
      <c r="EL92" t="s">
        <v>218</v>
      </c>
      <c r="EM92" t="s">
        <v>219</v>
      </c>
      <c r="EO92" t="s">
        <v>3</v>
      </c>
      <c r="EQ92">
        <v>0</v>
      </c>
      <c r="ER92">
        <v>3969.22</v>
      </c>
      <c r="ES92">
        <v>3918.05</v>
      </c>
      <c r="ET92">
        <v>0</v>
      </c>
      <c r="EU92">
        <v>0</v>
      </c>
      <c r="EV92">
        <v>0</v>
      </c>
      <c r="EW92">
        <v>0</v>
      </c>
      <c r="EX92">
        <v>0</v>
      </c>
      <c r="EZ92">
        <v>5</v>
      </c>
      <c r="FC92">
        <v>0</v>
      </c>
      <c r="FD92">
        <v>18</v>
      </c>
      <c r="FF92">
        <v>21275</v>
      </c>
      <c r="FQ92">
        <v>0</v>
      </c>
      <c r="FR92">
        <f t="shared" si="101"/>
        <v>0</v>
      </c>
      <c r="FS92">
        <v>0</v>
      </c>
      <c r="FX92">
        <v>112</v>
      </c>
      <c r="FY92">
        <v>70</v>
      </c>
      <c r="GA92" t="s">
        <v>231</v>
      </c>
      <c r="GD92">
        <v>0</v>
      </c>
      <c r="GF92">
        <v>-1149515497</v>
      </c>
      <c r="GG92">
        <v>2</v>
      </c>
      <c r="GH92">
        <v>3</v>
      </c>
      <c r="GI92">
        <v>3</v>
      </c>
      <c r="GJ92">
        <v>0</v>
      </c>
      <c r="GK92">
        <f>ROUND(R92*(R12)/100,2)</f>
        <v>0</v>
      </c>
      <c r="GL92">
        <f t="shared" si="102"/>
        <v>0</v>
      </c>
      <c r="GM92">
        <f t="shared" si="103"/>
        <v>106375.06</v>
      </c>
      <c r="GN92">
        <f t="shared" si="104"/>
        <v>0</v>
      </c>
      <c r="GO92">
        <f t="shared" si="105"/>
        <v>106375.06</v>
      </c>
      <c r="GP92">
        <f t="shared" si="106"/>
        <v>0</v>
      </c>
      <c r="GR92">
        <v>1</v>
      </c>
      <c r="GS92">
        <v>1</v>
      </c>
      <c r="GT92">
        <v>0</v>
      </c>
      <c r="GU92" t="s">
        <v>3</v>
      </c>
      <c r="GV92">
        <f t="shared" si="107"/>
        <v>0</v>
      </c>
      <c r="GW92">
        <v>1</v>
      </c>
      <c r="GX92">
        <f t="shared" si="108"/>
        <v>0</v>
      </c>
      <c r="HA92">
        <v>0</v>
      </c>
      <c r="HB92">
        <v>0</v>
      </c>
      <c r="HC92">
        <f t="shared" si="109"/>
        <v>0</v>
      </c>
      <c r="IK92">
        <v>0</v>
      </c>
    </row>
    <row r="93" spans="1:245" x14ac:dyDescent="0.2">
      <c r="A93">
        <v>18</v>
      </c>
      <c r="B93">
        <v>1</v>
      </c>
      <c r="C93">
        <v>44</v>
      </c>
      <c r="E93" t="s">
        <v>232</v>
      </c>
      <c r="F93" t="s">
        <v>233</v>
      </c>
      <c r="G93" t="s">
        <v>234</v>
      </c>
      <c r="H93" t="s">
        <v>209</v>
      </c>
      <c r="I93">
        <f>I91*J93</f>
        <v>23</v>
      </c>
      <c r="J93">
        <v>0.52272727272727271</v>
      </c>
      <c r="O93">
        <f t="shared" si="70"/>
        <v>488175.03</v>
      </c>
      <c r="P93">
        <f t="shared" si="71"/>
        <v>488175.03</v>
      </c>
      <c r="Q93">
        <f t="shared" si="72"/>
        <v>0</v>
      </c>
      <c r="R93">
        <f t="shared" si="73"/>
        <v>0</v>
      </c>
      <c r="S93">
        <f t="shared" si="74"/>
        <v>0</v>
      </c>
      <c r="T93">
        <f t="shared" si="75"/>
        <v>0</v>
      </c>
      <c r="U93">
        <f t="shared" si="76"/>
        <v>0</v>
      </c>
      <c r="V93">
        <f t="shared" si="77"/>
        <v>0</v>
      </c>
      <c r="W93">
        <f t="shared" si="78"/>
        <v>0</v>
      </c>
      <c r="X93">
        <f t="shared" si="79"/>
        <v>0</v>
      </c>
      <c r="Y93">
        <f t="shared" si="80"/>
        <v>0</v>
      </c>
      <c r="AA93">
        <v>44002026</v>
      </c>
      <c r="AB93">
        <f t="shared" si="81"/>
        <v>3908.84</v>
      </c>
      <c r="AC93">
        <f t="shared" si="82"/>
        <v>3908.84</v>
      </c>
      <c r="AD93">
        <f t="shared" si="83"/>
        <v>0</v>
      </c>
      <c r="AE93">
        <f t="shared" si="84"/>
        <v>0</v>
      </c>
      <c r="AF93">
        <f t="shared" si="85"/>
        <v>0</v>
      </c>
      <c r="AG93">
        <f t="shared" si="86"/>
        <v>0</v>
      </c>
      <c r="AH93">
        <f t="shared" si="87"/>
        <v>0</v>
      </c>
      <c r="AI93">
        <f t="shared" si="88"/>
        <v>0</v>
      </c>
      <c r="AJ93">
        <f t="shared" si="89"/>
        <v>0</v>
      </c>
      <c r="AK93">
        <v>3908.84</v>
      </c>
      <c r="AL93">
        <v>3908.84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Z93">
        <v>1</v>
      </c>
      <c r="BA93">
        <v>1</v>
      </c>
      <c r="BB93">
        <v>1</v>
      </c>
      <c r="BC93">
        <v>5.43</v>
      </c>
      <c r="BD93" t="s">
        <v>3</v>
      </c>
      <c r="BE93" t="s">
        <v>3</v>
      </c>
      <c r="BF93" t="s">
        <v>3</v>
      </c>
      <c r="BG93" t="s">
        <v>3</v>
      </c>
      <c r="BH93">
        <v>3</v>
      </c>
      <c r="BI93">
        <v>2</v>
      </c>
      <c r="BJ93" t="s">
        <v>3</v>
      </c>
      <c r="BM93">
        <v>1608</v>
      </c>
      <c r="BN93">
        <v>0</v>
      </c>
      <c r="BO93" t="s">
        <v>3</v>
      </c>
      <c r="BP93">
        <v>0</v>
      </c>
      <c r="BQ93">
        <v>40</v>
      </c>
      <c r="BR93">
        <v>0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 t="s">
        <v>3</v>
      </c>
      <c r="BZ93">
        <v>0</v>
      </c>
      <c r="CA93">
        <v>0</v>
      </c>
      <c r="CE93">
        <v>30</v>
      </c>
      <c r="CF93">
        <v>0</v>
      </c>
      <c r="CG93">
        <v>0</v>
      </c>
      <c r="CM93">
        <v>0</v>
      </c>
      <c r="CN93" t="s">
        <v>3</v>
      </c>
      <c r="CO93">
        <v>0</v>
      </c>
      <c r="CP93">
        <f t="shared" si="90"/>
        <v>488175.03</v>
      </c>
      <c r="CQ93">
        <f t="shared" si="91"/>
        <v>21225</v>
      </c>
      <c r="CR93">
        <f t="shared" si="92"/>
        <v>0</v>
      </c>
      <c r="CS93">
        <f t="shared" si="93"/>
        <v>0</v>
      </c>
      <c r="CT93">
        <f t="shared" si="94"/>
        <v>0</v>
      </c>
      <c r="CU93">
        <f t="shared" si="95"/>
        <v>0</v>
      </c>
      <c r="CV93">
        <f t="shared" si="96"/>
        <v>0</v>
      </c>
      <c r="CW93">
        <f t="shared" si="97"/>
        <v>0</v>
      </c>
      <c r="CX93">
        <f t="shared" si="98"/>
        <v>0</v>
      </c>
      <c r="CY93">
        <f t="shared" si="99"/>
        <v>0</v>
      </c>
      <c r="CZ93">
        <f t="shared" si="100"/>
        <v>0</v>
      </c>
      <c r="DC93" t="s">
        <v>3</v>
      </c>
      <c r="DD93" t="s">
        <v>3</v>
      </c>
      <c r="DE93" t="s">
        <v>3</v>
      </c>
      <c r="DF93" t="s">
        <v>3</v>
      </c>
      <c r="DG93" t="s">
        <v>3</v>
      </c>
      <c r="DH93" t="s">
        <v>3</v>
      </c>
      <c r="DI93" t="s">
        <v>3</v>
      </c>
      <c r="DJ93" t="s">
        <v>3</v>
      </c>
      <c r="DK93" t="s">
        <v>3</v>
      </c>
      <c r="DL93" t="s">
        <v>3</v>
      </c>
      <c r="DM93" t="s">
        <v>3</v>
      </c>
      <c r="DN93">
        <v>112</v>
      </c>
      <c r="DO93">
        <v>70</v>
      </c>
      <c r="DP93">
        <v>1</v>
      </c>
      <c r="DQ93">
        <v>1</v>
      </c>
      <c r="DU93">
        <v>1010</v>
      </c>
      <c r="DV93" t="s">
        <v>209</v>
      </c>
      <c r="DW93" t="s">
        <v>210</v>
      </c>
      <c r="DX93">
        <v>1</v>
      </c>
      <c r="EE93">
        <v>43771899</v>
      </c>
      <c r="EF93">
        <v>40</v>
      </c>
      <c r="EG93" t="s">
        <v>42</v>
      </c>
      <c r="EH93">
        <v>0</v>
      </c>
      <c r="EI93" t="s">
        <v>3</v>
      </c>
      <c r="EJ93">
        <v>2</v>
      </c>
      <c r="EK93">
        <v>1608</v>
      </c>
      <c r="EL93" t="s">
        <v>218</v>
      </c>
      <c r="EM93" t="s">
        <v>219</v>
      </c>
      <c r="EO93" t="s">
        <v>3</v>
      </c>
      <c r="EQ93">
        <v>0</v>
      </c>
      <c r="ER93">
        <v>3959.89</v>
      </c>
      <c r="ES93">
        <v>3908.84</v>
      </c>
      <c r="ET93">
        <v>0</v>
      </c>
      <c r="EU93">
        <v>0</v>
      </c>
      <c r="EV93">
        <v>0</v>
      </c>
      <c r="EW93">
        <v>0</v>
      </c>
      <c r="EX93">
        <v>0</v>
      </c>
      <c r="EZ93">
        <v>5</v>
      </c>
      <c r="FC93">
        <v>0</v>
      </c>
      <c r="FD93">
        <v>18</v>
      </c>
      <c r="FF93">
        <v>21225.010429999998</v>
      </c>
      <c r="FQ93">
        <v>0</v>
      </c>
      <c r="FR93">
        <f t="shared" si="101"/>
        <v>0</v>
      </c>
      <c r="FS93">
        <v>0</v>
      </c>
      <c r="FX93">
        <v>112</v>
      </c>
      <c r="FY93">
        <v>70</v>
      </c>
      <c r="GA93" t="s">
        <v>235</v>
      </c>
      <c r="GD93">
        <v>0</v>
      </c>
      <c r="GF93">
        <v>1101304285</v>
      </c>
      <c r="GG93">
        <v>2</v>
      </c>
      <c r="GH93">
        <v>3</v>
      </c>
      <c r="GI93">
        <v>3</v>
      </c>
      <c r="GJ93">
        <v>0</v>
      </c>
      <c r="GK93">
        <f>ROUND(R93*(R12)/100,2)</f>
        <v>0</v>
      </c>
      <c r="GL93">
        <f t="shared" si="102"/>
        <v>0</v>
      </c>
      <c r="GM93">
        <f t="shared" si="103"/>
        <v>488175.03</v>
      </c>
      <c r="GN93">
        <f t="shared" si="104"/>
        <v>0</v>
      </c>
      <c r="GO93">
        <f t="shared" si="105"/>
        <v>488175.03</v>
      </c>
      <c r="GP93">
        <f t="shared" si="106"/>
        <v>0</v>
      </c>
      <c r="GR93">
        <v>1</v>
      </c>
      <c r="GS93">
        <v>1</v>
      </c>
      <c r="GT93">
        <v>0</v>
      </c>
      <c r="GU93" t="s">
        <v>3</v>
      </c>
      <c r="GV93">
        <f t="shared" si="107"/>
        <v>0</v>
      </c>
      <c r="GW93">
        <v>1</v>
      </c>
      <c r="GX93">
        <f t="shared" si="108"/>
        <v>0</v>
      </c>
      <c r="HA93">
        <v>0</v>
      </c>
      <c r="HB93">
        <v>0</v>
      </c>
      <c r="HC93">
        <f t="shared" si="109"/>
        <v>0</v>
      </c>
      <c r="IK93">
        <v>0</v>
      </c>
    </row>
    <row r="94" spans="1:245" x14ac:dyDescent="0.2">
      <c r="A94">
        <v>18</v>
      </c>
      <c r="B94">
        <v>1</v>
      </c>
      <c r="C94">
        <v>45</v>
      </c>
      <c r="E94" t="s">
        <v>236</v>
      </c>
      <c r="F94" t="s">
        <v>237</v>
      </c>
      <c r="G94" t="s">
        <v>238</v>
      </c>
      <c r="H94" t="s">
        <v>209</v>
      </c>
      <c r="I94">
        <f>I91*J94</f>
        <v>16</v>
      </c>
      <c r="J94">
        <v>0.36363636363636365</v>
      </c>
      <c r="O94">
        <f t="shared" si="70"/>
        <v>70000.08</v>
      </c>
      <c r="P94">
        <f t="shared" si="71"/>
        <v>70000.08</v>
      </c>
      <c r="Q94">
        <f t="shared" si="72"/>
        <v>0</v>
      </c>
      <c r="R94">
        <f t="shared" si="73"/>
        <v>0</v>
      </c>
      <c r="S94">
        <f t="shared" si="74"/>
        <v>0</v>
      </c>
      <c r="T94">
        <f t="shared" si="75"/>
        <v>0</v>
      </c>
      <c r="U94">
        <f t="shared" si="76"/>
        <v>0</v>
      </c>
      <c r="V94">
        <f t="shared" si="77"/>
        <v>0</v>
      </c>
      <c r="W94">
        <f t="shared" si="78"/>
        <v>0</v>
      </c>
      <c r="X94">
        <f t="shared" si="79"/>
        <v>0</v>
      </c>
      <c r="Y94">
        <f t="shared" si="80"/>
        <v>0</v>
      </c>
      <c r="AA94">
        <v>44002026</v>
      </c>
      <c r="AB94">
        <f t="shared" si="81"/>
        <v>805.71</v>
      </c>
      <c r="AC94">
        <f t="shared" si="82"/>
        <v>805.71</v>
      </c>
      <c r="AD94">
        <f t="shared" si="83"/>
        <v>0</v>
      </c>
      <c r="AE94">
        <f t="shared" si="84"/>
        <v>0</v>
      </c>
      <c r="AF94">
        <f t="shared" si="85"/>
        <v>0</v>
      </c>
      <c r="AG94">
        <f t="shared" si="86"/>
        <v>0</v>
      </c>
      <c r="AH94">
        <f t="shared" si="87"/>
        <v>0</v>
      </c>
      <c r="AI94">
        <f t="shared" si="88"/>
        <v>0</v>
      </c>
      <c r="AJ94">
        <f t="shared" si="89"/>
        <v>0</v>
      </c>
      <c r="AK94">
        <v>805.71</v>
      </c>
      <c r="AL94">
        <v>805.71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Z94">
        <v>1</v>
      </c>
      <c r="BA94">
        <v>1</v>
      </c>
      <c r="BB94">
        <v>1</v>
      </c>
      <c r="BC94">
        <v>5.43</v>
      </c>
      <c r="BD94" t="s">
        <v>3</v>
      </c>
      <c r="BE94" t="s">
        <v>3</v>
      </c>
      <c r="BF94" t="s">
        <v>3</v>
      </c>
      <c r="BG94" t="s">
        <v>3</v>
      </c>
      <c r="BH94">
        <v>3</v>
      </c>
      <c r="BI94">
        <v>2</v>
      </c>
      <c r="BJ94" t="s">
        <v>3</v>
      </c>
      <c r="BM94">
        <v>1608</v>
      </c>
      <c r="BN94">
        <v>0</v>
      </c>
      <c r="BO94" t="s">
        <v>3</v>
      </c>
      <c r="BP94">
        <v>0</v>
      </c>
      <c r="BQ94">
        <v>40</v>
      </c>
      <c r="BR94">
        <v>0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 t="s">
        <v>3</v>
      </c>
      <c r="BZ94">
        <v>0</v>
      </c>
      <c r="CA94">
        <v>0</v>
      </c>
      <c r="CE94">
        <v>30</v>
      </c>
      <c r="CF94">
        <v>0</v>
      </c>
      <c r="CG94">
        <v>0</v>
      </c>
      <c r="CM94">
        <v>0</v>
      </c>
      <c r="CN94" t="s">
        <v>3</v>
      </c>
      <c r="CO94">
        <v>0</v>
      </c>
      <c r="CP94">
        <f t="shared" si="90"/>
        <v>70000.08</v>
      </c>
      <c r="CQ94">
        <f t="shared" si="91"/>
        <v>4375.01</v>
      </c>
      <c r="CR94">
        <f t="shared" si="92"/>
        <v>0</v>
      </c>
      <c r="CS94">
        <f t="shared" si="93"/>
        <v>0</v>
      </c>
      <c r="CT94">
        <f t="shared" si="94"/>
        <v>0</v>
      </c>
      <c r="CU94">
        <f t="shared" si="95"/>
        <v>0</v>
      </c>
      <c r="CV94">
        <f t="shared" si="96"/>
        <v>0</v>
      </c>
      <c r="CW94">
        <f t="shared" si="97"/>
        <v>0</v>
      </c>
      <c r="CX94">
        <f t="shared" si="98"/>
        <v>0</v>
      </c>
      <c r="CY94">
        <f t="shared" si="99"/>
        <v>0</v>
      </c>
      <c r="CZ94">
        <f t="shared" si="100"/>
        <v>0</v>
      </c>
      <c r="DC94" t="s">
        <v>3</v>
      </c>
      <c r="DD94" t="s">
        <v>3</v>
      </c>
      <c r="DE94" t="s">
        <v>3</v>
      </c>
      <c r="DF94" t="s">
        <v>3</v>
      </c>
      <c r="DG94" t="s">
        <v>3</v>
      </c>
      <c r="DH94" t="s">
        <v>3</v>
      </c>
      <c r="DI94" t="s">
        <v>3</v>
      </c>
      <c r="DJ94" t="s">
        <v>3</v>
      </c>
      <c r="DK94" t="s">
        <v>3</v>
      </c>
      <c r="DL94" t="s">
        <v>3</v>
      </c>
      <c r="DM94" t="s">
        <v>3</v>
      </c>
      <c r="DN94">
        <v>112</v>
      </c>
      <c r="DO94">
        <v>70</v>
      </c>
      <c r="DP94">
        <v>1</v>
      </c>
      <c r="DQ94">
        <v>1</v>
      </c>
      <c r="DU94">
        <v>1010</v>
      </c>
      <c r="DV94" t="s">
        <v>209</v>
      </c>
      <c r="DW94" t="s">
        <v>210</v>
      </c>
      <c r="DX94">
        <v>1</v>
      </c>
      <c r="EE94">
        <v>43771899</v>
      </c>
      <c r="EF94">
        <v>40</v>
      </c>
      <c r="EG94" t="s">
        <v>42</v>
      </c>
      <c r="EH94">
        <v>0</v>
      </c>
      <c r="EI94" t="s">
        <v>3</v>
      </c>
      <c r="EJ94">
        <v>2</v>
      </c>
      <c r="EK94">
        <v>1608</v>
      </c>
      <c r="EL94" t="s">
        <v>218</v>
      </c>
      <c r="EM94" t="s">
        <v>219</v>
      </c>
      <c r="EO94" t="s">
        <v>3</v>
      </c>
      <c r="EQ94">
        <v>0</v>
      </c>
      <c r="ER94">
        <v>805.71</v>
      </c>
      <c r="ES94">
        <v>805.71</v>
      </c>
      <c r="ET94">
        <v>0</v>
      </c>
      <c r="EU94">
        <v>0</v>
      </c>
      <c r="EV94">
        <v>0</v>
      </c>
      <c r="EW94">
        <v>0</v>
      </c>
      <c r="EX94">
        <v>0</v>
      </c>
      <c r="EZ94">
        <v>5</v>
      </c>
      <c r="FC94">
        <v>0</v>
      </c>
      <c r="FD94">
        <v>18</v>
      </c>
      <c r="FF94">
        <v>4374.9925000000003</v>
      </c>
      <c r="FQ94">
        <v>0</v>
      </c>
      <c r="FR94">
        <f t="shared" si="101"/>
        <v>0</v>
      </c>
      <c r="FS94">
        <v>0</v>
      </c>
      <c r="FX94">
        <v>112</v>
      </c>
      <c r="FY94">
        <v>70</v>
      </c>
      <c r="GA94" t="s">
        <v>239</v>
      </c>
      <c r="GD94">
        <v>0</v>
      </c>
      <c r="GF94">
        <v>1401446527</v>
      </c>
      <c r="GG94">
        <v>2</v>
      </c>
      <c r="GH94">
        <v>3</v>
      </c>
      <c r="GI94">
        <v>3</v>
      </c>
      <c r="GJ94">
        <v>0</v>
      </c>
      <c r="GK94">
        <f>ROUND(R94*(R12)/100,2)</f>
        <v>0</v>
      </c>
      <c r="GL94">
        <f t="shared" si="102"/>
        <v>0</v>
      </c>
      <c r="GM94">
        <f t="shared" si="103"/>
        <v>70000.08</v>
      </c>
      <c r="GN94">
        <f t="shared" si="104"/>
        <v>0</v>
      </c>
      <c r="GO94">
        <f t="shared" si="105"/>
        <v>70000.08</v>
      </c>
      <c r="GP94">
        <f t="shared" si="106"/>
        <v>0</v>
      </c>
      <c r="GR94">
        <v>1</v>
      </c>
      <c r="GS94">
        <v>1</v>
      </c>
      <c r="GT94">
        <v>0</v>
      </c>
      <c r="GU94" t="s">
        <v>3</v>
      </c>
      <c r="GV94">
        <f t="shared" si="107"/>
        <v>0</v>
      </c>
      <c r="GW94">
        <v>1</v>
      </c>
      <c r="GX94">
        <f t="shared" si="108"/>
        <v>0</v>
      </c>
      <c r="HA94">
        <v>0</v>
      </c>
      <c r="HB94">
        <v>0</v>
      </c>
      <c r="HC94">
        <f t="shared" si="109"/>
        <v>0</v>
      </c>
      <c r="IK94">
        <v>0</v>
      </c>
    </row>
    <row r="96" spans="1:245" x14ac:dyDescent="0.2">
      <c r="A96" s="2">
        <v>51</v>
      </c>
      <c r="B96" s="2">
        <f>B80</f>
        <v>1</v>
      </c>
      <c r="C96" s="2">
        <f>A80</f>
        <v>4</v>
      </c>
      <c r="D96" s="2">
        <f>ROW(A80)</f>
        <v>80</v>
      </c>
      <c r="E96" s="2"/>
      <c r="F96" s="2" t="str">
        <f>IF(F80&lt;&gt;"",F80,"")</f>
        <v>Новый раздел</v>
      </c>
      <c r="G96" s="2" t="str">
        <f>IF(G80&lt;&gt;"",G80,"")</f>
        <v>Монтаж опор и приборов освещения.</v>
      </c>
      <c r="H96" s="2">
        <v>0</v>
      </c>
      <c r="I96" s="2"/>
      <c r="J96" s="2"/>
      <c r="K96" s="2"/>
      <c r="L96" s="2"/>
      <c r="M96" s="2"/>
      <c r="N96" s="2"/>
      <c r="O96" s="2">
        <f t="shared" ref="O96:T96" si="110">ROUND(AB96,2)</f>
        <v>2289634.0499999998</v>
      </c>
      <c r="P96" s="2">
        <f t="shared" si="110"/>
        <v>1795962.78</v>
      </c>
      <c r="Q96" s="2">
        <f t="shared" si="110"/>
        <v>101578.84</v>
      </c>
      <c r="R96" s="2">
        <f t="shared" si="110"/>
        <v>57388.01</v>
      </c>
      <c r="S96" s="2">
        <f t="shared" si="110"/>
        <v>392092.43</v>
      </c>
      <c r="T96" s="2">
        <f t="shared" si="110"/>
        <v>0</v>
      </c>
      <c r="U96" s="2">
        <f>AH96</f>
        <v>1366.08</v>
      </c>
      <c r="V96" s="2">
        <f>AI96</f>
        <v>0</v>
      </c>
      <c r="W96" s="2">
        <f>ROUND(AJ96,2)</f>
        <v>0</v>
      </c>
      <c r="X96" s="2">
        <f>ROUND(AK96,2)</f>
        <v>355355.37</v>
      </c>
      <c r="Y96" s="2">
        <f>ROUND(AL96,2)</f>
        <v>166127.57</v>
      </c>
      <c r="Z96" s="2"/>
      <c r="AA96" s="2"/>
      <c r="AB96" s="2">
        <f>ROUND(SUMIF(AA84:AA94,"=44002026",O84:O94),2)</f>
        <v>2289634.0499999998</v>
      </c>
      <c r="AC96" s="2">
        <f>ROUND(SUMIF(AA84:AA94,"=44002026",P84:P94),2)</f>
        <v>1795962.78</v>
      </c>
      <c r="AD96" s="2">
        <f>ROUND(SUMIF(AA84:AA94,"=44002026",Q84:Q94),2)</f>
        <v>101578.84</v>
      </c>
      <c r="AE96" s="2">
        <f>ROUND(SUMIF(AA84:AA94,"=44002026",R84:R94),2)</f>
        <v>57388.01</v>
      </c>
      <c r="AF96" s="2">
        <f>ROUND(SUMIF(AA84:AA94,"=44002026",S84:S94),2)</f>
        <v>392092.43</v>
      </c>
      <c r="AG96" s="2">
        <f>ROUND(SUMIF(AA84:AA94,"=44002026",T84:T94),2)</f>
        <v>0</v>
      </c>
      <c r="AH96" s="2">
        <f>SUMIF(AA84:AA94,"=44002026",U84:U94)</f>
        <v>1366.08</v>
      </c>
      <c r="AI96" s="2">
        <f>SUMIF(AA84:AA94,"=44002026",V84:V94)</f>
        <v>0</v>
      </c>
      <c r="AJ96" s="2">
        <f>ROUND(SUMIF(AA84:AA94,"=44002026",W84:W94),2)</f>
        <v>0</v>
      </c>
      <c r="AK96" s="2">
        <f>ROUND(SUMIF(AA84:AA94,"=44002026",X84:X94),2)</f>
        <v>355355.37</v>
      </c>
      <c r="AL96" s="2">
        <f>ROUND(SUMIF(AA84:AA94,"=44002026",Y84:Y94),2)</f>
        <v>166127.57</v>
      </c>
      <c r="AM96" s="2"/>
      <c r="AN96" s="2"/>
      <c r="AO96" s="2">
        <f t="shared" ref="AO96:BD96" si="111">ROUND(BX96,2)</f>
        <v>0</v>
      </c>
      <c r="AP96" s="2">
        <f t="shared" si="111"/>
        <v>0</v>
      </c>
      <c r="AQ96" s="2">
        <f t="shared" si="111"/>
        <v>0</v>
      </c>
      <c r="AR96" s="2">
        <f t="shared" si="111"/>
        <v>2901216.17</v>
      </c>
      <c r="AS96" s="2">
        <f t="shared" si="111"/>
        <v>682027.65</v>
      </c>
      <c r="AT96" s="2">
        <f t="shared" si="111"/>
        <v>2219188.52</v>
      </c>
      <c r="AU96" s="2">
        <f t="shared" si="111"/>
        <v>0</v>
      </c>
      <c r="AV96" s="2">
        <f t="shared" si="111"/>
        <v>1795962.78</v>
      </c>
      <c r="AW96" s="2">
        <f t="shared" si="111"/>
        <v>1795962.78</v>
      </c>
      <c r="AX96" s="2">
        <f t="shared" si="111"/>
        <v>0</v>
      </c>
      <c r="AY96" s="2">
        <f t="shared" si="111"/>
        <v>1795962.78</v>
      </c>
      <c r="AZ96" s="2">
        <f t="shared" si="111"/>
        <v>0</v>
      </c>
      <c r="BA96" s="2">
        <f t="shared" si="111"/>
        <v>0</v>
      </c>
      <c r="BB96" s="2">
        <f t="shared" si="111"/>
        <v>0</v>
      </c>
      <c r="BC96" s="2">
        <f t="shared" si="111"/>
        <v>0</v>
      </c>
      <c r="BD96" s="2">
        <f t="shared" si="111"/>
        <v>0</v>
      </c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>
        <f>ROUND(SUMIF(AA84:AA94,"=44002026",FQ84:FQ94),2)</f>
        <v>0</v>
      </c>
      <c r="BY96" s="2">
        <f>ROUND(SUMIF(AA84:AA94,"=44002026",FR84:FR94),2)</f>
        <v>0</v>
      </c>
      <c r="BZ96" s="2">
        <f>ROUND(SUMIF(AA84:AA94,"=44002026",GL84:GL94),2)</f>
        <v>0</v>
      </c>
      <c r="CA96" s="2">
        <f>ROUND(SUMIF(AA84:AA94,"=44002026",GM84:GM94),2)</f>
        <v>2901216.17</v>
      </c>
      <c r="CB96" s="2">
        <f>ROUND(SUMIF(AA84:AA94,"=44002026",GN84:GN94),2)</f>
        <v>682027.65</v>
      </c>
      <c r="CC96" s="2">
        <f>ROUND(SUMIF(AA84:AA94,"=44002026",GO84:GO94),2)</f>
        <v>2219188.52</v>
      </c>
      <c r="CD96" s="2">
        <f>ROUND(SUMIF(AA84:AA94,"=44002026",GP84:GP94),2)</f>
        <v>0</v>
      </c>
      <c r="CE96" s="2">
        <f>AC96-BX96</f>
        <v>1795962.78</v>
      </c>
      <c r="CF96" s="2">
        <f>AC96-BY96</f>
        <v>1795962.78</v>
      </c>
      <c r="CG96" s="2">
        <f>BX96-BZ96</f>
        <v>0</v>
      </c>
      <c r="CH96" s="2">
        <f>AC96-BX96-BY96+BZ96</f>
        <v>1795962.78</v>
      </c>
      <c r="CI96" s="2">
        <f>BY96-BZ96</f>
        <v>0</v>
      </c>
      <c r="CJ96" s="2">
        <f>ROUND(SUMIF(AA84:AA94,"=44002026",GX84:GX94),2)</f>
        <v>0</v>
      </c>
      <c r="CK96" s="2">
        <f>ROUND(SUMIF(AA84:AA94,"=44002026",GY84:GY94),2)</f>
        <v>0</v>
      </c>
      <c r="CL96" s="2">
        <f>ROUND(SUMIF(AA84:AA94,"=44002026",GZ84:GZ94),2)</f>
        <v>0</v>
      </c>
      <c r="CM96" s="2">
        <f>ROUND(SUMIF(AA84:AA94,"=44002026",HD84:HD94),2)</f>
        <v>0</v>
      </c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>
        <v>0</v>
      </c>
    </row>
    <row r="98" spans="1:23" x14ac:dyDescent="0.2">
      <c r="A98" s="4">
        <v>50</v>
      </c>
      <c r="B98" s="4">
        <v>0</v>
      </c>
      <c r="C98" s="4">
        <v>0</v>
      </c>
      <c r="D98" s="4">
        <v>1</v>
      </c>
      <c r="E98" s="4">
        <v>201</v>
      </c>
      <c r="F98" s="4">
        <f>ROUND(Source!O96,O98)</f>
        <v>2289634.0499999998</v>
      </c>
      <c r="G98" s="4" t="s">
        <v>126</v>
      </c>
      <c r="H98" s="4" t="s">
        <v>127</v>
      </c>
      <c r="I98" s="4"/>
      <c r="J98" s="4"/>
      <c r="K98" s="4">
        <v>201</v>
      </c>
      <c r="L98" s="4">
        <v>1</v>
      </c>
      <c r="M98" s="4">
        <v>3</v>
      </c>
      <c r="N98" s="4" t="s">
        <v>3</v>
      </c>
      <c r="O98" s="4">
        <v>2</v>
      </c>
      <c r="P98" s="4"/>
      <c r="Q98" s="4"/>
      <c r="R98" s="4"/>
      <c r="S98" s="4"/>
      <c r="T98" s="4"/>
      <c r="U98" s="4"/>
      <c r="V98" s="4"/>
      <c r="W98" s="4"/>
    </row>
    <row r="99" spans="1:23" x14ac:dyDescent="0.2">
      <c r="A99" s="4">
        <v>50</v>
      </c>
      <c r="B99" s="4">
        <v>0</v>
      </c>
      <c r="C99" s="4">
        <v>0</v>
      </c>
      <c r="D99" s="4">
        <v>1</v>
      </c>
      <c r="E99" s="4">
        <v>202</v>
      </c>
      <c r="F99" s="4">
        <f>ROUND(Source!P96,O99)</f>
        <v>1795962.78</v>
      </c>
      <c r="G99" s="4" t="s">
        <v>128</v>
      </c>
      <c r="H99" s="4" t="s">
        <v>129</v>
      </c>
      <c r="I99" s="4"/>
      <c r="J99" s="4"/>
      <c r="K99" s="4">
        <v>202</v>
      </c>
      <c r="L99" s="4">
        <v>2</v>
      </c>
      <c r="M99" s="4">
        <v>3</v>
      </c>
      <c r="N99" s="4" t="s">
        <v>3</v>
      </c>
      <c r="O99" s="4">
        <v>2</v>
      </c>
      <c r="P99" s="4"/>
      <c r="Q99" s="4"/>
      <c r="R99" s="4"/>
      <c r="S99" s="4"/>
      <c r="T99" s="4"/>
      <c r="U99" s="4"/>
      <c r="V99" s="4"/>
      <c r="W99" s="4"/>
    </row>
    <row r="100" spans="1:23" x14ac:dyDescent="0.2">
      <c r="A100" s="4">
        <v>50</v>
      </c>
      <c r="B100" s="4">
        <v>0</v>
      </c>
      <c r="C100" s="4">
        <v>0</v>
      </c>
      <c r="D100" s="4">
        <v>1</v>
      </c>
      <c r="E100" s="4">
        <v>222</v>
      </c>
      <c r="F100" s="4">
        <f>ROUND(Source!AO96,O100)</f>
        <v>0</v>
      </c>
      <c r="G100" s="4" t="s">
        <v>130</v>
      </c>
      <c r="H100" s="4" t="s">
        <v>131</v>
      </c>
      <c r="I100" s="4"/>
      <c r="J100" s="4"/>
      <c r="K100" s="4">
        <v>222</v>
      </c>
      <c r="L100" s="4">
        <v>3</v>
      </c>
      <c r="M100" s="4">
        <v>3</v>
      </c>
      <c r="N100" s="4" t="s">
        <v>3</v>
      </c>
      <c r="O100" s="4">
        <v>2</v>
      </c>
      <c r="P100" s="4"/>
      <c r="Q100" s="4"/>
      <c r="R100" s="4"/>
      <c r="S100" s="4"/>
      <c r="T100" s="4"/>
      <c r="U100" s="4"/>
      <c r="V100" s="4"/>
      <c r="W100" s="4"/>
    </row>
    <row r="101" spans="1:23" x14ac:dyDescent="0.2">
      <c r="A101" s="4">
        <v>50</v>
      </c>
      <c r="B101" s="4">
        <v>0</v>
      </c>
      <c r="C101" s="4">
        <v>0</v>
      </c>
      <c r="D101" s="4">
        <v>1</v>
      </c>
      <c r="E101" s="4">
        <v>225</v>
      </c>
      <c r="F101" s="4">
        <f>ROUND(Source!AV96,O101)</f>
        <v>1795962.78</v>
      </c>
      <c r="G101" s="4" t="s">
        <v>132</v>
      </c>
      <c r="H101" s="4" t="s">
        <v>133</v>
      </c>
      <c r="I101" s="4"/>
      <c r="J101" s="4"/>
      <c r="K101" s="4">
        <v>225</v>
      </c>
      <c r="L101" s="4">
        <v>4</v>
      </c>
      <c r="M101" s="4">
        <v>3</v>
      </c>
      <c r="N101" s="4" t="s">
        <v>3</v>
      </c>
      <c r="O101" s="4">
        <v>2</v>
      </c>
      <c r="P101" s="4"/>
      <c r="Q101" s="4"/>
      <c r="R101" s="4"/>
      <c r="S101" s="4"/>
      <c r="T101" s="4"/>
      <c r="U101" s="4"/>
      <c r="V101" s="4"/>
      <c r="W101" s="4"/>
    </row>
    <row r="102" spans="1:23" x14ac:dyDescent="0.2">
      <c r="A102" s="4">
        <v>50</v>
      </c>
      <c r="B102" s="4">
        <v>0</v>
      </c>
      <c r="C102" s="4">
        <v>0</v>
      </c>
      <c r="D102" s="4">
        <v>1</v>
      </c>
      <c r="E102" s="4">
        <v>226</v>
      </c>
      <c r="F102" s="4">
        <f>ROUND(Source!AW96,O102)</f>
        <v>1795962.78</v>
      </c>
      <c r="G102" s="4" t="s">
        <v>134</v>
      </c>
      <c r="H102" s="4" t="s">
        <v>135</v>
      </c>
      <c r="I102" s="4"/>
      <c r="J102" s="4"/>
      <c r="K102" s="4">
        <v>226</v>
      </c>
      <c r="L102" s="4">
        <v>5</v>
      </c>
      <c r="M102" s="4">
        <v>3</v>
      </c>
      <c r="N102" s="4" t="s">
        <v>3</v>
      </c>
      <c r="O102" s="4">
        <v>2</v>
      </c>
      <c r="P102" s="4"/>
      <c r="Q102" s="4"/>
      <c r="R102" s="4"/>
      <c r="S102" s="4"/>
      <c r="T102" s="4"/>
      <c r="U102" s="4"/>
      <c r="V102" s="4"/>
      <c r="W102" s="4"/>
    </row>
    <row r="103" spans="1:23" x14ac:dyDescent="0.2">
      <c r="A103" s="4">
        <v>50</v>
      </c>
      <c r="B103" s="4">
        <v>0</v>
      </c>
      <c r="C103" s="4">
        <v>0</v>
      </c>
      <c r="D103" s="4">
        <v>1</v>
      </c>
      <c r="E103" s="4">
        <v>227</v>
      </c>
      <c r="F103" s="4">
        <f>ROUND(Source!AX96,O103)</f>
        <v>0</v>
      </c>
      <c r="G103" s="4" t="s">
        <v>136</v>
      </c>
      <c r="H103" s="4" t="s">
        <v>137</v>
      </c>
      <c r="I103" s="4"/>
      <c r="J103" s="4"/>
      <c r="K103" s="4">
        <v>227</v>
      </c>
      <c r="L103" s="4">
        <v>6</v>
      </c>
      <c r="M103" s="4">
        <v>3</v>
      </c>
      <c r="N103" s="4" t="s">
        <v>3</v>
      </c>
      <c r="O103" s="4">
        <v>2</v>
      </c>
      <c r="P103" s="4"/>
      <c r="Q103" s="4"/>
      <c r="R103" s="4"/>
      <c r="S103" s="4"/>
      <c r="T103" s="4"/>
      <c r="U103" s="4"/>
      <c r="V103" s="4"/>
      <c r="W103" s="4"/>
    </row>
    <row r="104" spans="1:23" x14ac:dyDescent="0.2">
      <c r="A104" s="4">
        <v>50</v>
      </c>
      <c r="B104" s="4">
        <v>0</v>
      </c>
      <c r="C104" s="4">
        <v>0</v>
      </c>
      <c r="D104" s="4">
        <v>1</v>
      </c>
      <c r="E104" s="4">
        <v>228</v>
      </c>
      <c r="F104" s="4">
        <f>ROUND(Source!AY96,O104)</f>
        <v>1795962.78</v>
      </c>
      <c r="G104" s="4" t="s">
        <v>138</v>
      </c>
      <c r="H104" s="4" t="s">
        <v>139</v>
      </c>
      <c r="I104" s="4"/>
      <c r="J104" s="4"/>
      <c r="K104" s="4">
        <v>228</v>
      </c>
      <c r="L104" s="4">
        <v>7</v>
      </c>
      <c r="M104" s="4">
        <v>3</v>
      </c>
      <c r="N104" s="4" t="s">
        <v>3</v>
      </c>
      <c r="O104" s="4">
        <v>2</v>
      </c>
      <c r="P104" s="4"/>
      <c r="Q104" s="4"/>
      <c r="R104" s="4"/>
      <c r="S104" s="4"/>
      <c r="T104" s="4"/>
      <c r="U104" s="4"/>
      <c r="V104" s="4"/>
      <c r="W104" s="4"/>
    </row>
    <row r="105" spans="1:23" x14ac:dyDescent="0.2">
      <c r="A105" s="4">
        <v>50</v>
      </c>
      <c r="B105" s="4">
        <v>0</v>
      </c>
      <c r="C105" s="4">
        <v>0</v>
      </c>
      <c r="D105" s="4">
        <v>1</v>
      </c>
      <c r="E105" s="4">
        <v>216</v>
      </c>
      <c r="F105" s="4">
        <f>ROUND(Source!AP96,O105)</f>
        <v>0</v>
      </c>
      <c r="G105" s="4" t="s">
        <v>140</v>
      </c>
      <c r="H105" s="4" t="s">
        <v>141</v>
      </c>
      <c r="I105" s="4"/>
      <c r="J105" s="4"/>
      <c r="K105" s="4">
        <v>216</v>
      </c>
      <c r="L105" s="4">
        <v>8</v>
      </c>
      <c r="M105" s="4">
        <v>3</v>
      </c>
      <c r="N105" s="4" t="s">
        <v>3</v>
      </c>
      <c r="O105" s="4">
        <v>2</v>
      </c>
      <c r="P105" s="4"/>
      <c r="Q105" s="4"/>
      <c r="R105" s="4"/>
      <c r="S105" s="4"/>
      <c r="T105" s="4"/>
      <c r="U105" s="4"/>
      <c r="V105" s="4"/>
      <c r="W105" s="4"/>
    </row>
    <row r="106" spans="1:23" x14ac:dyDescent="0.2">
      <c r="A106" s="4">
        <v>50</v>
      </c>
      <c r="B106" s="4">
        <v>0</v>
      </c>
      <c r="C106" s="4">
        <v>0</v>
      </c>
      <c r="D106" s="4">
        <v>1</v>
      </c>
      <c r="E106" s="4">
        <v>223</v>
      </c>
      <c r="F106" s="4">
        <f>ROUND(Source!AQ96,O106)</f>
        <v>0</v>
      </c>
      <c r="G106" s="4" t="s">
        <v>142</v>
      </c>
      <c r="H106" s="4" t="s">
        <v>143</v>
      </c>
      <c r="I106" s="4"/>
      <c r="J106" s="4"/>
      <c r="K106" s="4">
        <v>223</v>
      </c>
      <c r="L106" s="4">
        <v>9</v>
      </c>
      <c r="M106" s="4">
        <v>3</v>
      </c>
      <c r="N106" s="4" t="s">
        <v>3</v>
      </c>
      <c r="O106" s="4">
        <v>2</v>
      </c>
      <c r="P106" s="4"/>
      <c r="Q106" s="4"/>
      <c r="R106" s="4"/>
      <c r="S106" s="4"/>
      <c r="T106" s="4"/>
      <c r="U106" s="4"/>
      <c r="V106" s="4"/>
      <c r="W106" s="4"/>
    </row>
    <row r="107" spans="1:23" x14ac:dyDescent="0.2">
      <c r="A107" s="4">
        <v>50</v>
      </c>
      <c r="B107" s="4">
        <v>0</v>
      </c>
      <c r="C107" s="4">
        <v>0</v>
      </c>
      <c r="D107" s="4">
        <v>1</v>
      </c>
      <c r="E107" s="4">
        <v>229</v>
      </c>
      <c r="F107" s="4">
        <f>ROUND(Source!AZ96,O107)</f>
        <v>0</v>
      </c>
      <c r="G107" s="4" t="s">
        <v>144</v>
      </c>
      <c r="H107" s="4" t="s">
        <v>145</v>
      </c>
      <c r="I107" s="4"/>
      <c r="J107" s="4"/>
      <c r="K107" s="4">
        <v>229</v>
      </c>
      <c r="L107" s="4">
        <v>10</v>
      </c>
      <c r="M107" s="4">
        <v>3</v>
      </c>
      <c r="N107" s="4" t="s">
        <v>3</v>
      </c>
      <c r="O107" s="4">
        <v>2</v>
      </c>
      <c r="P107" s="4"/>
      <c r="Q107" s="4"/>
      <c r="R107" s="4"/>
      <c r="S107" s="4"/>
      <c r="T107" s="4"/>
      <c r="U107" s="4"/>
      <c r="V107" s="4"/>
      <c r="W107" s="4"/>
    </row>
    <row r="108" spans="1:23" x14ac:dyDescent="0.2">
      <c r="A108" s="4">
        <v>50</v>
      </c>
      <c r="B108" s="4">
        <v>0</v>
      </c>
      <c r="C108" s="4">
        <v>0</v>
      </c>
      <c r="D108" s="4">
        <v>1</v>
      </c>
      <c r="E108" s="4">
        <v>203</v>
      </c>
      <c r="F108" s="4">
        <f>ROUND(Source!Q96,O108)</f>
        <v>101578.84</v>
      </c>
      <c r="G108" s="4" t="s">
        <v>146</v>
      </c>
      <c r="H108" s="4" t="s">
        <v>147</v>
      </c>
      <c r="I108" s="4"/>
      <c r="J108" s="4"/>
      <c r="K108" s="4">
        <v>203</v>
      </c>
      <c r="L108" s="4">
        <v>11</v>
      </c>
      <c r="M108" s="4">
        <v>3</v>
      </c>
      <c r="N108" s="4" t="s">
        <v>3</v>
      </c>
      <c r="O108" s="4">
        <v>2</v>
      </c>
      <c r="P108" s="4"/>
      <c r="Q108" s="4"/>
      <c r="R108" s="4"/>
      <c r="S108" s="4"/>
      <c r="T108" s="4"/>
      <c r="U108" s="4"/>
      <c r="V108" s="4"/>
      <c r="W108" s="4"/>
    </row>
    <row r="109" spans="1:23" x14ac:dyDescent="0.2">
      <c r="A109" s="4">
        <v>50</v>
      </c>
      <c r="B109" s="4">
        <v>0</v>
      </c>
      <c r="C109" s="4">
        <v>0</v>
      </c>
      <c r="D109" s="4">
        <v>1</v>
      </c>
      <c r="E109" s="4">
        <v>231</v>
      </c>
      <c r="F109" s="4">
        <f>ROUND(Source!BB96,O109)</f>
        <v>0</v>
      </c>
      <c r="G109" s="4" t="s">
        <v>148</v>
      </c>
      <c r="H109" s="4" t="s">
        <v>149</v>
      </c>
      <c r="I109" s="4"/>
      <c r="J109" s="4"/>
      <c r="K109" s="4">
        <v>231</v>
      </c>
      <c r="L109" s="4">
        <v>12</v>
      </c>
      <c r="M109" s="4">
        <v>3</v>
      </c>
      <c r="N109" s="4" t="s">
        <v>3</v>
      </c>
      <c r="O109" s="4">
        <v>2</v>
      </c>
      <c r="P109" s="4"/>
      <c r="Q109" s="4"/>
      <c r="R109" s="4"/>
      <c r="S109" s="4"/>
      <c r="T109" s="4"/>
      <c r="U109" s="4"/>
      <c r="V109" s="4"/>
      <c r="W109" s="4"/>
    </row>
    <row r="110" spans="1:23" x14ac:dyDescent="0.2">
      <c r="A110" s="4">
        <v>50</v>
      </c>
      <c r="B110" s="4">
        <v>0</v>
      </c>
      <c r="C110" s="4">
        <v>0</v>
      </c>
      <c r="D110" s="4">
        <v>1</v>
      </c>
      <c r="E110" s="4">
        <v>204</v>
      </c>
      <c r="F110" s="4">
        <f>ROUND(Source!R96,O110)</f>
        <v>57388.01</v>
      </c>
      <c r="G110" s="4" t="s">
        <v>150</v>
      </c>
      <c r="H110" s="4" t="s">
        <v>151</v>
      </c>
      <c r="I110" s="4"/>
      <c r="J110" s="4"/>
      <c r="K110" s="4">
        <v>204</v>
      </c>
      <c r="L110" s="4">
        <v>13</v>
      </c>
      <c r="M110" s="4">
        <v>3</v>
      </c>
      <c r="N110" s="4" t="s">
        <v>3</v>
      </c>
      <c r="O110" s="4">
        <v>2</v>
      </c>
      <c r="P110" s="4"/>
      <c r="Q110" s="4"/>
      <c r="R110" s="4"/>
      <c r="S110" s="4"/>
      <c r="T110" s="4"/>
      <c r="U110" s="4"/>
      <c r="V110" s="4"/>
      <c r="W110" s="4"/>
    </row>
    <row r="111" spans="1:23" x14ac:dyDescent="0.2">
      <c r="A111" s="4">
        <v>50</v>
      </c>
      <c r="B111" s="4">
        <v>0</v>
      </c>
      <c r="C111" s="4">
        <v>0</v>
      </c>
      <c r="D111" s="4">
        <v>1</v>
      </c>
      <c r="E111" s="4">
        <v>205</v>
      </c>
      <c r="F111" s="4">
        <f>ROUND(Source!S96,O111)</f>
        <v>392092.43</v>
      </c>
      <c r="G111" s="4" t="s">
        <v>152</v>
      </c>
      <c r="H111" s="4" t="s">
        <v>153</v>
      </c>
      <c r="I111" s="4"/>
      <c r="J111" s="4"/>
      <c r="K111" s="4">
        <v>205</v>
      </c>
      <c r="L111" s="4">
        <v>14</v>
      </c>
      <c r="M111" s="4">
        <v>3</v>
      </c>
      <c r="N111" s="4" t="s">
        <v>3</v>
      </c>
      <c r="O111" s="4">
        <v>2</v>
      </c>
      <c r="P111" s="4"/>
      <c r="Q111" s="4"/>
      <c r="R111" s="4"/>
      <c r="S111" s="4"/>
      <c r="T111" s="4"/>
      <c r="U111" s="4"/>
      <c r="V111" s="4"/>
      <c r="W111" s="4"/>
    </row>
    <row r="112" spans="1:23" x14ac:dyDescent="0.2">
      <c r="A112" s="4">
        <v>50</v>
      </c>
      <c r="B112" s="4">
        <v>0</v>
      </c>
      <c r="C112" s="4">
        <v>0</v>
      </c>
      <c r="D112" s="4">
        <v>1</v>
      </c>
      <c r="E112" s="4">
        <v>232</v>
      </c>
      <c r="F112" s="4">
        <f>ROUND(Source!BC96,O112)</f>
        <v>0</v>
      </c>
      <c r="G112" s="4" t="s">
        <v>154</v>
      </c>
      <c r="H112" s="4" t="s">
        <v>155</v>
      </c>
      <c r="I112" s="4"/>
      <c r="J112" s="4"/>
      <c r="K112" s="4">
        <v>232</v>
      </c>
      <c r="L112" s="4">
        <v>15</v>
      </c>
      <c r="M112" s="4">
        <v>3</v>
      </c>
      <c r="N112" s="4" t="s">
        <v>3</v>
      </c>
      <c r="O112" s="4">
        <v>2</v>
      </c>
      <c r="P112" s="4"/>
      <c r="Q112" s="4"/>
      <c r="R112" s="4"/>
      <c r="S112" s="4"/>
      <c r="T112" s="4"/>
      <c r="U112" s="4"/>
      <c r="V112" s="4"/>
      <c r="W112" s="4"/>
    </row>
    <row r="113" spans="1:206" x14ac:dyDescent="0.2">
      <c r="A113" s="4">
        <v>50</v>
      </c>
      <c r="B113" s="4">
        <v>0</v>
      </c>
      <c r="C113" s="4">
        <v>0</v>
      </c>
      <c r="D113" s="4">
        <v>1</v>
      </c>
      <c r="E113" s="4">
        <v>214</v>
      </c>
      <c r="F113" s="4">
        <f>ROUND(Source!AS96,O113)</f>
        <v>682027.65</v>
      </c>
      <c r="G113" s="4" t="s">
        <v>156</v>
      </c>
      <c r="H113" s="4" t="s">
        <v>157</v>
      </c>
      <c r="I113" s="4"/>
      <c r="J113" s="4"/>
      <c r="K113" s="4">
        <v>214</v>
      </c>
      <c r="L113" s="4">
        <v>16</v>
      </c>
      <c r="M113" s="4">
        <v>3</v>
      </c>
      <c r="N113" s="4" t="s">
        <v>3</v>
      </c>
      <c r="O113" s="4">
        <v>2</v>
      </c>
      <c r="P113" s="4"/>
      <c r="Q113" s="4"/>
      <c r="R113" s="4"/>
      <c r="S113" s="4"/>
      <c r="T113" s="4"/>
      <c r="U113" s="4"/>
      <c r="V113" s="4"/>
      <c r="W113" s="4"/>
    </row>
    <row r="114" spans="1:206" x14ac:dyDescent="0.2">
      <c r="A114" s="4">
        <v>50</v>
      </c>
      <c r="B114" s="4">
        <v>0</v>
      </c>
      <c r="C114" s="4">
        <v>0</v>
      </c>
      <c r="D114" s="4">
        <v>1</v>
      </c>
      <c r="E114" s="4">
        <v>215</v>
      </c>
      <c r="F114" s="4">
        <f>ROUND(Source!AT96,O114)</f>
        <v>2219188.52</v>
      </c>
      <c r="G114" s="4" t="s">
        <v>158</v>
      </c>
      <c r="H114" s="4" t="s">
        <v>159</v>
      </c>
      <c r="I114" s="4"/>
      <c r="J114" s="4"/>
      <c r="K114" s="4">
        <v>215</v>
      </c>
      <c r="L114" s="4">
        <v>17</v>
      </c>
      <c r="M114" s="4">
        <v>3</v>
      </c>
      <c r="N114" s="4" t="s">
        <v>3</v>
      </c>
      <c r="O114" s="4">
        <v>2</v>
      </c>
      <c r="P114" s="4"/>
      <c r="Q114" s="4"/>
      <c r="R114" s="4"/>
      <c r="S114" s="4"/>
      <c r="T114" s="4"/>
      <c r="U114" s="4"/>
      <c r="V114" s="4"/>
      <c r="W114" s="4"/>
    </row>
    <row r="115" spans="1:206" x14ac:dyDescent="0.2">
      <c r="A115" s="4">
        <v>50</v>
      </c>
      <c r="B115" s="4">
        <v>0</v>
      </c>
      <c r="C115" s="4">
        <v>0</v>
      </c>
      <c r="D115" s="4">
        <v>1</v>
      </c>
      <c r="E115" s="4">
        <v>217</v>
      </c>
      <c r="F115" s="4">
        <f>ROUND(Source!AU96,O115)</f>
        <v>0</v>
      </c>
      <c r="G115" s="4" t="s">
        <v>160</v>
      </c>
      <c r="H115" s="4" t="s">
        <v>161</v>
      </c>
      <c r="I115" s="4"/>
      <c r="J115" s="4"/>
      <c r="K115" s="4">
        <v>217</v>
      </c>
      <c r="L115" s="4">
        <v>18</v>
      </c>
      <c r="M115" s="4">
        <v>3</v>
      </c>
      <c r="N115" s="4" t="s">
        <v>3</v>
      </c>
      <c r="O115" s="4">
        <v>2</v>
      </c>
      <c r="P115" s="4"/>
      <c r="Q115" s="4"/>
      <c r="R115" s="4"/>
      <c r="S115" s="4"/>
      <c r="T115" s="4"/>
      <c r="U115" s="4"/>
      <c r="V115" s="4"/>
      <c r="W115" s="4"/>
    </row>
    <row r="116" spans="1:206" x14ac:dyDescent="0.2">
      <c r="A116" s="4">
        <v>50</v>
      </c>
      <c r="B116" s="4">
        <v>0</v>
      </c>
      <c r="C116" s="4">
        <v>0</v>
      </c>
      <c r="D116" s="4">
        <v>1</v>
      </c>
      <c r="E116" s="4">
        <v>230</v>
      </c>
      <c r="F116" s="4">
        <f>ROUND(Source!BA96,O116)</f>
        <v>0</v>
      </c>
      <c r="G116" s="4" t="s">
        <v>162</v>
      </c>
      <c r="H116" s="4" t="s">
        <v>163</v>
      </c>
      <c r="I116" s="4"/>
      <c r="J116" s="4"/>
      <c r="K116" s="4">
        <v>230</v>
      </c>
      <c r="L116" s="4">
        <v>19</v>
      </c>
      <c r="M116" s="4">
        <v>3</v>
      </c>
      <c r="N116" s="4" t="s">
        <v>3</v>
      </c>
      <c r="O116" s="4">
        <v>2</v>
      </c>
      <c r="P116" s="4"/>
      <c r="Q116" s="4"/>
      <c r="R116" s="4"/>
      <c r="S116" s="4"/>
      <c r="T116" s="4"/>
      <c r="U116" s="4"/>
      <c r="V116" s="4"/>
      <c r="W116" s="4"/>
    </row>
    <row r="117" spans="1:206" x14ac:dyDescent="0.2">
      <c r="A117" s="4">
        <v>50</v>
      </c>
      <c r="B117" s="4">
        <v>0</v>
      </c>
      <c r="C117" s="4">
        <v>0</v>
      </c>
      <c r="D117" s="4">
        <v>1</v>
      </c>
      <c r="E117" s="4">
        <v>206</v>
      </c>
      <c r="F117" s="4">
        <f>ROUND(Source!T96,O117)</f>
        <v>0</v>
      </c>
      <c r="G117" s="4" t="s">
        <v>164</v>
      </c>
      <c r="H117" s="4" t="s">
        <v>165</v>
      </c>
      <c r="I117" s="4"/>
      <c r="J117" s="4"/>
      <c r="K117" s="4">
        <v>206</v>
      </c>
      <c r="L117" s="4">
        <v>20</v>
      </c>
      <c r="M117" s="4">
        <v>3</v>
      </c>
      <c r="N117" s="4" t="s">
        <v>3</v>
      </c>
      <c r="O117" s="4">
        <v>2</v>
      </c>
      <c r="P117" s="4"/>
      <c r="Q117" s="4"/>
      <c r="R117" s="4"/>
      <c r="S117" s="4"/>
      <c r="T117" s="4"/>
      <c r="U117" s="4"/>
      <c r="V117" s="4"/>
      <c r="W117" s="4"/>
    </row>
    <row r="118" spans="1:206" x14ac:dyDescent="0.2">
      <c r="A118" s="4">
        <v>50</v>
      </c>
      <c r="B118" s="4">
        <v>0</v>
      </c>
      <c r="C118" s="4">
        <v>0</v>
      </c>
      <c r="D118" s="4">
        <v>1</v>
      </c>
      <c r="E118" s="4">
        <v>207</v>
      </c>
      <c r="F118" s="4">
        <f>Source!U96</f>
        <v>1366.08</v>
      </c>
      <c r="G118" s="4" t="s">
        <v>166</v>
      </c>
      <c r="H118" s="4" t="s">
        <v>167</v>
      </c>
      <c r="I118" s="4"/>
      <c r="J118" s="4"/>
      <c r="K118" s="4">
        <v>207</v>
      </c>
      <c r="L118" s="4">
        <v>21</v>
      </c>
      <c r="M118" s="4">
        <v>3</v>
      </c>
      <c r="N118" s="4" t="s">
        <v>3</v>
      </c>
      <c r="O118" s="4">
        <v>-1</v>
      </c>
      <c r="P118" s="4"/>
      <c r="Q118" s="4"/>
      <c r="R118" s="4"/>
      <c r="S118" s="4"/>
      <c r="T118" s="4"/>
      <c r="U118" s="4"/>
      <c r="V118" s="4"/>
      <c r="W118" s="4"/>
    </row>
    <row r="119" spans="1:206" x14ac:dyDescent="0.2">
      <c r="A119" s="4">
        <v>50</v>
      </c>
      <c r="B119" s="4">
        <v>0</v>
      </c>
      <c r="C119" s="4">
        <v>0</v>
      </c>
      <c r="D119" s="4">
        <v>1</v>
      </c>
      <c r="E119" s="4">
        <v>208</v>
      </c>
      <c r="F119" s="4">
        <f>Source!V96</f>
        <v>0</v>
      </c>
      <c r="G119" s="4" t="s">
        <v>168</v>
      </c>
      <c r="H119" s="4" t="s">
        <v>169</v>
      </c>
      <c r="I119" s="4"/>
      <c r="J119" s="4"/>
      <c r="K119" s="4">
        <v>208</v>
      </c>
      <c r="L119" s="4">
        <v>22</v>
      </c>
      <c r="M119" s="4">
        <v>3</v>
      </c>
      <c r="N119" s="4" t="s">
        <v>3</v>
      </c>
      <c r="O119" s="4">
        <v>-1</v>
      </c>
      <c r="P119" s="4"/>
      <c r="Q119" s="4"/>
      <c r="R119" s="4"/>
      <c r="S119" s="4"/>
      <c r="T119" s="4"/>
      <c r="U119" s="4"/>
      <c r="V119" s="4"/>
      <c r="W119" s="4"/>
    </row>
    <row r="120" spans="1:206" x14ac:dyDescent="0.2">
      <c r="A120" s="4">
        <v>50</v>
      </c>
      <c r="B120" s="4">
        <v>0</v>
      </c>
      <c r="C120" s="4">
        <v>0</v>
      </c>
      <c r="D120" s="4">
        <v>1</v>
      </c>
      <c r="E120" s="4">
        <v>209</v>
      </c>
      <c r="F120" s="4">
        <f>ROUND(Source!W96,O120)</f>
        <v>0</v>
      </c>
      <c r="G120" s="4" t="s">
        <v>170</v>
      </c>
      <c r="H120" s="4" t="s">
        <v>171</v>
      </c>
      <c r="I120" s="4"/>
      <c r="J120" s="4"/>
      <c r="K120" s="4">
        <v>209</v>
      </c>
      <c r="L120" s="4">
        <v>23</v>
      </c>
      <c r="M120" s="4">
        <v>3</v>
      </c>
      <c r="N120" s="4" t="s">
        <v>3</v>
      </c>
      <c r="O120" s="4">
        <v>2</v>
      </c>
      <c r="P120" s="4"/>
      <c r="Q120" s="4"/>
      <c r="R120" s="4"/>
      <c r="S120" s="4"/>
      <c r="T120" s="4"/>
      <c r="U120" s="4"/>
      <c r="V120" s="4"/>
      <c r="W120" s="4"/>
    </row>
    <row r="121" spans="1:206" x14ac:dyDescent="0.2">
      <c r="A121" s="4">
        <v>50</v>
      </c>
      <c r="B121" s="4">
        <v>0</v>
      </c>
      <c r="C121" s="4">
        <v>0</v>
      </c>
      <c r="D121" s="4">
        <v>1</v>
      </c>
      <c r="E121" s="4">
        <v>233</v>
      </c>
      <c r="F121" s="4">
        <f>ROUND(Source!BD96,O121)</f>
        <v>0</v>
      </c>
      <c r="G121" s="4" t="s">
        <v>172</v>
      </c>
      <c r="H121" s="4" t="s">
        <v>173</v>
      </c>
      <c r="I121" s="4"/>
      <c r="J121" s="4"/>
      <c r="K121" s="4">
        <v>233</v>
      </c>
      <c r="L121" s="4">
        <v>24</v>
      </c>
      <c r="M121" s="4">
        <v>3</v>
      </c>
      <c r="N121" s="4" t="s">
        <v>3</v>
      </c>
      <c r="O121" s="4">
        <v>2</v>
      </c>
      <c r="P121" s="4"/>
      <c r="Q121" s="4"/>
      <c r="R121" s="4"/>
      <c r="S121" s="4"/>
      <c r="T121" s="4"/>
      <c r="U121" s="4"/>
      <c r="V121" s="4"/>
      <c r="W121" s="4"/>
    </row>
    <row r="122" spans="1:206" x14ac:dyDescent="0.2">
      <c r="A122" s="4">
        <v>50</v>
      </c>
      <c r="B122" s="4">
        <v>0</v>
      </c>
      <c r="C122" s="4">
        <v>0</v>
      </c>
      <c r="D122" s="4">
        <v>1</v>
      </c>
      <c r="E122" s="4">
        <v>210</v>
      </c>
      <c r="F122" s="4">
        <f>ROUND(Source!X96,O122)</f>
        <v>355355.37</v>
      </c>
      <c r="G122" s="4" t="s">
        <v>174</v>
      </c>
      <c r="H122" s="4" t="s">
        <v>175</v>
      </c>
      <c r="I122" s="4"/>
      <c r="J122" s="4"/>
      <c r="K122" s="4">
        <v>210</v>
      </c>
      <c r="L122" s="4">
        <v>25</v>
      </c>
      <c r="M122" s="4">
        <v>3</v>
      </c>
      <c r="N122" s="4" t="s">
        <v>3</v>
      </c>
      <c r="O122" s="4">
        <v>2</v>
      </c>
      <c r="P122" s="4"/>
      <c r="Q122" s="4"/>
      <c r="R122" s="4"/>
      <c r="S122" s="4"/>
      <c r="T122" s="4"/>
      <c r="U122" s="4"/>
      <c r="V122" s="4"/>
      <c r="W122" s="4"/>
    </row>
    <row r="123" spans="1:206" x14ac:dyDescent="0.2">
      <c r="A123" s="4">
        <v>50</v>
      </c>
      <c r="B123" s="4">
        <v>0</v>
      </c>
      <c r="C123" s="4">
        <v>0</v>
      </c>
      <c r="D123" s="4">
        <v>1</v>
      </c>
      <c r="E123" s="4">
        <v>211</v>
      </c>
      <c r="F123" s="4">
        <f>ROUND(Source!Y96,O123)</f>
        <v>166127.57</v>
      </c>
      <c r="G123" s="4" t="s">
        <v>176</v>
      </c>
      <c r="H123" s="4" t="s">
        <v>177</v>
      </c>
      <c r="I123" s="4"/>
      <c r="J123" s="4"/>
      <c r="K123" s="4">
        <v>211</v>
      </c>
      <c r="L123" s="4">
        <v>26</v>
      </c>
      <c r="M123" s="4">
        <v>3</v>
      </c>
      <c r="N123" s="4" t="s">
        <v>3</v>
      </c>
      <c r="O123" s="4">
        <v>2</v>
      </c>
      <c r="P123" s="4"/>
      <c r="Q123" s="4"/>
      <c r="R123" s="4"/>
      <c r="S123" s="4"/>
      <c r="T123" s="4"/>
      <c r="U123" s="4"/>
      <c r="V123" s="4"/>
      <c r="W123" s="4"/>
    </row>
    <row r="124" spans="1:206" x14ac:dyDescent="0.2">
      <c r="A124" s="4">
        <v>50</v>
      </c>
      <c r="B124" s="4">
        <v>0</v>
      </c>
      <c r="C124" s="4">
        <v>0</v>
      </c>
      <c r="D124" s="4">
        <v>1</v>
      </c>
      <c r="E124" s="4">
        <v>224</v>
      </c>
      <c r="F124" s="4">
        <f>ROUND(Source!AR96,O124)</f>
        <v>2901216.17</v>
      </c>
      <c r="G124" s="4" t="s">
        <v>178</v>
      </c>
      <c r="H124" s="4" t="s">
        <v>179</v>
      </c>
      <c r="I124" s="4"/>
      <c r="J124" s="4"/>
      <c r="K124" s="4">
        <v>224</v>
      </c>
      <c r="L124" s="4">
        <v>27</v>
      </c>
      <c r="M124" s="4">
        <v>3</v>
      </c>
      <c r="N124" s="4" t="s">
        <v>3</v>
      </c>
      <c r="O124" s="4">
        <v>2</v>
      </c>
      <c r="P124" s="4"/>
      <c r="Q124" s="4"/>
      <c r="R124" s="4"/>
      <c r="S124" s="4"/>
      <c r="T124" s="4"/>
      <c r="U124" s="4"/>
      <c r="V124" s="4"/>
      <c r="W124" s="4"/>
    </row>
    <row r="126" spans="1:206" x14ac:dyDescent="0.2">
      <c r="A126" s="1">
        <v>4</v>
      </c>
      <c r="B126" s="1">
        <v>1</v>
      </c>
      <c r="C126" s="1"/>
      <c r="D126" s="1">
        <f>ROW(A157)</f>
        <v>157</v>
      </c>
      <c r="E126" s="1"/>
      <c r="F126" s="1" t="s">
        <v>15</v>
      </c>
      <c r="G126" s="1" t="s">
        <v>240</v>
      </c>
      <c r="H126" s="1" t="s">
        <v>3</v>
      </c>
      <c r="I126" s="1">
        <v>0</v>
      </c>
      <c r="J126" s="1"/>
      <c r="K126" s="1">
        <v>0</v>
      </c>
      <c r="L126" s="1"/>
      <c r="M126" s="1"/>
      <c r="N126" s="1"/>
      <c r="O126" s="1"/>
      <c r="P126" s="1"/>
      <c r="Q126" s="1"/>
      <c r="R126" s="1"/>
      <c r="S126" s="1"/>
      <c r="T126" s="1"/>
      <c r="U126" s="1" t="s">
        <v>3</v>
      </c>
      <c r="V126" s="1">
        <v>0</v>
      </c>
      <c r="W126" s="1"/>
      <c r="X126" s="1"/>
      <c r="Y126" s="1"/>
      <c r="Z126" s="1"/>
      <c r="AA126" s="1"/>
      <c r="AB126" s="1" t="s">
        <v>3</v>
      </c>
      <c r="AC126" s="1" t="s">
        <v>3</v>
      </c>
      <c r="AD126" s="1" t="s">
        <v>3</v>
      </c>
      <c r="AE126" s="1" t="s">
        <v>3</v>
      </c>
      <c r="AF126" s="1" t="s">
        <v>3</v>
      </c>
      <c r="AG126" s="1" t="s">
        <v>3</v>
      </c>
      <c r="AH126" s="1"/>
      <c r="AI126" s="1"/>
      <c r="AJ126" s="1"/>
      <c r="AK126" s="1"/>
      <c r="AL126" s="1"/>
      <c r="AM126" s="1"/>
      <c r="AN126" s="1"/>
      <c r="AO126" s="1"/>
      <c r="AP126" s="1" t="s">
        <v>3</v>
      </c>
      <c r="AQ126" s="1" t="s">
        <v>3</v>
      </c>
      <c r="AR126" s="1" t="s">
        <v>3</v>
      </c>
      <c r="AS126" s="1"/>
      <c r="AT126" s="1"/>
      <c r="AU126" s="1"/>
      <c r="AV126" s="1"/>
      <c r="AW126" s="1"/>
      <c r="AX126" s="1"/>
      <c r="AY126" s="1"/>
      <c r="AZ126" s="1" t="s">
        <v>3</v>
      </c>
      <c r="BA126" s="1"/>
      <c r="BB126" s="1" t="s">
        <v>3</v>
      </c>
      <c r="BC126" s="1" t="s">
        <v>3</v>
      </c>
      <c r="BD126" s="1" t="s">
        <v>3</v>
      </c>
      <c r="BE126" s="1" t="s">
        <v>3</v>
      </c>
      <c r="BF126" s="1" t="s">
        <v>3</v>
      </c>
      <c r="BG126" s="1" t="s">
        <v>3</v>
      </c>
      <c r="BH126" s="1" t="s">
        <v>3</v>
      </c>
      <c r="BI126" s="1" t="s">
        <v>3</v>
      </c>
      <c r="BJ126" s="1" t="s">
        <v>3</v>
      </c>
      <c r="BK126" s="1" t="s">
        <v>3</v>
      </c>
      <c r="BL126" s="1" t="s">
        <v>3</v>
      </c>
      <c r="BM126" s="1" t="s">
        <v>3</v>
      </c>
      <c r="BN126" s="1" t="s">
        <v>3</v>
      </c>
      <c r="BO126" s="1" t="s">
        <v>3</v>
      </c>
      <c r="BP126" s="1" t="s">
        <v>3</v>
      </c>
      <c r="BQ126" s="1"/>
      <c r="BR126" s="1"/>
      <c r="BS126" s="1"/>
      <c r="BT126" s="1"/>
      <c r="BU126" s="1"/>
      <c r="BV126" s="1"/>
      <c r="BW126" s="1"/>
      <c r="BX126" s="1">
        <v>0</v>
      </c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>
        <v>0</v>
      </c>
    </row>
    <row r="128" spans="1:206" x14ac:dyDescent="0.2">
      <c r="A128" s="2">
        <v>52</v>
      </c>
      <c r="B128" s="2">
        <f t="shared" ref="B128:G128" si="112">B157</f>
        <v>1</v>
      </c>
      <c r="C128" s="2">
        <f t="shared" si="112"/>
        <v>4</v>
      </c>
      <c r="D128" s="2">
        <f t="shared" si="112"/>
        <v>126</v>
      </c>
      <c r="E128" s="2">
        <f t="shared" si="112"/>
        <v>0</v>
      </c>
      <c r="F128" s="2" t="str">
        <f t="shared" si="112"/>
        <v>Новый раздел</v>
      </c>
      <c r="G128" s="2" t="str">
        <f t="shared" si="112"/>
        <v>Щиты освещения.</v>
      </c>
      <c r="H128" s="2"/>
      <c r="I128" s="2"/>
      <c r="J128" s="2"/>
      <c r="K128" s="2"/>
      <c r="L128" s="2"/>
      <c r="M128" s="2"/>
      <c r="N128" s="2"/>
      <c r="O128" s="2">
        <f t="shared" ref="O128:AT128" si="113">O157</f>
        <v>52937.48</v>
      </c>
      <c r="P128" s="2">
        <f t="shared" si="113"/>
        <v>40815.129999999997</v>
      </c>
      <c r="Q128" s="2">
        <f t="shared" si="113"/>
        <v>1626.81</v>
      </c>
      <c r="R128" s="2">
        <f t="shared" si="113"/>
        <v>641.12</v>
      </c>
      <c r="S128" s="2">
        <f t="shared" si="113"/>
        <v>10495.54</v>
      </c>
      <c r="T128" s="2">
        <f t="shared" si="113"/>
        <v>0</v>
      </c>
      <c r="U128" s="2">
        <f t="shared" si="113"/>
        <v>34.801000000000002</v>
      </c>
      <c r="V128" s="2">
        <f t="shared" si="113"/>
        <v>0</v>
      </c>
      <c r="W128" s="2">
        <f t="shared" si="113"/>
        <v>0</v>
      </c>
      <c r="X128" s="2">
        <f t="shared" si="113"/>
        <v>9445.99</v>
      </c>
      <c r="Y128" s="2">
        <f t="shared" si="113"/>
        <v>4513.08</v>
      </c>
      <c r="Z128" s="2">
        <f t="shared" si="113"/>
        <v>0</v>
      </c>
      <c r="AA128" s="2">
        <f t="shared" si="113"/>
        <v>0</v>
      </c>
      <c r="AB128" s="2">
        <f t="shared" si="113"/>
        <v>52937.48</v>
      </c>
      <c r="AC128" s="2">
        <f t="shared" si="113"/>
        <v>40815.129999999997</v>
      </c>
      <c r="AD128" s="2">
        <f t="shared" si="113"/>
        <v>1626.81</v>
      </c>
      <c r="AE128" s="2">
        <f t="shared" si="113"/>
        <v>641.12</v>
      </c>
      <c r="AF128" s="2">
        <f t="shared" si="113"/>
        <v>10495.54</v>
      </c>
      <c r="AG128" s="2">
        <f t="shared" si="113"/>
        <v>0</v>
      </c>
      <c r="AH128" s="2">
        <f t="shared" si="113"/>
        <v>34.801000000000002</v>
      </c>
      <c r="AI128" s="2">
        <f t="shared" si="113"/>
        <v>0</v>
      </c>
      <c r="AJ128" s="2">
        <f t="shared" si="113"/>
        <v>0</v>
      </c>
      <c r="AK128" s="2">
        <f t="shared" si="113"/>
        <v>9445.99</v>
      </c>
      <c r="AL128" s="2">
        <f t="shared" si="113"/>
        <v>4513.08</v>
      </c>
      <c r="AM128" s="2">
        <f t="shared" si="113"/>
        <v>0</v>
      </c>
      <c r="AN128" s="2">
        <f t="shared" si="113"/>
        <v>0</v>
      </c>
      <c r="AO128" s="2">
        <f t="shared" si="113"/>
        <v>0</v>
      </c>
      <c r="AP128" s="2">
        <f t="shared" si="113"/>
        <v>0</v>
      </c>
      <c r="AQ128" s="2">
        <f t="shared" si="113"/>
        <v>0</v>
      </c>
      <c r="AR128" s="2">
        <f t="shared" si="113"/>
        <v>67903.12</v>
      </c>
      <c r="AS128" s="2">
        <f t="shared" si="113"/>
        <v>0</v>
      </c>
      <c r="AT128" s="2">
        <f t="shared" si="113"/>
        <v>67903.12</v>
      </c>
      <c r="AU128" s="2">
        <f t="shared" ref="AU128:BZ128" si="114">AU157</f>
        <v>0</v>
      </c>
      <c r="AV128" s="2">
        <f t="shared" si="114"/>
        <v>40815.129999999997</v>
      </c>
      <c r="AW128" s="2">
        <f t="shared" si="114"/>
        <v>40815.129999999997</v>
      </c>
      <c r="AX128" s="2">
        <f t="shared" si="114"/>
        <v>0</v>
      </c>
      <c r="AY128" s="2">
        <f t="shared" si="114"/>
        <v>40815.129999999997</v>
      </c>
      <c r="AZ128" s="2">
        <f t="shared" si="114"/>
        <v>0</v>
      </c>
      <c r="BA128" s="2">
        <f t="shared" si="114"/>
        <v>0</v>
      </c>
      <c r="BB128" s="2">
        <f t="shared" si="114"/>
        <v>0</v>
      </c>
      <c r="BC128" s="2">
        <f t="shared" si="114"/>
        <v>0</v>
      </c>
      <c r="BD128" s="2">
        <f t="shared" si="114"/>
        <v>0</v>
      </c>
      <c r="BE128" s="2">
        <f t="shared" si="114"/>
        <v>0</v>
      </c>
      <c r="BF128" s="2">
        <f t="shared" si="114"/>
        <v>0</v>
      </c>
      <c r="BG128" s="2">
        <f t="shared" si="114"/>
        <v>0</v>
      </c>
      <c r="BH128" s="2">
        <f t="shared" si="114"/>
        <v>0</v>
      </c>
      <c r="BI128" s="2">
        <f t="shared" si="114"/>
        <v>0</v>
      </c>
      <c r="BJ128" s="2">
        <f t="shared" si="114"/>
        <v>0</v>
      </c>
      <c r="BK128" s="2">
        <f t="shared" si="114"/>
        <v>0</v>
      </c>
      <c r="BL128" s="2">
        <f t="shared" si="114"/>
        <v>0</v>
      </c>
      <c r="BM128" s="2">
        <f t="shared" si="114"/>
        <v>0</v>
      </c>
      <c r="BN128" s="2">
        <f t="shared" si="114"/>
        <v>0</v>
      </c>
      <c r="BO128" s="2">
        <f t="shared" si="114"/>
        <v>0</v>
      </c>
      <c r="BP128" s="2">
        <f t="shared" si="114"/>
        <v>0</v>
      </c>
      <c r="BQ128" s="2">
        <f t="shared" si="114"/>
        <v>0</v>
      </c>
      <c r="BR128" s="2">
        <f t="shared" si="114"/>
        <v>0</v>
      </c>
      <c r="BS128" s="2">
        <f t="shared" si="114"/>
        <v>0</v>
      </c>
      <c r="BT128" s="2">
        <f t="shared" si="114"/>
        <v>0</v>
      </c>
      <c r="BU128" s="2">
        <f t="shared" si="114"/>
        <v>0</v>
      </c>
      <c r="BV128" s="2">
        <f t="shared" si="114"/>
        <v>0</v>
      </c>
      <c r="BW128" s="2">
        <f t="shared" si="114"/>
        <v>0</v>
      </c>
      <c r="BX128" s="2">
        <f t="shared" si="114"/>
        <v>0</v>
      </c>
      <c r="BY128" s="2">
        <f t="shared" si="114"/>
        <v>0</v>
      </c>
      <c r="BZ128" s="2">
        <f t="shared" si="114"/>
        <v>0</v>
      </c>
      <c r="CA128" s="2">
        <f t="shared" ref="CA128:DF128" si="115">CA157</f>
        <v>67903.12</v>
      </c>
      <c r="CB128" s="2">
        <f t="shared" si="115"/>
        <v>0</v>
      </c>
      <c r="CC128" s="2">
        <f t="shared" si="115"/>
        <v>67903.12</v>
      </c>
      <c r="CD128" s="2">
        <f t="shared" si="115"/>
        <v>0</v>
      </c>
      <c r="CE128" s="2">
        <f t="shared" si="115"/>
        <v>40815.129999999997</v>
      </c>
      <c r="CF128" s="2">
        <f t="shared" si="115"/>
        <v>40815.129999999997</v>
      </c>
      <c r="CG128" s="2">
        <f t="shared" si="115"/>
        <v>0</v>
      </c>
      <c r="CH128" s="2">
        <f t="shared" si="115"/>
        <v>40815.129999999997</v>
      </c>
      <c r="CI128" s="2">
        <f t="shared" si="115"/>
        <v>0</v>
      </c>
      <c r="CJ128" s="2">
        <f t="shared" si="115"/>
        <v>0</v>
      </c>
      <c r="CK128" s="2">
        <f t="shared" si="115"/>
        <v>0</v>
      </c>
      <c r="CL128" s="2">
        <f t="shared" si="115"/>
        <v>0</v>
      </c>
      <c r="CM128" s="2">
        <f t="shared" si="115"/>
        <v>0</v>
      </c>
      <c r="CN128" s="2">
        <f t="shared" si="115"/>
        <v>0</v>
      </c>
      <c r="CO128" s="2">
        <f t="shared" si="115"/>
        <v>0</v>
      </c>
      <c r="CP128" s="2">
        <f t="shared" si="115"/>
        <v>0</v>
      </c>
      <c r="CQ128" s="2">
        <f t="shared" si="115"/>
        <v>0</v>
      </c>
      <c r="CR128" s="2">
        <f t="shared" si="115"/>
        <v>0</v>
      </c>
      <c r="CS128" s="2">
        <f t="shared" si="115"/>
        <v>0</v>
      </c>
      <c r="CT128" s="2">
        <f t="shared" si="115"/>
        <v>0</v>
      </c>
      <c r="CU128" s="2">
        <f t="shared" si="115"/>
        <v>0</v>
      </c>
      <c r="CV128" s="2">
        <f t="shared" si="115"/>
        <v>0</v>
      </c>
      <c r="CW128" s="2">
        <f t="shared" si="115"/>
        <v>0</v>
      </c>
      <c r="CX128" s="2">
        <f t="shared" si="115"/>
        <v>0</v>
      </c>
      <c r="CY128" s="2">
        <f t="shared" si="115"/>
        <v>0</v>
      </c>
      <c r="CZ128" s="2">
        <f t="shared" si="115"/>
        <v>0</v>
      </c>
      <c r="DA128" s="2">
        <f t="shared" si="115"/>
        <v>0</v>
      </c>
      <c r="DB128" s="2">
        <f t="shared" si="115"/>
        <v>0</v>
      </c>
      <c r="DC128" s="2">
        <f t="shared" si="115"/>
        <v>0</v>
      </c>
      <c r="DD128" s="2">
        <f t="shared" si="115"/>
        <v>0</v>
      </c>
      <c r="DE128" s="2">
        <f t="shared" si="115"/>
        <v>0</v>
      </c>
      <c r="DF128" s="2">
        <f t="shared" si="115"/>
        <v>0</v>
      </c>
      <c r="DG128" s="3">
        <f t="shared" ref="DG128:EL128" si="116">DG157</f>
        <v>0</v>
      </c>
      <c r="DH128" s="3">
        <f t="shared" si="116"/>
        <v>0</v>
      </c>
      <c r="DI128" s="3">
        <f t="shared" si="116"/>
        <v>0</v>
      </c>
      <c r="DJ128" s="3">
        <f t="shared" si="116"/>
        <v>0</v>
      </c>
      <c r="DK128" s="3">
        <f t="shared" si="116"/>
        <v>0</v>
      </c>
      <c r="DL128" s="3">
        <f t="shared" si="116"/>
        <v>0</v>
      </c>
      <c r="DM128" s="3">
        <f t="shared" si="116"/>
        <v>0</v>
      </c>
      <c r="DN128" s="3">
        <f t="shared" si="116"/>
        <v>0</v>
      </c>
      <c r="DO128" s="3">
        <f t="shared" si="116"/>
        <v>0</v>
      </c>
      <c r="DP128" s="3">
        <f t="shared" si="116"/>
        <v>0</v>
      </c>
      <c r="DQ128" s="3">
        <f t="shared" si="116"/>
        <v>0</v>
      </c>
      <c r="DR128" s="3">
        <f t="shared" si="116"/>
        <v>0</v>
      </c>
      <c r="DS128" s="3">
        <f t="shared" si="116"/>
        <v>0</v>
      </c>
      <c r="DT128" s="3">
        <f t="shared" si="116"/>
        <v>0</v>
      </c>
      <c r="DU128" s="3">
        <f t="shared" si="116"/>
        <v>0</v>
      </c>
      <c r="DV128" s="3">
        <f t="shared" si="116"/>
        <v>0</v>
      </c>
      <c r="DW128" s="3">
        <f t="shared" si="116"/>
        <v>0</v>
      </c>
      <c r="DX128" s="3">
        <f t="shared" si="116"/>
        <v>0</v>
      </c>
      <c r="DY128" s="3">
        <f t="shared" si="116"/>
        <v>0</v>
      </c>
      <c r="DZ128" s="3">
        <f t="shared" si="116"/>
        <v>0</v>
      </c>
      <c r="EA128" s="3">
        <f t="shared" si="116"/>
        <v>0</v>
      </c>
      <c r="EB128" s="3">
        <f t="shared" si="116"/>
        <v>0</v>
      </c>
      <c r="EC128" s="3">
        <f t="shared" si="116"/>
        <v>0</v>
      </c>
      <c r="ED128" s="3">
        <f t="shared" si="116"/>
        <v>0</v>
      </c>
      <c r="EE128" s="3">
        <f t="shared" si="116"/>
        <v>0</v>
      </c>
      <c r="EF128" s="3">
        <f t="shared" si="116"/>
        <v>0</v>
      </c>
      <c r="EG128" s="3">
        <f t="shared" si="116"/>
        <v>0</v>
      </c>
      <c r="EH128" s="3">
        <f t="shared" si="116"/>
        <v>0</v>
      </c>
      <c r="EI128" s="3">
        <f t="shared" si="116"/>
        <v>0</v>
      </c>
      <c r="EJ128" s="3">
        <f t="shared" si="116"/>
        <v>0</v>
      </c>
      <c r="EK128" s="3">
        <f t="shared" si="116"/>
        <v>0</v>
      </c>
      <c r="EL128" s="3">
        <f t="shared" si="116"/>
        <v>0</v>
      </c>
      <c r="EM128" s="3">
        <f t="shared" ref="EM128:FR128" si="117">EM157</f>
        <v>0</v>
      </c>
      <c r="EN128" s="3">
        <f t="shared" si="117"/>
        <v>0</v>
      </c>
      <c r="EO128" s="3">
        <f t="shared" si="117"/>
        <v>0</v>
      </c>
      <c r="EP128" s="3">
        <f t="shared" si="117"/>
        <v>0</v>
      </c>
      <c r="EQ128" s="3">
        <f t="shared" si="117"/>
        <v>0</v>
      </c>
      <c r="ER128" s="3">
        <f t="shared" si="117"/>
        <v>0</v>
      </c>
      <c r="ES128" s="3">
        <f t="shared" si="117"/>
        <v>0</v>
      </c>
      <c r="ET128" s="3">
        <f t="shared" si="117"/>
        <v>0</v>
      </c>
      <c r="EU128" s="3">
        <f t="shared" si="117"/>
        <v>0</v>
      </c>
      <c r="EV128" s="3">
        <f t="shared" si="117"/>
        <v>0</v>
      </c>
      <c r="EW128" s="3">
        <f t="shared" si="117"/>
        <v>0</v>
      </c>
      <c r="EX128" s="3">
        <f t="shared" si="117"/>
        <v>0</v>
      </c>
      <c r="EY128" s="3">
        <f t="shared" si="117"/>
        <v>0</v>
      </c>
      <c r="EZ128" s="3">
        <f t="shared" si="117"/>
        <v>0</v>
      </c>
      <c r="FA128" s="3">
        <f t="shared" si="117"/>
        <v>0</v>
      </c>
      <c r="FB128" s="3">
        <f t="shared" si="117"/>
        <v>0</v>
      </c>
      <c r="FC128" s="3">
        <f t="shared" si="117"/>
        <v>0</v>
      </c>
      <c r="FD128" s="3">
        <f t="shared" si="117"/>
        <v>0</v>
      </c>
      <c r="FE128" s="3">
        <f t="shared" si="117"/>
        <v>0</v>
      </c>
      <c r="FF128" s="3">
        <f t="shared" si="117"/>
        <v>0</v>
      </c>
      <c r="FG128" s="3">
        <f t="shared" si="117"/>
        <v>0</v>
      </c>
      <c r="FH128" s="3">
        <f t="shared" si="117"/>
        <v>0</v>
      </c>
      <c r="FI128" s="3">
        <f t="shared" si="117"/>
        <v>0</v>
      </c>
      <c r="FJ128" s="3">
        <f t="shared" si="117"/>
        <v>0</v>
      </c>
      <c r="FK128" s="3">
        <f t="shared" si="117"/>
        <v>0</v>
      </c>
      <c r="FL128" s="3">
        <f t="shared" si="117"/>
        <v>0</v>
      </c>
      <c r="FM128" s="3">
        <f t="shared" si="117"/>
        <v>0</v>
      </c>
      <c r="FN128" s="3">
        <f t="shared" si="117"/>
        <v>0</v>
      </c>
      <c r="FO128" s="3">
        <f t="shared" si="117"/>
        <v>0</v>
      </c>
      <c r="FP128" s="3">
        <f t="shared" si="117"/>
        <v>0</v>
      </c>
      <c r="FQ128" s="3">
        <f t="shared" si="117"/>
        <v>0</v>
      </c>
      <c r="FR128" s="3">
        <f t="shared" si="117"/>
        <v>0</v>
      </c>
      <c r="FS128" s="3">
        <f t="shared" ref="FS128:GX128" si="118">FS157</f>
        <v>0</v>
      </c>
      <c r="FT128" s="3">
        <f t="shared" si="118"/>
        <v>0</v>
      </c>
      <c r="FU128" s="3">
        <f t="shared" si="118"/>
        <v>0</v>
      </c>
      <c r="FV128" s="3">
        <f t="shared" si="118"/>
        <v>0</v>
      </c>
      <c r="FW128" s="3">
        <f t="shared" si="118"/>
        <v>0</v>
      </c>
      <c r="FX128" s="3">
        <f t="shared" si="118"/>
        <v>0</v>
      </c>
      <c r="FY128" s="3">
        <f t="shared" si="118"/>
        <v>0</v>
      </c>
      <c r="FZ128" s="3">
        <f t="shared" si="118"/>
        <v>0</v>
      </c>
      <c r="GA128" s="3">
        <f t="shared" si="118"/>
        <v>0</v>
      </c>
      <c r="GB128" s="3">
        <f t="shared" si="118"/>
        <v>0</v>
      </c>
      <c r="GC128" s="3">
        <f t="shared" si="118"/>
        <v>0</v>
      </c>
      <c r="GD128" s="3">
        <f t="shared" si="118"/>
        <v>0</v>
      </c>
      <c r="GE128" s="3">
        <f t="shared" si="118"/>
        <v>0</v>
      </c>
      <c r="GF128" s="3">
        <f t="shared" si="118"/>
        <v>0</v>
      </c>
      <c r="GG128" s="3">
        <f t="shared" si="118"/>
        <v>0</v>
      </c>
      <c r="GH128" s="3">
        <f t="shared" si="118"/>
        <v>0</v>
      </c>
      <c r="GI128" s="3">
        <f t="shared" si="118"/>
        <v>0</v>
      </c>
      <c r="GJ128" s="3">
        <f t="shared" si="118"/>
        <v>0</v>
      </c>
      <c r="GK128" s="3">
        <f t="shared" si="118"/>
        <v>0</v>
      </c>
      <c r="GL128" s="3">
        <f t="shared" si="118"/>
        <v>0</v>
      </c>
      <c r="GM128" s="3">
        <f t="shared" si="118"/>
        <v>0</v>
      </c>
      <c r="GN128" s="3">
        <f t="shared" si="118"/>
        <v>0</v>
      </c>
      <c r="GO128" s="3">
        <f t="shared" si="118"/>
        <v>0</v>
      </c>
      <c r="GP128" s="3">
        <f t="shared" si="118"/>
        <v>0</v>
      </c>
      <c r="GQ128" s="3">
        <f t="shared" si="118"/>
        <v>0</v>
      </c>
      <c r="GR128" s="3">
        <f t="shared" si="118"/>
        <v>0</v>
      </c>
      <c r="GS128" s="3">
        <f t="shared" si="118"/>
        <v>0</v>
      </c>
      <c r="GT128" s="3">
        <f t="shared" si="118"/>
        <v>0</v>
      </c>
      <c r="GU128" s="3">
        <f t="shared" si="118"/>
        <v>0</v>
      </c>
      <c r="GV128" s="3">
        <f t="shared" si="118"/>
        <v>0</v>
      </c>
      <c r="GW128" s="3">
        <f t="shared" si="118"/>
        <v>0</v>
      </c>
      <c r="GX128" s="3">
        <f t="shared" si="118"/>
        <v>0</v>
      </c>
    </row>
    <row r="130" spans="1:245" x14ac:dyDescent="0.2">
      <c r="A130">
        <v>17</v>
      </c>
      <c r="B130">
        <v>1</v>
      </c>
      <c r="C130">
        <f>ROW(SmtRes!A47)</f>
        <v>47</v>
      </c>
      <c r="D130">
        <f>ROW(EtalonRes!A36)</f>
        <v>36</v>
      </c>
      <c r="E130" t="s">
        <v>241</v>
      </c>
      <c r="F130" t="s">
        <v>242</v>
      </c>
      <c r="G130" t="s">
        <v>243</v>
      </c>
      <c r="H130" t="s">
        <v>191</v>
      </c>
      <c r="I130">
        <v>1</v>
      </c>
      <c r="J130">
        <v>0</v>
      </c>
      <c r="O130">
        <f t="shared" ref="O130:O155" si="119">ROUND(CP130,2)</f>
        <v>1211.44</v>
      </c>
      <c r="P130">
        <f t="shared" ref="P130:P155" si="120">ROUND((ROUND((AC130*AW130*I130),2)*BC130),2)</f>
        <v>50.25</v>
      </c>
      <c r="Q130">
        <f>(ROUND((ROUND(((ET130)*AV130*I130),2)*BB130),2)+ROUND((ROUND(((AE130-(EU130))*AV130*I130),2)*BS130),2))</f>
        <v>520.08000000000004</v>
      </c>
      <c r="R130">
        <f t="shared" ref="R130:R155" si="121">ROUND((ROUND((AE130*AV130*I130),2)*BS130),2)</f>
        <v>237.01</v>
      </c>
      <c r="S130">
        <f t="shared" ref="S130:S155" si="122">ROUND((ROUND((AF130*AV130*I130),2)*BA130),2)</f>
        <v>641.11</v>
      </c>
      <c r="T130">
        <f t="shared" ref="T130:T155" si="123">ROUND(CU130*I130,2)</f>
        <v>0</v>
      </c>
      <c r="U130">
        <f t="shared" ref="U130:U155" si="124">CV130*I130</f>
        <v>2.06</v>
      </c>
      <c r="V130">
        <f t="shared" ref="V130:V155" si="125">CW130*I130</f>
        <v>0</v>
      </c>
      <c r="W130">
        <f t="shared" ref="W130:W155" si="126">ROUND(CX130*I130,2)</f>
        <v>0</v>
      </c>
      <c r="X130">
        <f t="shared" ref="X130:X155" si="127">ROUND(CY130,2)</f>
        <v>577</v>
      </c>
      <c r="Y130">
        <f t="shared" ref="Y130:Y155" si="128">ROUND(CZ130,2)</f>
        <v>275.68</v>
      </c>
      <c r="AA130">
        <v>44002026</v>
      </c>
      <c r="AB130">
        <f t="shared" ref="AB130:AB155" si="129">ROUND((AC130+AD130+AF130),2)</f>
        <v>99.53</v>
      </c>
      <c r="AC130">
        <f t="shared" ref="AC130:AC155" si="130">ROUND((ES130),2)</f>
        <v>9.17</v>
      </c>
      <c r="AD130">
        <f>ROUND((((ET130)-(EU130))+AE130),2)</f>
        <v>63.58</v>
      </c>
      <c r="AE130">
        <f t="shared" ref="AE130:AF132" si="131">ROUND((EU130),2)</f>
        <v>9.9</v>
      </c>
      <c r="AF130">
        <f t="shared" si="131"/>
        <v>26.78</v>
      </c>
      <c r="AG130">
        <f t="shared" ref="AG130:AG155" si="132">ROUND((AP130),2)</f>
        <v>0</v>
      </c>
      <c r="AH130">
        <f t="shared" ref="AH130:AI132" si="133">(EW130)</f>
        <v>2.06</v>
      </c>
      <c r="AI130">
        <f t="shared" si="133"/>
        <v>0</v>
      </c>
      <c r="AJ130">
        <f t="shared" ref="AJ130:AJ155" si="134">(AS130)</f>
        <v>0</v>
      </c>
      <c r="AK130">
        <v>99.53</v>
      </c>
      <c r="AL130">
        <v>9.17</v>
      </c>
      <c r="AM130">
        <v>63.58</v>
      </c>
      <c r="AN130">
        <v>9.9</v>
      </c>
      <c r="AO130">
        <v>26.78</v>
      </c>
      <c r="AP130">
        <v>0</v>
      </c>
      <c r="AQ130">
        <v>2.06</v>
      </c>
      <c r="AR130">
        <v>0</v>
      </c>
      <c r="AS130">
        <v>0</v>
      </c>
      <c r="AT130">
        <v>90</v>
      </c>
      <c r="AU130">
        <v>43</v>
      </c>
      <c r="AV130">
        <v>1</v>
      </c>
      <c r="AW130">
        <v>1</v>
      </c>
      <c r="AZ130">
        <v>1</v>
      </c>
      <c r="BA130">
        <v>23.94</v>
      </c>
      <c r="BB130">
        <v>8.18</v>
      </c>
      <c r="BC130">
        <v>5.48</v>
      </c>
      <c r="BD130" t="s">
        <v>3</v>
      </c>
      <c r="BE130" t="s">
        <v>3</v>
      </c>
      <c r="BF130" t="s">
        <v>3</v>
      </c>
      <c r="BG130" t="s">
        <v>3</v>
      </c>
      <c r="BH130">
        <v>0</v>
      </c>
      <c r="BI130">
        <v>2</v>
      </c>
      <c r="BJ130" t="s">
        <v>244</v>
      </c>
      <c r="BM130">
        <v>333</v>
      </c>
      <c r="BN130">
        <v>0</v>
      </c>
      <c r="BO130" t="s">
        <v>242</v>
      </c>
      <c r="BP130">
        <v>1</v>
      </c>
      <c r="BQ130">
        <v>40</v>
      </c>
      <c r="BR130">
        <v>0</v>
      </c>
      <c r="BS130">
        <v>23.94</v>
      </c>
      <c r="BT130">
        <v>1</v>
      </c>
      <c r="BU130">
        <v>1</v>
      </c>
      <c r="BV130">
        <v>1</v>
      </c>
      <c r="BW130">
        <v>1</v>
      </c>
      <c r="BX130">
        <v>1</v>
      </c>
      <c r="BY130" t="s">
        <v>3</v>
      </c>
      <c r="BZ130">
        <v>90</v>
      </c>
      <c r="CA130">
        <v>43</v>
      </c>
      <c r="CE130">
        <v>30</v>
      </c>
      <c r="CF130">
        <v>0</v>
      </c>
      <c r="CG130">
        <v>0</v>
      </c>
      <c r="CM130">
        <v>0</v>
      </c>
      <c r="CN130" t="s">
        <v>3</v>
      </c>
      <c r="CO130">
        <v>0</v>
      </c>
      <c r="CP130">
        <f t="shared" ref="CP130:CP155" si="135">(P130+Q130+S130)</f>
        <v>1211.44</v>
      </c>
      <c r="CQ130">
        <f t="shared" ref="CQ130:CQ155" si="136">ROUND((ROUND((AC130*AW130*1),2)*BC130),2)</f>
        <v>50.25</v>
      </c>
      <c r="CR130">
        <f>(ROUND((ROUND(((ET130)*AV130*1),2)*BB130),2)+ROUND((ROUND(((AE130-(EU130))*AV130*1),2)*BS130),2))</f>
        <v>520.08000000000004</v>
      </c>
      <c r="CS130">
        <f t="shared" ref="CS130:CS155" si="137">ROUND((ROUND((AE130*AV130*1),2)*BS130),2)</f>
        <v>237.01</v>
      </c>
      <c r="CT130">
        <f t="shared" ref="CT130:CT155" si="138">ROUND((ROUND((AF130*AV130*1),2)*BA130),2)</f>
        <v>641.11</v>
      </c>
      <c r="CU130">
        <f t="shared" ref="CU130:CU155" si="139">AG130</f>
        <v>0</v>
      </c>
      <c r="CV130">
        <f t="shared" ref="CV130:CV155" si="140">(AH130*AV130)</f>
        <v>2.06</v>
      </c>
      <c r="CW130">
        <f t="shared" ref="CW130:CW155" si="141">AI130</f>
        <v>0</v>
      </c>
      <c r="CX130">
        <f t="shared" ref="CX130:CX155" si="142">AJ130</f>
        <v>0</v>
      </c>
      <c r="CY130">
        <f t="shared" ref="CY130:CY155" si="143">S130*(BZ130/100)</f>
        <v>576.99900000000002</v>
      </c>
      <c r="CZ130">
        <f t="shared" ref="CZ130:CZ155" si="144">S130*(CA130/100)</f>
        <v>275.6773</v>
      </c>
      <c r="DC130" t="s">
        <v>3</v>
      </c>
      <c r="DD130" t="s">
        <v>3</v>
      </c>
      <c r="DE130" t="s">
        <v>3</v>
      </c>
      <c r="DF130" t="s">
        <v>3</v>
      </c>
      <c r="DG130" t="s">
        <v>3</v>
      </c>
      <c r="DH130" t="s">
        <v>3</v>
      </c>
      <c r="DI130" t="s">
        <v>3</v>
      </c>
      <c r="DJ130" t="s">
        <v>3</v>
      </c>
      <c r="DK130" t="s">
        <v>3</v>
      </c>
      <c r="DL130" t="s">
        <v>3</v>
      </c>
      <c r="DM130" t="s">
        <v>3</v>
      </c>
      <c r="DN130">
        <v>112</v>
      </c>
      <c r="DO130">
        <v>70</v>
      </c>
      <c r="DP130">
        <v>1</v>
      </c>
      <c r="DQ130">
        <v>1</v>
      </c>
      <c r="DU130">
        <v>1013</v>
      </c>
      <c r="DV130" t="s">
        <v>191</v>
      </c>
      <c r="DW130" t="s">
        <v>191</v>
      </c>
      <c r="DX130">
        <v>1</v>
      </c>
      <c r="EE130">
        <v>43770624</v>
      </c>
      <c r="EF130">
        <v>40</v>
      </c>
      <c r="EG130" t="s">
        <v>42</v>
      </c>
      <c r="EH130">
        <v>0</v>
      </c>
      <c r="EI130" t="s">
        <v>3</v>
      </c>
      <c r="EJ130">
        <v>2</v>
      </c>
      <c r="EK130">
        <v>333</v>
      </c>
      <c r="EL130" t="s">
        <v>211</v>
      </c>
      <c r="EM130" t="s">
        <v>212</v>
      </c>
      <c r="EO130" t="s">
        <v>3</v>
      </c>
      <c r="EQ130">
        <v>131072</v>
      </c>
      <c r="ER130">
        <v>99.53</v>
      </c>
      <c r="ES130">
        <v>9.17</v>
      </c>
      <c r="ET130">
        <v>63.58</v>
      </c>
      <c r="EU130">
        <v>9.9</v>
      </c>
      <c r="EV130">
        <v>26.78</v>
      </c>
      <c r="EW130">
        <v>2.06</v>
      </c>
      <c r="EX130">
        <v>0</v>
      </c>
      <c r="EY130">
        <v>0</v>
      </c>
      <c r="FQ130">
        <v>0</v>
      </c>
      <c r="FR130">
        <f t="shared" ref="FR130:FR155" si="145">ROUND(IF(AND(BH130=3,BI130=3),P130,0),2)</f>
        <v>0</v>
      </c>
      <c r="FS130">
        <v>0</v>
      </c>
      <c r="FX130">
        <v>112</v>
      </c>
      <c r="FY130">
        <v>70</v>
      </c>
      <c r="GA130" t="s">
        <v>3</v>
      </c>
      <c r="GD130">
        <v>0</v>
      </c>
      <c r="GF130">
        <v>259156785</v>
      </c>
      <c r="GG130">
        <v>2</v>
      </c>
      <c r="GH130">
        <v>1</v>
      </c>
      <c r="GI130">
        <v>2</v>
      </c>
      <c r="GJ130">
        <v>0</v>
      </c>
      <c r="GK130">
        <f>ROUND(R130*(R12)/100,2)</f>
        <v>372.11</v>
      </c>
      <c r="GL130">
        <f t="shared" ref="GL130:GL155" si="146">ROUND(IF(AND(BH130=3,BI130=3,FS130&lt;&gt;0),P130,0),2)</f>
        <v>0</v>
      </c>
      <c r="GM130">
        <f t="shared" ref="GM130:GM155" si="147">ROUND(O130+X130+Y130+GK130,2)+GX130</f>
        <v>2436.23</v>
      </c>
      <c r="GN130">
        <f t="shared" ref="GN130:GN155" si="148">IF(OR(BI130=0,BI130=1),ROUND(O130+X130+Y130+GK130,2),0)</f>
        <v>0</v>
      </c>
      <c r="GO130">
        <f t="shared" ref="GO130:GO155" si="149">IF(BI130=2,ROUND(O130+X130+Y130+GK130,2),0)</f>
        <v>2436.23</v>
      </c>
      <c r="GP130">
        <f t="shared" ref="GP130:GP155" si="150">IF(BI130=4,ROUND(O130+X130+Y130+GK130,2)+GX130,0)</f>
        <v>0</v>
      </c>
      <c r="GR130">
        <v>0</v>
      </c>
      <c r="GS130">
        <v>3</v>
      </c>
      <c r="GT130">
        <v>0</v>
      </c>
      <c r="GU130" t="s">
        <v>3</v>
      </c>
      <c r="GV130">
        <f t="shared" ref="GV130:GV155" si="151">ROUND((GT130),2)</f>
        <v>0</v>
      </c>
      <c r="GW130">
        <v>1</v>
      </c>
      <c r="GX130">
        <f t="shared" ref="GX130:GX155" si="152">ROUND(HC130*I130,2)</f>
        <v>0</v>
      </c>
      <c r="HA130">
        <v>0</v>
      </c>
      <c r="HB130">
        <v>0</v>
      </c>
      <c r="HC130">
        <f t="shared" ref="HC130:HC155" si="153">GV130*GW130</f>
        <v>0</v>
      </c>
      <c r="IK130">
        <v>0</v>
      </c>
    </row>
    <row r="131" spans="1:245" x14ac:dyDescent="0.2">
      <c r="A131">
        <v>18</v>
      </c>
      <c r="B131">
        <v>1</v>
      </c>
      <c r="C131">
        <v>47</v>
      </c>
      <c r="E131" t="s">
        <v>245</v>
      </c>
      <c r="F131" t="s">
        <v>246</v>
      </c>
      <c r="G131" t="s">
        <v>247</v>
      </c>
      <c r="H131" t="s">
        <v>248</v>
      </c>
      <c r="I131">
        <f>I130*J131</f>
        <v>1</v>
      </c>
      <c r="J131">
        <v>1</v>
      </c>
      <c r="O131">
        <f t="shared" si="119"/>
        <v>1140.5</v>
      </c>
      <c r="P131">
        <f t="shared" si="120"/>
        <v>1140.5</v>
      </c>
      <c r="Q131">
        <f>(ROUND((ROUND(((ET131)*AV131*I131),2)*BB131),2)+ROUND((ROUND(((AE131-(EU131))*AV131*I131),2)*BS131),2))</f>
        <v>0</v>
      </c>
      <c r="R131">
        <f t="shared" si="121"/>
        <v>0</v>
      </c>
      <c r="S131">
        <f t="shared" si="122"/>
        <v>0</v>
      </c>
      <c r="T131">
        <f t="shared" si="123"/>
        <v>0</v>
      </c>
      <c r="U131">
        <f t="shared" si="124"/>
        <v>0</v>
      </c>
      <c r="V131">
        <f t="shared" si="125"/>
        <v>0</v>
      </c>
      <c r="W131">
        <f t="shared" si="126"/>
        <v>0</v>
      </c>
      <c r="X131">
        <f t="shared" si="127"/>
        <v>0</v>
      </c>
      <c r="Y131">
        <f t="shared" si="128"/>
        <v>0</v>
      </c>
      <c r="AA131">
        <v>44002026</v>
      </c>
      <c r="AB131">
        <f t="shared" si="129"/>
        <v>273.5</v>
      </c>
      <c r="AC131">
        <f t="shared" si="130"/>
        <v>273.5</v>
      </c>
      <c r="AD131">
        <f>ROUND((((ET131)-(EU131))+AE131),2)</f>
        <v>0</v>
      </c>
      <c r="AE131">
        <f t="shared" si="131"/>
        <v>0</v>
      </c>
      <c r="AF131">
        <f t="shared" si="131"/>
        <v>0</v>
      </c>
      <c r="AG131">
        <f t="shared" si="132"/>
        <v>0</v>
      </c>
      <c r="AH131">
        <f t="shared" si="133"/>
        <v>0</v>
      </c>
      <c r="AI131">
        <f t="shared" si="133"/>
        <v>0</v>
      </c>
      <c r="AJ131">
        <f t="shared" si="134"/>
        <v>0</v>
      </c>
      <c r="AK131">
        <v>273.5</v>
      </c>
      <c r="AL131">
        <v>273.5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</v>
      </c>
      <c r="AZ131">
        <v>1</v>
      </c>
      <c r="BA131">
        <v>1</v>
      </c>
      <c r="BB131">
        <v>1</v>
      </c>
      <c r="BC131">
        <v>4.17</v>
      </c>
      <c r="BD131" t="s">
        <v>3</v>
      </c>
      <c r="BE131" t="s">
        <v>3</v>
      </c>
      <c r="BF131" t="s">
        <v>3</v>
      </c>
      <c r="BG131" t="s">
        <v>3</v>
      </c>
      <c r="BH131">
        <v>3</v>
      </c>
      <c r="BI131">
        <v>2</v>
      </c>
      <c r="BJ131" t="s">
        <v>249</v>
      </c>
      <c r="BM131">
        <v>333</v>
      </c>
      <c r="BN131">
        <v>0</v>
      </c>
      <c r="BO131" t="s">
        <v>246</v>
      </c>
      <c r="BP131">
        <v>1</v>
      </c>
      <c r="BQ131">
        <v>40</v>
      </c>
      <c r="BR131">
        <v>0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 t="s">
        <v>3</v>
      </c>
      <c r="BZ131">
        <v>0</v>
      </c>
      <c r="CA131">
        <v>0</v>
      </c>
      <c r="CE131">
        <v>30</v>
      </c>
      <c r="CF131">
        <v>0</v>
      </c>
      <c r="CG131">
        <v>0</v>
      </c>
      <c r="CM131">
        <v>0</v>
      </c>
      <c r="CN131" t="s">
        <v>3</v>
      </c>
      <c r="CO131">
        <v>0</v>
      </c>
      <c r="CP131">
        <f t="shared" si="135"/>
        <v>1140.5</v>
      </c>
      <c r="CQ131">
        <f t="shared" si="136"/>
        <v>1140.5</v>
      </c>
      <c r="CR131">
        <f>(ROUND((ROUND(((ET131)*AV131*1),2)*BB131),2)+ROUND((ROUND(((AE131-(EU131))*AV131*1),2)*BS131),2))</f>
        <v>0</v>
      </c>
      <c r="CS131">
        <f t="shared" si="137"/>
        <v>0</v>
      </c>
      <c r="CT131">
        <f t="shared" si="138"/>
        <v>0</v>
      </c>
      <c r="CU131">
        <f t="shared" si="139"/>
        <v>0</v>
      </c>
      <c r="CV131">
        <f t="shared" si="140"/>
        <v>0</v>
      </c>
      <c r="CW131">
        <f t="shared" si="141"/>
        <v>0</v>
      </c>
      <c r="CX131">
        <f t="shared" si="142"/>
        <v>0</v>
      </c>
      <c r="CY131">
        <f t="shared" si="143"/>
        <v>0</v>
      </c>
      <c r="CZ131">
        <f t="shared" si="144"/>
        <v>0</v>
      </c>
      <c r="DC131" t="s">
        <v>3</v>
      </c>
      <c r="DD131" t="s">
        <v>3</v>
      </c>
      <c r="DE131" t="s">
        <v>3</v>
      </c>
      <c r="DF131" t="s">
        <v>3</v>
      </c>
      <c r="DG131" t="s">
        <v>3</v>
      </c>
      <c r="DH131" t="s">
        <v>3</v>
      </c>
      <c r="DI131" t="s">
        <v>3</v>
      </c>
      <c r="DJ131" t="s">
        <v>3</v>
      </c>
      <c r="DK131" t="s">
        <v>3</v>
      </c>
      <c r="DL131" t="s">
        <v>3</v>
      </c>
      <c r="DM131" t="s">
        <v>3</v>
      </c>
      <c r="DN131">
        <v>112</v>
      </c>
      <c r="DO131">
        <v>70</v>
      </c>
      <c r="DP131">
        <v>1</v>
      </c>
      <c r="DQ131">
        <v>1</v>
      </c>
      <c r="DU131">
        <v>1013</v>
      </c>
      <c r="DV131" t="s">
        <v>248</v>
      </c>
      <c r="DW131" t="s">
        <v>248</v>
      </c>
      <c r="DX131">
        <v>1</v>
      </c>
      <c r="EE131">
        <v>43770624</v>
      </c>
      <c r="EF131">
        <v>40</v>
      </c>
      <c r="EG131" t="s">
        <v>42</v>
      </c>
      <c r="EH131">
        <v>0</v>
      </c>
      <c r="EI131" t="s">
        <v>3</v>
      </c>
      <c r="EJ131">
        <v>2</v>
      </c>
      <c r="EK131">
        <v>333</v>
      </c>
      <c r="EL131" t="s">
        <v>211</v>
      </c>
      <c r="EM131" t="s">
        <v>212</v>
      </c>
      <c r="EO131" t="s">
        <v>3</v>
      </c>
      <c r="EQ131">
        <v>0</v>
      </c>
      <c r="ER131">
        <v>273.5</v>
      </c>
      <c r="ES131">
        <v>273.5</v>
      </c>
      <c r="ET131">
        <v>0</v>
      </c>
      <c r="EU131">
        <v>0</v>
      </c>
      <c r="EV131">
        <v>0</v>
      </c>
      <c r="EW131">
        <v>0</v>
      </c>
      <c r="EX131">
        <v>0</v>
      </c>
      <c r="FQ131">
        <v>0</v>
      </c>
      <c r="FR131">
        <f t="shared" si="145"/>
        <v>0</v>
      </c>
      <c r="FS131">
        <v>0</v>
      </c>
      <c r="FX131">
        <v>112</v>
      </c>
      <c r="FY131">
        <v>70</v>
      </c>
      <c r="GA131" t="s">
        <v>3</v>
      </c>
      <c r="GD131">
        <v>0</v>
      </c>
      <c r="GF131">
        <v>1380418014</v>
      </c>
      <c r="GG131">
        <v>2</v>
      </c>
      <c r="GH131">
        <v>1</v>
      </c>
      <c r="GI131">
        <v>2</v>
      </c>
      <c r="GJ131">
        <v>0</v>
      </c>
      <c r="GK131">
        <f>ROUND(R131*(R12)/100,2)</f>
        <v>0</v>
      </c>
      <c r="GL131">
        <f t="shared" si="146"/>
        <v>0</v>
      </c>
      <c r="GM131">
        <f t="shared" si="147"/>
        <v>1140.5</v>
      </c>
      <c r="GN131">
        <f t="shared" si="148"/>
        <v>0</v>
      </c>
      <c r="GO131">
        <f t="shared" si="149"/>
        <v>1140.5</v>
      </c>
      <c r="GP131">
        <f t="shared" si="150"/>
        <v>0</v>
      </c>
      <c r="GR131">
        <v>0</v>
      </c>
      <c r="GS131">
        <v>3</v>
      </c>
      <c r="GT131">
        <v>0</v>
      </c>
      <c r="GU131" t="s">
        <v>3</v>
      </c>
      <c r="GV131">
        <f t="shared" si="151"/>
        <v>0</v>
      </c>
      <c r="GW131">
        <v>1</v>
      </c>
      <c r="GX131">
        <f t="shared" si="152"/>
        <v>0</v>
      </c>
      <c r="HA131">
        <v>0</v>
      </c>
      <c r="HB131">
        <v>0</v>
      </c>
      <c r="HC131">
        <f t="shared" si="153"/>
        <v>0</v>
      </c>
      <c r="IK131">
        <v>0</v>
      </c>
    </row>
    <row r="132" spans="1:245" x14ac:dyDescent="0.2">
      <c r="A132">
        <v>17</v>
      </c>
      <c r="B132">
        <v>1</v>
      </c>
      <c r="E132" t="s">
        <v>250</v>
      </c>
      <c r="F132" t="s">
        <v>251</v>
      </c>
      <c r="G132" t="s">
        <v>252</v>
      </c>
      <c r="H132" t="s">
        <v>209</v>
      </c>
      <c r="I132">
        <v>2</v>
      </c>
      <c r="J132">
        <v>0</v>
      </c>
      <c r="O132">
        <f t="shared" si="119"/>
        <v>19.04</v>
      </c>
      <c r="P132">
        <f t="shared" si="120"/>
        <v>19.04</v>
      </c>
      <c r="Q132">
        <f>(ROUND((ROUND(((ET132)*AV132*I132),2)*BB132),2)+ROUND((ROUND(((AE132-(EU132))*AV132*I132),2)*BS132),2))</f>
        <v>0</v>
      </c>
      <c r="R132">
        <f t="shared" si="121"/>
        <v>0</v>
      </c>
      <c r="S132">
        <f t="shared" si="122"/>
        <v>0</v>
      </c>
      <c r="T132">
        <f t="shared" si="123"/>
        <v>0</v>
      </c>
      <c r="U132">
        <f t="shared" si="124"/>
        <v>0</v>
      </c>
      <c r="V132">
        <f t="shared" si="125"/>
        <v>0</v>
      </c>
      <c r="W132">
        <f t="shared" si="126"/>
        <v>0</v>
      </c>
      <c r="X132">
        <f t="shared" si="127"/>
        <v>0</v>
      </c>
      <c r="Y132">
        <f t="shared" si="128"/>
        <v>0</v>
      </c>
      <c r="AA132">
        <v>44002026</v>
      </c>
      <c r="AB132">
        <f t="shared" si="129"/>
        <v>2.63</v>
      </c>
      <c r="AC132">
        <f t="shared" si="130"/>
        <v>2.63</v>
      </c>
      <c r="AD132">
        <f>ROUND((((ET132)-(EU132))+AE132),2)</f>
        <v>0</v>
      </c>
      <c r="AE132">
        <f t="shared" si="131"/>
        <v>0</v>
      </c>
      <c r="AF132">
        <f t="shared" si="131"/>
        <v>0</v>
      </c>
      <c r="AG132">
        <f t="shared" si="132"/>
        <v>0</v>
      </c>
      <c r="AH132">
        <f t="shared" si="133"/>
        <v>0</v>
      </c>
      <c r="AI132">
        <f t="shared" si="133"/>
        <v>0</v>
      </c>
      <c r="AJ132">
        <f t="shared" si="134"/>
        <v>0</v>
      </c>
      <c r="AK132">
        <v>2.63</v>
      </c>
      <c r="AL132">
        <v>2.63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Z132">
        <v>1</v>
      </c>
      <c r="BA132">
        <v>1</v>
      </c>
      <c r="BB132">
        <v>1</v>
      </c>
      <c r="BC132">
        <v>3.62</v>
      </c>
      <c r="BD132" t="s">
        <v>3</v>
      </c>
      <c r="BE132" t="s">
        <v>3</v>
      </c>
      <c r="BF132" t="s">
        <v>3</v>
      </c>
      <c r="BG132" t="s">
        <v>3</v>
      </c>
      <c r="BH132">
        <v>3</v>
      </c>
      <c r="BI132">
        <v>2</v>
      </c>
      <c r="BJ132" t="s">
        <v>253</v>
      </c>
      <c r="BM132">
        <v>333</v>
      </c>
      <c r="BN132">
        <v>0</v>
      </c>
      <c r="BO132" t="s">
        <v>251</v>
      </c>
      <c r="BP132">
        <v>1</v>
      </c>
      <c r="BQ132">
        <v>40</v>
      </c>
      <c r="BR132">
        <v>0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 t="s">
        <v>3</v>
      </c>
      <c r="BZ132">
        <v>0</v>
      </c>
      <c r="CA132">
        <v>0</v>
      </c>
      <c r="CE132">
        <v>30</v>
      </c>
      <c r="CF132">
        <v>0</v>
      </c>
      <c r="CG132">
        <v>0</v>
      </c>
      <c r="CM132">
        <v>0</v>
      </c>
      <c r="CN132" t="s">
        <v>3</v>
      </c>
      <c r="CO132">
        <v>0</v>
      </c>
      <c r="CP132">
        <f t="shared" si="135"/>
        <v>19.04</v>
      </c>
      <c r="CQ132">
        <f t="shared" si="136"/>
        <v>9.52</v>
      </c>
      <c r="CR132">
        <f>(ROUND((ROUND(((ET132)*AV132*1),2)*BB132),2)+ROUND((ROUND(((AE132-(EU132))*AV132*1),2)*BS132),2))</f>
        <v>0</v>
      </c>
      <c r="CS132">
        <f t="shared" si="137"/>
        <v>0</v>
      </c>
      <c r="CT132">
        <f t="shared" si="138"/>
        <v>0</v>
      </c>
      <c r="CU132">
        <f t="shared" si="139"/>
        <v>0</v>
      </c>
      <c r="CV132">
        <f t="shared" si="140"/>
        <v>0</v>
      </c>
      <c r="CW132">
        <f t="shared" si="141"/>
        <v>0</v>
      </c>
      <c r="CX132">
        <f t="shared" si="142"/>
        <v>0</v>
      </c>
      <c r="CY132">
        <f t="shared" si="143"/>
        <v>0</v>
      </c>
      <c r="CZ132">
        <f t="shared" si="144"/>
        <v>0</v>
      </c>
      <c r="DC132" t="s">
        <v>3</v>
      </c>
      <c r="DD132" t="s">
        <v>3</v>
      </c>
      <c r="DE132" t="s">
        <v>3</v>
      </c>
      <c r="DF132" t="s">
        <v>3</v>
      </c>
      <c r="DG132" t="s">
        <v>3</v>
      </c>
      <c r="DH132" t="s">
        <v>3</v>
      </c>
      <c r="DI132" t="s">
        <v>3</v>
      </c>
      <c r="DJ132" t="s">
        <v>3</v>
      </c>
      <c r="DK132" t="s">
        <v>3</v>
      </c>
      <c r="DL132" t="s">
        <v>3</v>
      </c>
      <c r="DM132" t="s">
        <v>3</v>
      </c>
      <c r="DN132">
        <v>112</v>
      </c>
      <c r="DO132">
        <v>70</v>
      </c>
      <c r="DP132">
        <v>1</v>
      </c>
      <c r="DQ132">
        <v>1</v>
      </c>
      <c r="DU132">
        <v>1010</v>
      </c>
      <c r="DV132" t="s">
        <v>209</v>
      </c>
      <c r="DW132" t="s">
        <v>209</v>
      </c>
      <c r="DX132">
        <v>1</v>
      </c>
      <c r="EE132">
        <v>43770624</v>
      </c>
      <c r="EF132">
        <v>40</v>
      </c>
      <c r="EG132" t="s">
        <v>42</v>
      </c>
      <c r="EH132">
        <v>0</v>
      </c>
      <c r="EI132" t="s">
        <v>3</v>
      </c>
      <c r="EJ132">
        <v>2</v>
      </c>
      <c r="EK132">
        <v>333</v>
      </c>
      <c r="EL132" t="s">
        <v>211</v>
      </c>
      <c r="EM132" t="s">
        <v>212</v>
      </c>
      <c r="EO132" t="s">
        <v>3</v>
      </c>
      <c r="EQ132">
        <v>0</v>
      </c>
      <c r="ER132">
        <v>2.63</v>
      </c>
      <c r="ES132">
        <v>2.63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FQ132">
        <v>0</v>
      </c>
      <c r="FR132">
        <f t="shared" si="145"/>
        <v>0</v>
      </c>
      <c r="FS132">
        <v>0</v>
      </c>
      <c r="FX132">
        <v>112</v>
      </c>
      <c r="FY132">
        <v>70</v>
      </c>
      <c r="GA132" t="s">
        <v>3</v>
      </c>
      <c r="GD132">
        <v>0</v>
      </c>
      <c r="GF132">
        <v>1005821614</v>
      </c>
      <c r="GG132">
        <v>2</v>
      </c>
      <c r="GH132">
        <v>1</v>
      </c>
      <c r="GI132">
        <v>2</v>
      </c>
      <c r="GJ132">
        <v>0</v>
      </c>
      <c r="GK132">
        <f>ROUND(R132*(R12)/100,2)</f>
        <v>0</v>
      </c>
      <c r="GL132">
        <f t="shared" si="146"/>
        <v>0</v>
      </c>
      <c r="GM132">
        <f t="shared" si="147"/>
        <v>19.04</v>
      </c>
      <c r="GN132">
        <f t="shared" si="148"/>
        <v>0</v>
      </c>
      <c r="GO132">
        <f t="shared" si="149"/>
        <v>19.04</v>
      </c>
      <c r="GP132">
        <f t="shared" si="150"/>
        <v>0</v>
      </c>
      <c r="GR132">
        <v>0</v>
      </c>
      <c r="GS132">
        <v>3</v>
      </c>
      <c r="GT132">
        <v>0</v>
      </c>
      <c r="GU132" t="s">
        <v>3</v>
      </c>
      <c r="GV132">
        <f t="shared" si="151"/>
        <v>0</v>
      </c>
      <c r="GW132">
        <v>1</v>
      </c>
      <c r="GX132">
        <f t="shared" si="152"/>
        <v>0</v>
      </c>
      <c r="HA132">
        <v>0</v>
      </c>
      <c r="HB132">
        <v>0</v>
      </c>
      <c r="HC132">
        <f t="shared" si="153"/>
        <v>0</v>
      </c>
      <c r="IK132">
        <v>0</v>
      </c>
    </row>
    <row r="133" spans="1:245" x14ac:dyDescent="0.2">
      <c r="A133">
        <v>17</v>
      </c>
      <c r="B133">
        <v>1</v>
      </c>
      <c r="C133">
        <f>ROW(SmtRes!A53)</f>
        <v>53</v>
      </c>
      <c r="D133">
        <f>ROW(EtalonRes!A37)</f>
        <v>37</v>
      </c>
      <c r="E133" t="s">
        <v>254</v>
      </c>
      <c r="F133" t="s">
        <v>255</v>
      </c>
      <c r="G133" t="s">
        <v>256</v>
      </c>
      <c r="H133" t="s">
        <v>191</v>
      </c>
      <c r="I133">
        <v>13</v>
      </c>
      <c r="J133">
        <v>0</v>
      </c>
      <c r="O133">
        <f t="shared" si="119"/>
        <v>5602.4</v>
      </c>
      <c r="P133">
        <f t="shared" si="120"/>
        <v>1102.08</v>
      </c>
      <c r="Q133">
        <f>(ROUND((ROUND((((ET133*0.8))*AV133*I133),2)*BB133),2)+ROUND((ROUND(((AE133-((EU133*0.8)))*AV133*I133),2)*BS133),2))</f>
        <v>333.08</v>
      </c>
      <c r="R133">
        <f t="shared" si="121"/>
        <v>80.92</v>
      </c>
      <c r="S133">
        <f t="shared" si="122"/>
        <v>4167.24</v>
      </c>
      <c r="T133">
        <f t="shared" si="123"/>
        <v>0</v>
      </c>
      <c r="U133">
        <f t="shared" si="124"/>
        <v>13.936</v>
      </c>
      <c r="V133">
        <f t="shared" si="125"/>
        <v>0</v>
      </c>
      <c r="W133">
        <f t="shared" si="126"/>
        <v>0</v>
      </c>
      <c r="X133">
        <f t="shared" si="127"/>
        <v>3750.52</v>
      </c>
      <c r="Y133">
        <f t="shared" si="128"/>
        <v>1791.91</v>
      </c>
      <c r="AA133">
        <v>44002026</v>
      </c>
      <c r="AB133">
        <f t="shared" si="129"/>
        <v>32.799999999999997</v>
      </c>
      <c r="AC133">
        <f t="shared" si="130"/>
        <v>15.47</v>
      </c>
      <c r="AD133">
        <f>ROUND(((((ET133*0.8))-((EU133*0.8)))+AE133),2)</f>
        <v>3.94</v>
      </c>
      <c r="AE133">
        <f>ROUND(((EU133*0.8)),2)</f>
        <v>0.26</v>
      </c>
      <c r="AF133">
        <f>ROUND(((EV133*0.8)),2)</f>
        <v>13.39</v>
      </c>
      <c r="AG133">
        <f t="shared" si="132"/>
        <v>0</v>
      </c>
      <c r="AH133">
        <f>((EW133*0.8))</f>
        <v>1.0720000000000001</v>
      </c>
      <c r="AI133">
        <f>((EX133*0.8))</f>
        <v>0</v>
      </c>
      <c r="AJ133">
        <f t="shared" si="134"/>
        <v>0</v>
      </c>
      <c r="AK133">
        <v>37.14</v>
      </c>
      <c r="AL133">
        <v>15.47</v>
      </c>
      <c r="AM133">
        <v>4.93</v>
      </c>
      <c r="AN133">
        <v>0.33</v>
      </c>
      <c r="AO133">
        <v>16.739999999999998</v>
      </c>
      <c r="AP133">
        <v>0</v>
      </c>
      <c r="AQ133">
        <v>1.34</v>
      </c>
      <c r="AR133">
        <v>0</v>
      </c>
      <c r="AS133">
        <v>0</v>
      </c>
      <c r="AT133">
        <v>90</v>
      </c>
      <c r="AU133">
        <v>43</v>
      </c>
      <c r="AV133">
        <v>1</v>
      </c>
      <c r="AW133">
        <v>1</v>
      </c>
      <c r="AZ133">
        <v>1</v>
      </c>
      <c r="BA133">
        <v>23.94</v>
      </c>
      <c r="BB133">
        <v>6.52</v>
      </c>
      <c r="BC133">
        <v>5.48</v>
      </c>
      <c r="BD133" t="s">
        <v>3</v>
      </c>
      <c r="BE133" t="s">
        <v>3</v>
      </c>
      <c r="BF133" t="s">
        <v>3</v>
      </c>
      <c r="BG133" t="s">
        <v>3</v>
      </c>
      <c r="BH133">
        <v>0</v>
      </c>
      <c r="BI133">
        <v>2</v>
      </c>
      <c r="BJ133" t="s">
        <v>257</v>
      </c>
      <c r="BM133">
        <v>333</v>
      </c>
      <c r="BN133">
        <v>0</v>
      </c>
      <c r="BO133" t="s">
        <v>255</v>
      </c>
      <c r="BP133">
        <v>1</v>
      </c>
      <c r="BQ133">
        <v>40</v>
      </c>
      <c r="BR133">
        <v>0</v>
      </c>
      <c r="BS133">
        <v>23.94</v>
      </c>
      <c r="BT133">
        <v>1</v>
      </c>
      <c r="BU133">
        <v>1</v>
      </c>
      <c r="BV133">
        <v>1</v>
      </c>
      <c r="BW133">
        <v>1</v>
      </c>
      <c r="BX133">
        <v>1</v>
      </c>
      <c r="BY133" t="s">
        <v>3</v>
      </c>
      <c r="BZ133">
        <v>90</v>
      </c>
      <c r="CA133">
        <v>43</v>
      </c>
      <c r="CE133">
        <v>30</v>
      </c>
      <c r="CF133">
        <v>0</v>
      </c>
      <c r="CG133">
        <v>0</v>
      </c>
      <c r="CM133">
        <v>0</v>
      </c>
      <c r="CN133" t="s">
        <v>258</v>
      </c>
      <c r="CO133">
        <v>0</v>
      </c>
      <c r="CP133">
        <f t="shared" si="135"/>
        <v>5602.4</v>
      </c>
      <c r="CQ133">
        <f t="shared" si="136"/>
        <v>84.78</v>
      </c>
      <c r="CR133">
        <f>(ROUND((ROUND((((ET133*0.8))*AV133*1),2)*BB133),2)+ROUND((ROUND(((AE133-((EU133*0.8)))*AV133*1),2)*BS133),2))</f>
        <v>25.69</v>
      </c>
      <c r="CS133">
        <f t="shared" si="137"/>
        <v>6.22</v>
      </c>
      <c r="CT133">
        <f t="shared" si="138"/>
        <v>320.56</v>
      </c>
      <c r="CU133">
        <f t="shared" si="139"/>
        <v>0</v>
      </c>
      <c r="CV133">
        <f t="shared" si="140"/>
        <v>1.0720000000000001</v>
      </c>
      <c r="CW133">
        <f t="shared" si="141"/>
        <v>0</v>
      </c>
      <c r="CX133">
        <f t="shared" si="142"/>
        <v>0</v>
      </c>
      <c r="CY133">
        <f t="shared" si="143"/>
        <v>3750.5160000000001</v>
      </c>
      <c r="CZ133">
        <f t="shared" si="144"/>
        <v>1791.9132</v>
      </c>
      <c r="DC133" t="s">
        <v>3</v>
      </c>
      <c r="DD133" t="s">
        <v>3</v>
      </c>
      <c r="DE133" t="s">
        <v>259</v>
      </c>
      <c r="DF133" t="s">
        <v>259</v>
      </c>
      <c r="DG133" t="s">
        <v>259</v>
      </c>
      <c r="DH133" t="s">
        <v>3</v>
      </c>
      <c r="DI133" t="s">
        <v>259</v>
      </c>
      <c r="DJ133" t="s">
        <v>259</v>
      </c>
      <c r="DK133" t="s">
        <v>3</v>
      </c>
      <c r="DL133" t="s">
        <v>3</v>
      </c>
      <c r="DM133" t="s">
        <v>3</v>
      </c>
      <c r="DN133">
        <v>112</v>
      </c>
      <c r="DO133">
        <v>70</v>
      </c>
      <c r="DP133">
        <v>1</v>
      </c>
      <c r="DQ133">
        <v>1</v>
      </c>
      <c r="DU133">
        <v>1013</v>
      </c>
      <c r="DV133" t="s">
        <v>191</v>
      </c>
      <c r="DW133" t="s">
        <v>191</v>
      </c>
      <c r="DX133">
        <v>1</v>
      </c>
      <c r="EE133">
        <v>43770624</v>
      </c>
      <c r="EF133">
        <v>40</v>
      </c>
      <c r="EG133" t="s">
        <v>42</v>
      </c>
      <c r="EH133">
        <v>0</v>
      </c>
      <c r="EI133" t="s">
        <v>3</v>
      </c>
      <c r="EJ133">
        <v>2</v>
      </c>
      <c r="EK133">
        <v>333</v>
      </c>
      <c r="EL133" t="s">
        <v>211</v>
      </c>
      <c r="EM133" t="s">
        <v>212</v>
      </c>
      <c r="EO133" t="s">
        <v>260</v>
      </c>
      <c r="EQ133">
        <v>131072</v>
      </c>
      <c r="ER133">
        <v>37.14</v>
      </c>
      <c r="ES133">
        <v>15.47</v>
      </c>
      <c r="ET133">
        <v>4.93</v>
      </c>
      <c r="EU133">
        <v>0.33</v>
      </c>
      <c r="EV133">
        <v>16.739999999999998</v>
      </c>
      <c r="EW133">
        <v>1.34</v>
      </c>
      <c r="EX133">
        <v>0</v>
      </c>
      <c r="EY133">
        <v>0</v>
      </c>
      <c r="FQ133">
        <v>0</v>
      </c>
      <c r="FR133">
        <f t="shared" si="145"/>
        <v>0</v>
      </c>
      <c r="FS133">
        <v>0</v>
      </c>
      <c r="FX133">
        <v>112</v>
      </c>
      <c r="FY133">
        <v>70</v>
      </c>
      <c r="GA133" t="s">
        <v>3</v>
      </c>
      <c r="GD133">
        <v>0</v>
      </c>
      <c r="GF133">
        <v>1296312545</v>
      </c>
      <c r="GG133">
        <v>2</v>
      </c>
      <c r="GH133">
        <v>1</v>
      </c>
      <c r="GI133">
        <v>2</v>
      </c>
      <c r="GJ133">
        <v>0</v>
      </c>
      <c r="GK133">
        <f>ROUND(R133*(R12)/100,2)</f>
        <v>127.04</v>
      </c>
      <c r="GL133">
        <f t="shared" si="146"/>
        <v>0</v>
      </c>
      <c r="GM133">
        <f t="shared" si="147"/>
        <v>11271.87</v>
      </c>
      <c r="GN133">
        <f t="shared" si="148"/>
        <v>0</v>
      </c>
      <c r="GO133">
        <f t="shared" si="149"/>
        <v>11271.87</v>
      </c>
      <c r="GP133">
        <f t="shared" si="150"/>
        <v>0</v>
      </c>
      <c r="GR133">
        <v>0</v>
      </c>
      <c r="GS133">
        <v>3</v>
      </c>
      <c r="GT133">
        <v>0</v>
      </c>
      <c r="GU133" t="s">
        <v>3</v>
      </c>
      <c r="GV133">
        <f t="shared" si="151"/>
        <v>0</v>
      </c>
      <c r="GW133">
        <v>1</v>
      </c>
      <c r="GX133">
        <f t="shared" si="152"/>
        <v>0</v>
      </c>
      <c r="HA133">
        <v>0</v>
      </c>
      <c r="HB133">
        <v>0</v>
      </c>
      <c r="HC133">
        <f t="shared" si="153"/>
        <v>0</v>
      </c>
      <c r="IK133">
        <v>0</v>
      </c>
    </row>
    <row r="134" spans="1:245" x14ac:dyDescent="0.2">
      <c r="A134">
        <v>18</v>
      </c>
      <c r="B134">
        <v>1</v>
      </c>
      <c r="C134">
        <v>52</v>
      </c>
      <c r="E134" t="s">
        <v>261</v>
      </c>
      <c r="F134" t="s">
        <v>262</v>
      </c>
      <c r="G134" t="s">
        <v>263</v>
      </c>
      <c r="H134" t="s">
        <v>209</v>
      </c>
      <c r="I134">
        <f>I133*J134</f>
        <v>1</v>
      </c>
      <c r="J134">
        <v>7.6923076923076927E-2</v>
      </c>
      <c r="O134">
        <f t="shared" si="119"/>
        <v>1155.56</v>
      </c>
      <c r="P134">
        <f t="shared" si="120"/>
        <v>1155.56</v>
      </c>
      <c r="Q134">
        <f t="shared" ref="Q134:Q155" si="154">(ROUND((ROUND(((ET134)*AV134*I134),2)*BB134),2)+ROUND((ROUND(((AE134-(EU134))*AV134*I134),2)*BS134),2))</f>
        <v>0</v>
      </c>
      <c r="R134">
        <f t="shared" si="121"/>
        <v>0</v>
      </c>
      <c r="S134">
        <f t="shared" si="122"/>
        <v>0</v>
      </c>
      <c r="T134">
        <f t="shared" si="123"/>
        <v>0</v>
      </c>
      <c r="U134">
        <f t="shared" si="124"/>
        <v>0</v>
      </c>
      <c r="V134">
        <f t="shared" si="125"/>
        <v>0</v>
      </c>
      <c r="W134">
        <f t="shared" si="126"/>
        <v>0</v>
      </c>
      <c r="X134">
        <f t="shared" si="127"/>
        <v>0</v>
      </c>
      <c r="Y134">
        <f t="shared" si="128"/>
        <v>0</v>
      </c>
      <c r="AA134">
        <v>44002026</v>
      </c>
      <c r="AB134">
        <f t="shared" si="129"/>
        <v>295.54000000000002</v>
      </c>
      <c r="AC134">
        <f t="shared" si="130"/>
        <v>295.54000000000002</v>
      </c>
      <c r="AD134">
        <f t="shared" ref="AD134:AD155" si="155">ROUND((((ET134)-(EU134))+AE134),2)</f>
        <v>0</v>
      </c>
      <c r="AE134">
        <f t="shared" ref="AE134:AE155" si="156">ROUND((EU134),2)</f>
        <v>0</v>
      </c>
      <c r="AF134">
        <f t="shared" ref="AF134:AF155" si="157">ROUND((EV134),2)</f>
        <v>0</v>
      </c>
      <c r="AG134">
        <f t="shared" si="132"/>
        <v>0</v>
      </c>
      <c r="AH134">
        <f t="shared" ref="AH134:AH155" si="158">(EW134)</f>
        <v>0</v>
      </c>
      <c r="AI134">
        <f t="shared" ref="AI134:AI155" si="159">(EX134)</f>
        <v>0</v>
      </c>
      <c r="AJ134">
        <f t="shared" si="134"/>
        <v>0</v>
      </c>
      <c r="AK134">
        <v>295.54000000000002</v>
      </c>
      <c r="AL134">
        <v>295.54000000000002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1</v>
      </c>
      <c r="AZ134">
        <v>1</v>
      </c>
      <c r="BA134">
        <v>1</v>
      </c>
      <c r="BB134">
        <v>1</v>
      </c>
      <c r="BC134">
        <v>3.91</v>
      </c>
      <c r="BD134" t="s">
        <v>3</v>
      </c>
      <c r="BE134" t="s">
        <v>3</v>
      </c>
      <c r="BF134" t="s">
        <v>3</v>
      </c>
      <c r="BG134" t="s">
        <v>3</v>
      </c>
      <c r="BH134">
        <v>3</v>
      </c>
      <c r="BI134">
        <v>2</v>
      </c>
      <c r="BJ134" t="s">
        <v>264</v>
      </c>
      <c r="BM134">
        <v>333</v>
      </c>
      <c r="BN134">
        <v>0</v>
      </c>
      <c r="BO134" t="s">
        <v>262</v>
      </c>
      <c r="BP134">
        <v>1</v>
      </c>
      <c r="BQ134">
        <v>40</v>
      </c>
      <c r="BR134">
        <v>0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 t="s">
        <v>3</v>
      </c>
      <c r="BZ134">
        <v>0</v>
      </c>
      <c r="CA134">
        <v>0</v>
      </c>
      <c r="CE134">
        <v>30</v>
      </c>
      <c r="CF134">
        <v>0</v>
      </c>
      <c r="CG134">
        <v>0</v>
      </c>
      <c r="CM134">
        <v>0</v>
      </c>
      <c r="CN134" t="s">
        <v>3</v>
      </c>
      <c r="CO134">
        <v>0</v>
      </c>
      <c r="CP134">
        <f t="shared" si="135"/>
        <v>1155.56</v>
      </c>
      <c r="CQ134">
        <f t="shared" si="136"/>
        <v>1155.56</v>
      </c>
      <c r="CR134">
        <f t="shared" ref="CR134:CR155" si="160">(ROUND((ROUND(((ET134)*AV134*1),2)*BB134),2)+ROUND((ROUND(((AE134-(EU134))*AV134*1),2)*BS134),2))</f>
        <v>0</v>
      </c>
      <c r="CS134">
        <f t="shared" si="137"/>
        <v>0</v>
      </c>
      <c r="CT134">
        <f t="shared" si="138"/>
        <v>0</v>
      </c>
      <c r="CU134">
        <f t="shared" si="139"/>
        <v>0</v>
      </c>
      <c r="CV134">
        <f t="shared" si="140"/>
        <v>0</v>
      </c>
      <c r="CW134">
        <f t="shared" si="141"/>
        <v>0</v>
      </c>
      <c r="CX134">
        <f t="shared" si="142"/>
        <v>0</v>
      </c>
      <c r="CY134">
        <f t="shared" si="143"/>
        <v>0</v>
      </c>
      <c r="CZ134">
        <f t="shared" si="144"/>
        <v>0</v>
      </c>
      <c r="DC134" t="s">
        <v>3</v>
      </c>
      <c r="DD134" t="s">
        <v>3</v>
      </c>
      <c r="DE134" t="s">
        <v>3</v>
      </c>
      <c r="DF134" t="s">
        <v>3</v>
      </c>
      <c r="DG134" t="s">
        <v>3</v>
      </c>
      <c r="DH134" t="s">
        <v>3</v>
      </c>
      <c r="DI134" t="s">
        <v>3</v>
      </c>
      <c r="DJ134" t="s">
        <v>3</v>
      </c>
      <c r="DK134" t="s">
        <v>3</v>
      </c>
      <c r="DL134" t="s">
        <v>3</v>
      </c>
      <c r="DM134" t="s">
        <v>3</v>
      </c>
      <c r="DN134">
        <v>112</v>
      </c>
      <c r="DO134">
        <v>70</v>
      </c>
      <c r="DP134">
        <v>1</v>
      </c>
      <c r="DQ134">
        <v>1</v>
      </c>
      <c r="DU134">
        <v>1010</v>
      </c>
      <c r="DV134" t="s">
        <v>209</v>
      </c>
      <c r="DW134" t="s">
        <v>209</v>
      </c>
      <c r="DX134">
        <v>1</v>
      </c>
      <c r="EE134">
        <v>43770624</v>
      </c>
      <c r="EF134">
        <v>40</v>
      </c>
      <c r="EG134" t="s">
        <v>42</v>
      </c>
      <c r="EH134">
        <v>0</v>
      </c>
      <c r="EI134" t="s">
        <v>3</v>
      </c>
      <c r="EJ134">
        <v>2</v>
      </c>
      <c r="EK134">
        <v>333</v>
      </c>
      <c r="EL134" t="s">
        <v>211</v>
      </c>
      <c r="EM134" t="s">
        <v>212</v>
      </c>
      <c r="EO134" t="s">
        <v>3</v>
      </c>
      <c r="EQ134">
        <v>0</v>
      </c>
      <c r="ER134">
        <v>295.54000000000002</v>
      </c>
      <c r="ES134">
        <v>295.54000000000002</v>
      </c>
      <c r="ET134">
        <v>0</v>
      </c>
      <c r="EU134">
        <v>0</v>
      </c>
      <c r="EV134">
        <v>0</v>
      </c>
      <c r="EW134">
        <v>0</v>
      </c>
      <c r="EX134">
        <v>0</v>
      </c>
      <c r="FQ134">
        <v>0</v>
      </c>
      <c r="FR134">
        <f t="shared" si="145"/>
        <v>0</v>
      </c>
      <c r="FS134">
        <v>0</v>
      </c>
      <c r="FX134">
        <v>112</v>
      </c>
      <c r="FY134">
        <v>70</v>
      </c>
      <c r="GA134" t="s">
        <v>3</v>
      </c>
      <c r="GD134">
        <v>0</v>
      </c>
      <c r="GF134">
        <v>-166357622</v>
      </c>
      <c r="GG134">
        <v>2</v>
      </c>
      <c r="GH134">
        <v>1</v>
      </c>
      <c r="GI134">
        <v>2</v>
      </c>
      <c r="GJ134">
        <v>0</v>
      </c>
      <c r="GK134">
        <f>ROUND(R134*(R12)/100,2)</f>
        <v>0</v>
      </c>
      <c r="GL134">
        <f t="shared" si="146"/>
        <v>0</v>
      </c>
      <c r="GM134">
        <f t="shared" si="147"/>
        <v>1155.56</v>
      </c>
      <c r="GN134">
        <f t="shared" si="148"/>
        <v>0</v>
      </c>
      <c r="GO134">
        <f t="shared" si="149"/>
        <v>1155.56</v>
      </c>
      <c r="GP134">
        <f t="shared" si="150"/>
        <v>0</v>
      </c>
      <c r="GR134">
        <v>0</v>
      </c>
      <c r="GS134">
        <v>3</v>
      </c>
      <c r="GT134">
        <v>0</v>
      </c>
      <c r="GU134" t="s">
        <v>3</v>
      </c>
      <c r="GV134">
        <f t="shared" si="151"/>
        <v>0</v>
      </c>
      <c r="GW134">
        <v>1</v>
      </c>
      <c r="GX134">
        <f t="shared" si="152"/>
        <v>0</v>
      </c>
      <c r="HA134">
        <v>0</v>
      </c>
      <c r="HB134">
        <v>0</v>
      </c>
      <c r="HC134">
        <f t="shared" si="153"/>
        <v>0</v>
      </c>
      <c r="IK134">
        <v>0</v>
      </c>
    </row>
    <row r="135" spans="1:245" x14ac:dyDescent="0.2">
      <c r="A135">
        <v>18</v>
      </c>
      <c r="B135">
        <v>1</v>
      </c>
      <c r="C135">
        <v>51</v>
      </c>
      <c r="E135" t="s">
        <v>265</v>
      </c>
      <c r="F135" t="s">
        <v>266</v>
      </c>
      <c r="G135" t="s">
        <v>267</v>
      </c>
      <c r="H135" t="s">
        <v>209</v>
      </c>
      <c r="I135">
        <f>I133*J135</f>
        <v>6</v>
      </c>
      <c r="J135">
        <v>0.46153846153846156</v>
      </c>
      <c r="O135">
        <f t="shared" si="119"/>
        <v>5518.21</v>
      </c>
      <c r="P135">
        <f t="shared" si="120"/>
        <v>5518.21</v>
      </c>
      <c r="Q135">
        <f t="shared" si="154"/>
        <v>0</v>
      </c>
      <c r="R135">
        <f t="shared" si="121"/>
        <v>0</v>
      </c>
      <c r="S135">
        <f t="shared" si="122"/>
        <v>0</v>
      </c>
      <c r="T135">
        <f t="shared" si="123"/>
        <v>0</v>
      </c>
      <c r="U135">
        <f t="shared" si="124"/>
        <v>0</v>
      </c>
      <c r="V135">
        <f t="shared" si="125"/>
        <v>0</v>
      </c>
      <c r="W135">
        <f t="shared" si="126"/>
        <v>0</v>
      </c>
      <c r="X135">
        <f t="shared" si="127"/>
        <v>0</v>
      </c>
      <c r="Y135">
        <f t="shared" si="128"/>
        <v>0</v>
      </c>
      <c r="AA135">
        <v>44002026</v>
      </c>
      <c r="AB135">
        <f t="shared" si="129"/>
        <v>256.89999999999998</v>
      </c>
      <c r="AC135">
        <f t="shared" si="130"/>
        <v>256.89999999999998</v>
      </c>
      <c r="AD135">
        <f t="shared" si="155"/>
        <v>0</v>
      </c>
      <c r="AE135">
        <f t="shared" si="156"/>
        <v>0</v>
      </c>
      <c r="AF135">
        <f t="shared" si="157"/>
        <v>0</v>
      </c>
      <c r="AG135">
        <f t="shared" si="132"/>
        <v>0</v>
      </c>
      <c r="AH135">
        <f t="shared" si="158"/>
        <v>0</v>
      </c>
      <c r="AI135">
        <f t="shared" si="159"/>
        <v>0</v>
      </c>
      <c r="AJ135">
        <f t="shared" si="134"/>
        <v>0</v>
      </c>
      <c r="AK135">
        <v>256.89999999999998</v>
      </c>
      <c r="AL135">
        <v>256.89999999999998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1</v>
      </c>
      <c r="AZ135">
        <v>1</v>
      </c>
      <c r="BA135">
        <v>1</v>
      </c>
      <c r="BB135">
        <v>1</v>
      </c>
      <c r="BC135">
        <v>3.58</v>
      </c>
      <c r="BD135" t="s">
        <v>3</v>
      </c>
      <c r="BE135" t="s">
        <v>3</v>
      </c>
      <c r="BF135" t="s">
        <v>3</v>
      </c>
      <c r="BG135" t="s">
        <v>3</v>
      </c>
      <c r="BH135">
        <v>3</v>
      </c>
      <c r="BI135">
        <v>2</v>
      </c>
      <c r="BJ135" t="s">
        <v>268</v>
      </c>
      <c r="BM135">
        <v>333</v>
      </c>
      <c r="BN135">
        <v>0</v>
      </c>
      <c r="BO135" t="s">
        <v>266</v>
      </c>
      <c r="BP135">
        <v>1</v>
      </c>
      <c r="BQ135">
        <v>40</v>
      </c>
      <c r="BR135">
        <v>0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 t="s">
        <v>3</v>
      </c>
      <c r="BZ135">
        <v>0</v>
      </c>
      <c r="CA135">
        <v>0</v>
      </c>
      <c r="CE135">
        <v>30</v>
      </c>
      <c r="CF135">
        <v>0</v>
      </c>
      <c r="CG135">
        <v>0</v>
      </c>
      <c r="CM135">
        <v>0</v>
      </c>
      <c r="CN135" t="s">
        <v>3</v>
      </c>
      <c r="CO135">
        <v>0</v>
      </c>
      <c r="CP135">
        <f t="shared" si="135"/>
        <v>5518.21</v>
      </c>
      <c r="CQ135">
        <f t="shared" si="136"/>
        <v>919.7</v>
      </c>
      <c r="CR135">
        <f t="shared" si="160"/>
        <v>0</v>
      </c>
      <c r="CS135">
        <f t="shared" si="137"/>
        <v>0</v>
      </c>
      <c r="CT135">
        <f t="shared" si="138"/>
        <v>0</v>
      </c>
      <c r="CU135">
        <f t="shared" si="139"/>
        <v>0</v>
      </c>
      <c r="CV135">
        <f t="shared" si="140"/>
        <v>0</v>
      </c>
      <c r="CW135">
        <f t="shared" si="141"/>
        <v>0</v>
      </c>
      <c r="CX135">
        <f t="shared" si="142"/>
        <v>0</v>
      </c>
      <c r="CY135">
        <f t="shared" si="143"/>
        <v>0</v>
      </c>
      <c r="CZ135">
        <f t="shared" si="144"/>
        <v>0</v>
      </c>
      <c r="DC135" t="s">
        <v>3</v>
      </c>
      <c r="DD135" t="s">
        <v>3</v>
      </c>
      <c r="DE135" t="s">
        <v>3</v>
      </c>
      <c r="DF135" t="s">
        <v>3</v>
      </c>
      <c r="DG135" t="s">
        <v>3</v>
      </c>
      <c r="DH135" t="s">
        <v>3</v>
      </c>
      <c r="DI135" t="s">
        <v>3</v>
      </c>
      <c r="DJ135" t="s">
        <v>3</v>
      </c>
      <c r="DK135" t="s">
        <v>3</v>
      </c>
      <c r="DL135" t="s">
        <v>3</v>
      </c>
      <c r="DM135" t="s">
        <v>3</v>
      </c>
      <c r="DN135">
        <v>112</v>
      </c>
      <c r="DO135">
        <v>70</v>
      </c>
      <c r="DP135">
        <v>1</v>
      </c>
      <c r="DQ135">
        <v>1</v>
      </c>
      <c r="DU135">
        <v>1010</v>
      </c>
      <c r="DV135" t="s">
        <v>209</v>
      </c>
      <c r="DW135" t="s">
        <v>209</v>
      </c>
      <c r="DX135">
        <v>1</v>
      </c>
      <c r="EE135">
        <v>43770624</v>
      </c>
      <c r="EF135">
        <v>40</v>
      </c>
      <c r="EG135" t="s">
        <v>42</v>
      </c>
      <c r="EH135">
        <v>0</v>
      </c>
      <c r="EI135" t="s">
        <v>3</v>
      </c>
      <c r="EJ135">
        <v>2</v>
      </c>
      <c r="EK135">
        <v>333</v>
      </c>
      <c r="EL135" t="s">
        <v>211</v>
      </c>
      <c r="EM135" t="s">
        <v>212</v>
      </c>
      <c r="EO135" t="s">
        <v>3</v>
      </c>
      <c r="EQ135">
        <v>0</v>
      </c>
      <c r="ER135">
        <v>256.89999999999998</v>
      </c>
      <c r="ES135">
        <v>256.89999999999998</v>
      </c>
      <c r="ET135">
        <v>0</v>
      </c>
      <c r="EU135">
        <v>0</v>
      </c>
      <c r="EV135">
        <v>0</v>
      </c>
      <c r="EW135">
        <v>0</v>
      </c>
      <c r="EX135">
        <v>0</v>
      </c>
      <c r="FQ135">
        <v>0</v>
      </c>
      <c r="FR135">
        <f t="shared" si="145"/>
        <v>0</v>
      </c>
      <c r="FS135">
        <v>0</v>
      </c>
      <c r="FX135">
        <v>112</v>
      </c>
      <c r="FY135">
        <v>70</v>
      </c>
      <c r="GA135" t="s">
        <v>3</v>
      </c>
      <c r="GD135">
        <v>0</v>
      </c>
      <c r="GF135">
        <v>-31680573</v>
      </c>
      <c r="GG135">
        <v>2</v>
      </c>
      <c r="GH135">
        <v>1</v>
      </c>
      <c r="GI135">
        <v>2</v>
      </c>
      <c r="GJ135">
        <v>0</v>
      </c>
      <c r="GK135">
        <f>ROUND(R135*(R12)/100,2)</f>
        <v>0</v>
      </c>
      <c r="GL135">
        <f t="shared" si="146"/>
        <v>0</v>
      </c>
      <c r="GM135">
        <f t="shared" si="147"/>
        <v>5518.21</v>
      </c>
      <c r="GN135">
        <f t="shared" si="148"/>
        <v>0</v>
      </c>
      <c r="GO135">
        <f t="shared" si="149"/>
        <v>5518.21</v>
      </c>
      <c r="GP135">
        <f t="shared" si="150"/>
        <v>0</v>
      </c>
      <c r="GR135">
        <v>0</v>
      </c>
      <c r="GS135">
        <v>3</v>
      </c>
      <c r="GT135">
        <v>0</v>
      </c>
      <c r="GU135" t="s">
        <v>3</v>
      </c>
      <c r="GV135">
        <f t="shared" si="151"/>
        <v>0</v>
      </c>
      <c r="GW135">
        <v>1</v>
      </c>
      <c r="GX135">
        <f t="shared" si="152"/>
        <v>0</v>
      </c>
      <c r="HA135">
        <v>0</v>
      </c>
      <c r="HB135">
        <v>0</v>
      </c>
      <c r="HC135">
        <f t="shared" si="153"/>
        <v>0</v>
      </c>
      <c r="IK135">
        <v>0</v>
      </c>
    </row>
    <row r="136" spans="1:245" x14ac:dyDescent="0.2">
      <c r="A136">
        <v>18</v>
      </c>
      <c r="B136">
        <v>1</v>
      </c>
      <c r="C136">
        <v>49</v>
      </c>
      <c r="E136" t="s">
        <v>269</v>
      </c>
      <c r="F136" t="s">
        <v>270</v>
      </c>
      <c r="G136" t="s">
        <v>271</v>
      </c>
      <c r="H136" t="s">
        <v>209</v>
      </c>
      <c r="I136">
        <f>I133*J136</f>
        <v>1</v>
      </c>
      <c r="J136">
        <v>7.6923076923076927E-2</v>
      </c>
      <c r="O136">
        <f t="shared" si="119"/>
        <v>281.08999999999997</v>
      </c>
      <c r="P136">
        <f t="shared" si="120"/>
        <v>281.08999999999997</v>
      </c>
      <c r="Q136">
        <f t="shared" si="154"/>
        <v>0</v>
      </c>
      <c r="R136">
        <f t="shared" si="121"/>
        <v>0</v>
      </c>
      <c r="S136">
        <f t="shared" si="122"/>
        <v>0</v>
      </c>
      <c r="T136">
        <f t="shared" si="123"/>
        <v>0</v>
      </c>
      <c r="U136">
        <f t="shared" si="124"/>
        <v>0</v>
      </c>
      <c r="V136">
        <f t="shared" si="125"/>
        <v>0</v>
      </c>
      <c r="W136">
        <f t="shared" si="126"/>
        <v>0</v>
      </c>
      <c r="X136">
        <f t="shared" si="127"/>
        <v>0</v>
      </c>
      <c r="Y136">
        <f t="shared" si="128"/>
        <v>0</v>
      </c>
      <c r="AA136">
        <v>44002026</v>
      </c>
      <c r="AB136">
        <f t="shared" si="129"/>
        <v>77.010000000000005</v>
      </c>
      <c r="AC136">
        <f t="shared" si="130"/>
        <v>77.010000000000005</v>
      </c>
      <c r="AD136">
        <f t="shared" si="155"/>
        <v>0</v>
      </c>
      <c r="AE136">
        <f t="shared" si="156"/>
        <v>0</v>
      </c>
      <c r="AF136">
        <f t="shared" si="157"/>
        <v>0</v>
      </c>
      <c r="AG136">
        <f t="shared" si="132"/>
        <v>0</v>
      </c>
      <c r="AH136">
        <f t="shared" si="158"/>
        <v>0</v>
      </c>
      <c r="AI136">
        <f t="shared" si="159"/>
        <v>0</v>
      </c>
      <c r="AJ136">
        <f t="shared" si="134"/>
        <v>0</v>
      </c>
      <c r="AK136">
        <v>77.010000000000005</v>
      </c>
      <c r="AL136">
        <v>77.010000000000005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1</v>
      </c>
      <c r="AZ136">
        <v>1</v>
      </c>
      <c r="BA136">
        <v>1</v>
      </c>
      <c r="BB136">
        <v>1</v>
      </c>
      <c r="BC136">
        <v>3.65</v>
      </c>
      <c r="BD136" t="s">
        <v>3</v>
      </c>
      <c r="BE136" t="s">
        <v>3</v>
      </c>
      <c r="BF136" t="s">
        <v>3</v>
      </c>
      <c r="BG136" t="s">
        <v>3</v>
      </c>
      <c r="BH136">
        <v>3</v>
      </c>
      <c r="BI136">
        <v>2</v>
      </c>
      <c r="BJ136" t="s">
        <v>272</v>
      </c>
      <c r="BM136">
        <v>333</v>
      </c>
      <c r="BN136">
        <v>0</v>
      </c>
      <c r="BO136" t="s">
        <v>270</v>
      </c>
      <c r="BP136">
        <v>1</v>
      </c>
      <c r="BQ136">
        <v>40</v>
      </c>
      <c r="BR136">
        <v>0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 t="s">
        <v>3</v>
      </c>
      <c r="BZ136">
        <v>0</v>
      </c>
      <c r="CA136">
        <v>0</v>
      </c>
      <c r="CE136">
        <v>30</v>
      </c>
      <c r="CF136">
        <v>0</v>
      </c>
      <c r="CG136">
        <v>0</v>
      </c>
      <c r="CM136">
        <v>0</v>
      </c>
      <c r="CN136" t="s">
        <v>3</v>
      </c>
      <c r="CO136">
        <v>0</v>
      </c>
      <c r="CP136">
        <f t="shared" si="135"/>
        <v>281.08999999999997</v>
      </c>
      <c r="CQ136">
        <f t="shared" si="136"/>
        <v>281.08999999999997</v>
      </c>
      <c r="CR136">
        <f t="shared" si="160"/>
        <v>0</v>
      </c>
      <c r="CS136">
        <f t="shared" si="137"/>
        <v>0</v>
      </c>
      <c r="CT136">
        <f t="shared" si="138"/>
        <v>0</v>
      </c>
      <c r="CU136">
        <f t="shared" si="139"/>
        <v>0</v>
      </c>
      <c r="CV136">
        <f t="shared" si="140"/>
        <v>0</v>
      </c>
      <c r="CW136">
        <f t="shared" si="141"/>
        <v>0</v>
      </c>
      <c r="CX136">
        <f t="shared" si="142"/>
        <v>0</v>
      </c>
      <c r="CY136">
        <f t="shared" si="143"/>
        <v>0</v>
      </c>
      <c r="CZ136">
        <f t="shared" si="144"/>
        <v>0</v>
      </c>
      <c r="DC136" t="s">
        <v>3</v>
      </c>
      <c r="DD136" t="s">
        <v>3</v>
      </c>
      <c r="DE136" t="s">
        <v>3</v>
      </c>
      <c r="DF136" t="s">
        <v>3</v>
      </c>
      <c r="DG136" t="s">
        <v>3</v>
      </c>
      <c r="DH136" t="s">
        <v>3</v>
      </c>
      <c r="DI136" t="s">
        <v>3</v>
      </c>
      <c r="DJ136" t="s">
        <v>3</v>
      </c>
      <c r="DK136" t="s">
        <v>3</v>
      </c>
      <c r="DL136" t="s">
        <v>3</v>
      </c>
      <c r="DM136" t="s">
        <v>3</v>
      </c>
      <c r="DN136">
        <v>112</v>
      </c>
      <c r="DO136">
        <v>70</v>
      </c>
      <c r="DP136">
        <v>1</v>
      </c>
      <c r="DQ136">
        <v>1</v>
      </c>
      <c r="DU136">
        <v>1010</v>
      </c>
      <c r="DV136" t="s">
        <v>209</v>
      </c>
      <c r="DW136" t="s">
        <v>209</v>
      </c>
      <c r="DX136">
        <v>1</v>
      </c>
      <c r="EE136">
        <v>43770624</v>
      </c>
      <c r="EF136">
        <v>40</v>
      </c>
      <c r="EG136" t="s">
        <v>42</v>
      </c>
      <c r="EH136">
        <v>0</v>
      </c>
      <c r="EI136" t="s">
        <v>3</v>
      </c>
      <c r="EJ136">
        <v>2</v>
      </c>
      <c r="EK136">
        <v>333</v>
      </c>
      <c r="EL136" t="s">
        <v>211</v>
      </c>
      <c r="EM136" t="s">
        <v>212</v>
      </c>
      <c r="EO136" t="s">
        <v>3</v>
      </c>
      <c r="EQ136">
        <v>0</v>
      </c>
      <c r="ER136">
        <v>77.010000000000005</v>
      </c>
      <c r="ES136">
        <v>77.010000000000005</v>
      </c>
      <c r="ET136">
        <v>0</v>
      </c>
      <c r="EU136">
        <v>0</v>
      </c>
      <c r="EV136">
        <v>0</v>
      </c>
      <c r="EW136">
        <v>0</v>
      </c>
      <c r="EX136">
        <v>0</v>
      </c>
      <c r="FQ136">
        <v>0</v>
      </c>
      <c r="FR136">
        <f t="shared" si="145"/>
        <v>0</v>
      </c>
      <c r="FS136">
        <v>0</v>
      </c>
      <c r="FX136">
        <v>112</v>
      </c>
      <c r="FY136">
        <v>70</v>
      </c>
      <c r="GA136" t="s">
        <v>3</v>
      </c>
      <c r="GD136">
        <v>0</v>
      </c>
      <c r="GF136">
        <v>186337221</v>
      </c>
      <c r="GG136">
        <v>2</v>
      </c>
      <c r="GH136">
        <v>1</v>
      </c>
      <c r="GI136">
        <v>2</v>
      </c>
      <c r="GJ136">
        <v>0</v>
      </c>
      <c r="GK136">
        <f>ROUND(R136*(R12)/100,2)</f>
        <v>0</v>
      </c>
      <c r="GL136">
        <f t="shared" si="146"/>
        <v>0</v>
      </c>
      <c r="GM136">
        <f t="shared" si="147"/>
        <v>281.08999999999997</v>
      </c>
      <c r="GN136">
        <f t="shared" si="148"/>
        <v>0</v>
      </c>
      <c r="GO136">
        <f t="shared" si="149"/>
        <v>281.08999999999997</v>
      </c>
      <c r="GP136">
        <f t="shared" si="150"/>
        <v>0</v>
      </c>
      <c r="GR136">
        <v>0</v>
      </c>
      <c r="GS136">
        <v>3</v>
      </c>
      <c r="GT136">
        <v>0</v>
      </c>
      <c r="GU136" t="s">
        <v>3</v>
      </c>
      <c r="GV136">
        <f t="shared" si="151"/>
        <v>0</v>
      </c>
      <c r="GW136">
        <v>1</v>
      </c>
      <c r="GX136">
        <f t="shared" si="152"/>
        <v>0</v>
      </c>
      <c r="HA136">
        <v>0</v>
      </c>
      <c r="HB136">
        <v>0</v>
      </c>
      <c r="HC136">
        <f t="shared" si="153"/>
        <v>0</v>
      </c>
      <c r="IK136">
        <v>0</v>
      </c>
    </row>
    <row r="137" spans="1:245" x14ac:dyDescent="0.2">
      <c r="A137">
        <v>18</v>
      </c>
      <c r="B137">
        <v>1</v>
      </c>
      <c r="C137">
        <v>50</v>
      </c>
      <c r="E137" t="s">
        <v>273</v>
      </c>
      <c r="F137" t="s">
        <v>270</v>
      </c>
      <c r="G137" t="s">
        <v>274</v>
      </c>
      <c r="H137" t="s">
        <v>209</v>
      </c>
      <c r="I137">
        <f>I133*J137</f>
        <v>4</v>
      </c>
      <c r="J137">
        <v>0.30769230769230771</v>
      </c>
      <c r="O137">
        <f t="shared" si="119"/>
        <v>1124.3499999999999</v>
      </c>
      <c r="P137">
        <f t="shared" si="120"/>
        <v>1124.3499999999999</v>
      </c>
      <c r="Q137">
        <f t="shared" si="154"/>
        <v>0</v>
      </c>
      <c r="R137">
        <f t="shared" si="121"/>
        <v>0</v>
      </c>
      <c r="S137">
        <f t="shared" si="122"/>
        <v>0</v>
      </c>
      <c r="T137">
        <f t="shared" si="123"/>
        <v>0</v>
      </c>
      <c r="U137">
        <f t="shared" si="124"/>
        <v>0</v>
      </c>
      <c r="V137">
        <f t="shared" si="125"/>
        <v>0</v>
      </c>
      <c r="W137">
        <f t="shared" si="126"/>
        <v>0</v>
      </c>
      <c r="X137">
        <f t="shared" si="127"/>
        <v>0</v>
      </c>
      <c r="Y137">
        <f t="shared" si="128"/>
        <v>0</v>
      </c>
      <c r="AA137">
        <v>44002026</v>
      </c>
      <c r="AB137">
        <f t="shared" si="129"/>
        <v>77.010000000000005</v>
      </c>
      <c r="AC137">
        <f t="shared" si="130"/>
        <v>77.010000000000005</v>
      </c>
      <c r="AD137">
        <f t="shared" si="155"/>
        <v>0</v>
      </c>
      <c r="AE137">
        <f t="shared" si="156"/>
        <v>0</v>
      </c>
      <c r="AF137">
        <f t="shared" si="157"/>
        <v>0</v>
      </c>
      <c r="AG137">
        <f t="shared" si="132"/>
        <v>0</v>
      </c>
      <c r="AH137">
        <f t="shared" si="158"/>
        <v>0</v>
      </c>
      <c r="AI137">
        <f t="shared" si="159"/>
        <v>0</v>
      </c>
      <c r="AJ137">
        <f t="shared" si="134"/>
        <v>0</v>
      </c>
      <c r="AK137">
        <v>77.010000000000005</v>
      </c>
      <c r="AL137">
        <v>77.010000000000005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</v>
      </c>
      <c r="AZ137">
        <v>1</v>
      </c>
      <c r="BA137">
        <v>1</v>
      </c>
      <c r="BB137">
        <v>1</v>
      </c>
      <c r="BC137">
        <v>3.65</v>
      </c>
      <c r="BD137" t="s">
        <v>3</v>
      </c>
      <c r="BE137" t="s">
        <v>3</v>
      </c>
      <c r="BF137" t="s">
        <v>3</v>
      </c>
      <c r="BG137" t="s">
        <v>3</v>
      </c>
      <c r="BH137">
        <v>3</v>
      </c>
      <c r="BI137">
        <v>2</v>
      </c>
      <c r="BJ137" t="s">
        <v>272</v>
      </c>
      <c r="BM137">
        <v>333</v>
      </c>
      <c r="BN137">
        <v>0</v>
      </c>
      <c r="BO137" t="s">
        <v>270</v>
      </c>
      <c r="BP137">
        <v>1</v>
      </c>
      <c r="BQ137">
        <v>40</v>
      </c>
      <c r="BR137">
        <v>0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 t="s">
        <v>3</v>
      </c>
      <c r="BZ137">
        <v>0</v>
      </c>
      <c r="CA137">
        <v>0</v>
      </c>
      <c r="CE137">
        <v>30</v>
      </c>
      <c r="CF137">
        <v>0</v>
      </c>
      <c r="CG137">
        <v>0</v>
      </c>
      <c r="CM137">
        <v>0</v>
      </c>
      <c r="CN137" t="s">
        <v>3</v>
      </c>
      <c r="CO137">
        <v>0</v>
      </c>
      <c r="CP137">
        <f t="shared" si="135"/>
        <v>1124.3499999999999</v>
      </c>
      <c r="CQ137">
        <f t="shared" si="136"/>
        <v>281.08999999999997</v>
      </c>
      <c r="CR137">
        <f t="shared" si="160"/>
        <v>0</v>
      </c>
      <c r="CS137">
        <f t="shared" si="137"/>
        <v>0</v>
      </c>
      <c r="CT137">
        <f t="shared" si="138"/>
        <v>0</v>
      </c>
      <c r="CU137">
        <f t="shared" si="139"/>
        <v>0</v>
      </c>
      <c r="CV137">
        <f t="shared" si="140"/>
        <v>0</v>
      </c>
      <c r="CW137">
        <f t="shared" si="141"/>
        <v>0</v>
      </c>
      <c r="CX137">
        <f t="shared" si="142"/>
        <v>0</v>
      </c>
      <c r="CY137">
        <f t="shared" si="143"/>
        <v>0</v>
      </c>
      <c r="CZ137">
        <f t="shared" si="144"/>
        <v>0</v>
      </c>
      <c r="DC137" t="s">
        <v>3</v>
      </c>
      <c r="DD137" t="s">
        <v>3</v>
      </c>
      <c r="DE137" t="s">
        <v>3</v>
      </c>
      <c r="DF137" t="s">
        <v>3</v>
      </c>
      <c r="DG137" t="s">
        <v>3</v>
      </c>
      <c r="DH137" t="s">
        <v>3</v>
      </c>
      <c r="DI137" t="s">
        <v>3</v>
      </c>
      <c r="DJ137" t="s">
        <v>3</v>
      </c>
      <c r="DK137" t="s">
        <v>3</v>
      </c>
      <c r="DL137" t="s">
        <v>3</v>
      </c>
      <c r="DM137" t="s">
        <v>3</v>
      </c>
      <c r="DN137">
        <v>112</v>
      </c>
      <c r="DO137">
        <v>70</v>
      </c>
      <c r="DP137">
        <v>1</v>
      </c>
      <c r="DQ137">
        <v>1</v>
      </c>
      <c r="DU137">
        <v>1010</v>
      </c>
      <c r="DV137" t="s">
        <v>209</v>
      </c>
      <c r="DW137" t="s">
        <v>209</v>
      </c>
      <c r="DX137">
        <v>1</v>
      </c>
      <c r="EE137">
        <v>43770624</v>
      </c>
      <c r="EF137">
        <v>40</v>
      </c>
      <c r="EG137" t="s">
        <v>42</v>
      </c>
      <c r="EH137">
        <v>0</v>
      </c>
      <c r="EI137" t="s">
        <v>3</v>
      </c>
      <c r="EJ137">
        <v>2</v>
      </c>
      <c r="EK137">
        <v>333</v>
      </c>
      <c r="EL137" t="s">
        <v>211</v>
      </c>
      <c r="EM137" t="s">
        <v>212</v>
      </c>
      <c r="EO137" t="s">
        <v>3</v>
      </c>
      <c r="EQ137">
        <v>0</v>
      </c>
      <c r="ER137">
        <v>77.010000000000005</v>
      </c>
      <c r="ES137">
        <v>77.010000000000005</v>
      </c>
      <c r="ET137">
        <v>0</v>
      </c>
      <c r="EU137">
        <v>0</v>
      </c>
      <c r="EV137">
        <v>0</v>
      </c>
      <c r="EW137">
        <v>0</v>
      </c>
      <c r="EX137">
        <v>0</v>
      </c>
      <c r="FQ137">
        <v>0</v>
      </c>
      <c r="FR137">
        <f t="shared" si="145"/>
        <v>0</v>
      </c>
      <c r="FS137">
        <v>0</v>
      </c>
      <c r="FX137">
        <v>112</v>
      </c>
      <c r="FY137">
        <v>70</v>
      </c>
      <c r="GA137" t="s">
        <v>3</v>
      </c>
      <c r="GD137">
        <v>0</v>
      </c>
      <c r="GF137">
        <v>-134416926</v>
      </c>
      <c r="GG137">
        <v>2</v>
      </c>
      <c r="GH137">
        <v>1</v>
      </c>
      <c r="GI137">
        <v>2</v>
      </c>
      <c r="GJ137">
        <v>0</v>
      </c>
      <c r="GK137">
        <f>ROUND(R137*(R12)/100,2)</f>
        <v>0</v>
      </c>
      <c r="GL137">
        <f t="shared" si="146"/>
        <v>0</v>
      </c>
      <c r="GM137">
        <f t="shared" si="147"/>
        <v>1124.3499999999999</v>
      </c>
      <c r="GN137">
        <f t="shared" si="148"/>
        <v>0</v>
      </c>
      <c r="GO137">
        <f t="shared" si="149"/>
        <v>1124.3499999999999</v>
      </c>
      <c r="GP137">
        <f t="shared" si="150"/>
        <v>0</v>
      </c>
      <c r="GR137">
        <v>0</v>
      </c>
      <c r="GS137">
        <v>3</v>
      </c>
      <c r="GT137">
        <v>0</v>
      </c>
      <c r="GU137" t="s">
        <v>3</v>
      </c>
      <c r="GV137">
        <f t="shared" si="151"/>
        <v>0</v>
      </c>
      <c r="GW137">
        <v>1</v>
      </c>
      <c r="GX137">
        <f t="shared" si="152"/>
        <v>0</v>
      </c>
      <c r="HA137">
        <v>0</v>
      </c>
      <c r="HB137">
        <v>0</v>
      </c>
      <c r="HC137">
        <f t="shared" si="153"/>
        <v>0</v>
      </c>
      <c r="IK137">
        <v>0</v>
      </c>
    </row>
    <row r="138" spans="1:245" x14ac:dyDescent="0.2">
      <c r="A138">
        <v>18</v>
      </c>
      <c r="B138">
        <v>1</v>
      </c>
      <c r="C138">
        <v>53</v>
      </c>
      <c r="E138" t="s">
        <v>275</v>
      </c>
      <c r="F138" t="s">
        <v>276</v>
      </c>
      <c r="G138" t="s">
        <v>277</v>
      </c>
      <c r="H138" t="s">
        <v>209</v>
      </c>
      <c r="I138">
        <f>I133*J138</f>
        <v>1</v>
      </c>
      <c r="J138">
        <v>7.6923076923076927E-2</v>
      </c>
      <c r="O138">
        <f t="shared" si="119"/>
        <v>615</v>
      </c>
      <c r="P138">
        <f t="shared" si="120"/>
        <v>615</v>
      </c>
      <c r="Q138">
        <f t="shared" si="154"/>
        <v>0</v>
      </c>
      <c r="R138">
        <f t="shared" si="121"/>
        <v>0</v>
      </c>
      <c r="S138">
        <f t="shared" si="122"/>
        <v>0</v>
      </c>
      <c r="T138">
        <f t="shared" si="123"/>
        <v>0</v>
      </c>
      <c r="U138">
        <f t="shared" si="124"/>
        <v>0</v>
      </c>
      <c r="V138">
        <f t="shared" si="125"/>
        <v>0</v>
      </c>
      <c r="W138">
        <f t="shared" si="126"/>
        <v>0</v>
      </c>
      <c r="X138">
        <f t="shared" si="127"/>
        <v>0</v>
      </c>
      <c r="Y138">
        <f t="shared" si="128"/>
        <v>0</v>
      </c>
      <c r="AA138">
        <v>44002026</v>
      </c>
      <c r="AB138">
        <f t="shared" si="129"/>
        <v>113.26</v>
      </c>
      <c r="AC138">
        <f t="shared" si="130"/>
        <v>113.26</v>
      </c>
      <c r="AD138">
        <f t="shared" si="155"/>
        <v>0</v>
      </c>
      <c r="AE138">
        <f t="shared" si="156"/>
        <v>0</v>
      </c>
      <c r="AF138">
        <f t="shared" si="157"/>
        <v>0</v>
      </c>
      <c r="AG138">
        <f t="shared" si="132"/>
        <v>0</v>
      </c>
      <c r="AH138">
        <f t="shared" si="158"/>
        <v>0</v>
      </c>
      <c r="AI138">
        <f t="shared" si="159"/>
        <v>0</v>
      </c>
      <c r="AJ138">
        <f t="shared" si="134"/>
        <v>0</v>
      </c>
      <c r="AK138">
        <v>113.26</v>
      </c>
      <c r="AL138">
        <v>113.26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1</v>
      </c>
      <c r="AZ138">
        <v>1</v>
      </c>
      <c r="BA138">
        <v>1</v>
      </c>
      <c r="BB138">
        <v>1</v>
      </c>
      <c r="BC138">
        <v>5.43</v>
      </c>
      <c r="BD138" t="s">
        <v>3</v>
      </c>
      <c r="BE138" t="s">
        <v>3</v>
      </c>
      <c r="BF138" t="s">
        <v>3</v>
      </c>
      <c r="BG138" t="s">
        <v>3</v>
      </c>
      <c r="BH138">
        <v>3</v>
      </c>
      <c r="BI138">
        <v>2</v>
      </c>
      <c r="BJ138" t="s">
        <v>3</v>
      </c>
      <c r="BM138">
        <v>333</v>
      </c>
      <c r="BN138">
        <v>0</v>
      </c>
      <c r="BO138" t="s">
        <v>3</v>
      </c>
      <c r="BP138">
        <v>0</v>
      </c>
      <c r="BQ138">
        <v>40</v>
      </c>
      <c r="BR138">
        <v>0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 t="s">
        <v>3</v>
      </c>
      <c r="BZ138">
        <v>0</v>
      </c>
      <c r="CA138">
        <v>0</v>
      </c>
      <c r="CE138">
        <v>30</v>
      </c>
      <c r="CF138">
        <v>0</v>
      </c>
      <c r="CG138">
        <v>0</v>
      </c>
      <c r="CM138">
        <v>0</v>
      </c>
      <c r="CN138" t="s">
        <v>3</v>
      </c>
      <c r="CO138">
        <v>0</v>
      </c>
      <c r="CP138">
        <f t="shared" si="135"/>
        <v>615</v>
      </c>
      <c r="CQ138">
        <f t="shared" si="136"/>
        <v>615</v>
      </c>
      <c r="CR138">
        <f t="shared" si="160"/>
        <v>0</v>
      </c>
      <c r="CS138">
        <f t="shared" si="137"/>
        <v>0</v>
      </c>
      <c r="CT138">
        <f t="shared" si="138"/>
        <v>0</v>
      </c>
      <c r="CU138">
        <f t="shared" si="139"/>
        <v>0</v>
      </c>
      <c r="CV138">
        <f t="shared" si="140"/>
        <v>0</v>
      </c>
      <c r="CW138">
        <f t="shared" si="141"/>
        <v>0</v>
      </c>
      <c r="CX138">
        <f t="shared" si="142"/>
        <v>0</v>
      </c>
      <c r="CY138">
        <f t="shared" si="143"/>
        <v>0</v>
      </c>
      <c r="CZ138">
        <f t="shared" si="144"/>
        <v>0</v>
      </c>
      <c r="DC138" t="s">
        <v>3</v>
      </c>
      <c r="DD138" t="s">
        <v>3</v>
      </c>
      <c r="DE138" t="s">
        <v>3</v>
      </c>
      <c r="DF138" t="s">
        <v>3</v>
      </c>
      <c r="DG138" t="s">
        <v>3</v>
      </c>
      <c r="DH138" t="s">
        <v>3</v>
      </c>
      <c r="DI138" t="s">
        <v>3</v>
      </c>
      <c r="DJ138" t="s">
        <v>3</v>
      </c>
      <c r="DK138" t="s">
        <v>3</v>
      </c>
      <c r="DL138" t="s">
        <v>3</v>
      </c>
      <c r="DM138" t="s">
        <v>3</v>
      </c>
      <c r="DN138">
        <v>112</v>
      </c>
      <c r="DO138">
        <v>70</v>
      </c>
      <c r="DP138">
        <v>1</v>
      </c>
      <c r="DQ138">
        <v>1</v>
      </c>
      <c r="DU138">
        <v>1010</v>
      </c>
      <c r="DV138" t="s">
        <v>209</v>
      </c>
      <c r="DW138" t="s">
        <v>210</v>
      </c>
      <c r="DX138">
        <v>1</v>
      </c>
      <c r="EE138">
        <v>43770624</v>
      </c>
      <c r="EF138">
        <v>40</v>
      </c>
      <c r="EG138" t="s">
        <v>42</v>
      </c>
      <c r="EH138">
        <v>0</v>
      </c>
      <c r="EI138" t="s">
        <v>3</v>
      </c>
      <c r="EJ138">
        <v>2</v>
      </c>
      <c r="EK138">
        <v>333</v>
      </c>
      <c r="EL138" t="s">
        <v>211</v>
      </c>
      <c r="EM138" t="s">
        <v>212</v>
      </c>
      <c r="EO138" t="s">
        <v>3</v>
      </c>
      <c r="EQ138">
        <v>0</v>
      </c>
      <c r="ER138">
        <v>113.26</v>
      </c>
      <c r="ES138">
        <v>113.26</v>
      </c>
      <c r="ET138">
        <v>0</v>
      </c>
      <c r="EU138">
        <v>0</v>
      </c>
      <c r="EV138">
        <v>0</v>
      </c>
      <c r="EW138">
        <v>0</v>
      </c>
      <c r="EX138">
        <v>0</v>
      </c>
      <c r="EZ138">
        <v>5</v>
      </c>
      <c r="FC138">
        <v>0</v>
      </c>
      <c r="FD138">
        <v>18</v>
      </c>
      <c r="FF138">
        <v>615.01</v>
      </c>
      <c r="FQ138">
        <v>0</v>
      </c>
      <c r="FR138">
        <f t="shared" si="145"/>
        <v>0</v>
      </c>
      <c r="FS138">
        <v>0</v>
      </c>
      <c r="FX138">
        <v>112</v>
      </c>
      <c r="FY138">
        <v>70</v>
      </c>
      <c r="GA138" t="s">
        <v>278</v>
      </c>
      <c r="GD138">
        <v>0</v>
      </c>
      <c r="GF138">
        <v>-1958887544</v>
      </c>
      <c r="GG138">
        <v>2</v>
      </c>
      <c r="GH138">
        <v>3</v>
      </c>
      <c r="GI138">
        <v>3</v>
      </c>
      <c r="GJ138">
        <v>0</v>
      </c>
      <c r="GK138">
        <f>ROUND(R138*(R12)/100,2)</f>
        <v>0</v>
      </c>
      <c r="GL138">
        <f t="shared" si="146"/>
        <v>0</v>
      </c>
      <c r="GM138">
        <f t="shared" si="147"/>
        <v>615</v>
      </c>
      <c r="GN138">
        <f t="shared" si="148"/>
        <v>0</v>
      </c>
      <c r="GO138">
        <f t="shared" si="149"/>
        <v>615</v>
      </c>
      <c r="GP138">
        <f t="shared" si="150"/>
        <v>0</v>
      </c>
      <c r="GR138">
        <v>1</v>
      </c>
      <c r="GS138">
        <v>1</v>
      </c>
      <c r="GT138">
        <v>0</v>
      </c>
      <c r="GU138" t="s">
        <v>3</v>
      </c>
      <c r="GV138">
        <f t="shared" si="151"/>
        <v>0</v>
      </c>
      <c r="GW138">
        <v>1</v>
      </c>
      <c r="GX138">
        <f t="shared" si="152"/>
        <v>0</v>
      </c>
      <c r="HA138">
        <v>0</v>
      </c>
      <c r="HB138">
        <v>0</v>
      </c>
      <c r="HC138">
        <f t="shared" si="153"/>
        <v>0</v>
      </c>
      <c r="IK138">
        <v>0</v>
      </c>
    </row>
    <row r="139" spans="1:245" x14ac:dyDescent="0.2">
      <c r="A139">
        <v>17</v>
      </c>
      <c r="B139">
        <v>1</v>
      </c>
      <c r="C139">
        <f>ROW(SmtRes!A56)</f>
        <v>56</v>
      </c>
      <c r="D139">
        <f>ROW(EtalonRes!A38)</f>
        <v>38</v>
      </c>
      <c r="E139" t="s">
        <v>279</v>
      </c>
      <c r="F139" t="s">
        <v>280</v>
      </c>
      <c r="G139" t="s">
        <v>281</v>
      </c>
      <c r="H139" t="s">
        <v>191</v>
      </c>
      <c r="I139">
        <v>5</v>
      </c>
      <c r="J139">
        <v>0</v>
      </c>
      <c r="O139">
        <f t="shared" si="119"/>
        <v>1687.76</v>
      </c>
      <c r="P139">
        <f t="shared" si="120"/>
        <v>9.61</v>
      </c>
      <c r="Q139">
        <f t="shared" si="154"/>
        <v>122.05</v>
      </c>
      <c r="R139">
        <f t="shared" si="121"/>
        <v>70.62</v>
      </c>
      <c r="S139">
        <f t="shared" si="122"/>
        <v>1556.1</v>
      </c>
      <c r="T139">
        <f t="shared" si="123"/>
        <v>0</v>
      </c>
      <c r="U139">
        <f t="shared" si="124"/>
        <v>5.15</v>
      </c>
      <c r="V139">
        <f t="shared" si="125"/>
        <v>0</v>
      </c>
      <c r="W139">
        <f t="shared" si="126"/>
        <v>0</v>
      </c>
      <c r="X139">
        <f t="shared" si="127"/>
        <v>1400.49</v>
      </c>
      <c r="Y139">
        <f t="shared" si="128"/>
        <v>669.12</v>
      </c>
      <c r="AA139">
        <v>44002026</v>
      </c>
      <c r="AB139">
        <f t="shared" si="129"/>
        <v>15.89</v>
      </c>
      <c r="AC139">
        <f t="shared" si="130"/>
        <v>0.35</v>
      </c>
      <c r="AD139">
        <f t="shared" si="155"/>
        <v>2.54</v>
      </c>
      <c r="AE139">
        <f t="shared" si="156"/>
        <v>0.59</v>
      </c>
      <c r="AF139">
        <f t="shared" si="157"/>
        <v>13</v>
      </c>
      <c r="AG139">
        <f t="shared" si="132"/>
        <v>0</v>
      </c>
      <c r="AH139">
        <f t="shared" si="158"/>
        <v>1.03</v>
      </c>
      <c r="AI139">
        <f t="shared" si="159"/>
        <v>0</v>
      </c>
      <c r="AJ139">
        <f t="shared" si="134"/>
        <v>0</v>
      </c>
      <c r="AK139">
        <v>15.89</v>
      </c>
      <c r="AL139">
        <v>0.35</v>
      </c>
      <c r="AM139">
        <v>2.54</v>
      </c>
      <c r="AN139">
        <v>0.59</v>
      </c>
      <c r="AO139">
        <v>13</v>
      </c>
      <c r="AP139">
        <v>0</v>
      </c>
      <c r="AQ139">
        <v>1.03</v>
      </c>
      <c r="AR139">
        <v>0</v>
      </c>
      <c r="AS139">
        <v>0</v>
      </c>
      <c r="AT139">
        <v>90</v>
      </c>
      <c r="AU139">
        <v>43</v>
      </c>
      <c r="AV139">
        <v>1</v>
      </c>
      <c r="AW139">
        <v>1</v>
      </c>
      <c r="AZ139">
        <v>1</v>
      </c>
      <c r="BA139">
        <v>23.94</v>
      </c>
      <c r="BB139">
        <v>9.61</v>
      </c>
      <c r="BC139">
        <v>5.49</v>
      </c>
      <c r="BD139" t="s">
        <v>3</v>
      </c>
      <c r="BE139" t="s">
        <v>3</v>
      </c>
      <c r="BF139" t="s">
        <v>3</v>
      </c>
      <c r="BG139" t="s">
        <v>3</v>
      </c>
      <c r="BH139">
        <v>0</v>
      </c>
      <c r="BI139">
        <v>2</v>
      </c>
      <c r="BJ139" t="s">
        <v>282</v>
      </c>
      <c r="BM139">
        <v>317</v>
      </c>
      <c r="BN139">
        <v>0</v>
      </c>
      <c r="BO139" t="s">
        <v>280</v>
      </c>
      <c r="BP139">
        <v>1</v>
      </c>
      <c r="BQ139">
        <v>40</v>
      </c>
      <c r="BR139">
        <v>0</v>
      </c>
      <c r="BS139">
        <v>23.94</v>
      </c>
      <c r="BT139">
        <v>1</v>
      </c>
      <c r="BU139">
        <v>1</v>
      </c>
      <c r="BV139">
        <v>1</v>
      </c>
      <c r="BW139">
        <v>1</v>
      </c>
      <c r="BX139">
        <v>1</v>
      </c>
      <c r="BY139" t="s">
        <v>3</v>
      </c>
      <c r="BZ139">
        <v>90</v>
      </c>
      <c r="CA139">
        <v>43</v>
      </c>
      <c r="CE139">
        <v>30</v>
      </c>
      <c r="CF139">
        <v>0</v>
      </c>
      <c r="CG139">
        <v>0</v>
      </c>
      <c r="CM139">
        <v>0</v>
      </c>
      <c r="CN139" t="s">
        <v>3</v>
      </c>
      <c r="CO139">
        <v>0</v>
      </c>
      <c r="CP139">
        <f t="shared" si="135"/>
        <v>1687.76</v>
      </c>
      <c r="CQ139">
        <f t="shared" si="136"/>
        <v>1.92</v>
      </c>
      <c r="CR139">
        <f t="shared" si="160"/>
        <v>24.41</v>
      </c>
      <c r="CS139">
        <f t="shared" si="137"/>
        <v>14.12</v>
      </c>
      <c r="CT139">
        <f t="shared" si="138"/>
        <v>311.22000000000003</v>
      </c>
      <c r="CU139">
        <f t="shared" si="139"/>
        <v>0</v>
      </c>
      <c r="CV139">
        <f t="shared" si="140"/>
        <v>1.03</v>
      </c>
      <c r="CW139">
        <f t="shared" si="141"/>
        <v>0</v>
      </c>
      <c r="CX139">
        <f t="shared" si="142"/>
        <v>0</v>
      </c>
      <c r="CY139">
        <f t="shared" si="143"/>
        <v>1400.49</v>
      </c>
      <c r="CZ139">
        <f t="shared" si="144"/>
        <v>669.12299999999993</v>
      </c>
      <c r="DC139" t="s">
        <v>3</v>
      </c>
      <c r="DD139" t="s">
        <v>3</v>
      </c>
      <c r="DE139" t="s">
        <v>3</v>
      </c>
      <c r="DF139" t="s">
        <v>3</v>
      </c>
      <c r="DG139" t="s">
        <v>3</v>
      </c>
      <c r="DH139" t="s">
        <v>3</v>
      </c>
      <c r="DI139" t="s">
        <v>3</v>
      </c>
      <c r="DJ139" t="s">
        <v>3</v>
      </c>
      <c r="DK139" t="s">
        <v>3</v>
      </c>
      <c r="DL139" t="s">
        <v>3</v>
      </c>
      <c r="DM139" t="s">
        <v>3</v>
      </c>
      <c r="DN139">
        <v>112</v>
      </c>
      <c r="DO139">
        <v>70</v>
      </c>
      <c r="DP139">
        <v>1</v>
      </c>
      <c r="DQ139">
        <v>1</v>
      </c>
      <c r="DU139">
        <v>1013</v>
      </c>
      <c r="DV139" t="s">
        <v>191</v>
      </c>
      <c r="DW139" t="s">
        <v>191</v>
      </c>
      <c r="DX139">
        <v>1</v>
      </c>
      <c r="EE139">
        <v>43770608</v>
      </c>
      <c r="EF139">
        <v>40</v>
      </c>
      <c r="EG139" t="s">
        <v>42</v>
      </c>
      <c r="EH139">
        <v>0</v>
      </c>
      <c r="EI139" t="s">
        <v>3</v>
      </c>
      <c r="EJ139">
        <v>2</v>
      </c>
      <c r="EK139">
        <v>317</v>
      </c>
      <c r="EL139" t="s">
        <v>283</v>
      </c>
      <c r="EM139" t="s">
        <v>284</v>
      </c>
      <c r="EO139" t="s">
        <v>3</v>
      </c>
      <c r="EQ139">
        <v>131072</v>
      </c>
      <c r="ER139">
        <v>15.89</v>
      </c>
      <c r="ES139">
        <v>0.35</v>
      </c>
      <c r="ET139">
        <v>2.54</v>
      </c>
      <c r="EU139">
        <v>0.59</v>
      </c>
      <c r="EV139">
        <v>13</v>
      </c>
      <c r="EW139">
        <v>1.03</v>
      </c>
      <c r="EX139">
        <v>0</v>
      </c>
      <c r="EY139">
        <v>0</v>
      </c>
      <c r="FQ139">
        <v>0</v>
      </c>
      <c r="FR139">
        <f t="shared" si="145"/>
        <v>0</v>
      </c>
      <c r="FS139">
        <v>0</v>
      </c>
      <c r="FX139">
        <v>112</v>
      </c>
      <c r="FY139">
        <v>70</v>
      </c>
      <c r="GA139" t="s">
        <v>3</v>
      </c>
      <c r="GD139">
        <v>0</v>
      </c>
      <c r="GF139">
        <v>678103160</v>
      </c>
      <c r="GG139">
        <v>2</v>
      </c>
      <c r="GH139">
        <v>1</v>
      </c>
      <c r="GI139">
        <v>2</v>
      </c>
      <c r="GJ139">
        <v>0</v>
      </c>
      <c r="GK139">
        <f>ROUND(R139*(R12)/100,2)</f>
        <v>110.87</v>
      </c>
      <c r="GL139">
        <f t="shared" si="146"/>
        <v>0</v>
      </c>
      <c r="GM139">
        <f t="shared" si="147"/>
        <v>3868.24</v>
      </c>
      <c r="GN139">
        <f t="shared" si="148"/>
        <v>0</v>
      </c>
      <c r="GO139">
        <f t="shared" si="149"/>
        <v>3868.24</v>
      </c>
      <c r="GP139">
        <f t="shared" si="150"/>
        <v>0</v>
      </c>
      <c r="GR139">
        <v>0</v>
      </c>
      <c r="GS139">
        <v>3</v>
      </c>
      <c r="GT139">
        <v>0</v>
      </c>
      <c r="GU139" t="s">
        <v>3</v>
      </c>
      <c r="GV139">
        <f t="shared" si="151"/>
        <v>0</v>
      </c>
      <c r="GW139">
        <v>1</v>
      </c>
      <c r="GX139">
        <f t="shared" si="152"/>
        <v>0</v>
      </c>
      <c r="HA139">
        <v>0</v>
      </c>
      <c r="HB139">
        <v>0</v>
      </c>
      <c r="HC139">
        <f t="shared" si="153"/>
        <v>0</v>
      </c>
      <c r="IK139">
        <v>0</v>
      </c>
    </row>
    <row r="140" spans="1:245" x14ac:dyDescent="0.2">
      <c r="A140">
        <v>18</v>
      </c>
      <c r="B140">
        <v>1</v>
      </c>
      <c r="C140">
        <v>55</v>
      </c>
      <c r="E140" t="s">
        <v>285</v>
      </c>
      <c r="F140" t="s">
        <v>286</v>
      </c>
      <c r="G140" t="s">
        <v>287</v>
      </c>
      <c r="H140" t="s">
        <v>209</v>
      </c>
      <c r="I140">
        <f>I139*J140</f>
        <v>3</v>
      </c>
      <c r="J140">
        <v>0.6</v>
      </c>
      <c r="O140">
        <f t="shared" si="119"/>
        <v>7630.25</v>
      </c>
      <c r="P140">
        <f t="shared" si="120"/>
        <v>7630.25</v>
      </c>
      <c r="Q140">
        <f t="shared" si="154"/>
        <v>0</v>
      </c>
      <c r="R140">
        <f t="shared" si="121"/>
        <v>0</v>
      </c>
      <c r="S140">
        <f t="shared" si="122"/>
        <v>0</v>
      </c>
      <c r="T140">
        <f t="shared" si="123"/>
        <v>0</v>
      </c>
      <c r="U140">
        <f t="shared" si="124"/>
        <v>0</v>
      </c>
      <c r="V140">
        <f t="shared" si="125"/>
        <v>0</v>
      </c>
      <c r="W140">
        <f t="shared" si="126"/>
        <v>0</v>
      </c>
      <c r="X140">
        <f t="shared" si="127"/>
        <v>0</v>
      </c>
      <c r="Y140">
        <f t="shared" si="128"/>
        <v>0</v>
      </c>
      <c r="AA140">
        <v>44002026</v>
      </c>
      <c r="AB140">
        <f t="shared" si="129"/>
        <v>362.31</v>
      </c>
      <c r="AC140">
        <f t="shared" si="130"/>
        <v>362.31</v>
      </c>
      <c r="AD140">
        <f t="shared" si="155"/>
        <v>0</v>
      </c>
      <c r="AE140">
        <f t="shared" si="156"/>
        <v>0</v>
      </c>
      <c r="AF140">
        <f t="shared" si="157"/>
        <v>0</v>
      </c>
      <c r="AG140">
        <f t="shared" si="132"/>
        <v>0</v>
      </c>
      <c r="AH140">
        <f t="shared" si="158"/>
        <v>0</v>
      </c>
      <c r="AI140">
        <f t="shared" si="159"/>
        <v>0</v>
      </c>
      <c r="AJ140">
        <f t="shared" si="134"/>
        <v>0</v>
      </c>
      <c r="AK140">
        <v>362.31</v>
      </c>
      <c r="AL140">
        <v>362.31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1</v>
      </c>
      <c r="AZ140">
        <v>1</v>
      </c>
      <c r="BA140">
        <v>1</v>
      </c>
      <c r="BB140">
        <v>1</v>
      </c>
      <c r="BC140">
        <v>7.02</v>
      </c>
      <c r="BD140" t="s">
        <v>3</v>
      </c>
      <c r="BE140" t="s">
        <v>3</v>
      </c>
      <c r="BF140" t="s">
        <v>3</v>
      </c>
      <c r="BG140" t="s">
        <v>3</v>
      </c>
      <c r="BH140">
        <v>3</v>
      </c>
      <c r="BI140">
        <v>2</v>
      </c>
      <c r="BJ140" t="s">
        <v>288</v>
      </c>
      <c r="BM140">
        <v>317</v>
      </c>
      <c r="BN140">
        <v>0</v>
      </c>
      <c r="BO140" t="s">
        <v>286</v>
      </c>
      <c r="BP140">
        <v>1</v>
      </c>
      <c r="BQ140">
        <v>40</v>
      </c>
      <c r="BR140">
        <v>0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 t="s">
        <v>3</v>
      </c>
      <c r="BZ140">
        <v>0</v>
      </c>
      <c r="CA140">
        <v>0</v>
      </c>
      <c r="CE140">
        <v>30</v>
      </c>
      <c r="CF140">
        <v>0</v>
      </c>
      <c r="CG140">
        <v>0</v>
      </c>
      <c r="CM140">
        <v>0</v>
      </c>
      <c r="CN140" t="s">
        <v>3</v>
      </c>
      <c r="CO140">
        <v>0</v>
      </c>
      <c r="CP140">
        <f t="shared" si="135"/>
        <v>7630.25</v>
      </c>
      <c r="CQ140">
        <f t="shared" si="136"/>
        <v>2543.42</v>
      </c>
      <c r="CR140">
        <f t="shared" si="160"/>
        <v>0</v>
      </c>
      <c r="CS140">
        <f t="shared" si="137"/>
        <v>0</v>
      </c>
      <c r="CT140">
        <f t="shared" si="138"/>
        <v>0</v>
      </c>
      <c r="CU140">
        <f t="shared" si="139"/>
        <v>0</v>
      </c>
      <c r="CV140">
        <f t="shared" si="140"/>
        <v>0</v>
      </c>
      <c r="CW140">
        <f t="shared" si="141"/>
        <v>0</v>
      </c>
      <c r="CX140">
        <f t="shared" si="142"/>
        <v>0</v>
      </c>
      <c r="CY140">
        <f t="shared" si="143"/>
        <v>0</v>
      </c>
      <c r="CZ140">
        <f t="shared" si="144"/>
        <v>0</v>
      </c>
      <c r="DC140" t="s">
        <v>3</v>
      </c>
      <c r="DD140" t="s">
        <v>3</v>
      </c>
      <c r="DE140" t="s">
        <v>3</v>
      </c>
      <c r="DF140" t="s">
        <v>3</v>
      </c>
      <c r="DG140" t="s">
        <v>3</v>
      </c>
      <c r="DH140" t="s">
        <v>3</v>
      </c>
      <c r="DI140" t="s">
        <v>3</v>
      </c>
      <c r="DJ140" t="s">
        <v>3</v>
      </c>
      <c r="DK140" t="s">
        <v>3</v>
      </c>
      <c r="DL140" t="s">
        <v>3</v>
      </c>
      <c r="DM140" t="s">
        <v>3</v>
      </c>
      <c r="DN140">
        <v>112</v>
      </c>
      <c r="DO140">
        <v>70</v>
      </c>
      <c r="DP140">
        <v>1</v>
      </c>
      <c r="DQ140">
        <v>1</v>
      </c>
      <c r="DU140">
        <v>1010</v>
      </c>
      <c r="DV140" t="s">
        <v>209</v>
      </c>
      <c r="DW140" t="s">
        <v>209</v>
      </c>
      <c r="DX140">
        <v>1</v>
      </c>
      <c r="EE140">
        <v>43770608</v>
      </c>
      <c r="EF140">
        <v>40</v>
      </c>
      <c r="EG140" t="s">
        <v>42</v>
      </c>
      <c r="EH140">
        <v>0</v>
      </c>
      <c r="EI140" t="s">
        <v>3</v>
      </c>
      <c r="EJ140">
        <v>2</v>
      </c>
      <c r="EK140">
        <v>317</v>
      </c>
      <c r="EL140" t="s">
        <v>283</v>
      </c>
      <c r="EM140" t="s">
        <v>284</v>
      </c>
      <c r="EO140" t="s">
        <v>3</v>
      </c>
      <c r="EQ140">
        <v>0</v>
      </c>
      <c r="ER140">
        <v>362.31</v>
      </c>
      <c r="ES140">
        <v>362.31</v>
      </c>
      <c r="ET140">
        <v>0</v>
      </c>
      <c r="EU140">
        <v>0</v>
      </c>
      <c r="EV140">
        <v>0</v>
      </c>
      <c r="EW140">
        <v>0</v>
      </c>
      <c r="EX140">
        <v>0</v>
      </c>
      <c r="FQ140">
        <v>0</v>
      </c>
      <c r="FR140">
        <f t="shared" si="145"/>
        <v>0</v>
      </c>
      <c r="FS140">
        <v>0</v>
      </c>
      <c r="FX140">
        <v>112</v>
      </c>
      <c r="FY140">
        <v>70</v>
      </c>
      <c r="GA140" t="s">
        <v>3</v>
      </c>
      <c r="GD140">
        <v>0</v>
      </c>
      <c r="GF140">
        <v>1061999</v>
      </c>
      <c r="GG140">
        <v>2</v>
      </c>
      <c r="GH140">
        <v>1</v>
      </c>
      <c r="GI140">
        <v>2</v>
      </c>
      <c r="GJ140">
        <v>0</v>
      </c>
      <c r="GK140">
        <f>ROUND(R140*(R12)/100,2)</f>
        <v>0</v>
      </c>
      <c r="GL140">
        <f t="shared" si="146"/>
        <v>0</v>
      </c>
      <c r="GM140">
        <f t="shared" si="147"/>
        <v>7630.25</v>
      </c>
      <c r="GN140">
        <f t="shared" si="148"/>
        <v>0</v>
      </c>
      <c r="GO140">
        <f t="shared" si="149"/>
        <v>7630.25</v>
      </c>
      <c r="GP140">
        <f t="shared" si="150"/>
        <v>0</v>
      </c>
      <c r="GR140">
        <v>0</v>
      </c>
      <c r="GS140">
        <v>3</v>
      </c>
      <c r="GT140">
        <v>0</v>
      </c>
      <c r="GU140" t="s">
        <v>3</v>
      </c>
      <c r="GV140">
        <f t="shared" si="151"/>
        <v>0</v>
      </c>
      <c r="GW140">
        <v>1</v>
      </c>
      <c r="GX140">
        <f t="shared" si="152"/>
        <v>0</v>
      </c>
      <c r="HA140">
        <v>0</v>
      </c>
      <c r="HB140">
        <v>0</v>
      </c>
      <c r="HC140">
        <f t="shared" si="153"/>
        <v>0</v>
      </c>
      <c r="IK140">
        <v>0</v>
      </c>
    </row>
    <row r="141" spans="1:245" x14ac:dyDescent="0.2">
      <c r="A141">
        <v>18</v>
      </c>
      <c r="B141">
        <v>1</v>
      </c>
      <c r="C141">
        <v>56</v>
      </c>
      <c r="E141" t="s">
        <v>289</v>
      </c>
      <c r="F141" t="s">
        <v>290</v>
      </c>
      <c r="G141" t="s">
        <v>291</v>
      </c>
      <c r="H141" t="s">
        <v>209</v>
      </c>
      <c r="I141">
        <f>I139*J141</f>
        <v>2</v>
      </c>
      <c r="J141">
        <v>0.4</v>
      </c>
      <c r="O141">
        <f t="shared" si="119"/>
        <v>6374.21</v>
      </c>
      <c r="P141">
        <f t="shared" si="120"/>
        <v>6374.21</v>
      </c>
      <c r="Q141">
        <f t="shared" si="154"/>
        <v>0</v>
      </c>
      <c r="R141">
        <f t="shared" si="121"/>
        <v>0</v>
      </c>
      <c r="S141">
        <f t="shared" si="122"/>
        <v>0</v>
      </c>
      <c r="T141">
        <f t="shared" si="123"/>
        <v>0</v>
      </c>
      <c r="U141">
        <f t="shared" si="124"/>
        <v>0</v>
      </c>
      <c r="V141">
        <f t="shared" si="125"/>
        <v>0</v>
      </c>
      <c r="W141">
        <f t="shared" si="126"/>
        <v>0</v>
      </c>
      <c r="X141">
        <f t="shared" si="127"/>
        <v>0</v>
      </c>
      <c r="Y141">
        <f t="shared" si="128"/>
        <v>0</v>
      </c>
      <c r="AA141">
        <v>44002026</v>
      </c>
      <c r="AB141">
        <f t="shared" si="129"/>
        <v>344.18</v>
      </c>
      <c r="AC141">
        <f t="shared" si="130"/>
        <v>344.18</v>
      </c>
      <c r="AD141">
        <f t="shared" si="155"/>
        <v>0</v>
      </c>
      <c r="AE141">
        <f t="shared" si="156"/>
        <v>0</v>
      </c>
      <c r="AF141">
        <f t="shared" si="157"/>
        <v>0</v>
      </c>
      <c r="AG141">
        <f t="shared" si="132"/>
        <v>0</v>
      </c>
      <c r="AH141">
        <f t="shared" si="158"/>
        <v>0</v>
      </c>
      <c r="AI141">
        <f t="shared" si="159"/>
        <v>0</v>
      </c>
      <c r="AJ141">
        <f t="shared" si="134"/>
        <v>0</v>
      </c>
      <c r="AK141">
        <v>344.18</v>
      </c>
      <c r="AL141">
        <v>344.18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1</v>
      </c>
      <c r="AZ141">
        <v>1</v>
      </c>
      <c r="BA141">
        <v>1</v>
      </c>
      <c r="BB141">
        <v>1</v>
      </c>
      <c r="BC141">
        <v>9.26</v>
      </c>
      <c r="BD141" t="s">
        <v>3</v>
      </c>
      <c r="BE141" t="s">
        <v>3</v>
      </c>
      <c r="BF141" t="s">
        <v>3</v>
      </c>
      <c r="BG141" t="s">
        <v>3</v>
      </c>
      <c r="BH141">
        <v>3</v>
      </c>
      <c r="BI141">
        <v>2</v>
      </c>
      <c r="BJ141" t="s">
        <v>292</v>
      </c>
      <c r="BM141">
        <v>317</v>
      </c>
      <c r="BN141">
        <v>0</v>
      </c>
      <c r="BO141" t="s">
        <v>290</v>
      </c>
      <c r="BP141">
        <v>1</v>
      </c>
      <c r="BQ141">
        <v>40</v>
      </c>
      <c r="BR141">
        <v>0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 t="s">
        <v>3</v>
      </c>
      <c r="BZ141">
        <v>0</v>
      </c>
      <c r="CA141">
        <v>0</v>
      </c>
      <c r="CE141">
        <v>30</v>
      </c>
      <c r="CF141">
        <v>0</v>
      </c>
      <c r="CG141">
        <v>0</v>
      </c>
      <c r="CM141">
        <v>0</v>
      </c>
      <c r="CN141" t="s">
        <v>3</v>
      </c>
      <c r="CO141">
        <v>0</v>
      </c>
      <c r="CP141">
        <f t="shared" si="135"/>
        <v>6374.21</v>
      </c>
      <c r="CQ141">
        <f t="shared" si="136"/>
        <v>3187.11</v>
      </c>
      <c r="CR141">
        <f t="shared" si="160"/>
        <v>0</v>
      </c>
      <c r="CS141">
        <f t="shared" si="137"/>
        <v>0</v>
      </c>
      <c r="CT141">
        <f t="shared" si="138"/>
        <v>0</v>
      </c>
      <c r="CU141">
        <f t="shared" si="139"/>
        <v>0</v>
      </c>
      <c r="CV141">
        <f t="shared" si="140"/>
        <v>0</v>
      </c>
      <c r="CW141">
        <f t="shared" si="141"/>
        <v>0</v>
      </c>
      <c r="CX141">
        <f t="shared" si="142"/>
        <v>0</v>
      </c>
      <c r="CY141">
        <f t="shared" si="143"/>
        <v>0</v>
      </c>
      <c r="CZ141">
        <f t="shared" si="144"/>
        <v>0</v>
      </c>
      <c r="DC141" t="s">
        <v>3</v>
      </c>
      <c r="DD141" t="s">
        <v>3</v>
      </c>
      <c r="DE141" t="s">
        <v>3</v>
      </c>
      <c r="DF141" t="s">
        <v>3</v>
      </c>
      <c r="DG141" t="s">
        <v>3</v>
      </c>
      <c r="DH141" t="s">
        <v>3</v>
      </c>
      <c r="DI141" t="s">
        <v>3</v>
      </c>
      <c r="DJ141" t="s">
        <v>3</v>
      </c>
      <c r="DK141" t="s">
        <v>3</v>
      </c>
      <c r="DL141" t="s">
        <v>3</v>
      </c>
      <c r="DM141" t="s">
        <v>3</v>
      </c>
      <c r="DN141">
        <v>112</v>
      </c>
      <c r="DO141">
        <v>70</v>
      </c>
      <c r="DP141">
        <v>1</v>
      </c>
      <c r="DQ141">
        <v>1</v>
      </c>
      <c r="DU141">
        <v>1010</v>
      </c>
      <c r="DV141" t="s">
        <v>209</v>
      </c>
      <c r="DW141" t="s">
        <v>209</v>
      </c>
      <c r="DX141">
        <v>1</v>
      </c>
      <c r="EE141">
        <v>43770608</v>
      </c>
      <c r="EF141">
        <v>40</v>
      </c>
      <c r="EG141" t="s">
        <v>42</v>
      </c>
      <c r="EH141">
        <v>0</v>
      </c>
      <c r="EI141" t="s">
        <v>3</v>
      </c>
      <c r="EJ141">
        <v>2</v>
      </c>
      <c r="EK141">
        <v>317</v>
      </c>
      <c r="EL141" t="s">
        <v>283</v>
      </c>
      <c r="EM141" t="s">
        <v>284</v>
      </c>
      <c r="EO141" t="s">
        <v>3</v>
      </c>
      <c r="EQ141">
        <v>0</v>
      </c>
      <c r="ER141">
        <v>344.18</v>
      </c>
      <c r="ES141">
        <v>344.18</v>
      </c>
      <c r="ET141">
        <v>0</v>
      </c>
      <c r="EU141">
        <v>0</v>
      </c>
      <c r="EV141">
        <v>0</v>
      </c>
      <c r="EW141">
        <v>0</v>
      </c>
      <c r="EX141">
        <v>0</v>
      </c>
      <c r="FQ141">
        <v>0</v>
      </c>
      <c r="FR141">
        <f t="shared" si="145"/>
        <v>0</v>
      </c>
      <c r="FS141">
        <v>0</v>
      </c>
      <c r="FX141">
        <v>112</v>
      </c>
      <c r="FY141">
        <v>70</v>
      </c>
      <c r="GA141" t="s">
        <v>3</v>
      </c>
      <c r="GD141">
        <v>0</v>
      </c>
      <c r="GF141">
        <v>-713965678</v>
      </c>
      <c r="GG141">
        <v>2</v>
      </c>
      <c r="GH141">
        <v>1</v>
      </c>
      <c r="GI141">
        <v>2</v>
      </c>
      <c r="GJ141">
        <v>0</v>
      </c>
      <c r="GK141">
        <f>ROUND(R141*(R12)/100,2)</f>
        <v>0</v>
      </c>
      <c r="GL141">
        <f t="shared" si="146"/>
        <v>0</v>
      </c>
      <c r="GM141">
        <f t="shared" si="147"/>
        <v>6374.21</v>
      </c>
      <c r="GN141">
        <f t="shared" si="148"/>
        <v>0</v>
      </c>
      <c r="GO141">
        <f t="shared" si="149"/>
        <v>6374.21</v>
      </c>
      <c r="GP141">
        <f t="shared" si="150"/>
        <v>0</v>
      </c>
      <c r="GR141">
        <v>0</v>
      </c>
      <c r="GS141">
        <v>3</v>
      </c>
      <c r="GT141">
        <v>0</v>
      </c>
      <c r="GU141" t="s">
        <v>3</v>
      </c>
      <c r="GV141">
        <f t="shared" si="151"/>
        <v>0</v>
      </c>
      <c r="GW141">
        <v>1</v>
      </c>
      <c r="GX141">
        <f t="shared" si="152"/>
        <v>0</v>
      </c>
      <c r="HA141">
        <v>0</v>
      </c>
      <c r="HB141">
        <v>0</v>
      </c>
      <c r="HC141">
        <f t="shared" si="153"/>
        <v>0</v>
      </c>
      <c r="IK141">
        <v>0</v>
      </c>
    </row>
    <row r="142" spans="1:245" x14ac:dyDescent="0.2">
      <c r="A142">
        <v>17</v>
      </c>
      <c r="B142">
        <v>1</v>
      </c>
      <c r="C142">
        <f>ROW(SmtRes!A59)</f>
        <v>59</v>
      </c>
      <c r="D142">
        <f>ROW(EtalonRes!A40)</f>
        <v>40</v>
      </c>
      <c r="E142" t="s">
        <v>293</v>
      </c>
      <c r="F142" t="s">
        <v>294</v>
      </c>
      <c r="G142" t="s">
        <v>295</v>
      </c>
      <c r="H142" t="s">
        <v>191</v>
      </c>
      <c r="I142">
        <v>1</v>
      </c>
      <c r="J142">
        <v>0</v>
      </c>
      <c r="O142">
        <f t="shared" si="119"/>
        <v>142.44</v>
      </c>
      <c r="P142">
        <f t="shared" si="120"/>
        <v>0</v>
      </c>
      <c r="Q142">
        <f t="shared" si="154"/>
        <v>0</v>
      </c>
      <c r="R142">
        <f t="shared" si="121"/>
        <v>0</v>
      </c>
      <c r="S142">
        <f t="shared" si="122"/>
        <v>142.44</v>
      </c>
      <c r="T142">
        <f t="shared" si="123"/>
        <v>0</v>
      </c>
      <c r="U142">
        <f t="shared" si="124"/>
        <v>0.5</v>
      </c>
      <c r="V142">
        <f t="shared" si="125"/>
        <v>0</v>
      </c>
      <c r="W142">
        <f t="shared" si="126"/>
        <v>0</v>
      </c>
      <c r="X142">
        <f t="shared" si="127"/>
        <v>128.19999999999999</v>
      </c>
      <c r="Y142">
        <f t="shared" si="128"/>
        <v>61.25</v>
      </c>
      <c r="AA142">
        <v>44002026</v>
      </c>
      <c r="AB142">
        <f t="shared" si="129"/>
        <v>5.95</v>
      </c>
      <c r="AC142">
        <f t="shared" si="130"/>
        <v>0</v>
      </c>
      <c r="AD142">
        <f t="shared" si="155"/>
        <v>0</v>
      </c>
      <c r="AE142">
        <f t="shared" si="156"/>
        <v>0</v>
      </c>
      <c r="AF142">
        <f t="shared" si="157"/>
        <v>5.95</v>
      </c>
      <c r="AG142">
        <f t="shared" si="132"/>
        <v>0</v>
      </c>
      <c r="AH142">
        <f t="shared" si="158"/>
        <v>0.5</v>
      </c>
      <c r="AI142">
        <f t="shared" si="159"/>
        <v>0</v>
      </c>
      <c r="AJ142">
        <f t="shared" si="134"/>
        <v>0</v>
      </c>
      <c r="AK142">
        <v>5.95</v>
      </c>
      <c r="AL142">
        <v>0</v>
      </c>
      <c r="AM142">
        <v>0</v>
      </c>
      <c r="AN142">
        <v>0</v>
      </c>
      <c r="AO142">
        <v>5.95</v>
      </c>
      <c r="AP142">
        <v>0</v>
      </c>
      <c r="AQ142">
        <v>0.5</v>
      </c>
      <c r="AR142">
        <v>0</v>
      </c>
      <c r="AS142">
        <v>0</v>
      </c>
      <c r="AT142">
        <v>90</v>
      </c>
      <c r="AU142">
        <v>43</v>
      </c>
      <c r="AV142">
        <v>1</v>
      </c>
      <c r="AW142">
        <v>1</v>
      </c>
      <c r="AZ142">
        <v>1</v>
      </c>
      <c r="BA142">
        <v>23.94</v>
      </c>
      <c r="BB142">
        <v>1</v>
      </c>
      <c r="BC142">
        <v>1</v>
      </c>
      <c r="BD142" t="s">
        <v>3</v>
      </c>
      <c r="BE142" t="s">
        <v>3</v>
      </c>
      <c r="BF142" t="s">
        <v>3</v>
      </c>
      <c r="BG142" t="s">
        <v>3</v>
      </c>
      <c r="BH142">
        <v>0</v>
      </c>
      <c r="BI142">
        <v>2</v>
      </c>
      <c r="BJ142" t="s">
        <v>296</v>
      </c>
      <c r="BM142">
        <v>336</v>
      </c>
      <c r="BN142">
        <v>0</v>
      </c>
      <c r="BO142" t="s">
        <v>294</v>
      </c>
      <c r="BP142">
        <v>1</v>
      </c>
      <c r="BQ142">
        <v>40</v>
      </c>
      <c r="BR142">
        <v>0</v>
      </c>
      <c r="BS142">
        <v>23.94</v>
      </c>
      <c r="BT142">
        <v>1</v>
      </c>
      <c r="BU142">
        <v>1</v>
      </c>
      <c r="BV142">
        <v>1</v>
      </c>
      <c r="BW142">
        <v>1</v>
      </c>
      <c r="BX142">
        <v>1</v>
      </c>
      <c r="BY142" t="s">
        <v>3</v>
      </c>
      <c r="BZ142">
        <v>90</v>
      </c>
      <c r="CA142">
        <v>43</v>
      </c>
      <c r="CE142">
        <v>30</v>
      </c>
      <c r="CF142">
        <v>0</v>
      </c>
      <c r="CG142">
        <v>0</v>
      </c>
      <c r="CM142">
        <v>0</v>
      </c>
      <c r="CN142" t="s">
        <v>3</v>
      </c>
      <c r="CO142">
        <v>0</v>
      </c>
      <c r="CP142">
        <f t="shared" si="135"/>
        <v>142.44</v>
      </c>
      <c r="CQ142">
        <f t="shared" si="136"/>
        <v>0</v>
      </c>
      <c r="CR142">
        <f t="shared" si="160"/>
        <v>0</v>
      </c>
      <c r="CS142">
        <f t="shared" si="137"/>
        <v>0</v>
      </c>
      <c r="CT142">
        <f t="shared" si="138"/>
        <v>142.44</v>
      </c>
      <c r="CU142">
        <f t="shared" si="139"/>
        <v>0</v>
      </c>
      <c r="CV142">
        <f t="shared" si="140"/>
        <v>0.5</v>
      </c>
      <c r="CW142">
        <f t="shared" si="141"/>
        <v>0</v>
      </c>
      <c r="CX142">
        <f t="shared" si="142"/>
        <v>0</v>
      </c>
      <c r="CY142">
        <f t="shared" si="143"/>
        <v>128.196</v>
      </c>
      <c r="CZ142">
        <f t="shared" si="144"/>
        <v>61.249199999999995</v>
      </c>
      <c r="DC142" t="s">
        <v>3</v>
      </c>
      <c r="DD142" t="s">
        <v>3</v>
      </c>
      <c r="DE142" t="s">
        <v>3</v>
      </c>
      <c r="DF142" t="s">
        <v>3</v>
      </c>
      <c r="DG142" t="s">
        <v>3</v>
      </c>
      <c r="DH142" t="s">
        <v>3</v>
      </c>
      <c r="DI142" t="s">
        <v>3</v>
      </c>
      <c r="DJ142" t="s">
        <v>3</v>
      </c>
      <c r="DK142" t="s">
        <v>3</v>
      </c>
      <c r="DL142" t="s">
        <v>3</v>
      </c>
      <c r="DM142" t="s">
        <v>3</v>
      </c>
      <c r="DN142">
        <v>112</v>
      </c>
      <c r="DO142">
        <v>70</v>
      </c>
      <c r="DP142">
        <v>1</v>
      </c>
      <c r="DQ142">
        <v>1</v>
      </c>
      <c r="DU142">
        <v>1013</v>
      </c>
      <c r="DV142" t="s">
        <v>191</v>
      </c>
      <c r="DW142" t="s">
        <v>191</v>
      </c>
      <c r="DX142">
        <v>1</v>
      </c>
      <c r="EE142">
        <v>43770627</v>
      </c>
      <c r="EF142">
        <v>40</v>
      </c>
      <c r="EG142" t="s">
        <v>42</v>
      </c>
      <c r="EH142">
        <v>0</v>
      </c>
      <c r="EI142" t="s">
        <v>3</v>
      </c>
      <c r="EJ142">
        <v>2</v>
      </c>
      <c r="EK142">
        <v>336</v>
      </c>
      <c r="EL142" t="s">
        <v>297</v>
      </c>
      <c r="EM142" t="s">
        <v>298</v>
      </c>
      <c r="EO142" t="s">
        <v>3</v>
      </c>
      <c r="EQ142">
        <v>131072</v>
      </c>
      <c r="ER142">
        <v>5.95</v>
      </c>
      <c r="ES142">
        <v>0</v>
      </c>
      <c r="ET142">
        <v>0</v>
      </c>
      <c r="EU142">
        <v>0</v>
      </c>
      <c r="EV142">
        <v>5.95</v>
      </c>
      <c r="EW142">
        <v>0.5</v>
      </c>
      <c r="EX142">
        <v>0</v>
      </c>
      <c r="EY142">
        <v>0</v>
      </c>
      <c r="FQ142">
        <v>0</v>
      </c>
      <c r="FR142">
        <f t="shared" si="145"/>
        <v>0</v>
      </c>
      <c r="FS142">
        <v>0</v>
      </c>
      <c r="FX142">
        <v>112</v>
      </c>
      <c r="FY142">
        <v>70</v>
      </c>
      <c r="GA142" t="s">
        <v>3</v>
      </c>
      <c r="GD142">
        <v>0</v>
      </c>
      <c r="GF142">
        <v>-254030100</v>
      </c>
      <c r="GG142">
        <v>2</v>
      </c>
      <c r="GH142">
        <v>1</v>
      </c>
      <c r="GI142">
        <v>2</v>
      </c>
      <c r="GJ142">
        <v>0</v>
      </c>
      <c r="GK142">
        <f>ROUND(R142*(R12)/100,2)</f>
        <v>0</v>
      </c>
      <c r="GL142">
        <f t="shared" si="146"/>
        <v>0</v>
      </c>
      <c r="GM142">
        <f t="shared" si="147"/>
        <v>331.89</v>
      </c>
      <c r="GN142">
        <f t="shared" si="148"/>
        <v>0</v>
      </c>
      <c r="GO142">
        <f t="shared" si="149"/>
        <v>331.89</v>
      </c>
      <c r="GP142">
        <f t="shared" si="150"/>
        <v>0</v>
      </c>
      <c r="GR142">
        <v>0</v>
      </c>
      <c r="GS142">
        <v>3</v>
      </c>
      <c r="GT142">
        <v>0</v>
      </c>
      <c r="GU142" t="s">
        <v>3</v>
      </c>
      <c r="GV142">
        <f t="shared" si="151"/>
        <v>0</v>
      </c>
      <c r="GW142">
        <v>1</v>
      </c>
      <c r="GX142">
        <f t="shared" si="152"/>
        <v>0</v>
      </c>
      <c r="HA142">
        <v>0</v>
      </c>
      <c r="HB142">
        <v>0</v>
      </c>
      <c r="HC142">
        <f t="shared" si="153"/>
        <v>0</v>
      </c>
      <c r="IK142">
        <v>0</v>
      </c>
    </row>
    <row r="143" spans="1:245" x14ac:dyDescent="0.2">
      <c r="A143">
        <v>18</v>
      </c>
      <c r="B143">
        <v>1</v>
      </c>
      <c r="C143">
        <v>58</v>
      </c>
      <c r="E143" t="s">
        <v>299</v>
      </c>
      <c r="F143" t="s">
        <v>300</v>
      </c>
      <c r="G143" t="s">
        <v>301</v>
      </c>
      <c r="H143" t="s">
        <v>209</v>
      </c>
      <c r="I143">
        <f>I142*J143</f>
        <v>1</v>
      </c>
      <c r="J143">
        <v>1</v>
      </c>
      <c r="O143">
        <f t="shared" si="119"/>
        <v>553.15</v>
      </c>
      <c r="P143">
        <f t="shared" si="120"/>
        <v>553.15</v>
      </c>
      <c r="Q143">
        <f t="shared" si="154"/>
        <v>0</v>
      </c>
      <c r="R143">
        <f t="shared" si="121"/>
        <v>0</v>
      </c>
      <c r="S143">
        <f t="shared" si="122"/>
        <v>0</v>
      </c>
      <c r="T143">
        <f t="shared" si="123"/>
        <v>0</v>
      </c>
      <c r="U143">
        <f t="shared" si="124"/>
        <v>0</v>
      </c>
      <c r="V143">
        <f t="shared" si="125"/>
        <v>0</v>
      </c>
      <c r="W143">
        <f t="shared" si="126"/>
        <v>0</v>
      </c>
      <c r="X143">
        <f t="shared" si="127"/>
        <v>0</v>
      </c>
      <c r="Y143">
        <f t="shared" si="128"/>
        <v>0</v>
      </c>
      <c r="AA143">
        <v>44002026</v>
      </c>
      <c r="AB143">
        <f t="shared" si="129"/>
        <v>106.17</v>
      </c>
      <c r="AC143">
        <f t="shared" si="130"/>
        <v>106.17</v>
      </c>
      <c r="AD143">
        <f t="shared" si="155"/>
        <v>0</v>
      </c>
      <c r="AE143">
        <f t="shared" si="156"/>
        <v>0</v>
      </c>
      <c r="AF143">
        <f t="shared" si="157"/>
        <v>0</v>
      </c>
      <c r="AG143">
        <f t="shared" si="132"/>
        <v>0</v>
      </c>
      <c r="AH143">
        <f t="shared" si="158"/>
        <v>0</v>
      </c>
      <c r="AI143">
        <f t="shared" si="159"/>
        <v>0</v>
      </c>
      <c r="AJ143">
        <f t="shared" si="134"/>
        <v>0</v>
      </c>
      <c r="AK143">
        <v>106.17</v>
      </c>
      <c r="AL143">
        <v>106.17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Z143">
        <v>1</v>
      </c>
      <c r="BA143">
        <v>1</v>
      </c>
      <c r="BB143">
        <v>1</v>
      </c>
      <c r="BC143">
        <v>5.21</v>
      </c>
      <c r="BD143" t="s">
        <v>3</v>
      </c>
      <c r="BE143" t="s">
        <v>3</v>
      </c>
      <c r="BF143" t="s">
        <v>3</v>
      </c>
      <c r="BG143" t="s">
        <v>3</v>
      </c>
      <c r="BH143">
        <v>3</v>
      </c>
      <c r="BI143">
        <v>2</v>
      </c>
      <c r="BJ143" t="s">
        <v>302</v>
      </c>
      <c r="BM143">
        <v>336</v>
      </c>
      <c r="BN143">
        <v>0</v>
      </c>
      <c r="BO143" t="s">
        <v>300</v>
      </c>
      <c r="BP143">
        <v>1</v>
      </c>
      <c r="BQ143">
        <v>40</v>
      </c>
      <c r="BR143">
        <v>0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 t="s">
        <v>3</v>
      </c>
      <c r="BZ143">
        <v>0</v>
      </c>
      <c r="CA143">
        <v>0</v>
      </c>
      <c r="CE143">
        <v>30</v>
      </c>
      <c r="CF143">
        <v>0</v>
      </c>
      <c r="CG143">
        <v>0</v>
      </c>
      <c r="CM143">
        <v>0</v>
      </c>
      <c r="CN143" t="s">
        <v>3</v>
      </c>
      <c r="CO143">
        <v>0</v>
      </c>
      <c r="CP143">
        <f t="shared" si="135"/>
        <v>553.15</v>
      </c>
      <c r="CQ143">
        <f t="shared" si="136"/>
        <v>553.15</v>
      </c>
      <c r="CR143">
        <f t="shared" si="160"/>
        <v>0</v>
      </c>
      <c r="CS143">
        <f t="shared" si="137"/>
        <v>0</v>
      </c>
      <c r="CT143">
        <f t="shared" si="138"/>
        <v>0</v>
      </c>
      <c r="CU143">
        <f t="shared" si="139"/>
        <v>0</v>
      </c>
      <c r="CV143">
        <f t="shared" si="140"/>
        <v>0</v>
      </c>
      <c r="CW143">
        <f t="shared" si="141"/>
        <v>0</v>
      </c>
      <c r="CX143">
        <f t="shared" si="142"/>
        <v>0</v>
      </c>
      <c r="CY143">
        <f t="shared" si="143"/>
        <v>0</v>
      </c>
      <c r="CZ143">
        <f t="shared" si="144"/>
        <v>0</v>
      </c>
      <c r="DC143" t="s">
        <v>3</v>
      </c>
      <c r="DD143" t="s">
        <v>3</v>
      </c>
      <c r="DE143" t="s">
        <v>3</v>
      </c>
      <c r="DF143" t="s">
        <v>3</v>
      </c>
      <c r="DG143" t="s">
        <v>3</v>
      </c>
      <c r="DH143" t="s">
        <v>3</v>
      </c>
      <c r="DI143" t="s">
        <v>3</v>
      </c>
      <c r="DJ143" t="s">
        <v>3</v>
      </c>
      <c r="DK143" t="s">
        <v>3</v>
      </c>
      <c r="DL143" t="s">
        <v>3</v>
      </c>
      <c r="DM143" t="s">
        <v>3</v>
      </c>
      <c r="DN143">
        <v>112</v>
      </c>
      <c r="DO143">
        <v>70</v>
      </c>
      <c r="DP143">
        <v>1</v>
      </c>
      <c r="DQ143">
        <v>1</v>
      </c>
      <c r="DU143">
        <v>1010</v>
      </c>
      <c r="DV143" t="s">
        <v>209</v>
      </c>
      <c r="DW143" t="s">
        <v>209</v>
      </c>
      <c r="DX143">
        <v>1</v>
      </c>
      <c r="EE143">
        <v>43770627</v>
      </c>
      <c r="EF143">
        <v>40</v>
      </c>
      <c r="EG143" t="s">
        <v>42</v>
      </c>
      <c r="EH143">
        <v>0</v>
      </c>
      <c r="EI143" t="s">
        <v>3</v>
      </c>
      <c r="EJ143">
        <v>2</v>
      </c>
      <c r="EK143">
        <v>336</v>
      </c>
      <c r="EL143" t="s">
        <v>297</v>
      </c>
      <c r="EM143" t="s">
        <v>298</v>
      </c>
      <c r="EO143" t="s">
        <v>3</v>
      </c>
      <c r="EQ143">
        <v>0</v>
      </c>
      <c r="ER143">
        <v>106.17</v>
      </c>
      <c r="ES143">
        <v>106.17</v>
      </c>
      <c r="ET143">
        <v>0</v>
      </c>
      <c r="EU143">
        <v>0</v>
      </c>
      <c r="EV143">
        <v>0</v>
      </c>
      <c r="EW143">
        <v>0</v>
      </c>
      <c r="EX143">
        <v>0</v>
      </c>
      <c r="FQ143">
        <v>0</v>
      </c>
      <c r="FR143">
        <f t="shared" si="145"/>
        <v>0</v>
      </c>
      <c r="FS143">
        <v>0</v>
      </c>
      <c r="FX143">
        <v>112</v>
      </c>
      <c r="FY143">
        <v>70</v>
      </c>
      <c r="GA143" t="s">
        <v>3</v>
      </c>
      <c r="GD143">
        <v>0</v>
      </c>
      <c r="GF143">
        <v>1756658100</v>
      </c>
      <c r="GG143">
        <v>2</v>
      </c>
      <c r="GH143">
        <v>1</v>
      </c>
      <c r="GI143">
        <v>2</v>
      </c>
      <c r="GJ143">
        <v>0</v>
      </c>
      <c r="GK143">
        <f>ROUND(R143*(R12)/100,2)</f>
        <v>0</v>
      </c>
      <c r="GL143">
        <f t="shared" si="146"/>
        <v>0</v>
      </c>
      <c r="GM143">
        <f t="shared" si="147"/>
        <v>553.15</v>
      </c>
      <c r="GN143">
        <f t="shared" si="148"/>
        <v>0</v>
      </c>
      <c r="GO143">
        <f t="shared" si="149"/>
        <v>553.15</v>
      </c>
      <c r="GP143">
        <f t="shared" si="150"/>
        <v>0</v>
      </c>
      <c r="GR143">
        <v>0</v>
      </c>
      <c r="GS143">
        <v>3</v>
      </c>
      <c r="GT143">
        <v>0</v>
      </c>
      <c r="GU143" t="s">
        <v>3</v>
      </c>
      <c r="GV143">
        <f t="shared" si="151"/>
        <v>0</v>
      </c>
      <c r="GW143">
        <v>1</v>
      </c>
      <c r="GX143">
        <f t="shared" si="152"/>
        <v>0</v>
      </c>
      <c r="HA143">
        <v>0</v>
      </c>
      <c r="HB143">
        <v>0</v>
      </c>
      <c r="HC143">
        <f t="shared" si="153"/>
        <v>0</v>
      </c>
      <c r="IK143">
        <v>0</v>
      </c>
    </row>
    <row r="144" spans="1:245" x14ac:dyDescent="0.2">
      <c r="A144">
        <v>17</v>
      </c>
      <c r="B144">
        <v>1</v>
      </c>
      <c r="C144">
        <f>ROW(SmtRes!A61)</f>
        <v>61</v>
      </c>
      <c r="D144">
        <f>ROW(EtalonRes!A41)</f>
        <v>41</v>
      </c>
      <c r="E144" t="s">
        <v>303</v>
      </c>
      <c r="F144" t="s">
        <v>304</v>
      </c>
      <c r="G144" t="s">
        <v>305</v>
      </c>
      <c r="H144" t="s">
        <v>191</v>
      </c>
      <c r="I144">
        <v>2</v>
      </c>
      <c r="J144">
        <v>0</v>
      </c>
      <c r="O144">
        <f t="shared" si="119"/>
        <v>664.04</v>
      </c>
      <c r="P144">
        <f t="shared" si="120"/>
        <v>25.32</v>
      </c>
      <c r="Q144">
        <f t="shared" si="154"/>
        <v>0</v>
      </c>
      <c r="R144">
        <f t="shared" si="121"/>
        <v>0</v>
      </c>
      <c r="S144">
        <f t="shared" si="122"/>
        <v>638.72</v>
      </c>
      <c r="T144">
        <f t="shared" si="123"/>
        <v>0</v>
      </c>
      <c r="U144">
        <f t="shared" si="124"/>
        <v>1.86</v>
      </c>
      <c r="V144">
        <f t="shared" si="125"/>
        <v>0</v>
      </c>
      <c r="W144">
        <f t="shared" si="126"/>
        <v>0</v>
      </c>
      <c r="X144">
        <f t="shared" si="127"/>
        <v>574.85</v>
      </c>
      <c r="Y144">
        <f t="shared" si="128"/>
        <v>274.64999999999998</v>
      </c>
      <c r="AA144">
        <v>44002026</v>
      </c>
      <c r="AB144">
        <f t="shared" si="129"/>
        <v>15.65</v>
      </c>
      <c r="AC144">
        <f t="shared" si="130"/>
        <v>2.31</v>
      </c>
      <c r="AD144">
        <f t="shared" si="155"/>
        <v>0</v>
      </c>
      <c r="AE144">
        <f t="shared" si="156"/>
        <v>0</v>
      </c>
      <c r="AF144">
        <f t="shared" si="157"/>
        <v>13.34</v>
      </c>
      <c r="AG144">
        <f t="shared" si="132"/>
        <v>0</v>
      </c>
      <c r="AH144">
        <f t="shared" si="158"/>
        <v>0.93</v>
      </c>
      <c r="AI144">
        <f t="shared" si="159"/>
        <v>0</v>
      </c>
      <c r="AJ144">
        <f t="shared" si="134"/>
        <v>0</v>
      </c>
      <c r="AK144">
        <v>15.65</v>
      </c>
      <c r="AL144">
        <v>2.31</v>
      </c>
      <c r="AM144">
        <v>0</v>
      </c>
      <c r="AN144">
        <v>0</v>
      </c>
      <c r="AO144">
        <v>13.34</v>
      </c>
      <c r="AP144">
        <v>0</v>
      </c>
      <c r="AQ144">
        <v>0.93</v>
      </c>
      <c r="AR144">
        <v>0</v>
      </c>
      <c r="AS144">
        <v>0</v>
      </c>
      <c r="AT144">
        <v>90</v>
      </c>
      <c r="AU144">
        <v>43</v>
      </c>
      <c r="AV144">
        <v>1</v>
      </c>
      <c r="AW144">
        <v>1</v>
      </c>
      <c r="AZ144">
        <v>1</v>
      </c>
      <c r="BA144">
        <v>23.94</v>
      </c>
      <c r="BB144">
        <v>1</v>
      </c>
      <c r="BC144">
        <v>5.48</v>
      </c>
      <c r="BD144" t="s">
        <v>3</v>
      </c>
      <c r="BE144" t="s">
        <v>3</v>
      </c>
      <c r="BF144" t="s">
        <v>3</v>
      </c>
      <c r="BG144" t="s">
        <v>3</v>
      </c>
      <c r="BH144">
        <v>0</v>
      </c>
      <c r="BI144">
        <v>2</v>
      </c>
      <c r="BJ144" t="s">
        <v>306</v>
      </c>
      <c r="BM144">
        <v>336</v>
      </c>
      <c r="BN144">
        <v>0</v>
      </c>
      <c r="BO144" t="s">
        <v>304</v>
      </c>
      <c r="BP144">
        <v>1</v>
      </c>
      <c r="BQ144">
        <v>40</v>
      </c>
      <c r="BR144">
        <v>0</v>
      </c>
      <c r="BS144">
        <v>23.94</v>
      </c>
      <c r="BT144">
        <v>1</v>
      </c>
      <c r="BU144">
        <v>1</v>
      </c>
      <c r="BV144">
        <v>1</v>
      </c>
      <c r="BW144">
        <v>1</v>
      </c>
      <c r="BX144">
        <v>1</v>
      </c>
      <c r="BY144" t="s">
        <v>3</v>
      </c>
      <c r="BZ144">
        <v>90</v>
      </c>
      <c r="CA144">
        <v>43</v>
      </c>
      <c r="CE144">
        <v>30</v>
      </c>
      <c r="CF144">
        <v>0</v>
      </c>
      <c r="CG144">
        <v>0</v>
      </c>
      <c r="CM144">
        <v>0</v>
      </c>
      <c r="CN144" t="s">
        <v>3</v>
      </c>
      <c r="CO144">
        <v>0</v>
      </c>
      <c r="CP144">
        <f t="shared" si="135"/>
        <v>664.04000000000008</v>
      </c>
      <c r="CQ144">
        <f t="shared" si="136"/>
        <v>12.66</v>
      </c>
      <c r="CR144">
        <f t="shared" si="160"/>
        <v>0</v>
      </c>
      <c r="CS144">
        <f t="shared" si="137"/>
        <v>0</v>
      </c>
      <c r="CT144">
        <f t="shared" si="138"/>
        <v>319.36</v>
      </c>
      <c r="CU144">
        <f t="shared" si="139"/>
        <v>0</v>
      </c>
      <c r="CV144">
        <f t="shared" si="140"/>
        <v>0.93</v>
      </c>
      <c r="CW144">
        <f t="shared" si="141"/>
        <v>0</v>
      </c>
      <c r="CX144">
        <f t="shared" si="142"/>
        <v>0</v>
      </c>
      <c r="CY144">
        <f t="shared" si="143"/>
        <v>574.84800000000007</v>
      </c>
      <c r="CZ144">
        <f t="shared" si="144"/>
        <v>274.64960000000002</v>
      </c>
      <c r="DC144" t="s">
        <v>3</v>
      </c>
      <c r="DD144" t="s">
        <v>3</v>
      </c>
      <c r="DE144" t="s">
        <v>3</v>
      </c>
      <c r="DF144" t="s">
        <v>3</v>
      </c>
      <c r="DG144" t="s">
        <v>3</v>
      </c>
      <c r="DH144" t="s">
        <v>3</v>
      </c>
      <c r="DI144" t="s">
        <v>3</v>
      </c>
      <c r="DJ144" t="s">
        <v>3</v>
      </c>
      <c r="DK144" t="s">
        <v>3</v>
      </c>
      <c r="DL144" t="s">
        <v>3</v>
      </c>
      <c r="DM144" t="s">
        <v>3</v>
      </c>
      <c r="DN144">
        <v>112</v>
      </c>
      <c r="DO144">
        <v>70</v>
      </c>
      <c r="DP144">
        <v>1</v>
      </c>
      <c r="DQ144">
        <v>1</v>
      </c>
      <c r="DU144">
        <v>1013</v>
      </c>
      <c r="DV144" t="s">
        <v>191</v>
      </c>
      <c r="DW144" t="s">
        <v>191</v>
      </c>
      <c r="DX144">
        <v>1</v>
      </c>
      <c r="EE144">
        <v>43770627</v>
      </c>
      <c r="EF144">
        <v>40</v>
      </c>
      <c r="EG144" t="s">
        <v>42</v>
      </c>
      <c r="EH144">
        <v>0</v>
      </c>
      <c r="EI144" t="s">
        <v>3</v>
      </c>
      <c r="EJ144">
        <v>2</v>
      </c>
      <c r="EK144">
        <v>336</v>
      </c>
      <c r="EL144" t="s">
        <v>297</v>
      </c>
      <c r="EM144" t="s">
        <v>298</v>
      </c>
      <c r="EO144" t="s">
        <v>3</v>
      </c>
      <c r="EQ144">
        <v>131072</v>
      </c>
      <c r="ER144">
        <v>15.65</v>
      </c>
      <c r="ES144">
        <v>2.31</v>
      </c>
      <c r="ET144">
        <v>0</v>
      </c>
      <c r="EU144">
        <v>0</v>
      </c>
      <c r="EV144">
        <v>13.34</v>
      </c>
      <c r="EW144">
        <v>0.93</v>
      </c>
      <c r="EX144">
        <v>0</v>
      </c>
      <c r="EY144">
        <v>0</v>
      </c>
      <c r="FQ144">
        <v>0</v>
      </c>
      <c r="FR144">
        <f t="shared" si="145"/>
        <v>0</v>
      </c>
      <c r="FS144">
        <v>0</v>
      </c>
      <c r="FX144">
        <v>112</v>
      </c>
      <c r="FY144">
        <v>70</v>
      </c>
      <c r="GA144" t="s">
        <v>3</v>
      </c>
      <c r="GD144">
        <v>0</v>
      </c>
      <c r="GF144">
        <v>107627970</v>
      </c>
      <c r="GG144">
        <v>2</v>
      </c>
      <c r="GH144">
        <v>1</v>
      </c>
      <c r="GI144">
        <v>2</v>
      </c>
      <c r="GJ144">
        <v>0</v>
      </c>
      <c r="GK144">
        <f>ROUND(R144*(R12)/100,2)</f>
        <v>0</v>
      </c>
      <c r="GL144">
        <f t="shared" si="146"/>
        <v>0</v>
      </c>
      <c r="GM144">
        <f t="shared" si="147"/>
        <v>1513.54</v>
      </c>
      <c r="GN144">
        <f t="shared" si="148"/>
        <v>0</v>
      </c>
      <c r="GO144">
        <f t="shared" si="149"/>
        <v>1513.54</v>
      </c>
      <c r="GP144">
        <f t="shared" si="150"/>
        <v>0</v>
      </c>
      <c r="GR144">
        <v>0</v>
      </c>
      <c r="GS144">
        <v>3</v>
      </c>
      <c r="GT144">
        <v>0</v>
      </c>
      <c r="GU144" t="s">
        <v>3</v>
      </c>
      <c r="GV144">
        <f t="shared" si="151"/>
        <v>0</v>
      </c>
      <c r="GW144">
        <v>1</v>
      </c>
      <c r="GX144">
        <f t="shared" si="152"/>
        <v>0</v>
      </c>
      <c r="HA144">
        <v>0</v>
      </c>
      <c r="HB144">
        <v>0</v>
      </c>
      <c r="HC144">
        <f t="shared" si="153"/>
        <v>0</v>
      </c>
      <c r="IK144">
        <v>0</v>
      </c>
    </row>
    <row r="145" spans="1:245" x14ac:dyDescent="0.2">
      <c r="A145">
        <v>18</v>
      </c>
      <c r="B145">
        <v>1</v>
      </c>
      <c r="C145">
        <v>61</v>
      </c>
      <c r="E145" t="s">
        <v>307</v>
      </c>
      <c r="F145" t="s">
        <v>308</v>
      </c>
      <c r="G145" t="s">
        <v>309</v>
      </c>
      <c r="H145" t="s">
        <v>209</v>
      </c>
      <c r="I145">
        <f>I144*J145</f>
        <v>2</v>
      </c>
      <c r="J145">
        <v>1</v>
      </c>
      <c r="O145">
        <f t="shared" si="119"/>
        <v>6814.98</v>
      </c>
      <c r="P145">
        <f t="shared" si="120"/>
        <v>6814.98</v>
      </c>
      <c r="Q145">
        <f t="shared" si="154"/>
        <v>0</v>
      </c>
      <c r="R145">
        <f t="shared" si="121"/>
        <v>0</v>
      </c>
      <c r="S145">
        <f t="shared" si="122"/>
        <v>0</v>
      </c>
      <c r="T145">
        <f t="shared" si="123"/>
        <v>0</v>
      </c>
      <c r="U145">
        <f t="shared" si="124"/>
        <v>0</v>
      </c>
      <c r="V145">
        <f t="shared" si="125"/>
        <v>0</v>
      </c>
      <c r="W145">
        <f t="shared" si="126"/>
        <v>0</v>
      </c>
      <c r="X145">
        <f t="shared" si="127"/>
        <v>0</v>
      </c>
      <c r="Y145">
        <f t="shared" si="128"/>
        <v>0</v>
      </c>
      <c r="AA145">
        <v>44002026</v>
      </c>
      <c r="AB145">
        <f t="shared" si="129"/>
        <v>627.53</v>
      </c>
      <c r="AC145">
        <f t="shared" si="130"/>
        <v>627.53</v>
      </c>
      <c r="AD145">
        <f t="shared" si="155"/>
        <v>0</v>
      </c>
      <c r="AE145">
        <f t="shared" si="156"/>
        <v>0</v>
      </c>
      <c r="AF145">
        <f t="shared" si="157"/>
        <v>0</v>
      </c>
      <c r="AG145">
        <f t="shared" si="132"/>
        <v>0</v>
      </c>
      <c r="AH145">
        <f t="shared" si="158"/>
        <v>0</v>
      </c>
      <c r="AI145">
        <f t="shared" si="159"/>
        <v>0</v>
      </c>
      <c r="AJ145">
        <f t="shared" si="134"/>
        <v>0</v>
      </c>
      <c r="AK145">
        <v>627.53</v>
      </c>
      <c r="AL145">
        <v>627.53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1</v>
      </c>
      <c r="AZ145">
        <v>1</v>
      </c>
      <c r="BA145">
        <v>1</v>
      </c>
      <c r="BB145">
        <v>1</v>
      </c>
      <c r="BC145">
        <v>5.43</v>
      </c>
      <c r="BD145" t="s">
        <v>3</v>
      </c>
      <c r="BE145" t="s">
        <v>3</v>
      </c>
      <c r="BF145" t="s">
        <v>3</v>
      </c>
      <c r="BG145" t="s">
        <v>3</v>
      </c>
      <c r="BH145">
        <v>3</v>
      </c>
      <c r="BI145">
        <v>2</v>
      </c>
      <c r="BJ145" t="s">
        <v>3</v>
      </c>
      <c r="BM145">
        <v>336</v>
      </c>
      <c r="BN145">
        <v>0</v>
      </c>
      <c r="BO145" t="s">
        <v>3</v>
      </c>
      <c r="BP145">
        <v>0</v>
      </c>
      <c r="BQ145">
        <v>40</v>
      </c>
      <c r="BR145">
        <v>0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 t="s">
        <v>3</v>
      </c>
      <c r="BZ145">
        <v>0</v>
      </c>
      <c r="CA145">
        <v>0</v>
      </c>
      <c r="CE145">
        <v>30</v>
      </c>
      <c r="CF145">
        <v>0</v>
      </c>
      <c r="CG145">
        <v>0</v>
      </c>
      <c r="CM145">
        <v>0</v>
      </c>
      <c r="CN145" t="s">
        <v>3</v>
      </c>
      <c r="CO145">
        <v>0</v>
      </c>
      <c r="CP145">
        <f t="shared" si="135"/>
        <v>6814.98</v>
      </c>
      <c r="CQ145">
        <f t="shared" si="136"/>
        <v>3407.49</v>
      </c>
      <c r="CR145">
        <f t="shared" si="160"/>
        <v>0</v>
      </c>
      <c r="CS145">
        <f t="shared" si="137"/>
        <v>0</v>
      </c>
      <c r="CT145">
        <f t="shared" si="138"/>
        <v>0</v>
      </c>
      <c r="CU145">
        <f t="shared" si="139"/>
        <v>0</v>
      </c>
      <c r="CV145">
        <f t="shared" si="140"/>
        <v>0</v>
      </c>
      <c r="CW145">
        <f t="shared" si="141"/>
        <v>0</v>
      </c>
      <c r="CX145">
        <f t="shared" si="142"/>
        <v>0</v>
      </c>
      <c r="CY145">
        <f t="shared" si="143"/>
        <v>0</v>
      </c>
      <c r="CZ145">
        <f t="shared" si="144"/>
        <v>0</v>
      </c>
      <c r="DC145" t="s">
        <v>3</v>
      </c>
      <c r="DD145" t="s">
        <v>3</v>
      </c>
      <c r="DE145" t="s">
        <v>3</v>
      </c>
      <c r="DF145" t="s">
        <v>3</v>
      </c>
      <c r="DG145" t="s">
        <v>3</v>
      </c>
      <c r="DH145" t="s">
        <v>3</v>
      </c>
      <c r="DI145" t="s">
        <v>3</v>
      </c>
      <c r="DJ145" t="s">
        <v>3</v>
      </c>
      <c r="DK145" t="s">
        <v>3</v>
      </c>
      <c r="DL145" t="s">
        <v>3</v>
      </c>
      <c r="DM145" t="s">
        <v>3</v>
      </c>
      <c r="DN145">
        <v>112</v>
      </c>
      <c r="DO145">
        <v>70</v>
      </c>
      <c r="DP145">
        <v>1</v>
      </c>
      <c r="DQ145">
        <v>1</v>
      </c>
      <c r="DU145">
        <v>1010</v>
      </c>
      <c r="DV145" t="s">
        <v>209</v>
      </c>
      <c r="DW145" t="s">
        <v>210</v>
      </c>
      <c r="DX145">
        <v>1</v>
      </c>
      <c r="EE145">
        <v>43770627</v>
      </c>
      <c r="EF145">
        <v>40</v>
      </c>
      <c r="EG145" t="s">
        <v>42</v>
      </c>
      <c r="EH145">
        <v>0</v>
      </c>
      <c r="EI145" t="s">
        <v>3</v>
      </c>
      <c r="EJ145">
        <v>2</v>
      </c>
      <c r="EK145">
        <v>336</v>
      </c>
      <c r="EL145" t="s">
        <v>297</v>
      </c>
      <c r="EM145" t="s">
        <v>298</v>
      </c>
      <c r="EO145" t="s">
        <v>3</v>
      </c>
      <c r="EQ145">
        <v>0</v>
      </c>
      <c r="ER145">
        <v>627.53</v>
      </c>
      <c r="ES145">
        <v>627.53</v>
      </c>
      <c r="ET145">
        <v>0</v>
      </c>
      <c r="EU145">
        <v>0</v>
      </c>
      <c r="EV145">
        <v>0</v>
      </c>
      <c r="EW145">
        <v>0</v>
      </c>
      <c r="EX145">
        <v>0</v>
      </c>
      <c r="EZ145">
        <v>5</v>
      </c>
      <c r="FC145">
        <v>0</v>
      </c>
      <c r="FD145">
        <v>18</v>
      </c>
      <c r="FF145">
        <v>3407.5149999999999</v>
      </c>
      <c r="FQ145">
        <v>0</v>
      </c>
      <c r="FR145">
        <f t="shared" si="145"/>
        <v>0</v>
      </c>
      <c r="FS145">
        <v>0</v>
      </c>
      <c r="FX145">
        <v>112</v>
      </c>
      <c r="FY145">
        <v>70</v>
      </c>
      <c r="GA145" t="s">
        <v>310</v>
      </c>
      <c r="GD145">
        <v>0</v>
      </c>
      <c r="GF145">
        <v>1188112444</v>
      </c>
      <c r="GG145">
        <v>2</v>
      </c>
      <c r="GH145">
        <v>3</v>
      </c>
      <c r="GI145">
        <v>3</v>
      </c>
      <c r="GJ145">
        <v>0</v>
      </c>
      <c r="GK145">
        <f>ROUND(R145*(R12)/100,2)</f>
        <v>0</v>
      </c>
      <c r="GL145">
        <f t="shared" si="146"/>
        <v>0</v>
      </c>
      <c r="GM145">
        <f t="shared" si="147"/>
        <v>6814.98</v>
      </c>
      <c r="GN145">
        <f t="shared" si="148"/>
        <v>0</v>
      </c>
      <c r="GO145">
        <f t="shared" si="149"/>
        <v>6814.98</v>
      </c>
      <c r="GP145">
        <f t="shared" si="150"/>
        <v>0</v>
      </c>
      <c r="GR145">
        <v>1</v>
      </c>
      <c r="GS145">
        <v>1</v>
      </c>
      <c r="GT145">
        <v>0</v>
      </c>
      <c r="GU145" t="s">
        <v>3</v>
      </c>
      <c r="GV145">
        <f t="shared" si="151"/>
        <v>0</v>
      </c>
      <c r="GW145">
        <v>1</v>
      </c>
      <c r="GX145">
        <f t="shared" si="152"/>
        <v>0</v>
      </c>
      <c r="HA145">
        <v>0</v>
      </c>
      <c r="HB145">
        <v>0</v>
      </c>
      <c r="HC145">
        <f t="shared" si="153"/>
        <v>0</v>
      </c>
      <c r="IK145">
        <v>0</v>
      </c>
    </row>
    <row r="146" spans="1:245" x14ac:dyDescent="0.2">
      <c r="A146">
        <v>17</v>
      </c>
      <c r="B146">
        <v>1</v>
      </c>
      <c r="C146">
        <f>ROW(SmtRes!A63)</f>
        <v>63</v>
      </c>
      <c r="D146">
        <f>ROW(EtalonRes!A42)</f>
        <v>42</v>
      </c>
      <c r="E146" t="s">
        <v>311</v>
      </c>
      <c r="F146" t="s">
        <v>312</v>
      </c>
      <c r="G146" t="s">
        <v>313</v>
      </c>
      <c r="H146" t="s">
        <v>191</v>
      </c>
      <c r="I146">
        <v>1</v>
      </c>
      <c r="J146">
        <v>0</v>
      </c>
      <c r="O146">
        <f t="shared" si="119"/>
        <v>331.34</v>
      </c>
      <c r="P146">
        <f t="shared" si="120"/>
        <v>40.28</v>
      </c>
      <c r="Q146">
        <f t="shared" si="154"/>
        <v>3.78</v>
      </c>
      <c r="R146">
        <f t="shared" si="121"/>
        <v>1.68</v>
      </c>
      <c r="S146">
        <f t="shared" si="122"/>
        <v>287.27999999999997</v>
      </c>
      <c r="T146">
        <f t="shared" si="123"/>
        <v>0</v>
      </c>
      <c r="U146">
        <f t="shared" si="124"/>
        <v>1.02</v>
      </c>
      <c r="V146">
        <f t="shared" si="125"/>
        <v>0</v>
      </c>
      <c r="W146">
        <f t="shared" si="126"/>
        <v>0</v>
      </c>
      <c r="X146">
        <f t="shared" si="127"/>
        <v>258.55</v>
      </c>
      <c r="Y146">
        <f t="shared" si="128"/>
        <v>123.53</v>
      </c>
      <c r="AA146">
        <v>44002026</v>
      </c>
      <c r="AB146">
        <f t="shared" si="129"/>
        <v>19.82</v>
      </c>
      <c r="AC146">
        <f t="shared" si="130"/>
        <v>7.35</v>
      </c>
      <c r="AD146">
        <f t="shared" si="155"/>
        <v>0.47</v>
      </c>
      <c r="AE146">
        <f t="shared" si="156"/>
        <v>7.0000000000000007E-2</v>
      </c>
      <c r="AF146">
        <f t="shared" si="157"/>
        <v>12</v>
      </c>
      <c r="AG146">
        <f t="shared" si="132"/>
        <v>0</v>
      </c>
      <c r="AH146">
        <f t="shared" si="158"/>
        <v>1.02</v>
      </c>
      <c r="AI146">
        <f t="shared" si="159"/>
        <v>0</v>
      </c>
      <c r="AJ146">
        <f t="shared" si="134"/>
        <v>0</v>
      </c>
      <c r="AK146">
        <v>19.82</v>
      </c>
      <c r="AL146">
        <v>7.35</v>
      </c>
      <c r="AM146">
        <v>0.47</v>
      </c>
      <c r="AN146">
        <v>7.0000000000000007E-2</v>
      </c>
      <c r="AO146">
        <v>12</v>
      </c>
      <c r="AP146">
        <v>0</v>
      </c>
      <c r="AQ146">
        <v>1.02</v>
      </c>
      <c r="AR146">
        <v>0</v>
      </c>
      <c r="AS146">
        <v>0</v>
      </c>
      <c r="AT146">
        <v>90</v>
      </c>
      <c r="AU146">
        <v>43</v>
      </c>
      <c r="AV146">
        <v>1</v>
      </c>
      <c r="AW146">
        <v>1</v>
      </c>
      <c r="AZ146">
        <v>1</v>
      </c>
      <c r="BA146">
        <v>23.94</v>
      </c>
      <c r="BB146">
        <v>8.0399999999999991</v>
      </c>
      <c r="BC146">
        <v>5.48</v>
      </c>
      <c r="BD146" t="s">
        <v>3</v>
      </c>
      <c r="BE146" t="s">
        <v>3</v>
      </c>
      <c r="BF146" t="s">
        <v>3</v>
      </c>
      <c r="BG146" t="s">
        <v>3</v>
      </c>
      <c r="BH146">
        <v>0</v>
      </c>
      <c r="BI146">
        <v>2</v>
      </c>
      <c r="BJ146" t="s">
        <v>314</v>
      </c>
      <c r="BM146">
        <v>333</v>
      </c>
      <c r="BN146">
        <v>0</v>
      </c>
      <c r="BO146" t="s">
        <v>312</v>
      </c>
      <c r="BP146">
        <v>1</v>
      </c>
      <c r="BQ146">
        <v>40</v>
      </c>
      <c r="BR146">
        <v>0</v>
      </c>
      <c r="BS146">
        <v>23.94</v>
      </c>
      <c r="BT146">
        <v>1</v>
      </c>
      <c r="BU146">
        <v>1</v>
      </c>
      <c r="BV146">
        <v>1</v>
      </c>
      <c r="BW146">
        <v>1</v>
      </c>
      <c r="BX146">
        <v>1</v>
      </c>
      <c r="BY146" t="s">
        <v>3</v>
      </c>
      <c r="BZ146">
        <v>90</v>
      </c>
      <c r="CA146">
        <v>43</v>
      </c>
      <c r="CE146">
        <v>30</v>
      </c>
      <c r="CF146">
        <v>0</v>
      </c>
      <c r="CG146">
        <v>0</v>
      </c>
      <c r="CM146">
        <v>0</v>
      </c>
      <c r="CN146" t="s">
        <v>3</v>
      </c>
      <c r="CO146">
        <v>0</v>
      </c>
      <c r="CP146">
        <f t="shared" si="135"/>
        <v>331.34</v>
      </c>
      <c r="CQ146">
        <f t="shared" si="136"/>
        <v>40.28</v>
      </c>
      <c r="CR146">
        <f t="shared" si="160"/>
        <v>3.78</v>
      </c>
      <c r="CS146">
        <f t="shared" si="137"/>
        <v>1.68</v>
      </c>
      <c r="CT146">
        <f t="shared" si="138"/>
        <v>287.27999999999997</v>
      </c>
      <c r="CU146">
        <f t="shared" si="139"/>
        <v>0</v>
      </c>
      <c r="CV146">
        <f t="shared" si="140"/>
        <v>1.02</v>
      </c>
      <c r="CW146">
        <f t="shared" si="141"/>
        <v>0</v>
      </c>
      <c r="CX146">
        <f t="shared" si="142"/>
        <v>0</v>
      </c>
      <c r="CY146">
        <f t="shared" si="143"/>
        <v>258.55199999999996</v>
      </c>
      <c r="CZ146">
        <f t="shared" si="144"/>
        <v>123.53039999999999</v>
      </c>
      <c r="DC146" t="s">
        <v>3</v>
      </c>
      <c r="DD146" t="s">
        <v>3</v>
      </c>
      <c r="DE146" t="s">
        <v>3</v>
      </c>
      <c r="DF146" t="s">
        <v>3</v>
      </c>
      <c r="DG146" t="s">
        <v>3</v>
      </c>
      <c r="DH146" t="s">
        <v>3</v>
      </c>
      <c r="DI146" t="s">
        <v>3</v>
      </c>
      <c r="DJ146" t="s">
        <v>3</v>
      </c>
      <c r="DK146" t="s">
        <v>3</v>
      </c>
      <c r="DL146" t="s">
        <v>3</v>
      </c>
      <c r="DM146" t="s">
        <v>3</v>
      </c>
      <c r="DN146">
        <v>112</v>
      </c>
      <c r="DO146">
        <v>70</v>
      </c>
      <c r="DP146">
        <v>1</v>
      </c>
      <c r="DQ146">
        <v>1</v>
      </c>
      <c r="DU146">
        <v>1013</v>
      </c>
      <c r="DV146" t="s">
        <v>191</v>
      </c>
      <c r="DW146" t="s">
        <v>191</v>
      </c>
      <c r="DX146">
        <v>1</v>
      </c>
      <c r="EE146">
        <v>43770624</v>
      </c>
      <c r="EF146">
        <v>40</v>
      </c>
      <c r="EG146" t="s">
        <v>42</v>
      </c>
      <c r="EH146">
        <v>0</v>
      </c>
      <c r="EI146" t="s">
        <v>3</v>
      </c>
      <c r="EJ146">
        <v>2</v>
      </c>
      <c r="EK146">
        <v>333</v>
      </c>
      <c r="EL146" t="s">
        <v>211</v>
      </c>
      <c r="EM146" t="s">
        <v>212</v>
      </c>
      <c r="EO146" t="s">
        <v>3</v>
      </c>
      <c r="EQ146">
        <v>131072</v>
      </c>
      <c r="ER146">
        <v>19.82</v>
      </c>
      <c r="ES146">
        <v>7.35</v>
      </c>
      <c r="ET146">
        <v>0.47</v>
      </c>
      <c r="EU146">
        <v>7.0000000000000007E-2</v>
      </c>
      <c r="EV146">
        <v>12</v>
      </c>
      <c r="EW146">
        <v>1.02</v>
      </c>
      <c r="EX146">
        <v>0</v>
      </c>
      <c r="EY146">
        <v>0</v>
      </c>
      <c r="FQ146">
        <v>0</v>
      </c>
      <c r="FR146">
        <f t="shared" si="145"/>
        <v>0</v>
      </c>
      <c r="FS146">
        <v>0</v>
      </c>
      <c r="FX146">
        <v>112</v>
      </c>
      <c r="FY146">
        <v>70</v>
      </c>
      <c r="GA146" t="s">
        <v>3</v>
      </c>
      <c r="GD146">
        <v>0</v>
      </c>
      <c r="GF146">
        <v>683773458</v>
      </c>
      <c r="GG146">
        <v>2</v>
      </c>
      <c r="GH146">
        <v>1</v>
      </c>
      <c r="GI146">
        <v>2</v>
      </c>
      <c r="GJ146">
        <v>0</v>
      </c>
      <c r="GK146">
        <f>ROUND(R146*(R12)/100,2)</f>
        <v>2.64</v>
      </c>
      <c r="GL146">
        <f t="shared" si="146"/>
        <v>0</v>
      </c>
      <c r="GM146">
        <f t="shared" si="147"/>
        <v>716.06</v>
      </c>
      <c r="GN146">
        <f t="shared" si="148"/>
        <v>0</v>
      </c>
      <c r="GO146">
        <f t="shared" si="149"/>
        <v>716.06</v>
      </c>
      <c r="GP146">
        <f t="shared" si="150"/>
        <v>0</v>
      </c>
      <c r="GR146">
        <v>0</v>
      </c>
      <c r="GS146">
        <v>3</v>
      </c>
      <c r="GT146">
        <v>0</v>
      </c>
      <c r="GU146" t="s">
        <v>3</v>
      </c>
      <c r="GV146">
        <f t="shared" si="151"/>
        <v>0</v>
      </c>
      <c r="GW146">
        <v>1</v>
      </c>
      <c r="GX146">
        <f t="shared" si="152"/>
        <v>0</v>
      </c>
      <c r="HA146">
        <v>0</v>
      </c>
      <c r="HB146">
        <v>0</v>
      </c>
      <c r="HC146">
        <f t="shared" si="153"/>
        <v>0</v>
      </c>
      <c r="IK146">
        <v>0</v>
      </c>
    </row>
    <row r="147" spans="1:245" x14ac:dyDescent="0.2">
      <c r="A147">
        <v>18</v>
      </c>
      <c r="B147">
        <v>1</v>
      </c>
      <c r="C147">
        <v>63</v>
      </c>
      <c r="E147" t="s">
        <v>315</v>
      </c>
      <c r="F147" t="s">
        <v>316</v>
      </c>
      <c r="G147" t="s">
        <v>317</v>
      </c>
      <c r="H147" t="s">
        <v>209</v>
      </c>
      <c r="I147">
        <f>I146*J147</f>
        <v>1</v>
      </c>
      <c r="J147">
        <v>1</v>
      </c>
      <c r="O147">
        <f t="shared" si="119"/>
        <v>618.89</v>
      </c>
      <c r="P147">
        <f t="shared" si="120"/>
        <v>618.89</v>
      </c>
      <c r="Q147">
        <f t="shared" si="154"/>
        <v>0</v>
      </c>
      <c r="R147">
        <f t="shared" si="121"/>
        <v>0</v>
      </c>
      <c r="S147">
        <f t="shared" si="122"/>
        <v>0</v>
      </c>
      <c r="T147">
        <f t="shared" si="123"/>
        <v>0</v>
      </c>
      <c r="U147">
        <f t="shared" si="124"/>
        <v>0</v>
      </c>
      <c r="V147">
        <f t="shared" si="125"/>
        <v>0</v>
      </c>
      <c r="W147">
        <f t="shared" si="126"/>
        <v>0</v>
      </c>
      <c r="X147">
        <f t="shared" si="127"/>
        <v>0</v>
      </c>
      <c r="Y147">
        <f t="shared" si="128"/>
        <v>0</v>
      </c>
      <c r="AA147">
        <v>44002026</v>
      </c>
      <c r="AB147">
        <f t="shared" si="129"/>
        <v>167.72</v>
      </c>
      <c r="AC147">
        <f t="shared" si="130"/>
        <v>167.72</v>
      </c>
      <c r="AD147">
        <f t="shared" si="155"/>
        <v>0</v>
      </c>
      <c r="AE147">
        <f t="shared" si="156"/>
        <v>0</v>
      </c>
      <c r="AF147">
        <f t="shared" si="157"/>
        <v>0</v>
      </c>
      <c r="AG147">
        <f t="shared" si="132"/>
        <v>0</v>
      </c>
      <c r="AH147">
        <f t="shared" si="158"/>
        <v>0</v>
      </c>
      <c r="AI147">
        <f t="shared" si="159"/>
        <v>0</v>
      </c>
      <c r="AJ147">
        <f t="shared" si="134"/>
        <v>0</v>
      </c>
      <c r="AK147">
        <v>167.72</v>
      </c>
      <c r="AL147">
        <v>167.72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1</v>
      </c>
      <c r="AZ147">
        <v>1</v>
      </c>
      <c r="BA147">
        <v>1</v>
      </c>
      <c r="BB147">
        <v>1</v>
      </c>
      <c r="BC147">
        <v>3.69</v>
      </c>
      <c r="BD147" t="s">
        <v>3</v>
      </c>
      <c r="BE147" t="s">
        <v>3</v>
      </c>
      <c r="BF147" t="s">
        <v>3</v>
      </c>
      <c r="BG147" t="s">
        <v>3</v>
      </c>
      <c r="BH147">
        <v>3</v>
      </c>
      <c r="BI147">
        <v>2</v>
      </c>
      <c r="BJ147" t="s">
        <v>318</v>
      </c>
      <c r="BM147">
        <v>333</v>
      </c>
      <c r="BN147">
        <v>0</v>
      </c>
      <c r="BO147" t="s">
        <v>316</v>
      </c>
      <c r="BP147">
        <v>1</v>
      </c>
      <c r="BQ147">
        <v>40</v>
      </c>
      <c r="BR147">
        <v>0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 t="s">
        <v>3</v>
      </c>
      <c r="BZ147">
        <v>0</v>
      </c>
      <c r="CA147">
        <v>0</v>
      </c>
      <c r="CE147">
        <v>30</v>
      </c>
      <c r="CF147">
        <v>0</v>
      </c>
      <c r="CG147">
        <v>0</v>
      </c>
      <c r="CM147">
        <v>0</v>
      </c>
      <c r="CN147" t="s">
        <v>3</v>
      </c>
      <c r="CO147">
        <v>0</v>
      </c>
      <c r="CP147">
        <f t="shared" si="135"/>
        <v>618.89</v>
      </c>
      <c r="CQ147">
        <f t="shared" si="136"/>
        <v>618.89</v>
      </c>
      <c r="CR147">
        <f t="shared" si="160"/>
        <v>0</v>
      </c>
      <c r="CS147">
        <f t="shared" si="137"/>
        <v>0</v>
      </c>
      <c r="CT147">
        <f t="shared" si="138"/>
        <v>0</v>
      </c>
      <c r="CU147">
        <f t="shared" si="139"/>
        <v>0</v>
      </c>
      <c r="CV147">
        <f t="shared" si="140"/>
        <v>0</v>
      </c>
      <c r="CW147">
        <f t="shared" si="141"/>
        <v>0</v>
      </c>
      <c r="CX147">
        <f t="shared" si="142"/>
        <v>0</v>
      </c>
      <c r="CY147">
        <f t="shared" si="143"/>
        <v>0</v>
      </c>
      <c r="CZ147">
        <f t="shared" si="144"/>
        <v>0</v>
      </c>
      <c r="DC147" t="s">
        <v>3</v>
      </c>
      <c r="DD147" t="s">
        <v>3</v>
      </c>
      <c r="DE147" t="s">
        <v>3</v>
      </c>
      <c r="DF147" t="s">
        <v>3</v>
      </c>
      <c r="DG147" t="s">
        <v>3</v>
      </c>
      <c r="DH147" t="s">
        <v>3</v>
      </c>
      <c r="DI147" t="s">
        <v>3</v>
      </c>
      <c r="DJ147" t="s">
        <v>3</v>
      </c>
      <c r="DK147" t="s">
        <v>3</v>
      </c>
      <c r="DL147" t="s">
        <v>3</v>
      </c>
      <c r="DM147" t="s">
        <v>3</v>
      </c>
      <c r="DN147">
        <v>112</v>
      </c>
      <c r="DO147">
        <v>70</v>
      </c>
      <c r="DP147">
        <v>1</v>
      </c>
      <c r="DQ147">
        <v>1</v>
      </c>
      <c r="DU147">
        <v>1010</v>
      </c>
      <c r="DV147" t="s">
        <v>209</v>
      </c>
      <c r="DW147" t="s">
        <v>209</v>
      </c>
      <c r="DX147">
        <v>1</v>
      </c>
      <c r="EE147">
        <v>43770624</v>
      </c>
      <c r="EF147">
        <v>40</v>
      </c>
      <c r="EG147" t="s">
        <v>42</v>
      </c>
      <c r="EH147">
        <v>0</v>
      </c>
      <c r="EI147" t="s">
        <v>3</v>
      </c>
      <c r="EJ147">
        <v>2</v>
      </c>
      <c r="EK147">
        <v>333</v>
      </c>
      <c r="EL147" t="s">
        <v>211</v>
      </c>
      <c r="EM147" t="s">
        <v>212</v>
      </c>
      <c r="EO147" t="s">
        <v>3</v>
      </c>
      <c r="EQ147">
        <v>0</v>
      </c>
      <c r="ER147">
        <v>167.72</v>
      </c>
      <c r="ES147">
        <v>167.72</v>
      </c>
      <c r="ET147">
        <v>0</v>
      </c>
      <c r="EU147">
        <v>0</v>
      </c>
      <c r="EV147">
        <v>0</v>
      </c>
      <c r="EW147">
        <v>0</v>
      </c>
      <c r="EX147">
        <v>0</v>
      </c>
      <c r="FQ147">
        <v>0</v>
      </c>
      <c r="FR147">
        <f t="shared" si="145"/>
        <v>0</v>
      </c>
      <c r="FS147">
        <v>0</v>
      </c>
      <c r="FX147">
        <v>112</v>
      </c>
      <c r="FY147">
        <v>70</v>
      </c>
      <c r="GA147" t="s">
        <v>3</v>
      </c>
      <c r="GD147">
        <v>0</v>
      </c>
      <c r="GF147">
        <v>62615217</v>
      </c>
      <c r="GG147">
        <v>2</v>
      </c>
      <c r="GH147">
        <v>1</v>
      </c>
      <c r="GI147">
        <v>2</v>
      </c>
      <c r="GJ147">
        <v>0</v>
      </c>
      <c r="GK147">
        <f>ROUND(R147*(R12)/100,2)</f>
        <v>0</v>
      </c>
      <c r="GL147">
        <f t="shared" si="146"/>
        <v>0</v>
      </c>
      <c r="GM147">
        <f t="shared" si="147"/>
        <v>618.89</v>
      </c>
      <c r="GN147">
        <f t="shared" si="148"/>
        <v>0</v>
      </c>
      <c r="GO147">
        <f t="shared" si="149"/>
        <v>618.89</v>
      </c>
      <c r="GP147">
        <f t="shared" si="150"/>
        <v>0</v>
      </c>
      <c r="GR147">
        <v>0</v>
      </c>
      <c r="GS147">
        <v>3</v>
      </c>
      <c r="GT147">
        <v>0</v>
      </c>
      <c r="GU147" t="s">
        <v>3</v>
      </c>
      <c r="GV147">
        <f t="shared" si="151"/>
        <v>0</v>
      </c>
      <c r="GW147">
        <v>1</v>
      </c>
      <c r="GX147">
        <f t="shared" si="152"/>
        <v>0</v>
      </c>
      <c r="HA147">
        <v>0</v>
      </c>
      <c r="HB147">
        <v>0</v>
      </c>
      <c r="HC147">
        <f t="shared" si="153"/>
        <v>0</v>
      </c>
      <c r="IK147">
        <v>0</v>
      </c>
    </row>
    <row r="148" spans="1:245" x14ac:dyDescent="0.2">
      <c r="A148">
        <v>17</v>
      </c>
      <c r="B148">
        <v>1</v>
      </c>
      <c r="C148">
        <f>ROW(SmtRes!A65)</f>
        <v>65</v>
      </c>
      <c r="D148">
        <f>ROW(EtalonRes!A43)</f>
        <v>43</v>
      </c>
      <c r="E148" t="s">
        <v>319</v>
      </c>
      <c r="F148" t="s">
        <v>320</v>
      </c>
      <c r="G148" t="s">
        <v>321</v>
      </c>
      <c r="H148" t="s">
        <v>191</v>
      </c>
      <c r="I148">
        <v>1</v>
      </c>
      <c r="J148">
        <v>0</v>
      </c>
      <c r="O148">
        <f t="shared" si="119"/>
        <v>399.91</v>
      </c>
      <c r="P148">
        <f t="shared" si="120"/>
        <v>7.29</v>
      </c>
      <c r="Q148">
        <f t="shared" si="154"/>
        <v>81.400000000000006</v>
      </c>
      <c r="R148">
        <f t="shared" si="121"/>
        <v>47.16</v>
      </c>
      <c r="S148">
        <f t="shared" si="122"/>
        <v>311.22000000000003</v>
      </c>
      <c r="T148">
        <f t="shared" si="123"/>
        <v>0</v>
      </c>
      <c r="U148">
        <f t="shared" si="124"/>
        <v>1.03</v>
      </c>
      <c r="V148">
        <f t="shared" si="125"/>
        <v>0</v>
      </c>
      <c r="W148">
        <f t="shared" si="126"/>
        <v>0</v>
      </c>
      <c r="X148">
        <f t="shared" si="127"/>
        <v>280.10000000000002</v>
      </c>
      <c r="Y148">
        <f t="shared" si="128"/>
        <v>133.82</v>
      </c>
      <c r="AA148">
        <v>44002026</v>
      </c>
      <c r="AB148">
        <f t="shared" si="129"/>
        <v>22.8</v>
      </c>
      <c r="AC148">
        <f t="shared" si="130"/>
        <v>1.33</v>
      </c>
      <c r="AD148">
        <f t="shared" si="155"/>
        <v>8.4700000000000006</v>
      </c>
      <c r="AE148">
        <f t="shared" si="156"/>
        <v>1.97</v>
      </c>
      <c r="AF148">
        <f t="shared" si="157"/>
        <v>13</v>
      </c>
      <c r="AG148">
        <f t="shared" si="132"/>
        <v>0</v>
      </c>
      <c r="AH148">
        <f t="shared" si="158"/>
        <v>1.03</v>
      </c>
      <c r="AI148">
        <f t="shared" si="159"/>
        <v>0</v>
      </c>
      <c r="AJ148">
        <f t="shared" si="134"/>
        <v>0</v>
      </c>
      <c r="AK148">
        <v>22.8</v>
      </c>
      <c r="AL148">
        <v>1.33</v>
      </c>
      <c r="AM148">
        <v>8.4700000000000006</v>
      </c>
      <c r="AN148">
        <v>1.97</v>
      </c>
      <c r="AO148">
        <v>13</v>
      </c>
      <c r="AP148">
        <v>0</v>
      </c>
      <c r="AQ148">
        <v>1.03</v>
      </c>
      <c r="AR148">
        <v>0</v>
      </c>
      <c r="AS148">
        <v>0</v>
      </c>
      <c r="AT148">
        <v>90</v>
      </c>
      <c r="AU148">
        <v>43</v>
      </c>
      <c r="AV148">
        <v>1</v>
      </c>
      <c r="AW148">
        <v>1</v>
      </c>
      <c r="AZ148">
        <v>1</v>
      </c>
      <c r="BA148">
        <v>23.94</v>
      </c>
      <c r="BB148">
        <v>9.61</v>
      </c>
      <c r="BC148">
        <v>5.48</v>
      </c>
      <c r="BD148" t="s">
        <v>3</v>
      </c>
      <c r="BE148" t="s">
        <v>3</v>
      </c>
      <c r="BF148" t="s">
        <v>3</v>
      </c>
      <c r="BG148" t="s">
        <v>3</v>
      </c>
      <c r="BH148">
        <v>0</v>
      </c>
      <c r="BI148">
        <v>2</v>
      </c>
      <c r="BJ148" t="s">
        <v>322</v>
      </c>
      <c r="BM148">
        <v>317</v>
      </c>
      <c r="BN148">
        <v>0</v>
      </c>
      <c r="BO148" t="s">
        <v>320</v>
      </c>
      <c r="BP148">
        <v>1</v>
      </c>
      <c r="BQ148">
        <v>40</v>
      </c>
      <c r="BR148">
        <v>0</v>
      </c>
      <c r="BS148">
        <v>23.94</v>
      </c>
      <c r="BT148">
        <v>1</v>
      </c>
      <c r="BU148">
        <v>1</v>
      </c>
      <c r="BV148">
        <v>1</v>
      </c>
      <c r="BW148">
        <v>1</v>
      </c>
      <c r="BX148">
        <v>1</v>
      </c>
      <c r="BY148" t="s">
        <v>3</v>
      </c>
      <c r="BZ148">
        <v>90</v>
      </c>
      <c r="CA148">
        <v>43</v>
      </c>
      <c r="CE148">
        <v>30</v>
      </c>
      <c r="CF148">
        <v>0</v>
      </c>
      <c r="CG148">
        <v>0</v>
      </c>
      <c r="CM148">
        <v>0</v>
      </c>
      <c r="CN148" t="s">
        <v>3</v>
      </c>
      <c r="CO148">
        <v>0</v>
      </c>
      <c r="CP148">
        <f t="shared" si="135"/>
        <v>399.91</v>
      </c>
      <c r="CQ148">
        <f t="shared" si="136"/>
        <v>7.29</v>
      </c>
      <c r="CR148">
        <f t="shared" si="160"/>
        <v>81.400000000000006</v>
      </c>
      <c r="CS148">
        <f t="shared" si="137"/>
        <v>47.16</v>
      </c>
      <c r="CT148">
        <f t="shared" si="138"/>
        <v>311.22000000000003</v>
      </c>
      <c r="CU148">
        <f t="shared" si="139"/>
        <v>0</v>
      </c>
      <c r="CV148">
        <f t="shared" si="140"/>
        <v>1.03</v>
      </c>
      <c r="CW148">
        <f t="shared" si="141"/>
        <v>0</v>
      </c>
      <c r="CX148">
        <f t="shared" si="142"/>
        <v>0</v>
      </c>
      <c r="CY148">
        <f t="shared" si="143"/>
        <v>280.09800000000001</v>
      </c>
      <c r="CZ148">
        <f t="shared" si="144"/>
        <v>133.8246</v>
      </c>
      <c r="DC148" t="s">
        <v>3</v>
      </c>
      <c r="DD148" t="s">
        <v>3</v>
      </c>
      <c r="DE148" t="s">
        <v>3</v>
      </c>
      <c r="DF148" t="s">
        <v>3</v>
      </c>
      <c r="DG148" t="s">
        <v>3</v>
      </c>
      <c r="DH148" t="s">
        <v>3</v>
      </c>
      <c r="DI148" t="s">
        <v>3</v>
      </c>
      <c r="DJ148" t="s">
        <v>3</v>
      </c>
      <c r="DK148" t="s">
        <v>3</v>
      </c>
      <c r="DL148" t="s">
        <v>3</v>
      </c>
      <c r="DM148" t="s">
        <v>3</v>
      </c>
      <c r="DN148">
        <v>112</v>
      </c>
      <c r="DO148">
        <v>70</v>
      </c>
      <c r="DP148">
        <v>1</v>
      </c>
      <c r="DQ148">
        <v>1</v>
      </c>
      <c r="DU148">
        <v>1013</v>
      </c>
      <c r="DV148" t="s">
        <v>191</v>
      </c>
      <c r="DW148" t="s">
        <v>191</v>
      </c>
      <c r="DX148">
        <v>1</v>
      </c>
      <c r="EE148">
        <v>43770608</v>
      </c>
      <c r="EF148">
        <v>40</v>
      </c>
      <c r="EG148" t="s">
        <v>42</v>
      </c>
      <c r="EH148">
        <v>0</v>
      </c>
      <c r="EI148" t="s">
        <v>3</v>
      </c>
      <c r="EJ148">
        <v>2</v>
      </c>
      <c r="EK148">
        <v>317</v>
      </c>
      <c r="EL148" t="s">
        <v>283</v>
      </c>
      <c r="EM148" t="s">
        <v>284</v>
      </c>
      <c r="EO148" t="s">
        <v>3</v>
      </c>
      <c r="EQ148">
        <v>131072</v>
      </c>
      <c r="ER148">
        <v>22.8</v>
      </c>
      <c r="ES148">
        <v>1.33</v>
      </c>
      <c r="ET148">
        <v>8.4700000000000006</v>
      </c>
      <c r="EU148">
        <v>1.97</v>
      </c>
      <c r="EV148">
        <v>13</v>
      </c>
      <c r="EW148">
        <v>1.03</v>
      </c>
      <c r="EX148">
        <v>0</v>
      </c>
      <c r="EY148">
        <v>0</v>
      </c>
      <c r="FQ148">
        <v>0</v>
      </c>
      <c r="FR148">
        <f t="shared" si="145"/>
        <v>0</v>
      </c>
      <c r="FS148">
        <v>0</v>
      </c>
      <c r="FX148">
        <v>112</v>
      </c>
      <c r="FY148">
        <v>70</v>
      </c>
      <c r="GA148" t="s">
        <v>3</v>
      </c>
      <c r="GD148">
        <v>0</v>
      </c>
      <c r="GF148">
        <v>-1825824477</v>
      </c>
      <c r="GG148">
        <v>2</v>
      </c>
      <c r="GH148">
        <v>1</v>
      </c>
      <c r="GI148">
        <v>2</v>
      </c>
      <c r="GJ148">
        <v>0</v>
      </c>
      <c r="GK148">
        <f>ROUND(R148*(R12)/100,2)</f>
        <v>74.040000000000006</v>
      </c>
      <c r="GL148">
        <f t="shared" si="146"/>
        <v>0</v>
      </c>
      <c r="GM148">
        <f t="shared" si="147"/>
        <v>887.87</v>
      </c>
      <c r="GN148">
        <f t="shared" si="148"/>
        <v>0</v>
      </c>
      <c r="GO148">
        <f t="shared" si="149"/>
        <v>887.87</v>
      </c>
      <c r="GP148">
        <f t="shared" si="150"/>
        <v>0</v>
      </c>
      <c r="GR148">
        <v>0</v>
      </c>
      <c r="GS148">
        <v>3</v>
      </c>
      <c r="GT148">
        <v>0</v>
      </c>
      <c r="GU148" t="s">
        <v>3</v>
      </c>
      <c r="GV148">
        <f t="shared" si="151"/>
        <v>0</v>
      </c>
      <c r="GW148">
        <v>1</v>
      </c>
      <c r="GX148">
        <f t="shared" si="152"/>
        <v>0</v>
      </c>
      <c r="HA148">
        <v>0</v>
      </c>
      <c r="HB148">
        <v>0</v>
      </c>
      <c r="HC148">
        <f t="shared" si="153"/>
        <v>0</v>
      </c>
      <c r="IK148">
        <v>0</v>
      </c>
    </row>
    <row r="149" spans="1:245" x14ac:dyDescent="0.2">
      <c r="A149">
        <v>18</v>
      </c>
      <c r="B149">
        <v>1</v>
      </c>
      <c r="C149">
        <v>65</v>
      </c>
      <c r="E149" t="s">
        <v>323</v>
      </c>
      <c r="F149" t="s">
        <v>324</v>
      </c>
      <c r="G149" t="s">
        <v>325</v>
      </c>
      <c r="H149" t="s">
        <v>209</v>
      </c>
      <c r="I149">
        <f>I148*J149</f>
        <v>1</v>
      </c>
      <c r="J149">
        <v>1</v>
      </c>
      <c r="O149">
        <f t="shared" si="119"/>
        <v>3488.88</v>
      </c>
      <c r="P149">
        <f t="shared" si="120"/>
        <v>3488.88</v>
      </c>
      <c r="Q149">
        <f t="shared" si="154"/>
        <v>0</v>
      </c>
      <c r="R149">
        <f t="shared" si="121"/>
        <v>0</v>
      </c>
      <c r="S149">
        <f t="shared" si="122"/>
        <v>0</v>
      </c>
      <c r="T149">
        <f t="shared" si="123"/>
        <v>0</v>
      </c>
      <c r="U149">
        <f t="shared" si="124"/>
        <v>0</v>
      </c>
      <c r="V149">
        <f t="shared" si="125"/>
        <v>0</v>
      </c>
      <c r="W149">
        <f t="shared" si="126"/>
        <v>0</v>
      </c>
      <c r="X149">
        <f t="shared" si="127"/>
        <v>0</v>
      </c>
      <c r="Y149">
        <f t="shared" si="128"/>
        <v>0</v>
      </c>
      <c r="AA149">
        <v>44002026</v>
      </c>
      <c r="AB149">
        <f t="shared" si="129"/>
        <v>642.52</v>
      </c>
      <c r="AC149">
        <f t="shared" si="130"/>
        <v>642.52</v>
      </c>
      <c r="AD149">
        <f t="shared" si="155"/>
        <v>0</v>
      </c>
      <c r="AE149">
        <f t="shared" si="156"/>
        <v>0</v>
      </c>
      <c r="AF149">
        <f t="shared" si="157"/>
        <v>0</v>
      </c>
      <c r="AG149">
        <f t="shared" si="132"/>
        <v>0</v>
      </c>
      <c r="AH149">
        <f t="shared" si="158"/>
        <v>0</v>
      </c>
      <c r="AI149">
        <f t="shared" si="159"/>
        <v>0</v>
      </c>
      <c r="AJ149">
        <f t="shared" si="134"/>
        <v>0</v>
      </c>
      <c r="AK149">
        <v>642.52</v>
      </c>
      <c r="AL149">
        <v>642.52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1</v>
      </c>
      <c r="AZ149">
        <v>1</v>
      </c>
      <c r="BA149">
        <v>1</v>
      </c>
      <c r="BB149">
        <v>1</v>
      </c>
      <c r="BC149">
        <v>5.43</v>
      </c>
      <c r="BD149" t="s">
        <v>3</v>
      </c>
      <c r="BE149" t="s">
        <v>3</v>
      </c>
      <c r="BF149" t="s">
        <v>3</v>
      </c>
      <c r="BG149" t="s">
        <v>3</v>
      </c>
      <c r="BH149">
        <v>3</v>
      </c>
      <c r="BI149">
        <v>2</v>
      </c>
      <c r="BJ149" t="s">
        <v>3</v>
      </c>
      <c r="BM149">
        <v>317</v>
      </c>
      <c r="BN149">
        <v>0</v>
      </c>
      <c r="BO149" t="s">
        <v>3</v>
      </c>
      <c r="BP149">
        <v>0</v>
      </c>
      <c r="BQ149">
        <v>40</v>
      </c>
      <c r="BR149">
        <v>0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 t="s">
        <v>3</v>
      </c>
      <c r="BZ149">
        <v>0</v>
      </c>
      <c r="CA149">
        <v>0</v>
      </c>
      <c r="CE149">
        <v>30</v>
      </c>
      <c r="CF149">
        <v>0</v>
      </c>
      <c r="CG149">
        <v>0</v>
      </c>
      <c r="CM149">
        <v>0</v>
      </c>
      <c r="CN149" t="s">
        <v>3</v>
      </c>
      <c r="CO149">
        <v>0</v>
      </c>
      <c r="CP149">
        <f t="shared" si="135"/>
        <v>3488.88</v>
      </c>
      <c r="CQ149">
        <f t="shared" si="136"/>
        <v>3488.88</v>
      </c>
      <c r="CR149">
        <f t="shared" si="160"/>
        <v>0</v>
      </c>
      <c r="CS149">
        <f t="shared" si="137"/>
        <v>0</v>
      </c>
      <c r="CT149">
        <f t="shared" si="138"/>
        <v>0</v>
      </c>
      <c r="CU149">
        <f t="shared" si="139"/>
        <v>0</v>
      </c>
      <c r="CV149">
        <f t="shared" si="140"/>
        <v>0</v>
      </c>
      <c r="CW149">
        <f t="shared" si="141"/>
        <v>0</v>
      </c>
      <c r="CX149">
        <f t="shared" si="142"/>
        <v>0</v>
      </c>
      <c r="CY149">
        <f t="shared" si="143"/>
        <v>0</v>
      </c>
      <c r="CZ149">
        <f t="shared" si="144"/>
        <v>0</v>
      </c>
      <c r="DC149" t="s">
        <v>3</v>
      </c>
      <c r="DD149" t="s">
        <v>3</v>
      </c>
      <c r="DE149" t="s">
        <v>3</v>
      </c>
      <c r="DF149" t="s">
        <v>3</v>
      </c>
      <c r="DG149" t="s">
        <v>3</v>
      </c>
      <c r="DH149" t="s">
        <v>3</v>
      </c>
      <c r="DI149" t="s">
        <v>3</v>
      </c>
      <c r="DJ149" t="s">
        <v>3</v>
      </c>
      <c r="DK149" t="s">
        <v>3</v>
      </c>
      <c r="DL149" t="s">
        <v>3</v>
      </c>
      <c r="DM149" t="s">
        <v>3</v>
      </c>
      <c r="DN149">
        <v>112</v>
      </c>
      <c r="DO149">
        <v>70</v>
      </c>
      <c r="DP149">
        <v>1</v>
      </c>
      <c r="DQ149">
        <v>1</v>
      </c>
      <c r="DU149">
        <v>1010</v>
      </c>
      <c r="DV149" t="s">
        <v>209</v>
      </c>
      <c r="DW149" t="s">
        <v>210</v>
      </c>
      <c r="DX149">
        <v>1</v>
      </c>
      <c r="EE149">
        <v>43770608</v>
      </c>
      <c r="EF149">
        <v>40</v>
      </c>
      <c r="EG149" t="s">
        <v>42</v>
      </c>
      <c r="EH149">
        <v>0</v>
      </c>
      <c r="EI149" t="s">
        <v>3</v>
      </c>
      <c r="EJ149">
        <v>2</v>
      </c>
      <c r="EK149">
        <v>317</v>
      </c>
      <c r="EL149" t="s">
        <v>283</v>
      </c>
      <c r="EM149" t="s">
        <v>284</v>
      </c>
      <c r="EO149" t="s">
        <v>3</v>
      </c>
      <c r="EQ149">
        <v>0</v>
      </c>
      <c r="ER149">
        <v>642.52</v>
      </c>
      <c r="ES149">
        <v>642.52</v>
      </c>
      <c r="ET149">
        <v>0</v>
      </c>
      <c r="EU149">
        <v>0</v>
      </c>
      <c r="EV149">
        <v>0</v>
      </c>
      <c r="EW149">
        <v>0</v>
      </c>
      <c r="EX149">
        <v>0</v>
      </c>
      <c r="EZ149">
        <v>5</v>
      </c>
      <c r="FC149">
        <v>0</v>
      </c>
      <c r="FD149">
        <v>18</v>
      </c>
      <c r="FF149">
        <v>3488.88</v>
      </c>
      <c r="FQ149">
        <v>0</v>
      </c>
      <c r="FR149">
        <f t="shared" si="145"/>
        <v>0</v>
      </c>
      <c r="FS149">
        <v>0</v>
      </c>
      <c r="FX149">
        <v>112</v>
      </c>
      <c r="FY149">
        <v>70</v>
      </c>
      <c r="GA149" t="s">
        <v>326</v>
      </c>
      <c r="GD149">
        <v>0</v>
      </c>
      <c r="GF149">
        <v>387128999</v>
      </c>
      <c r="GG149">
        <v>2</v>
      </c>
      <c r="GH149">
        <v>3</v>
      </c>
      <c r="GI149">
        <v>3</v>
      </c>
      <c r="GJ149">
        <v>0</v>
      </c>
      <c r="GK149">
        <f>ROUND(R149*(R12)/100,2)</f>
        <v>0</v>
      </c>
      <c r="GL149">
        <f t="shared" si="146"/>
        <v>0</v>
      </c>
      <c r="GM149">
        <f t="shared" si="147"/>
        <v>3488.88</v>
      </c>
      <c r="GN149">
        <f t="shared" si="148"/>
        <v>0</v>
      </c>
      <c r="GO149">
        <f t="shared" si="149"/>
        <v>3488.88</v>
      </c>
      <c r="GP149">
        <f t="shared" si="150"/>
        <v>0</v>
      </c>
      <c r="GR149">
        <v>1</v>
      </c>
      <c r="GS149">
        <v>1</v>
      </c>
      <c r="GT149">
        <v>0</v>
      </c>
      <c r="GU149" t="s">
        <v>3</v>
      </c>
      <c r="GV149">
        <f t="shared" si="151"/>
        <v>0</v>
      </c>
      <c r="GW149">
        <v>1</v>
      </c>
      <c r="GX149">
        <f t="shared" si="152"/>
        <v>0</v>
      </c>
      <c r="HA149">
        <v>0</v>
      </c>
      <c r="HB149">
        <v>0</v>
      </c>
      <c r="HC149">
        <f t="shared" si="153"/>
        <v>0</v>
      </c>
      <c r="IK149">
        <v>0</v>
      </c>
    </row>
    <row r="150" spans="1:245" x14ac:dyDescent="0.2">
      <c r="A150">
        <v>17</v>
      </c>
      <c r="B150">
        <v>1</v>
      </c>
      <c r="C150">
        <f>ROW(SmtRes!A67)</f>
        <v>67</v>
      </c>
      <c r="D150">
        <f>ROW(EtalonRes!A44)</f>
        <v>44</v>
      </c>
      <c r="E150" t="s">
        <v>327</v>
      </c>
      <c r="F150" t="s">
        <v>328</v>
      </c>
      <c r="G150" t="s">
        <v>329</v>
      </c>
      <c r="H150" t="s">
        <v>119</v>
      </c>
      <c r="I150">
        <f>ROUND(2/100,9)</f>
        <v>0.02</v>
      </c>
      <c r="J150">
        <v>0</v>
      </c>
      <c r="O150">
        <f t="shared" si="119"/>
        <v>469.38</v>
      </c>
      <c r="P150">
        <f t="shared" si="120"/>
        <v>9.59</v>
      </c>
      <c r="Q150">
        <f t="shared" si="154"/>
        <v>24.08</v>
      </c>
      <c r="R150">
        <f t="shared" si="121"/>
        <v>6.22</v>
      </c>
      <c r="S150">
        <f t="shared" si="122"/>
        <v>435.71</v>
      </c>
      <c r="T150">
        <f t="shared" si="123"/>
        <v>0</v>
      </c>
      <c r="U150">
        <f t="shared" si="124"/>
        <v>1.4000000000000001</v>
      </c>
      <c r="V150">
        <f t="shared" si="125"/>
        <v>0</v>
      </c>
      <c r="W150">
        <f t="shared" si="126"/>
        <v>0</v>
      </c>
      <c r="X150">
        <f t="shared" si="127"/>
        <v>392.14</v>
      </c>
      <c r="Y150">
        <f t="shared" si="128"/>
        <v>187.36</v>
      </c>
      <c r="AA150">
        <v>44002026</v>
      </c>
      <c r="AB150">
        <f t="shared" si="129"/>
        <v>1180.4100000000001</v>
      </c>
      <c r="AC150">
        <f t="shared" si="130"/>
        <v>87.5</v>
      </c>
      <c r="AD150">
        <f t="shared" si="155"/>
        <v>182.91</v>
      </c>
      <c r="AE150">
        <f t="shared" si="156"/>
        <v>12.88</v>
      </c>
      <c r="AF150">
        <f t="shared" si="157"/>
        <v>910</v>
      </c>
      <c r="AG150">
        <f t="shared" si="132"/>
        <v>0</v>
      </c>
      <c r="AH150">
        <f t="shared" si="158"/>
        <v>70</v>
      </c>
      <c r="AI150">
        <f t="shared" si="159"/>
        <v>0</v>
      </c>
      <c r="AJ150">
        <f t="shared" si="134"/>
        <v>0</v>
      </c>
      <c r="AK150">
        <v>1180.4100000000001</v>
      </c>
      <c r="AL150">
        <v>87.5</v>
      </c>
      <c r="AM150">
        <v>182.91</v>
      </c>
      <c r="AN150">
        <v>12.88</v>
      </c>
      <c r="AO150">
        <v>910</v>
      </c>
      <c r="AP150">
        <v>0</v>
      </c>
      <c r="AQ150">
        <v>70</v>
      </c>
      <c r="AR150">
        <v>0</v>
      </c>
      <c r="AS150">
        <v>0</v>
      </c>
      <c r="AT150">
        <v>90</v>
      </c>
      <c r="AU150">
        <v>43</v>
      </c>
      <c r="AV150">
        <v>1</v>
      </c>
      <c r="AW150">
        <v>1</v>
      </c>
      <c r="AZ150">
        <v>1</v>
      </c>
      <c r="BA150">
        <v>23.94</v>
      </c>
      <c r="BB150">
        <v>6.58</v>
      </c>
      <c r="BC150">
        <v>5.48</v>
      </c>
      <c r="BD150" t="s">
        <v>3</v>
      </c>
      <c r="BE150" t="s">
        <v>3</v>
      </c>
      <c r="BF150" t="s">
        <v>3</v>
      </c>
      <c r="BG150" t="s">
        <v>3</v>
      </c>
      <c r="BH150">
        <v>0</v>
      </c>
      <c r="BI150">
        <v>2</v>
      </c>
      <c r="BJ150" t="s">
        <v>330</v>
      </c>
      <c r="BM150">
        <v>333</v>
      </c>
      <c r="BN150">
        <v>0</v>
      </c>
      <c r="BO150" t="s">
        <v>328</v>
      </c>
      <c r="BP150">
        <v>1</v>
      </c>
      <c r="BQ150">
        <v>40</v>
      </c>
      <c r="BR150">
        <v>0</v>
      </c>
      <c r="BS150">
        <v>23.94</v>
      </c>
      <c r="BT150">
        <v>1</v>
      </c>
      <c r="BU150">
        <v>1</v>
      </c>
      <c r="BV150">
        <v>1</v>
      </c>
      <c r="BW150">
        <v>1</v>
      </c>
      <c r="BX150">
        <v>1</v>
      </c>
      <c r="BY150" t="s">
        <v>3</v>
      </c>
      <c r="BZ150">
        <v>90</v>
      </c>
      <c r="CA150">
        <v>43</v>
      </c>
      <c r="CE150">
        <v>30</v>
      </c>
      <c r="CF150">
        <v>0</v>
      </c>
      <c r="CG150">
        <v>0</v>
      </c>
      <c r="CM150">
        <v>0</v>
      </c>
      <c r="CN150" t="s">
        <v>3</v>
      </c>
      <c r="CO150">
        <v>0</v>
      </c>
      <c r="CP150">
        <f t="shared" si="135"/>
        <v>469.38</v>
      </c>
      <c r="CQ150">
        <f t="shared" si="136"/>
        <v>479.5</v>
      </c>
      <c r="CR150">
        <f t="shared" si="160"/>
        <v>1203.55</v>
      </c>
      <c r="CS150">
        <f t="shared" si="137"/>
        <v>308.35000000000002</v>
      </c>
      <c r="CT150">
        <f t="shared" si="138"/>
        <v>21785.4</v>
      </c>
      <c r="CU150">
        <f t="shared" si="139"/>
        <v>0</v>
      </c>
      <c r="CV150">
        <f t="shared" si="140"/>
        <v>70</v>
      </c>
      <c r="CW150">
        <f t="shared" si="141"/>
        <v>0</v>
      </c>
      <c r="CX150">
        <f t="shared" si="142"/>
        <v>0</v>
      </c>
      <c r="CY150">
        <f t="shared" si="143"/>
        <v>392.13900000000001</v>
      </c>
      <c r="CZ150">
        <f t="shared" si="144"/>
        <v>187.3553</v>
      </c>
      <c r="DC150" t="s">
        <v>3</v>
      </c>
      <c r="DD150" t="s">
        <v>3</v>
      </c>
      <c r="DE150" t="s">
        <v>3</v>
      </c>
      <c r="DF150" t="s">
        <v>3</v>
      </c>
      <c r="DG150" t="s">
        <v>3</v>
      </c>
      <c r="DH150" t="s">
        <v>3</v>
      </c>
      <c r="DI150" t="s">
        <v>3</v>
      </c>
      <c r="DJ150" t="s">
        <v>3</v>
      </c>
      <c r="DK150" t="s">
        <v>3</v>
      </c>
      <c r="DL150" t="s">
        <v>3</v>
      </c>
      <c r="DM150" t="s">
        <v>3</v>
      </c>
      <c r="DN150">
        <v>112</v>
      </c>
      <c r="DO150">
        <v>70</v>
      </c>
      <c r="DP150">
        <v>1</v>
      </c>
      <c r="DQ150">
        <v>1</v>
      </c>
      <c r="DU150">
        <v>1010</v>
      </c>
      <c r="DV150" t="s">
        <v>119</v>
      </c>
      <c r="DW150" t="s">
        <v>119</v>
      </c>
      <c r="DX150">
        <v>100</v>
      </c>
      <c r="EE150">
        <v>43770624</v>
      </c>
      <c r="EF150">
        <v>40</v>
      </c>
      <c r="EG150" t="s">
        <v>42</v>
      </c>
      <c r="EH150">
        <v>0</v>
      </c>
      <c r="EI150" t="s">
        <v>3</v>
      </c>
      <c r="EJ150">
        <v>2</v>
      </c>
      <c r="EK150">
        <v>333</v>
      </c>
      <c r="EL150" t="s">
        <v>211</v>
      </c>
      <c r="EM150" t="s">
        <v>212</v>
      </c>
      <c r="EO150" t="s">
        <v>3</v>
      </c>
      <c r="EQ150">
        <v>131072</v>
      </c>
      <c r="ER150">
        <v>1180.4100000000001</v>
      </c>
      <c r="ES150">
        <v>87.5</v>
      </c>
      <c r="ET150">
        <v>182.91</v>
      </c>
      <c r="EU150">
        <v>12.88</v>
      </c>
      <c r="EV150">
        <v>910</v>
      </c>
      <c r="EW150">
        <v>70</v>
      </c>
      <c r="EX150">
        <v>0</v>
      </c>
      <c r="EY150">
        <v>0</v>
      </c>
      <c r="FQ150">
        <v>0</v>
      </c>
      <c r="FR150">
        <f t="shared" si="145"/>
        <v>0</v>
      </c>
      <c r="FS150">
        <v>0</v>
      </c>
      <c r="FX150">
        <v>112</v>
      </c>
      <c r="FY150">
        <v>70</v>
      </c>
      <c r="GA150" t="s">
        <v>3</v>
      </c>
      <c r="GD150">
        <v>0</v>
      </c>
      <c r="GF150">
        <v>1316209602</v>
      </c>
      <c r="GG150">
        <v>2</v>
      </c>
      <c r="GH150">
        <v>1</v>
      </c>
      <c r="GI150">
        <v>2</v>
      </c>
      <c r="GJ150">
        <v>0</v>
      </c>
      <c r="GK150">
        <f>ROUND(R150*(R12)/100,2)</f>
        <v>9.77</v>
      </c>
      <c r="GL150">
        <f t="shared" si="146"/>
        <v>0</v>
      </c>
      <c r="GM150">
        <f t="shared" si="147"/>
        <v>1058.6500000000001</v>
      </c>
      <c r="GN150">
        <f t="shared" si="148"/>
        <v>0</v>
      </c>
      <c r="GO150">
        <f t="shared" si="149"/>
        <v>1058.6500000000001</v>
      </c>
      <c r="GP150">
        <f t="shared" si="150"/>
        <v>0</v>
      </c>
      <c r="GR150">
        <v>0</v>
      </c>
      <c r="GS150">
        <v>3</v>
      </c>
      <c r="GT150">
        <v>0</v>
      </c>
      <c r="GU150" t="s">
        <v>3</v>
      </c>
      <c r="GV150">
        <f t="shared" si="151"/>
        <v>0</v>
      </c>
      <c r="GW150">
        <v>1</v>
      </c>
      <c r="GX150">
        <f t="shared" si="152"/>
        <v>0</v>
      </c>
      <c r="HA150">
        <v>0</v>
      </c>
      <c r="HB150">
        <v>0</v>
      </c>
      <c r="HC150">
        <f t="shared" si="153"/>
        <v>0</v>
      </c>
      <c r="IK150">
        <v>0</v>
      </c>
    </row>
    <row r="151" spans="1:245" x14ac:dyDescent="0.2">
      <c r="A151">
        <v>18</v>
      </c>
      <c r="B151">
        <v>1</v>
      </c>
      <c r="C151">
        <v>67</v>
      </c>
      <c r="E151" t="s">
        <v>331</v>
      </c>
      <c r="F151" t="s">
        <v>332</v>
      </c>
      <c r="G151" t="s">
        <v>333</v>
      </c>
      <c r="H151" t="s">
        <v>209</v>
      </c>
      <c r="I151">
        <f>I150*J151</f>
        <v>2</v>
      </c>
      <c r="J151">
        <v>100</v>
      </c>
      <c r="O151">
        <f t="shared" si="119"/>
        <v>121.41</v>
      </c>
      <c r="P151">
        <f t="shared" si="120"/>
        <v>121.41</v>
      </c>
      <c r="Q151">
        <f t="shared" si="154"/>
        <v>0</v>
      </c>
      <c r="R151">
        <f t="shared" si="121"/>
        <v>0</v>
      </c>
      <c r="S151">
        <f t="shared" si="122"/>
        <v>0</v>
      </c>
      <c r="T151">
        <f t="shared" si="123"/>
        <v>0</v>
      </c>
      <c r="U151">
        <f t="shared" si="124"/>
        <v>0</v>
      </c>
      <c r="V151">
        <f t="shared" si="125"/>
        <v>0</v>
      </c>
      <c r="W151">
        <f t="shared" si="126"/>
        <v>0</v>
      </c>
      <c r="X151">
        <f t="shared" si="127"/>
        <v>0</v>
      </c>
      <c r="Y151">
        <f t="shared" si="128"/>
        <v>0</v>
      </c>
      <c r="AA151">
        <v>44002026</v>
      </c>
      <c r="AB151">
        <f t="shared" si="129"/>
        <v>8.35</v>
      </c>
      <c r="AC151">
        <f t="shared" si="130"/>
        <v>8.35</v>
      </c>
      <c r="AD151">
        <f t="shared" si="155"/>
        <v>0</v>
      </c>
      <c r="AE151">
        <f t="shared" si="156"/>
        <v>0</v>
      </c>
      <c r="AF151">
        <f t="shared" si="157"/>
        <v>0</v>
      </c>
      <c r="AG151">
        <f t="shared" si="132"/>
        <v>0</v>
      </c>
      <c r="AH151">
        <f t="shared" si="158"/>
        <v>0</v>
      </c>
      <c r="AI151">
        <f t="shared" si="159"/>
        <v>0</v>
      </c>
      <c r="AJ151">
        <f t="shared" si="134"/>
        <v>0</v>
      </c>
      <c r="AK151">
        <v>8.35</v>
      </c>
      <c r="AL151">
        <v>8.35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Z151">
        <v>1</v>
      </c>
      <c r="BA151">
        <v>1</v>
      </c>
      <c r="BB151">
        <v>1</v>
      </c>
      <c r="BC151">
        <v>7.27</v>
      </c>
      <c r="BD151" t="s">
        <v>3</v>
      </c>
      <c r="BE151" t="s">
        <v>3</v>
      </c>
      <c r="BF151" t="s">
        <v>3</v>
      </c>
      <c r="BG151" t="s">
        <v>3</v>
      </c>
      <c r="BH151">
        <v>3</v>
      </c>
      <c r="BI151">
        <v>2</v>
      </c>
      <c r="BJ151" t="s">
        <v>334</v>
      </c>
      <c r="BM151">
        <v>333</v>
      </c>
      <c r="BN151">
        <v>0</v>
      </c>
      <c r="BO151" t="s">
        <v>332</v>
      </c>
      <c r="BP151">
        <v>1</v>
      </c>
      <c r="BQ151">
        <v>40</v>
      </c>
      <c r="BR151">
        <v>0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 t="s">
        <v>3</v>
      </c>
      <c r="BZ151">
        <v>0</v>
      </c>
      <c r="CA151">
        <v>0</v>
      </c>
      <c r="CE151">
        <v>30</v>
      </c>
      <c r="CF151">
        <v>0</v>
      </c>
      <c r="CG151">
        <v>0</v>
      </c>
      <c r="CM151">
        <v>0</v>
      </c>
      <c r="CN151" t="s">
        <v>3</v>
      </c>
      <c r="CO151">
        <v>0</v>
      </c>
      <c r="CP151">
        <f t="shared" si="135"/>
        <v>121.41</v>
      </c>
      <c r="CQ151">
        <f t="shared" si="136"/>
        <v>60.7</v>
      </c>
      <c r="CR151">
        <f t="shared" si="160"/>
        <v>0</v>
      </c>
      <c r="CS151">
        <f t="shared" si="137"/>
        <v>0</v>
      </c>
      <c r="CT151">
        <f t="shared" si="138"/>
        <v>0</v>
      </c>
      <c r="CU151">
        <f t="shared" si="139"/>
        <v>0</v>
      </c>
      <c r="CV151">
        <f t="shared" si="140"/>
        <v>0</v>
      </c>
      <c r="CW151">
        <f t="shared" si="141"/>
        <v>0</v>
      </c>
      <c r="CX151">
        <f t="shared" si="142"/>
        <v>0</v>
      </c>
      <c r="CY151">
        <f t="shared" si="143"/>
        <v>0</v>
      </c>
      <c r="CZ151">
        <f t="shared" si="144"/>
        <v>0</v>
      </c>
      <c r="DC151" t="s">
        <v>3</v>
      </c>
      <c r="DD151" t="s">
        <v>3</v>
      </c>
      <c r="DE151" t="s">
        <v>3</v>
      </c>
      <c r="DF151" t="s">
        <v>3</v>
      </c>
      <c r="DG151" t="s">
        <v>3</v>
      </c>
      <c r="DH151" t="s">
        <v>3</v>
      </c>
      <c r="DI151" t="s">
        <v>3</v>
      </c>
      <c r="DJ151" t="s">
        <v>3</v>
      </c>
      <c r="DK151" t="s">
        <v>3</v>
      </c>
      <c r="DL151" t="s">
        <v>3</v>
      </c>
      <c r="DM151" t="s">
        <v>3</v>
      </c>
      <c r="DN151">
        <v>112</v>
      </c>
      <c r="DO151">
        <v>70</v>
      </c>
      <c r="DP151">
        <v>1</v>
      </c>
      <c r="DQ151">
        <v>1</v>
      </c>
      <c r="DU151">
        <v>1010</v>
      </c>
      <c r="DV151" t="s">
        <v>209</v>
      </c>
      <c r="DW151" t="s">
        <v>209</v>
      </c>
      <c r="DX151">
        <v>1</v>
      </c>
      <c r="EE151">
        <v>43770624</v>
      </c>
      <c r="EF151">
        <v>40</v>
      </c>
      <c r="EG151" t="s">
        <v>42</v>
      </c>
      <c r="EH151">
        <v>0</v>
      </c>
      <c r="EI151" t="s">
        <v>3</v>
      </c>
      <c r="EJ151">
        <v>2</v>
      </c>
      <c r="EK151">
        <v>333</v>
      </c>
      <c r="EL151" t="s">
        <v>211</v>
      </c>
      <c r="EM151" t="s">
        <v>212</v>
      </c>
      <c r="EO151" t="s">
        <v>3</v>
      </c>
      <c r="EQ151">
        <v>0</v>
      </c>
      <c r="ER151">
        <v>8.35</v>
      </c>
      <c r="ES151">
        <v>8.35</v>
      </c>
      <c r="ET151">
        <v>0</v>
      </c>
      <c r="EU151">
        <v>0</v>
      </c>
      <c r="EV151">
        <v>0</v>
      </c>
      <c r="EW151">
        <v>0</v>
      </c>
      <c r="EX151">
        <v>0</v>
      </c>
      <c r="FQ151">
        <v>0</v>
      </c>
      <c r="FR151">
        <f t="shared" si="145"/>
        <v>0</v>
      </c>
      <c r="FS151">
        <v>0</v>
      </c>
      <c r="FX151">
        <v>112</v>
      </c>
      <c r="FY151">
        <v>70</v>
      </c>
      <c r="GA151" t="s">
        <v>3</v>
      </c>
      <c r="GD151">
        <v>0</v>
      </c>
      <c r="GF151">
        <v>2059250457</v>
      </c>
      <c r="GG151">
        <v>2</v>
      </c>
      <c r="GH151">
        <v>1</v>
      </c>
      <c r="GI151">
        <v>2</v>
      </c>
      <c r="GJ151">
        <v>0</v>
      </c>
      <c r="GK151">
        <f>ROUND(R151*(R12)/100,2)</f>
        <v>0</v>
      </c>
      <c r="GL151">
        <f t="shared" si="146"/>
        <v>0</v>
      </c>
      <c r="GM151">
        <f t="shared" si="147"/>
        <v>121.41</v>
      </c>
      <c r="GN151">
        <f t="shared" si="148"/>
        <v>0</v>
      </c>
      <c r="GO151">
        <f t="shared" si="149"/>
        <v>121.41</v>
      </c>
      <c r="GP151">
        <f t="shared" si="150"/>
        <v>0</v>
      </c>
      <c r="GR151">
        <v>0</v>
      </c>
      <c r="GS151">
        <v>3</v>
      </c>
      <c r="GT151">
        <v>0</v>
      </c>
      <c r="GU151" t="s">
        <v>3</v>
      </c>
      <c r="GV151">
        <f t="shared" si="151"/>
        <v>0</v>
      </c>
      <c r="GW151">
        <v>1</v>
      </c>
      <c r="GX151">
        <f t="shared" si="152"/>
        <v>0</v>
      </c>
      <c r="HA151">
        <v>0</v>
      </c>
      <c r="HB151">
        <v>0</v>
      </c>
      <c r="HC151">
        <f t="shared" si="153"/>
        <v>0</v>
      </c>
      <c r="IK151">
        <v>0</v>
      </c>
    </row>
    <row r="152" spans="1:245" x14ac:dyDescent="0.2">
      <c r="A152">
        <v>17</v>
      </c>
      <c r="B152">
        <v>1</v>
      </c>
      <c r="C152">
        <f>ROW(SmtRes!A69)</f>
        <v>69</v>
      </c>
      <c r="D152">
        <f>ROW(EtalonRes!A45)</f>
        <v>45</v>
      </c>
      <c r="E152" t="s">
        <v>335</v>
      </c>
      <c r="F152" t="s">
        <v>336</v>
      </c>
      <c r="G152" t="s">
        <v>337</v>
      </c>
      <c r="H152" t="s">
        <v>40</v>
      </c>
      <c r="I152">
        <f>ROUND(15/100,9)</f>
        <v>0.15</v>
      </c>
      <c r="J152">
        <v>0</v>
      </c>
      <c r="O152">
        <f t="shared" si="119"/>
        <v>1160.6099999999999</v>
      </c>
      <c r="P152">
        <f t="shared" si="120"/>
        <v>25.76</v>
      </c>
      <c r="Q152">
        <f t="shared" si="154"/>
        <v>280.19</v>
      </c>
      <c r="R152">
        <f t="shared" si="121"/>
        <v>128.08000000000001</v>
      </c>
      <c r="S152">
        <f t="shared" si="122"/>
        <v>854.66</v>
      </c>
      <c r="T152">
        <f t="shared" si="123"/>
        <v>0</v>
      </c>
      <c r="U152">
        <f t="shared" si="124"/>
        <v>2.895</v>
      </c>
      <c r="V152">
        <f t="shared" si="125"/>
        <v>0</v>
      </c>
      <c r="W152">
        <f t="shared" si="126"/>
        <v>0</v>
      </c>
      <c r="X152">
        <f t="shared" si="127"/>
        <v>769.19</v>
      </c>
      <c r="Y152">
        <f t="shared" si="128"/>
        <v>367.5</v>
      </c>
      <c r="AA152">
        <v>44002026</v>
      </c>
      <c r="AB152">
        <f t="shared" si="129"/>
        <v>497.12</v>
      </c>
      <c r="AC152">
        <f t="shared" si="130"/>
        <v>31.36</v>
      </c>
      <c r="AD152">
        <f t="shared" si="155"/>
        <v>227.79</v>
      </c>
      <c r="AE152">
        <f t="shared" si="156"/>
        <v>35.69</v>
      </c>
      <c r="AF152">
        <f t="shared" si="157"/>
        <v>237.97</v>
      </c>
      <c r="AG152">
        <f t="shared" si="132"/>
        <v>0</v>
      </c>
      <c r="AH152">
        <f t="shared" si="158"/>
        <v>19.3</v>
      </c>
      <c r="AI152">
        <f t="shared" si="159"/>
        <v>0</v>
      </c>
      <c r="AJ152">
        <f t="shared" si="134"/>
        <v>0</v>
      </c>
      <c r="AK152">
        <v>497.12</v>
      </c>
      <c r="AL152">
        <v>31.36</v>
      </c>
      <c r="AM152">
        <v>227.79</v>
      </c>
      <c r="AN152">
        <v>35.69</v>
      </c>
      <c r="AO152">
        <v>237.97</v>
      </c>
      <c r="AP152">
        <v>0</v>
      </c>
      <c r="AQ152">
        <v>19.3</v>
      </c>
      <c r="AR152">
        <v>0</v>
      </c>
      <c r="AS152">
        <v>0</v>
      </c>
      <c r="AT152">
        <v>90</v>
      </c>
      <c r="AU152">
        <v>43</v>
      </c>
      <c r="AV152">
        <v>1</v>
      </c>
      <c r="AW152">
        <v>1</v>
      </c>
      <c r="AZ152">
        <v>1</v>
      </c>
      <c r="BA152">
        <v>23.94</v>
      </c>
      <c r="BB152">
        <v>8.1999999999999993</v>
      </c>
      <c r="BC152">
        <v>5.48</v>
      </c>
      <c r="BD152" t="s">
        <v>3</v>
      </c>
      <c r="BE152" t="s">
        <v>3</v>
      </c>
      <c r="BF152" t="s">
        <v>3</v>
      </c>
      <c r="BG152" t="s">
        <v>3</v>
      </c>
      <c r="BH152">
        <v>0</v>
      </c>
      <c r="BI152">
        <v>2</v>
      </c>
      <c r="BJ152" t="s">
        <v>338</v>
      </c>
      <c r="BM152">
        <v>331</v>
      </c>
      <c r="BN152">
        <v>0</v>
      </c>
      <c r="BO152" t="s">
        <v>336</v>
      </c>
      <c r="BP152">
        <v>1</v>
      </c>
      <c r="BQ152">
        <v>40</v>
      </c>
      <c r="BR152">
        <v>0</v>
      </c>
      <c r="BS152">
        <v>23.94</v>
      </c>
      <c r="BT152">
        <v>1</v>
      </c>
      <c r="BU152">
        <v>1</v>
      </c>
      <c r="BV152">
        <v>1</v>
      </c>
      <c r="BW152">
        <v>1</v>
      </c>
      <c r="BX152">
        <v>1</v>
      </c>
      <c r="BY152" t="s">
        <v>3</v>
      </c>
      <c r="BZ152">
        <v>90</v>
      </c>
      <c r="CA152">
        <v>43</v>
      </c>
      <c r="CE152">
        <v>30</v>
      </c>
      <c r="CF152">
        <v>0</v>
      </c>
      <c r="CG152">
        <v>0</v>
      </c>
      <c r="CM152">
        <v>0</v>
      </c>
      <c r="CN152" t="s">
        <v>3</v>
      </c>
      <c r="CO152">
        <v>0</v>
      </c>
      <c r="CP152">
        <f t="shared" si="135"/>
        <v>1160.6099999999999</v>
      </c>
      <c r="CQ152">
        <f t="shared" si="136"/>
        <v>171.85</v>
      </c>
      <c r="CR152">
        <f t="shared" si="160"/>
        <v>1867.88</v>
      </c>
      <c r="CS152">
        <f t="shared" si="137"/>
        <v>854.42</v>
      </c>
      <c r="CT152">
        <f t="shared" si="138"/>
        <v>5697</v>
      </c>
      <c r="CU152">
        <f t="shared" si="139"/>
        <v>0</v>
      </c>
      <c r="CV152">
        <f t="shared" si="140"/>
        <v>19.3</v>
      </c>
      <c r="CW152">
        <f t="shared" si="141"/>
        <v>0</v>
      </c>
      <c r="CX152">
        <f t="shared" si="142"/>
        <v>0</v>
      </c>
      <c r="CY152">
        <f t="shared" si="143"/>
        <v>769.19399999999996</v>
      </c>
      <c r="CZ152">
        <f t="shared" si="144"/>
        <v>367.50379999999996</v>
      </c>
      <c r="DC152" t="s">
        <v>3</v>
      </c>
      <c r="DD152" t="s">
        <v>3</v>
      </c>
      <c r="DE152" t="s">
        <v>3</v>
      </c>
      <c r="DF152" t="s">
        <v>3</v>
      </c>
      <c r="DG152" t="s">
        <v>3</v>
      </c>
      <c r="DH152" t="s">
        <v>3</v>
      </c>
      <c r="DI152" t="s">
        <v>3</v>
      </c>
      <c r="DJ152" t="s">
        <v>3</v>
      </c>
      <c r="DK152" t="s">
        <v>3</v>
      </c>
      <c r="DL152" t="s">
        <v>3</v>
      </c>
      <c r="DM152" t="s">
        <v>3</v>
      </c>
      <c r="DN152">
        <v>112</v>
      </c>
      <c r="DO152">
        <v>70</v>
      </c>
      <c r="DP152">
        <v>1</v>
      </c>
      <c r="DQ152">
        <v>1</v>
      </c>
      <c r="DU152">
        <v>1013</v>
      </c>
      <c r="DV152" t="s">
        <v>40</v>
      </c>
      <c r="DW152" t="s">
        <v>40</v>
      </c>
      <c r="DX152">
        <v>1</v>
      </c>
      <c r="EE152">
        <v>43770622</v>
      </c>
      <c r="EF152">
        <v>40</v>
      </c>
      <c r="EG152" t="s">
        <v>42</v>
      </c>
      <c r="EH152">
        <v>0</v>
      </c>
      <c r="EI152" t="s">
        <v>3</v>
      </c>
      <c r="EJ152">
        <v>2</v>
      </c>
      <c r="EK152">
        <v>331</v>
      </c>
      <c r="EL152" t="s">
        <v>84</v>
      </c>
      <c r="EM152" t="s">
        <v>85</v>
      </c>
      <c r="EO152" t="s">
        <v>3</v>
      </c>
      <c r="EQ152">
        <v>0</v>
      </c>
      <c r="ER152">
        <v>497.12</v>
      </c>
      <c r="ES152">
        <v>31.36</v>
      </c>
      <c r="ET152">
        <v>227.79</v>
      </c>
      <c r="EU152">
        <v>35.69</v>
      </c>
      <c r="EV152">
        <v>237.97</v>
      </c>
      <c r="EW152">
        <v>19.3</v>
      </c>
      <c r="EX152">
        <v>0</v>
      </c>
      <c r="EY152">
        <v>0</v>
      </c>
      <c r="FQ152">
        <v>0</v>
      </c>
      <c r="FR152">
        <f t="shared" si="145"/>
        <v>0</v>
      </c>
      <c r="FS152">
        <v>0</v>
      </c>
      <c r="FX152">
        <v>112</v>
      </c>
      <c r="FY152">
        <v>70</v>
      </c>
      <c r="GA152" t="s">
        <v>3</v>
      </c>
      <c r="GD152">
        <v>0</v>
      </c>
      <c r="GF152">
        <v>745898297</v>
      </c>
      <c r="GG152">
        <v>2</v>
      </c>
      <c r="GH152">
        <v>1</v>
      </c>
      <c r="GI152">
        <v>2</v>
      </c>
      <c r="GJ152">
        <v>0</v>
      </c>
      <c r="GK152">
        <f>ROUND(R152*(R12)/100,2)</f>
        <v>201.09</v>
      </c>
      <c r="GL152">
        <f t="shared" si="146"/>
        <v>0</v>
      </c>
      <c r="GM152">
        <f t="shared" si="147"/>
        <v>2498.39</v>
      </c>
      <c r="GN152">
        <f t="shared" si="148"/>
        <v>0</v>
      </c>
      <c r="GO152">
        <f t="shared" si="149"/>
        <v>2498.39</v>
      </c>
      <c r="GP152">
        <f t="shared" si="150"/>
        <v>0</v>
      </c>
      <c r="GR152">
        <v>0</v>
      </c>
      <c r="GS152">
        <v>3</v>
      </c>
      <c r="GT152">
        <v>0</v>
      </c>
      <c r="GU152" t="s">
        <v>3</v>
      </c>
      <c r="GV152">
        <f t="shared" si="151"/>
        <v>0</v>
      </c>
      <c r="GW152">
        <v>1</v>
      </c>
      <c r="GX152">
        <f t="shared" si="152"/>
        <v>0</v>
      </c>
      <c r="HA152">
        <v>0</v>
      </c>
      <c r="HB152">
        <v>0</v>
      </c>
      <c r="HC152">
        <f t="shared" si="153"/>
        <v>0</v>
      </c>
      <c r="IK152">
        <v>0</v>
      </c>
    </row>
    <row r="153" spans="1:245" x14ac:dyDescent="0.2">
      <c r="A153">
        <v>18</v>
      </c>
      <c r="B153">
        <v>1</v>
      </c>
      <c r="C153">
        <v>69</v>
      </c>
      <c r="E153" t="s">
        <v>339</v>
      </c>
      <c r="F153" t="s">
        <v>340</v>
      </c>
      <c r="G153" t="s">
        <v>341</v>
      </c>
      <c r="H153" t="s">
        <v>57</v>
      </c>
      <c r="I153">
        <f>I152*J153</f>
        <v>1.5299999999999998E-2</v>
      </c>
      <c r="J153">
        <v>0.10199999999999999</v>
      </c>
      <c r="O153">
        <f t="shared" si="119"/>
        <v>2038.36</v>
      </c>
      <c r="P153">
        <f t="shared" si="120"/>
        <v>2038.36</v>
      </c>
      <c r="Q153">
        <f t="shared" si="154"/>
        <v>0</v>
      </c>
      <c r="R153">
        <f t="shared" si="121"/>
        <v>0</v>
      </c>
      <c r="S153">
        <f t="shared" si="122"/>
        <v>0</v>
      </c>
      <c r="T153">
        <f t="shared" si="123"/>
        <v>0</v>
      </c>
      <c r="U153">
        <f t="shared" si="124"/>
        <v>0</v>
      </c>
      <c r="V153">
        <f t="shared" si="125"/>
        <v>0</v>
      </c>
      <c r="W153">
        <f t="shared" si="126"/>
        <v>0</v>
      </c>
      <c r="X153">
        <f t="shared" si="127"/>
        <v>0</v>
      </c>
      <c r="Y153">
        <f t="shared" si="128"/>
        <v>0</v>
      </c>
      <c r="AA153">
        <v>44002026</v>
      </c>
      <c r="AB153">
        <f t="shared" si="129"/>
        <v>35059.26</v>
      </c>
      <c r="AC153">
        <f t="shared" si="130"/>
        <v>35059.26</v>
      </c>
      <c r="AD153">
        <f t="shared" si="155"/>
        <v>0</v>
      </c>
      <c r="AE153">
        <f t="shared" si="156"/>
        <v>0</v>
      </c>
      <c r="AF153">
        <f t="shared" si="157"/>
        <v>0</v>
      </c>
      <c r="AG153">
        <f t="shared" si="132"/>
        <v>0</v>
      </c>
      <c r="AH153">
        <f t="shared" si="158"/>
        <v>0</v>
      </c>
      <c r="AI153">
        <f t="shared" si="159"/>
        <v>0</v>
      </c>
      <c r="AJ153">
        <f t="shared" si="134"/>
        <v>0</v>
      </c>
      <c r="AK153">
        <v>35059.26</v>
      </c>
      <c r="AL153">
        <v>35059.26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1</v>
      </c>
      <c r="AZ153">
        <v>1</v>
      </c>
      <c r="BA153">
        <v>1</v>
      </c>
      <c r="BB153">
        <v>1</v>
      </c>
      <c r="BC153">
        <v>3.8</v>
      </c>
      <c r="BD153" t="s">
        <v>3</v>
      </c>
      <c r="BE153" t="s">
        <v>3</v>
      </c>
      <c r="BF153" t="s">
        <v>3</v>
      </c>
      <c r="BG153" t="s">
        <v>3</v>
      </c>
      <c r="BH153">
        <v>3</v>
      </c>
      <c r="BI153">
        <v>2</v>
      </c>
      <c r="BJ153" t="s">
        <v>342</v>
      </c>
      <c r="BM153">
        <v>1618</v>
      </c>
      <c r="BN153">
        <v>0</v>
      </c>
      <c r="BO153" t="s">
        <v>340</v>
      </c>
      <c r="BP153">
        <v>1</v>
      </c>
      <c r="BQ153">
        <v>201</v>
      </c>
      <c r="BR153">
        <v>0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 t="s">
        <v>3</v>
      </c>
      <c r="BZ153">
        <v>0</v>
      </c>
      <c r="CA153">
        <v>0</v>
      </c>
      <c r="CE153">
        <v>30</v>
      </c>
      <c r="CF153">
        <v>0</v>
      </c>
      <c r="CG153">
        <v>0</v>
      </c>
      <c r="CM153">
        <v>0</v>
      </c>
      <c r="CN153" t="s">
        <v>3</v>
      </c>
      <c r="CO153">
        <v>0</v>
      </c>
      <c r="CP153">
        <f t="shared" si="135"/>
        <v>2038.36</v>
      </c>
      <c r="CQ153">
        <f t="shared" si="136"/>
        <v>133225.19</v>
      </c>
      <c r="CR153">
        <f t="shared" si="160"/>
        <v>0</v>
      </c>
      <c r="CS153">
        <f t="shared" si="137"/>
        <v>0</v>
      </c>
      <c r="CT153">
        <f t="shared" si="138"/>
        <v>0</v>
      </c>
      <c r="CU153">
        <f t="shared" si="139"/>
        <v>0</v>
      </c>
      <c r="CV153">
        <f t="shared" si="140"/>
        <v>0</v>
      </c>
      <c r="CW153">
        <f t="shared" si="141"/>
        <v>0</v>
      </c>
      <c r="CX153">
        <f t="shared" si="142"/>
        <v>0</v>
      </c>
      <c r="CY153">
        <f t="shared" si="143"/>
        <v>0</v>
      </c>
      <c r="CZ153">
        <f t="shared" si="144"/>
        <v>0</v>
      </c>
      <c r="DC153" t="s">
        <v>3</v>
      </c>
      <c r="DD153" t="s">
        <v>3</v>
      </c>
      <c r="DE153" t="s">
        <v>3</v>
      </c>
      <c r="DF153" t="s">
        <v>3</v>
      </c>
      <c r="DG153" t="s">
        <v>3</v>
      </c>
      <c r="DH153" t="s">
        <v>3</v>
      </c>
      <c r="DI153" t="s">
        <v>3</v>
      </c>
      <c r="DJ153" t="s">
        <v>3</v>
      </c>
      <c r="DK153" t="s">
        <v>3</v>
      </c>
      <c r="DL153" t="s">
        <v>3</v>
      </c>
      <c r="DM153" t="s">
        <v>3</v>
      </c>
      <c r="DN153">
        <v>0</v>
      </c>
      <c r="DO153">
        <v>0</v>
      </c>
      <c r="DP153">
        <v>1</v>
      </c>
      <c r="DQ153">
        <v>1</v>
      </c>
      <c r="DU153">
        <v>1003</v>
      </c>
      <c r="DV153" t="s">
        <v>57</v>
      </c>
      <c r="DW153" t="s">
        <v>57</v>
      </c>
      <c r="DX153">
        <v>1000</v>
      </c>
      <c r="EE153">
        <v>43771909</v>
      </c>
      <c r="EF153">
        <v>201</v>
      </c>
      <c r="EG153" t="s">
        <v>343</v>
      </c>
      <c r="EH153">
        <v>0</v>
      </c>
      <c r="EI153" t="s">
        <v>3</v>
      </c>
      <c r="EJ153">
        <v>2</v>
      </c>
      <c r="EK153">
        <v>1618</v>
      </c>
      <c r="EL153" t="s">
        <v>344</v>
      </c>
      <c r="EM153" t="s">
        <v>345</v>
      </c>
      <c r="EO153" t="s">
        <v>3</v>
      </c>
      <c r="EQ153">
        <v>0</v>
      </c>
      <c r="ER153">
        <v>35059.26</v>
      </c>
      <c r="ES153">
        <v>35059.26</v>
      </c>
      <c r="ET153">
        <v>0</v>
      </c>
      <c r="EU153">
        <v>0</v>
      </c>
      <c r="EV153">
        <v>0</v>
      </c>
      <c r="EW153">
        <v>0</v>
      </c>
      <c r="EX153">
        <v>0</v>
      </c>
      <c r="FQ153">
        <v>0</v>
      </c>
      <c r="FR153">
        <f t="shared" si="145"/>
        <v>0</v>
      </c>
      <c r="FS153">
        <v>0</v>
      </c>
      <c r="FX153">
        <v>0</v>
      </c>
      <c r="FY153">
        <v>0</v>
      </c>
      <c r="GA153" t="s">
        <v>3</v>
      </c>
      <c r="GD153">
        <v>0</v>
      </c>
      <c r="GF153">
        <v>-890143031</v>
      </c>
      <c r="GG153">
        <v>2</v>
      </c>
      <c r="GH153">
        <v>1</v>
      </c>
      <c r="GI153">
        <v>2</v>
      </c>
      <c r="GJ153">
        <v>0</v>
      </c>
      <c r="GK153">
        <f>ROUND(R153*(R12)/100,2)</f>
        <v>0</v>
      </c>
      <c r="GL153">
        <f t="shared" si="146"/>
        <v>0</v>
      </c>
      <c r="GM153">
        <f t="shared" si="147"/>
        <v>2038.36</v>
      </c>
      <c r="GN153">
        <f t="shared" si="148"/>
        <v>0</v>
      </c>
      <c r="GO153">
        <f t="shared" si="149"/>
        <v>2038.36</v>
      </c>
      <c r="GP153">
        <f t="shared" si="150"/>
        <v>0</v>
      </c>
      <c r="GR153">
        <v>0</v>
      </c>
      <c r="GS153">
        <v>3</v>
      </c>
      <c r="GT153">
        <v>0</v>
      </c>
      <c r="GU153" t="s">
        <v>3</v>
      </c>
      <c r="GV153">
        <f t="shared" si="151"/>
        <v>0</v>
      </c>
      <c r="GW153">
        <v>1</v>
      </c>
      <c r="GX153">
        <f t="shared" si="152"/>
        <v>0</v>
      </c>
      <c r="HA153">
        <v>0</v>
      </c>
      <c r="HB153">
        <v>0</v>
      </c>
      <c r="HC153">
        <f t="shared" si="153"/>
        <v>0</v>
      </c>
      <c r="IK153">
        <v>0</v>
      </c>
    </row>
    <row r="154" spans="1:245" x14ac:dyDescent="0.2">
      <c r="A154">
        <v>17</v>
      </c>
      <c r="B154">
        <v>1</v>
      </c>
      <c r="C154">
        <f>ROW(SmtRes!A71)</f>
        <v>71</v>
      </c>
      <c r="D154">
        <f>ROW(EtalonRes!A46)</f>
        <v>46</v>
      </c>
      <c r="E154" t="s">
        <v>346</v>
      </c>
      <c r="F154" t="s">
        <v>347</v>
      </c>
      <c r="G154" t="s">
        <v>348</v>
      </c>
      <c r="H154" t="s">
        <v>349</v>
      </c>
      <c r="I154">
        <f>ROUND(15/100,9)</f>
        <v>0.15</v>
      </c>
      <c r="J154">
        <v>0</v>
      </c>
      <c r="O154">
        <f t="shared" si="119"/>
        <v>1735.92</v>
      </c>
      <c r="P154">
        <f t="shared" si="120"/>
        <v>12.71</v>
      </c>
      <c r="Q154">
        <f t="shared" si="154"/>
        <v>262.14999999999998</v>
      </c>
      <c r="R154">
        <f t="shared" si="121"/>
        <v>69.430000000000007</v>
      </c>
      <c r="S154">
        <f t="shared" si="122"/>
        <v>1461.06</v>
      </c>
      <c r="T154">
        <f t="shared" si="123"/>
        <v>0</v>
      </c>
      <c r="U154">
        <f t="shared" si="124"/>
        <v>4.95</v>
      </c>
      <c r="V154">
        <f t="shared" si="125"/>
        <v>0</v>
      </c>
      <c r="W154">
        <f t="shared" si="126"/>
        <v>0</v>
      </c>
      <c r="X154">
        <f t="shared" si="127"/>
        <v>1314.95</v>
      </c>
      <c r="Y154">
        <f t="shared" si="128"/>
        <v>628.26</v>
      </c>
      <c r="AA154">
        <v>44002026</v>
      </c>
      <c r="AB154">
        <f t="shared" si="129"/>
        <v>685.59</v>
      </c>
      <c r="AC154">
        <f t="shared" si="130"/>
        <v>15.47</v>
      </c>
      <c r="AD154">
        <f t="shared" si="155"/>
        <v>263.23</v>
      </c>
      <c r="AE154">
        <f t="shared" si="156"/>
        <v>19.329999999999998</v>
      </c>
      <c r="AF154">
        <f t="shared" si="157"/>
        <v>406.89</v>
      </c>
      <c r="AG154">
        <f t="shared" si="132"/>
        <v>0</v>
      </c>
      <c r="AH154">
        <f t="shared" si="158"/>
        <v>33</v>
      </c>
      <c r="AI154">
        <f t="shared" si="159"/>
        <v>0</v>
      </c>
      <c r="AJ154">
        <f t="shared" si="134"/>
        <v>0</v>
      </c>
      <c r="AK154">
        <v>685.59</v>
      </c>
      <c r="AL154">
        <v>15.47</v>
      </c>
      <c r="AM154">
        <v>263.23</v>
      </c>
      <c r="AN154">
        <v>19.329999999999998</v>
      </c>
      <c r="AO154">
        <v>406.89</v>
      </c>
      <c r="AP154">
        <v>0</v>
      </c>
      <c r="AQ154">
        <v>33</v>
      </c>
      <c r="AR154">
        <v>0</v>
      </c>
      <c r="AS154">
        <v>0</v>
      </c>
      <c r="AT154">
        <v>90</v>
      </c>
      <c r="AU154">
        <v>43</v>
      </c>
      <c r="AV154">
        <v>1</v>
      </c>
      <c r="AW154">
        <v>1</v>
      </c>
      <c r="AZ154">
        <v>1</v>
      </c>
      <c r="BA154">
        <v>23.94</v>
      </c>
      <c r="BB154">
        <v>6.64</v>
      </c>
      <c r="BC154">
        <v>5.48</v>
      </c>
      <c r="BD154" t="s">
        <v>3</v>
      </c>
      <c r="BE154" t="s">
        <v>3</v>
      </c>
      <c r="BF154" t="s">
        <v>3</v>
      </c>
      <c r="BG154" t="s">
        <v>3</v>
      </c>
      <c r="BH154">
        <v>0</v>
      </c>
      <c r="BI154">
        <v>2</v>
      </c>
      <c r="BJ154" t="s">
        <v>350</v>
      </c>
      <c r="BM154">
        <v>331</v>
      </c>
      <c r="BN154">
        <v>0</v>
      </c>
      <c r="BO154" t="s">
        <v>347</v>
      </c>
      <c r="BP154">
        <v>1</v>
      </c>
      <c r="BQ154">
        <v>40</v>
      </c>
      <c r="BR154">
        <v>0</v>
      </c>
      <c r="BS154">
        <v>23.94</v>
      </c>
      <c r="BT154">
        <v>1</v>
      </c>
      <c r="BU154">
        <v>1</v>
      </c>
      <c r="BV154">
        <v>1</v>
      </c>
      <c r="BW154">
        <v>1</v>
      </c>
      <c r="BX154">
        <v>1</v>
      </c>
      <c r="BY154" t="s">
        <v>3</v>
      </c>
      <c r="BZ154">
        <v>90</v>
      </c>
      <c r="CA154">
        <v>43</v>
      </c>
      <c r="CE154">
        <v>30</v>
      </c>
      <c r="CF154">
        <v>0</v>
      </c>
      <c r="CG154">
        <v>0</v>
      </c>
      <c r="CM154">
        <v>0</v>
      </c>
      <c r="CN154" t="s">
        <v>3</v>
      </c>
      <c r="CO154">
        <v>0</v>
      </c>
      <c r="CP154">
        <f t="shared" si="135"/>
        <v>1735.9199999999998</v>
      </c>
      <c r="CQ154">
        <f t="shared" si="136"/>
        <v>84.78</v>
      </c>
      <c r="CR154">
        <f t="shared" si="160"/>
        <v>1747.85</v>
      </c>
      <c r="CS154">
        <f t="shared" si="137"/>
        <v>462.76</v>
      </c>
      <c r="CT154">
        <f t="shared" si="138"/>
        <v>9740.9500000000007</v>
      </c>
      <c r="CU154">
        <f t="shared" si="139"/>
        <v>0</v>
      </c>
      <c r="CV154">
        <f t="shared" si="140"/>
        <v>33</v>
      </c>
      <c r="CW154">
        <f t="shared" si="141"/>
        <v>0</v>
      </c>
      <c r="CX154">
        <f t="shared" si="142"/>
        <v>0</v>
      </c>
      <c r="CY154">
        <f t="shared" si="143"/>
        <v>1314.954</v>
      </c>
      <c r="CZ154">
        <f t="shared" si="144"/>
        <v>628.25580000000002</v>
      </c>
      <c r="DC154" t="s">
        <v>3</v>
      </c>
      <c r="DD154" t="s">
        <v>3</v>
      </c>
      <c r="DE154" t="s">
        <v>3</v>
      </c>
      <c r="DF154" t="s">
        <v>3</v>
      </c>
      <c r="DG154" t="s">
        <v>3</v>
      </c>
      <c r="DH154" t="s">
        <v>3</v>
      </c>
      <c r="DI154" t="s">
        <v>3</v>
      </c>
      <c r="DJ154" t="s">
        <v>3</v>
      </c>
      <c r="DK154" t="s">
        <v>3</v>
      </c>
      <c r="DL154" t="s">
        <v>3</v>
      </c>
      <c r="DM154" t="s">
        <v>3</v>
      </c>
      <c r="DN154">
        <v>112</v>
      </c>
      <c r="DO154">
        <v>70</v>
      </c>
      <c r="DP154">
        <v>1</v>
      </c>
      <c r="DQ154">
        <v>1</v>
      </c>
      <c r="DU154">
        <v>1013</v>
      </c>
      <c r="DV154" t="s">
        <v>349</v>
      </c>
      <c r="DW154" t="s">
        <v>349</v>
      </c>
      <c r="DX154">
        <v>1</v>
      </c>
      <c r="EE154">
        <v>43770622</v>
      </c>
      <c r="EF154">
        <v>40</v>
      </c>
      <c r="EG154" t="s">
        <v>42</v>
      </c>
      <c r="EH154">
        <v>0</v>
      </c>
      <c r="EI154" t="s">
        <v>3</v>
      </c>
      <c r="EJ154">
        <v>2</v>
      </c>
      <c r="EK154">
        <v>331</v>
      </c>
      <c r="EL154" t="s">
        <v>84</v>
      </c>
      <c r="EM154" t="s">
        <v>85</v>
      </c>
      <c r="EO154" t="s">
        <v>3</v>
      </c>
      <c r="EQ154">
        <v>131072</v>
      </c>
      <c r="ER154">
        <v>685.59</v>
      </c>
      <c r="ES154">
        <v>15.47</v>
      </c>
      <c r="ET154">
        <v>263.23</v>
      </c>
      <c r="EU154">
        <v>19.329999999999998</v>
      </c>
      <c r="EV154">
        <v>406.89</v>
      </c>
      <c r="EW154">
        <v>33</v>
      </c>
      <c r="EX154">
        <v>0</v>
      </c>
      <c r="EY154">
        <v>0</v>
      </c>
      <c r="FQ154">
        <v>0</v>
      </c>
      <c r="FR154">
        <f t="shared" si="145"/>
        <v>0</v>
      </c>
      <c r="FS154">
        <v>0</v>
      </c>
      <c r="FX154">
        <v>112</v>
      </c>
      <c r="FY154">
        <v>70</v>
      </c>
      <c r="GA154" t="s">
        <v>3</v>
      </c>
      <c r="GD154">
        <v>0</v>
      </c>
      <c r="GF154">
        <v>1444391641</v>
      </c>
      <c r="GG154">
        <v>2</v>
      </c>
      <c r="GH154">
        <v>1</v>
      </c>
      <c r="GI154">
        <v>2</v>
      </c>
      <c r="GJ154">
        <v>0</v>
      </c>
      <c r="GK154">
        <f>ROUND(R154*(R12)/100,2)</f>
        <v>109.01</v>
      </c>
      <c r="GL154">
        <f t="shared" si="146"/>
        <v>0</v>
      </c>
      <c r="GM154">
        <f t="shared" si="147"/>
        <v>3788.14</v>
      </c>
      <c r="GN154">
        <f t="shared" si="148"/>
        <v>0</v>
      </c>
      <c r="GO154">
        <f t="shared" si="149"/>
        <v>3788.14</v>
      </c>
      <c r="GP154">
        <f t="shared" si="150"/>
        <v>0</v>
      </c>
      <c r="GR154">
        <v>0</v>
      </c>
      <c r="GS154">
        <v>3</v>
      </c>
      <c r="GT154">
        <v>0</v>
      </c>
      <c r="GU154" t="s">
        <v>3</v>
      </c>
      <c r="GV154">
        <f t="shared" si="151"/>
        <v>0</v>
      </c>
      <c r="GW154">
        <v>1</v>
      </c>
      <c r="GX154">
        <f t="shared" si="152"/>
        <v>0</v>
      </c>
      <c r="HA154">
        <v>0</v>
      </c>
      <c r="HB154">
        <v>0</v>
      </c>
      <c r="HC154">
        <f t="shared" si="153"/>
        <v>0</v>
      </c>
      <c r="IK154">
        <v>0</v>
      </c>
    </row>
    <row r="155" spans="1:245" x14ac:dyDescent="0.2">
      <c r="A155">
        <v>18</v>
      </c>
      <c r="B155">
        <v>1</v>
      </c>
      <c r="C155">
        <v>71</v>
      </c>
      <c r="E155" t="s">
        <v>351</v>
      </c>
      <c r="F155" t="s">
        <v>340</v>
      </c>
      <c r="G155" t="s">
        <v>341</v>
      </c>
      <c r="H155" t="s">
        <v>57</v>
      </c>
      <c r="I155">
        <f>I154*J155</f>
        <v>1.5299999999999998E-2</v>
      </c>
      <c r="J155">
        <v>0.10199999999999999</v>
      </c>
      <c r="O155">
        <f t="shared" si="119"/>
        <v>2038.36</v>
      </c>
      <c r="P155">
        <f t="shared" si="120"/>
        <v>2038.36</v>
      </c>
      <c r="Q155">
        <f t="shared" si="154"/>
        <v>0</v>
      </c>
      <c r="R155">
        <f t="shared" si="121"/>
        <v>0</v>
      </c>
      <c r="S155">
        <f t="shared" si="122"/>
        <v>0</v>
      </c>
      <c r="T155">
        <f t="shared" si="123"/>
        <v>0</v>
      </c>
      <c r="U155">
        <f t="shared" si="124"/>
        <v>0</v>
      </c>
      <c r="V155">
        <f t="shared" si="125"/>
        <v>0</v>
      </c>
      <c r="W155">
        <f t="shared" si="126"/>
        <v>0</v>
      </c>
      <c r="X155">
        <f t="shared" si="127"/>
        <v>0</v>
      </c>
      <c r="Y155">
        <f t="shared" si="128"/>
        <v>0</v>
      </c>
      <c r="AA155">
        <v>44002026</v>
      </c>
      <c r="AB155">
        <f t="shared" si="129"/>
        <v>35059.26</v>
      </c>
      <c r="AC155">
        <f t="shared" si="130"/>
        <v>35059.26</v>
      </c>
      <c r="AD155">
        <f t="shared" si="155"/>
        <v>0</v>
      </c>
      <c r="AE155">
        <f t="shared" si="156"/>
        <v>0</v>
      </c>
      <c r="AF155">
        <f t="shared" si="157"/>
        <v>0</v>
      </c>
      <c r="AG155">
        <f t="shared" si="132"/>
        <v>0</v>
      </c>
      <c r="AH155">
        <f t="shared" si="158"/>
        <v>0</v>
      </c>
      <c r="AI155">
        <f t="shared" si="159"/>
        <v>0</v>
      </c>
      <c r="AJ155">
        <f t="shared" si="134"/>
        <v>0</v>
      </c>
      <c r="AK155">
        <v>35059.26</v>
      </c>
      <c r="AL155">
        <v>35059.26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1</v>
      </c>
      <c r="AZ155">
        <v>1</v>
      </c>
      <c r="BA155">
        <v>1</v>
      </c>
      <c r="BB155">
        <v>1</v>
      </c>
      <c r="BC155">
        <v>3.8</v>
      </c>
      <c r="BD155" t="s">
        <v>3</v>
      </c>
      <c r="BE155" t="s">
        <v>3</v>
      </c>
      <c r="BF155" t="s">
        <v>3</v>
      </c>
      <c r="BG155" t="s">
        <v>3</v>
      </c>
      <c r="BH155">
        <v>3</v>
      </c>
      <c r="BI155">
        <v>2</v>
      </c>
      <c r="BJ155" t="s">
        <v>342</v>
      </c>
      <c r="BM155">
        <v>331</v>
      </c>
      <c r="BN155">
        <v>0</v>
      </c>
      <c r="BO155" t="s">
        <v>340</v>
      </c>
      <c r="BP155">
        <v>1</v>
      </c>
      <c r="BQ155">
        <v>40</v>
      </c>
      <c r="BR155">
        <v>0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 t="s">
        <v>3</v>
      </c>
      <c r="BZ155">
        <v>0</v>
      </c>
      <c r="CA155">
        <v>0</v>
      </c>
      <c r="CE155">
        <v>30</v>
      </c>
      <c r="CF155">
        <v>0</v>
      </c>
      <c r="CG155">
        <v>0</v>
      </c>
      <c r="CM155">
        <v>0</v>
      </c>
      <c r="CN155" t="s">
        <v>3</v>
      </c>
      <c r="CO155">
        <v>0</v>
      </c>
      <c r="CP155">
        <f t="shared" si="135"/>
        <v>2038.36</v>
      </c>
      <c r="CQ155">
        <f t="shared" si="136"/>
        <v>133225.19</v>
      </c>
      <c r="CR155">
        <f t="shared" si="160"/>
        <v>0</v>
      </c>
      <c r="CS155">
        <f t="shared" si="137"/>
        <v>0</v>
      </c>
      <c r="CT155">
        <f t="shared" si="138"/>
        <v>0</v>
      </c>
      <c r="CU155">
        <f t="shared" si="139"/>
        <v>0</v>
      </c>
      <c r="CV155">
        <f t="shared" si="140"/>
        <v>0</v>
      </c>
      <c r="CW155">
        <f t="shared" si="141"/>
        <v>0</v>
      </c>
      <c r="CX155">
        <f t="shared" si="142"/>
        <v>0</v>
      </c>
      <c r="CY155">
        <f t="shared" si="143"/>
        <v>0</v>
      </c>
      <c r="CZ155">
        <f t="shared" si="144"/>
        <v>0</v>
      </c>
      <c r="DC155" t="s">
        <v>3</v>
      </c>
      <c r="DD155" t="s">
        <v>3</v>
      </c>
      <c r="DE155" t="s">
        <v>3</v>
      </c>
      <c r="DF155" t="s">
        <v>3</v>
      </c>
      <c r="DG155" t="s">
        <v>3</v>
      </c>
      <c r="DH155" t="s">
        <v>3</v>
      </c>
      <c r="DI155" t="s">
        <v>3</v>
      </c>
      <c r="DJ155" t="s">
        <v>3</v>
      </c>
      <c r="DK155" t="s">
        <v>3</v>
      </c>
      <c r="DL155" t="s">
        <v>3</v>
      </c>
      <c r="DM155" t="s">
        <v>3</v>
      </c>
      <c r="DN155">
        <v>112</v>
      </c>
      <c r="DO155">
        <v>70</v>
      </c>
      <c r="DP155">
        <v>1</v>
      </c>
      <c r="DQ155">
        <v>1</v>
      </c>
      <c r="DU155">
        <v>1003</v>
      </c>
      <c r="DV155" t="s">
        <v>57</v>
      </c>
      <c r="DW155" t="s">
        <v>57</v>
      </c>
      <c r="DX155">
        <v>1000</v>
      </c>
      <c r="EE155">
        <v>43770622</v>
      </c>
      <c r="EF155">
        <v>40</v>
      </c>
      <c r="EG155" t="s">
        <v>42</v>
      </c>
      <c r="EH155">
        <v>0</v>
      </c>
      <c r="EI155" t="s">
        <v>3</v>
      </c>
      <c r="EJ155">
        <v>2</v>
      </c>
      <c r="EK155">
        <v>331</v>
      </c>
      <c r="EL155" t="s">
        <v>84</v>
      </c>
      <c r="EM155" t="s">
        <v>85</v>
      </c>
      <c r="EO155" t="s">
        <v>3</v>
      </c>
      <c r="EQ155">
        <v>0</v>
      </c>
      <c r="ER155">
        <v>35059.26</v>
      </c>
      <c r="ES155">
        <v>35059.26</v>
      </c>
      <c r="ET155">
        <v>0</v>
      </c>
      <c r="EU155">
        <v>0</v>
      </c>
      <c r="EV155">
        <v>0</v>
      </c>
      <c r="EW155">
        <v>0</v>
      </c>
      <c r="EX155">
        <v>0</v>
      </c>
      <c r="FQ155">
        <v>0</v>
      </c>
      <c r="FR155">
        <f t="shared" si="145"/>
        <v>0</v>
      </c>
      <c r="FS155">
        <v>0</v>
      </c>
      <c r="FX155">
        <v>112</v>
      </c>
      <c r="FY155">
        <v>70</v>
      </c>
      <c r="GA155" t="s">
        <v>3</v>
      </c>
      <c r="GD155">
        <v>0</v>
      </c>
      <c r="GF155">
        <v>-890143031</v>
      </c>
      <c r="GG155">
        <v>2</v>
      </c>
      <c r="GH155">
        <v>1</v>
      </c>
      <c r="GI155">
        <v>2</v>
      </c>
      <c r="GJ155">
        <v>0</v>
      </c>
      <c r="GK155">
        <f>ROUND(R155*(R12)/100,2)</f>
        <v>0</v>
      </c>
      <c r="GL155">
        <f t="shared" si="146"/>
        <v>0</v>
      </c>
      <c r="GM155">
        <f t="shared" si="147"/>
        <v>2038.36</v>
      </c>
      <c r="GN155">
        <f t="shared" si="148"/>
        <v>0</v>
      </c>
      <c r="GO155">
        <f t="shared" si="149"/>
        <v>2038.36</v>
      </c>
      <c r="GP155">
        <f t="shared" si="150"/>
        <v>0</v>
      </c>
      <c r="GR155">
        <v>0</v>
      </c>
      <c r="GS155">
        <v>3</v>
      </c>
      <c r="GT155">
        <v>0</v>
      </c>
      <c r="GU155" t="s">
        <v>3</v>
      </c>
      <c r="GV155">
        <f t="shared" si="151"/>
        <v>0</v>
      </c>
      <c r="GW155">
        <v>1</v>
      </c>
      <c r="GX155">
        <f t="shared" si="152"/>
        <v>0</v>
      </c>
      <c r="HA155">
        <v>0</v>
      </c>
      <c r="HB155">
        <v>0</v>
      </c>
      <c r="HC155">
        <f t="shared" si="153"/>
        <v>0</v>
      </c>
      <c r="IK155">
        <v>0</v>
      </c>
    </row>
    <row r="157" spans="1:245" x14ac:dyDescent="0.2">
      <c r="A157" s="2">
        <v>51</v>
      </c>
      <c r="B157" s="2">
        <f>B126</f>
        <v>1</v>
      </c>
      <c r="C157" s="2">
        <f>A126</f>
        <v>4</v>
      </c>
      <c r="D157" s="2">
        <f>ROW(A126)</f>
        <v>126</v>
      </c>
      <c r="E157" s="2"/>
      <c r="F157" s="2" t="str">
        <f>IF(F126&lt;&gt;"",F126,"")</f>
        <v>Новый раздел</v>
      </c>
      <c r="G157" s="2" t="str">
        <f>IF(G126&lt;&gt;"",G126,"")</f>
        <v>Щиты освещения.</v>
      </c>
      <c r="H157" s="2">
        <v>0</v>
      </c>
      <c r="I157" s="2"/>
      <c r="J157" s="2"/>
      <c r="K157" s="2"/>
      <c r="L157" s="2"/>
      <c r="M157" s="2"/>
      <c r="N157" s="2"/>
      <c r="O157" s="2">
        <f t="shared" ref="O157:T157" si="161">ROUND(AB157,2)</f>
        <v>52937.48</v>
      </c>
      <c r="P157" s="2">
        <f t="shared" si="161"/>
        <v>40815.129999999997</v>
      </c>
      <c r="Q157" s="2">
        <f t="shared" si="161"/>
        <v>1626.81</v>
      </c>
      <c r="R157" s="2">
        <f t="shared" si="161"/>
        <v>641.12</v>
      </c>
      <c r="S157" s="2">
        <f t="shared" si="161"/>
        <v>10495.54</v>
      </c>
      <c r="T157" s="2">
        <f t="shared" si="161"/>
        <v>0</v>
      </c>
      <c r="U157" s="2">
        <f>AH157</f>
        <v>34.801000000000002</v>
      </c>
      <c r="V157" s="2">
        <f>AI157</f>
        <v>0</v>
      </c>
      <c r="W157" s="2">
        <f>ROUND(AJ157,2)</f>
        <v>0</v>
      </c>
      <c r="X157" s="2">
        <f>ROUND(AK157,2)</f>
        <v>9445.99</v>
      </c>
      <c r="Y157" s="2">
        <f>ROUND(AL157,2)</f>
        <v>4513.08</v>
      </c>
      <c r="Z157" s="2"/>
      <c r="AA157" s="2"/>
      <c r="AB157" s="2">
        <f>ROUND(SUMIF(AA130:AA155,"=44002026",O130:O155),2)</f>
        <v>52937.48</v>
      </c>
      <c r="AC157" s="2">
        <f>ROUND(SUMIF(AA130:AA155,"=44002026",P130:P155),2)</f>
        <v>40815.129999999997</v>
      </c>
      <c r="AD157" s="2">
        <f>ROUND(SUMIF(AA130:AA155,"=44002026",Q130:Q155),2)</f>
        <v>1626.81</v>
      </c>
      <c r="AE157" s="2">
        <f>ROUND(SUMIF(AA130:AA155,"=44002026",R130:R155),2)</f>
        <v>641.12</v>
      </c>
      <c r="AF157" s="2">
        <f>ROUND(SUMIF(AA130:AA155,"=44002026",S130:S155),2)</f>
        <v>10495.54</v>
      </c>
      <c r="AG157" s="2">
        <f>ROUND(SUMIF(AA130:AA155,"=44002026",T130:T155),2)</f>
        <v>0</v>
      </c>
      <c r="AH157" s="2">
        <f>SUMIF(AA130:AA155,"=44002026",U130:U155)</f>
        <v>34.801000000000002</v>
      </c>
      <c r="AI157" s="2">
        <f>SUMIF(AA130:AA155,"=44002026",V130:V155)</f>
        <v>0</v>
      </c>
      <c r="AJ157" s="2">
        <f>ROUND(SUMIF(AA130:AA155,"=44002026",W130:W155),2)</f>
        <v>0</v>
      </c>
      <c r="AK157" s="2">
        <f>ROUND(SUMIF(AA130:AA155,"=44002026",X130:X155),2)</f>
        <v>9445.99</v>
      </c>
      <c r="AL157" s="2">
        <f>ROUND(SUMIF(AA130:AA155,"=44002026",Y130:Y155),2)</f>
        <v>4513.08</v>
      </c>
      <c r="AM157" s="2"/>
      <c r="AN157" s="2"/>
      <c r="AO157" s="2">
        <f t="shared" ref="AO157:BD157" si="162">ROUND(BX157,2)</f>
        <v>0</v>
      </c>
      <c r="AP157" s="2">
        <f t="shared" si="162"/>
        <v>0</v>
      </c>
      <c r="AQ157" s="2">
        <f t="shared" si="162"/>
        <v>0</v>
      </c>
      <c r="AR157" s="2">
        <f t="shared" si="162"/>
        <v>67903.12</v>
      </c>
      <c r="AS157" s="2">
        <f t="shared" si="162"/>
        <v>0</v>
      </c>
      <c r="AT157" s="2">
        <f t="shared" si="162"/>
        <v>67903.12</v>
      </c>
      <c r="AU157" s="2">
        <f t="shared" si="162"/>
        <v>0</v>
      </c>
      <c r="AV157" s="2">
        <f t="shared" si="162"/>
        <v>40815.129999999997</v>
      </c>
      <c r="AW157" s="2">
        <f t="shared" si="162"/>
        <v>40815.129999999997</v>
      </c>
      <c r="AX157" s="2">
        <f t="shared" si="162"/>
        <v>0</v>
      </c>
      <c r="AY157" s="2">
        <f t="shared" si="162"/>
        <v>40815.129999999997</v>
      </c>
      <c r="AZ157" s="2">
        <f t="shared" si="162"/>
        <v>0</v>
      </c>
      <c r="BA157" s="2">
        <f t="shared" si="162"/>
        <v>0</v>
      </c>
      <c r="BB157" s="2">
        <f t="shared" si="162"/>
        <v>0</v>
      </c>
      <c r="BC157" s="2">
        <f t="shared" si="162"/>
        <v>0</v>
      </c>
      <c r="BD157" s="2">
        <f t="shared" si="162"/>
        <v>0</v>
      </c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>
        <f>ROUND(SUMIF(AA130:AA155,"=44002026",FQ130:FQ155),2)</f>
        <v>0</v>
      </c>
      <c r="BY157" s="2">
        <f>ROUND(SUMIF(AA130:AA155,"=44002026",FR130:FR155),2)</f>
        <v>0</v>
      </c>
      <c r="BZ157" s="2">
        <f>ROUND(SUMIF(AA130:AA155,"=44002026",GL130:GL155),2)</f>
        <v>0</v>
      </c>
      <c r="CA157" s="2">
        <f>ROUND(SUMIF(AA130:AA155,"=44002026",GM130:GM155),2)</f>
        <v>67903.12</v>
      </c>
      <c r="CB157" s="2">
        <f>ROUND(SUMIF(AA130:AA155,"=44002026",GN130:GN155),2)</f>
        <v>0</v>
      </c>
      <c r="CC157" s="2">
        <f>ROUND(SUMIF(AA130:AA155,"=44002026",GO130:GO155),2)</f>
        <v>67903.12</v>
      </c>
      <c r="CD157" s="2">
        <f>ROUND(SUMIF(AA130:AA155,"=44002026",GP130:GP155),2)</f>
        <v>0</v>
      </c>
      <c r="CE157" s="2">
        <f>AC157-BX157</f>
        <v>40815.129999999997</v>
      </c>
      <c r="CF157" s="2">
        <f>AC157-BY157</f>
        <v>40815.129999999997</v>
      </c>
      <c r="CG157" s="2">
        <f>BX157-BZ157</f>
        <v>0</v>
      </c>
      <c r="CH157" s="2">
        <f>AC157-BX157-BY157+BZ157</f>
        <v>40815.129999999997</v>
      </c>
      <c r="CI157" s="2">
        <f>BY157-BZ157</f>
        <v>0</v>
      </c>
      <c r="CJ157" s="2">
        <f>ROUND(SUMIF(AA130:AA155,"=44002026",GX130:GX155),2)</f>
        <v>0</v>
      </c>
      <c r="CK157" s="2">
        <f>ROUND(SUMIF(AA130:AA155,"=44002026",GY130:GY155),2)</f>
        <v>0</v>
      </c>
      <c r="CL157" s="2">
        <f>ROUND(SUMIF(AA130:AA155,"=44002026",GZ130:GZ155),2)</f>
        <v>0</v>
      </c>
      <c r="CM157" s="2">
        <f>ROUND(SUMIF(AA130:AA155,"=44002026",HD130:HD155),2)</f>
        <v>0</v>
      </c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>
        <v>0</v>
      </c>
    </row>
    <row r="159" spans="1:245" x14ac:dyDescent="0.2">
      <c r="A159" s="4">
        <v>50</v>
      </c>
      <c r="B159" s="4">
        <v>0</v>
      </c>
      <c r="C159" s="4">
        <v>0</v>
      </c>
      <c r="D159" s="4">
        <v>1</v>
      </c>
      <c r="E159" s="4">
        <v>201</v>
      </c>
      <c r="F159" s="4">
        <f>ROUND(Source!O157,O159)</f>
        <v>52937.48</v>
      </c>
      <c r="G159" s="4" t="s">
        <v>126</v>
      </c>
      <c r="H159" s="4" t="s">
        <v>127</v>
      </c>
      <c r="I159" s="4"/>
      <c r="J159" s="4"/>
      <c r="K159" s="4">
        <v>201</v>
      </c>
      <c r="L159" s="4">
        <v>1</v>
      </c>
      <c r="M159" s="4">
        <v>3</v>
      </c>
      <c r="N159" s="4" t="s">
        <v>3</v>
      </c>
      <c r="O159" s="4">
        <v>2</v>
      </c>
      <c r="P159" s="4"/>
      <c r="Q159" s="4"/>
      <c r="R159" s="4"/>
      <c r="S159" s="4"/>
      <c r="T159" s="4"/>
      <c r="U159" s="4"/>
      <c r="V159" s="4"/>
      <c r="W159" s="4"/>
    </row>
    <row r="160" spans="1:245" x14ac:dyDescent="0.2">
      <c r="A160" s="4">
        <v>50</v>
      </c>
      <c r="B160" s="4">
        <v>0</v>
      </c>
      <c r="C160" s="4">
        <v>0</v>
      </c>
      <c r="D160" s="4">
        <v>1</v>
      </c>
      <c r="E160" s="4">
        <v>202</v>
      </c>
      <c r="F160" s="4">
        <f>ROUND(Source!P157,O160)</f>
        <v>40815.129999999997</v>
      </c>
      <c r="G160" s="4" t="s">
        <v>128</v>
      </c>
      <c r="H160" s="4" t="s">
        <v>129</v>
      </c>
      <c r="I160" s="4"/>
      <c r="J160" s="4"/>
      <c r="K160" s="4">
        <v>202</v>
      </c>
      <c r="L160" s="4">
        <v>2</v>
      </c>
      <c r="M160" s="4">
        <v>3</v>
      </c>
      <c r="N160" s="4" t="s">
        <v>3</v>
      </c>
      <c r="O160" s="4">
        <v>2</v>
      </c>
      <c r="P160" s="4"/>
      <c r="Q160" s="4"/>
      <c r="R160" s="4"/>
      <c r="S160" s="4"/>
      <c r="T160" s="4"/>
      <c r="U160" s="4"/>
      <c r="V160" s="4"/>
      <c r="W160" s="4"/>
    </row>
    <row r="161" spans="1:23" x14ac:dyDescent="0.2">
      <c r="A161" s="4">
        <v>50</v>
      </c>
      <c r="B161" s="4">
        <v>0</v>
      </c>
      <c r="C161" s="4">
        <v>0</v>
      </c>
      <c r="D161" s="4">
        <v>1</v>
      </c>
      <c r="E161" s="4">
        <v>222</v>
      </c>
      <c r="F161" s="4">
        <f>ROUND(Source!AO157,O161)</f>
        <v>0</v>
      </c>
      <c r="G161" s="4" t="s">
        <v>130</v>
      </c>
      <c r="H161" s="4" t="s">
        <v>131</v>
      </c>
      <c r="I161" s="4"/>
      <c r="J161" s="4"/>
      <c r="K161" s="4">
        <v>222</v>
      </c>
      <c r="L161" s="4">
        <v>3</v>
      </c>
      <c r="M161" s="4">
        <v>3</v>
      </c>
      <c r="N161" s="4" t="s">
        <v>3</v>
      </c>
      <c r="O161" s="4">
        <v>2</v>
      </c>
      <c r="P161" s="4"/>
      <c r="Q161" s="4"/>
      <c r="R161" s="4"/>
      <c r="S161" s="4"/>
      <c r="T161" s="4"/>
      <c r="U161" s="4"/>
      <c r="V161" s="4"/>
      <c r="W161" s="4"/>
    </row>
    <row r="162" spans="1:23" x14ac:dyDescent="0.2">
      <c r="A162" s="4">
        <v>50</v>
      </c>
      <c r="B162" s="4">
        <v>0</v>
      </c>
      <c r="C162" s="4">
        <v>0</v>
      </c>
      <c r="D162" s="4">
        <v>1</v>
      </c>
      <c r="E162" s="4">
        <v>225</v>
      </c>
      <c r="F162" s="4">
        <f>ROUND(Source!AV157,O162)</f>
        <v>40815.129999999997</v>
      </c>
      <c r="G162" s="4" t="s">
        <v>132</v>
      </c>
      <c r="H162" s="4" t="s">
        <v>133</v>
      </c>
      <c r="I162" s="4"/>
      <c r="J162" s="4"/>
      <c r="K162" s="4">
        <v>225</v>
      </c>
      <c r="L162" s="4">
        <v>4</v>
      </c>
      <c r="M162" s="4">
        <v>3</v>
      </c>
      <c r="N162" s="4" t="s">
        <v>3</v>
      </c>
      <c r="O162" s="4">
        <v>2</v>
      </c>
      <c r="P162" s="4"/>
      <c r="Q162" s="4"/>
      <c r="R162" s="4"/>
      <c r="S162" s="4"/>
      <c r="T162" s="4"/>
      <c r="U162" s="4"/>
      <c r="V162" s="4"/>
      <c r="W162" s="4"/>
    </row>
    <row r="163" spans="1:23" x14ac:dyDescent="0.2">
      <c r="A163" s="4">
        <v>50</v>
      </c>
      <c r="B163" s="4">
        <v>0</v>
      </c>
      <c r="C163" s="4">
        <v>0</v>
      </c>
      <c r="D163" s="4">
        <v>1</v>
      </c>
      <c r="E163" s="4">
        <v>226</v>
      </c>
      <c r="F163" s="4">
        <f>ROUND(Source!AW157,O163)</f>
        <v>40815.129999999997</v>
      </c>
      <c r="G163" s="4" t="s">
        <v>134</v>
      </c>
      <c r="H163" s="4" t="s">
        <v>135</v>
      </c>
      <c r="I163" s="4"/>
      <c r="J163" s="4"/>
      <c r="K163" s="4">
        <v>226</v>
      </c>
      <c r="L163" s="4">
        <v>5</v>
      </c>
      <c r="M163" s="4">
        <v>3</v>
      </c>
      <c r="N163" s="4" t="s">
        <v>3</v>
      </c>
      <c r="O163" s="4">
        <v>2</v>
      </c>
      <c r="P163" s="4"/>
      <c r="Q163" s="4"/>
      <c r="R163" s="4"/>
      <c r="S163" s="4"/>
      <c r="T163" s="4"/>
      <c r="U163" s="4"/>
      <c r="V163" s="4"/>
      <c r="W163" s="4"/>
    </row>
    <row r="164" spans="1:23" x14ac:dyDescent="0.2">
      <c r="A164" s="4">
        <v>50</v>
      </c>
      <c r="B164" s="4">
        <v>0</v>
      </c>
      <c r="C164" s="4">
        <v>0</v>
      </c>
      <c r="D164" s="4">
        <v>1</v>
      </c>
      <c r="E164" s="4">
        <v>227</v>
      </c>
      <c r="F164" s="4">
        <f>ROUND(Source!AX157,O164)</f>
        <v>0</v>
      </c>
      <c r="G164" s="4" t="s">
        <v>136</v>
      </c>
      <c r="H164" s="4" t="s">
        <v>137</v>
      </c>
      <c r="I164" s="4"/>
      <c r="J164" s="4"/>
      <c r="K164" s="4">
        <v>227</v>
      </c>
      <c r="L164" s="4">
        <v>6</v>
      </c>
      <c r="M164" s="4">
        <v>3</v>
      </c>
      <c r="N164" s="4" t="s">
        <v>3</v>
      </c>
      <c r="O164" s="4">
        <v>2</v>
      </c>
      <c r="P164" s="4"/>
      <c r="Q164" s="4"/>
      <c r="R164" s="4"/>
      <c r="S164" s="4"/>
      <c r="T164" s="4"/>
      <c r="U164" s="4"/>
      <c r="V164" s="4"/>
      <c r="W164" s="4"/>
    </row>
    <row r="165" spans="1:23" x14ac:dyDescent="0.2">
      <c r="A165" s="4">
        <v>50</v>
      </c>
      <c r="B165" s="4">
        <v>0</v>
      </c>
      <c r="C165" s="4">
        <v>0</v>
      </c>
      <c r="D165" s="4">
        <v>1</v>
      </c>
      <c r="E165" s="4">
        <v>228</v>
      </c>
      <c r="F165" s="4">
        <f>ROUND(Source!AY157,O165)</f>
        <v>40815.129999999997</v>
      </c>
      <c r="G165" s="4" t="s">
        <v>138</v>
      </c>
      <c r="H165" s="4" t="s">
        <v>139</v>
      </c>
      <c r="I165" s="4"/>
      <c r="J165" s="4"/>
      <c r="K165" s="4">
        <v>228</v>
      </c>
      <c r="L165" s="4">
        <v>7</v>
      </c>
      <c r="M165" s="4">
        <v>3</v>
      </c>
      <c r="N165" s="4" t="s">
        <v>3</v>
      </c>
      <c r="O165" s="4">
        <v>2</v>
      </c>
      <c r="P165" s="4"/>
      <c r="Q165" s="4"/>
      <c r="R165" s="4"/>
      <c r="S165" s="4"/>
      <c r="T165" s="4"/>
      <c r="U165" s="4"/>
      <c r="V165" s="4"/>
      <c r="W165" s="4"/>
    </row>
    <row r="166" spans="1:23" x14ac:dyDescent="0.2">
      <c r="A166" s="4">
        <v>50</v>
      </c>
      <c r="B166" s="4">
        <v>0</v>
      </c>
      <c r="C166" s="4">
        <v>0</v>
      </c>
      <c r="D166" s="4">
        <v>1</v>
      </c>
      <c r="E166" s="4">
        <v>216</v>
      </c>
      <c r="F166" s="4">
        <f>ROUND(Source!AP157,O166)</f>
        <v>0</v>
      </c>
      <c r="G166" s="4" t="s">
        <v>140</v>
      </c>
      <c r="H166" s="4" t="s">
        <v>141</v>
      </c>
      <c r="I166" s="4"/>
      <c r="J166" s="4"/>
      <c r="K166" s="4">
        <v>216</v>
      </c>
      <c r="L166" s="4">
        <v>8</v>
      </c>
      <c r="M166" s="4">
        <v>3</v>
      </c>
      <c r="N166" s="4" t="s">
        <v>3</v>
      </c>
      <c r="O166" s="4">
        <v>2</v>
      </c>
      <c r="P166" s="4"/>
      <c r="Q166" s="4"/>
      <c r="R166" s="4"/>
      <c r="S166" s="4"/>
      <c r="T166" s="4"/>
      <c r="U166" s="4"/>
      <c r="V166" s="4"/>
      <c r="W166" s="4"/>
    </row>
    <row r="167" spans="1:23" x14ac:dyDescent="0.2">
      <c r="A167" s="4">
        <v>50</v>
      </c>
      <c r="B167" s="4">
        <v>0</v>
      </c>
      <c r="C167" s="4">
        <v>0</v>
      </c>
      <c r="D167" s="4">
        <v>1</v>
      </c>
      <c r="E167" s="4">
        <v>223</v>
      </c>
      <c r="F167" s="4">
        <f>ROUND(Source!AQ157,O167)</f>
        <v>0</v>
      </c>
      <c r="G167" s="4" t="s">
        <v>142</v>
      </c>
      <c r="H167" s="4" t="s">
        <v>143</v>
      </c>
      <c r="I167" s="4"/>
      <c r="J167" s="4"/>
      <c r="K167" s="4">
        <v>223</v>
      </c>
      <c r="L167" s="4">
        <v>9</v>
      </c>
      <c r="M167" s="4">
        <v>3</v>
      </c>
      <c r="N167" s="4" t="s">
        <v>3</v>
      </c>
      <c r="O167" s="4">
        <v>2</v>
      </c>
      <c r="P167" s="4"/>
      <c r="Q167" s="4"/>
      <c r="R167" s="4"/>
      <c r="S167" s="4"/>
      <c r="T167" s="4"/>
      <c r="U167" s="4"/>
      <c r="V167" s="4"/>
      <c r="W167" s="4"/>
    </row>
    <row r="168" spans="1:23" x14ac:dyDescent="0.2">
      <c r="A168" s="4">
        <v>50</v>
      </c>
      <c r="B168" s="4">
        <v>0</v>
      </c>
      <c r="C168" s="4">
        <v>0</v>
      </c>
      <c r="D168" s="4">
        <v>1</v>
      </c>
      <c r="E168" s="4">
        <v>229</v>
      </c>
      <c r="F168" s="4">
        <f>ROUND(Source!AZ157,O168)</f>
        <v>0</v>
      </c>
      <c r="G168" s="4" t="s">
        <v>144</v>
      </c>
      <c r="H168" s="4" t="s">
        <v>145</v>
      </c>
      <c r="I168" s="4"/>
      <c r="J168" s="4"/>
      <c r="K168" s="4">
        <v>229</v>
      </c>
      <c r="L168" s="4">
        <v>10</v>
      </c>
      <c r="M168" s="4">
        <v>3</v>
      </c>
      <c r="N168" s="4" t="s">
        <v>3</v>
      </c>
      <c r="O168" s="4">
        <v>2</v>
      </c>
      <c r="P168" s="4"/>
      <c r="Q168" s="4"/>
      <c r="R168" s="4"/>
      <c r="S168" s="4"/>
      <c r="T168" s="4"/>
      <c r="U168" s="4"/>
      <c r="V168" s="4"/>
      <c r="W168" s="4"/>
    </row>
    <row r="169" spans="1:23" x14ac:dyDescent="0.2">
      <c r="A169" s="4">
        <v>50</v>
      </c>
      <c r="B169" s="4">
        <v>0</v>
      </c>
      <c r="C169" s="4">
        <v>0</v>
      </c>
      <c r="D169" s="4">
        <v>1</v>
      </c>
      <c r="E169" s="4">
        <v>203</v>
      </c>
      <c r="F169" s="4">
        <f>ROUND(Source!Q157,O169)</f>
        <v>1626.81</v>
      </c>
      <c r="G169" s="4" t="s">
        <v>146</v>
      </c>
      <c r="H169" s="4" t="s">
        <v>147</v>
      </c>
      <c r="I169" s="4"/>
      <c r="J169" s="4"/>
      <c r="K169" s="4">
        <v>203</v>
      </c>
      <c r="L169" s="4">
        <v>11</v>
      </c>
      <c r="M169" s="4">
        <v>3</v>
      </c>
      <c r="N169" s="4" t="s">
        <v>3</v>
      </c>
      <c r="O169" s="4">
        <v>2</v>
      </c>
      <c r="P169" s="4"/>
      <c r="Q169" s="4"/>
      <c r="R169" s="4"/>
      <c r="S169" s="4"/>
      <c r="T169" s="4"/>
      <c r="U169" s="4"/>
      <c r="V169" s="4"/>
      <c r="W169" s="4"/>
    </row>
    <row r="170" spans="1:23" x14ac:dyDescent="0.2">
      <c r="A170" s="4">
        <v>50</v>
      </c>
      <c r="B170" s="4">
        <v>0</v>
      </c>
      <c r="C170" s="4">
        <v>0</v>
      </c>
      <c r="D170" s="4">
        <v>1</v>
      </c>
      <c r="E170" s="4">
        <v>231</v>
      </c>
      <c r="F170" s="4">
        <f>ROUND(Source!BB157,O170)</f>
        <v>0</v>
      </c>
      <c r="G170" s="4" t="s">
        <v>148</v>
      </c>
      <c r="H170" s="4" t="s">
        <v>149</v>
      </c>
      <c r="I170" s="4"/>
      <c r="J170" s="4"/>
      <c r="K170" s="4">
        <v>231</v>
      </c>
      <c r="L170" s="4">
        <v>12</v>
      </c>
      <c r="M170" s="4">
        <v>3</v>
      </c>
      <c r="N170" s="4" t="s">
        <v>3</v>
      </c>
      <c r="O170" s="4">
        <v>2</v>
      </c>
      <c r="P170" s="4"/>
      <c r="Q170" s="4"/>
      <c r="R170" s="4"/>
      <c r="S170" s="4"/>
      <c r="T170" s="4"/>
      <c r="U170" s="4"/>
      <c r="V170" s="4"/>
      <c r="W170" s="4"/>
    </row>
    <row r="171" spans="1:23" x14ac:dyDescent="0.2">
      <c r="A171" s="4">
        <v>50</v>
      </c>
      <c r="B171" s="4">
        <v>0</v>
      </c>
      <c r="C171" s="4">
        <v>0</v>
      </c>
      <c r="D171" s="4">
        <v>1</v>
      </c>
      <c r="E171" s="4">
        <v>204</v>
      </c>
      <c r="F171" s="4">
        <f>ROUND(Source!R157,O171)</f>
        <v>641.12</v>
      </c>
      <c r="G171" s="4" t="s">
        <v>150</v>
      </c>
      <c r="H171" s="4" t="s">
        <v>151</v>
      </c>
      <c r="I171" s="4"/>
      <c r="J171" s="4"/>
      <c r="K171" s="4">
        <v>204</v>
      </c>
      <c r="L171" s="4">
        <v>13</v>
      </c>
      <c r="M171" s="4">
        <v>3</v>
      </c>
      <c r="N171" s="4" t="s">
        <v>3</v>
      </c>
      <c r="O171" s="4">
        <v>2</v>
      </c>
      <c r="P171" s="4"/>
      <c r="Q171" s="4"/>
      <c r="R171" s="4"/>
      <c r="S171" s="4"/>
      <c r="T171" s="4"/>
      <c r="U171" s="4"/>
      <c r="V171" s="4"/>
      <c r="W171" s="4"/>
    </row>
    <row r="172" spans="1:23" x14ac:dyDescent="0.2">
      <c r="A172" s="4">
        <v>50</v>
      </c>
      <c r="B172" s="4">
        <v>0</v>
      </c>
      <c r="C172" s="4">
        <v>0</v>
      </c>
      <c r="D172" s="4">
        <v>1</v>
      </c>
      <c r="E172" s="4">
        <v>205</v>
      </c>
      <c r="F172" s="4">
        <f>ROUND(Source!S157,O172)</f>
        <v>10495.54</v>
      </c>
      <c r="G172" s="4" t="s">
        <v>152</v>
      </c>
      <c r="H172" s="4" t="s">
        <v>153</v>
      </c>
      <c r="I172" s="4"/>
      <c r="J172" s="4"/>
      <c r="K172" s="4">
        <v>205</v>
      </c>
      <c r="L172" s="4">
        <v>14</v>
      </c>
      <c r="M172" s="4">
        <v>3</v>
      </c>
      <c r="N172" s="4" t="s">
        <v>3</v>
      </c>
      <c r="O172" s="4">
        <v>2</v>
      </c>
      <c r="P172" s="4"/>
      <c r="Q172" s="4"/>
      <c r="R172" s="4"/>
      <c r="S172" s="4"/>
      <c r="T172" s="4"/>
      <c r="U172" s="4"/>
      <c r="V172" s="4"/>
      <c r="W172" s="4"/>
    </row>
    <row r="173" spans="1:23" x14ac:dyDescent="0.2">
      <c r="A173" s="4">
        <v>50</v>
      </c>
      <c r="B173" s="4">
        <v>0</v>
      </c>
      <c r="C173" s="4">
        <v>0</v>
      </c>
      <c r="D173" s="4">
        <v>1</v>
      </c>
      <c r="E173" s="4">
        <v>232</v>
      </c>
      <c r="F173" s="4">
        <f>ROUND(Source!BC157,O173)</f>
        <v>0</v>
      </c>
      <c r="G173" s="4" t="s">
        <v>154</v>
      </c>
      <c r="H173" s="4" t="s">
        <v>155</v>
      </c>
      <c r="I173" s="4"/>
      <c r="J173" s="4"/>
      <c r="K173" s="4">
        <v>232</v>
      </c>
      <c r="L173" s="4">
        <v>15</v>
      </c>
      <c r="M173" s="4">
        <v>3</v>
      </c>
      <c r="N173" s="4" t="s">
        <v>3</v>
      </c>
      <c r="O173" s="4">
        <v>2</v>
      </c>
      <c r="P173" s="4"/>
      <c r="Q173" s="4"/>
      <c r="R173" s="4"/>
      <c r="S173" s="4"/>
      <c r="T173" s="4"/>
      <c r="U173" s="4"/>
      <c r="V173" s="4"/>
      <c r="W173" s="4"/>
    </row>
    <row r="174" spans="1:23" x14ac:dyDescent="0.2">
      <c r="A174" s="4">
        <v>50</v>
      </c>
      <c r="B174" s="4">
        <v>0</v>
      </c>
      <c r="C174" s="4">
        <v>0</v>
      </c>
      <c r="D174" s="4">
        <v>1</v>
      </c>
      <c r="E174" s="4">
        <v>214</v>
      </c>
      <c r="F174" s="4">
        <f>ROUND(Source!AS157,O174)</f>
        <v>0</v>
      </c>
      <c r="G174" s="4" t="s">
        <v>156</v>
      </c>
      <c r="H174" s="4" t="s">
        <v>157</v>
      </c>
      <c r="I174" s="4"/>
      <c r="J174" s="4"/>
      <c r="K174" s="4">
        <v>214</v>
      </c>
      <c r="L174" s="4">
        <v>16</v>
      </c>
      <c r="M174" s="4">
        <v>3</v>
      </c>
      <c r="N174" s="4" t="s">
        <v>3</v>
      </c>
      <c r="O174" s="4">
        <v>2</v>
      </c>
      <c r="P174" s="4"/>
      <c r="Q174" s="4"/>
      <c r="R174" s="4"/>
      <c r="S174" s="4"/>
      <c r="T174" s="4"/>
      <c r="U174" s="4"/>
      <c r="V174" s="4"/>
      <c r="W174" s="4"/>
    </row>
    <row r="175" spans="1:23" x14ac:dyDescent="0.2">
      <c r="A175" s="4">
        <v>50</v>
      </c>
      <c r="B175" s="4">
        <v>0</v>
      </c>
      <c r="C175" s="4">
        <v>0</v>
      </c>
      <c r="D175" s="4">
        <v>1</v>
      </c>
      <c r="E175" s="4">
        <v>215</v>
      </c>
      <c r="F175" s="4">
        <f>ROUND(Source!AT157,O175)</f>
        <v>67903.12</v>
      </c>
      <c r="G175" s="4" t="s">
        <v>158</v>
      </c>
      <c r="H175" s="4" t="s">
        <v>159</v>
      </c>
      <c r="I175" s="4"/>
      <c r="J175" s="4"/>
      <c r="K175" s="4">
        <v>215</v>
      </c>
      <c r="L175" s="4">
        <v>17</v>
      </c>
      <c r="M175" s="4">
        <v>3</v>
      </c>
      <c r="N175" s="4" t="s">
        <v>3</v>
      </c>
      <c r="O175" s="4">
        <v>2</v>
      </c>
      <c r="P175" s="4"/>
      <c r="Q175" s="4"/>
      <c r="R175" s="4"/>
      <c r="S175" s="4"/>
      <c r="T175" s="4"/>
      <c r="U175" s="4"/>
      <c r="V175" s="4"/>
      <c r="W175" s="4"/>
    </row>
    <row r="176" spans="1:23" x14ac:dyDescent="0.2">
      <c r="A176" s="4">
        <v>50</v>
      </c>
      <c r="B176" s="4">
        <v>0</v>
      </c>
      <c r="C176" s="4">
        <v>0</v>
      </c>
      <c r="D176" s="4">
        <v>1</v>
      </c>
      <c r="E176" s="4">
        <v>217</v>
      </c>
      <c r="F176" s="4">
        <f>ROUND(Source!AU157,O176)</f>
        <v>0</v>
      </c>
      <c r="G176" s="4" t="s">
        <v>160</v>
      </c>
      <c r="H176" s="4" t="s">
        <v>161</v>
      </c>
      <c r="I176" s="4"/>
      <c r="J176" s="4"/>
      <c r="K176" s="4">
        <v>217</v>
      </c>
      <c r="L176" s="4">
        <v>18</v>
      </c>
      <c r="M176" s="4">
        <v>3</v>
      </c>
      <c r="N176" s="4" t="s">
        <v>3</v>
      </c>
      <c r="O176" s="4">
        <v>2</v>
      </c>
      <c r="P176" s="4"/>
      <c r="Q176" s="4"/>
      <c r="R176" s="4"/>
      <c r="S176" s="4"/>
      <c r="T176" s="4"/>
      <c r="U176" s="4"/>
      <c r="V176" s="4"/>
      <c r="W176" s="4"/>
    </row>
    <row r="177" spans="1:206" x14ac:dyDescent="0.2">
      <c r="A177" s="4">
        <v>50</v>
      </c>
      <c r="B177" s="4">
        <v>0</v>
      </c>
      <c r="C177" s="4">
        <v>0</v>
      </c>
      <c r="D177" s="4">
        <v>1</v>
      </c>
      <c r="E177" s="4">
        <v>230</v>
      </c>
      <c r="F177" s="4">
        <f>ROUND(Source!BA157,O177)</f>
        <v>0</v>
      </c>
      <c r="G177" s="4" t="s">
        <v>162</v>
      </c>
      <c r="H177" s="4" t="s">
        <v>163</v>
      </c>
      <c r="I177" s="4"/>
      <c r="J177" s="4"/>
      <c r="K177" s="4">
        <v>230</v>
      </c>
      <c r="L177" s="4">
        <v>19</v>
      </c>
      <c r="M177" s="4">
        <v>3</v>
      </c>
      <c r="N177" s="4" t="s">
        <v>3</v>
      </c>
      <c r="O177" s="4">
        <v>2</v>
      </c>
      <c r="P177" s="4"/>
      <c r="Q177" s="4"/>
      <c r="R177" s="4"/>
      <c r="S177" s="4"/>
      <c r="T177" s="4"/>
      <c r="U177" s="4"/>
      <c r="V177" s="4"/>
      <c r="W177" s="4"/>
    </row>
    <row r="178" spans="1:206" x14ac:dyDescent="0.2">
      <c r="A178" s="4">
        <v>50</v>
      </c>
      <c r="B178" s="4">
        <v>0</v>
      </c>
      <c r="C178" s="4">
        <v>0</v>
      </c>
      <c r="D178" s="4">
        <v>1</v>
      </c>
      <c r="E178" s="4">
        <v>206</v>
      </c>
      <c r="F178" s="4">
        <f>ROUND(Source!T157,O178)</f>
        <v>0</v>
      </c>
      <c r="G178" s="4" t="s">
        <v>164</v>
      </c>
      <c r="H178" s="4" t="s">
        <v>165</v>
      </c>
      <c r="I178" s="4"/>
      <c r="J178" s="4"/>
      <c r="K178" s="4">
        <v>206</v>
      </c>
      <c r="L178" s="4">
        <v>20</v>
      </c>
      <c r="M178" s="4">
        <v>3</v>
      </c>
      <c r="N178" s="4" t="s">
        <v>3</v>
      </c>
      <c r="O178" s="4">
        <v>2</v>
      </c>
      <c r="P178" s="4"/>
      <c r="Q178" s="4"/>
      <c r="R178" s="4"/>
      <c r="S178" s="4"/>
      <c r="T178" s="4"/>
      <c r="U178" s="4"/>
      <c r="V178" s="4"/>
      <c r="W178" s="4"/>
    </row>
    <row r="179" spans="1:206" x14ac:dyDescent="0.2">
      <c r="A179" s="4">
        <v>50</v>
      </c>
      <c r="B179" s="4">
        <v>0</v>
      </c>
      <c r="C179" s="4">
        <v>0</v>
      </c>
      <c r="D179" s="4">
        <v>1</v>
      </c>
      <c r="E179" s="4">
        <v>207</v>
      </c>
      <c r="F179" s="4">
        <f>Source!U157</f>
        <v>34.801000000000002</v>
      </c>
      <c r="G179" s="4" t="s">
        <v>166</v>
      </c>
      <c r="H179" s="4" t="s">
        <v>167</v>
      </c>
      <c r="I179" s="4"/>
      <c r="J179" s="4"/>
      <c r="K179" s="4">
        <v>207</v>
      </c>
      <c r="L179" s="4">
        <v>21</v>
      </c>
      <c r="M179" s="4">
        <v>3</v>
      </c>
      <c r="N179" s="4" t="s">
        <v>3</v>
      </c>
      <c r="O179" s="4">
        <v>-1</v>
      </c>
      <c r="P179" s="4"/>
      <c r="Q179" s="4"/>
      <c r="R179" s="4"/>
      <c r="S179" s="4"/>
      <c r="T179" s="4"/>
      <c r="U179" s="4"/>
      <c r="V179" s="4"/>
      <c r="W179" s="4"/>
    </row>
    <row r="180" spans="1:206" x14ac:dyDescent="0.2">
      <c r="A180" s="4">
        <v>50</v>
      </c>
      <c r="B180" s="4">
        <v>0</v>
      </c>
      <c r="C180" s="4">
        <v>0</v>
      </c>
      <c r="D180" s="4">
        <v>1</v>
      </c>
      <c r="E180" s="4">
        <v>208</v>
      </c>
      <c r="F180" s="4">
        <f>Source!V157</f>
        <v>0</v>
      </c>
      <c r="G180" s="4" t="s">
        <v>168</v>
      </c>
      <c r="H180" s="4" t="s">
        <v>169</v>
      </c>
      <c r="I180" s="4"/>
      <c r="J180" s="4"/>
      <c r="K180" s="4">
        <v>208</v>
      </c>
      <c r="L180" s="4">
        <v>22</v>
      </c>
      <c r="M180" s="4">
        <v>3</v>
      </c>
      <c r="N180" s="4" t="s">
        <v>3</v>
      </c>
      <c r="O180" s="4">
        <v>-1</v>
      </c>
      <c r="P180" s="4"/>
      <c r="Q180" s="4"/>
      <c r="R180" s="4"/>
      <c r="S180" s="4"/>
      <c r="T180" s="4"/>
      <c r="U180" s="4"/>
      <c r="V180" s="4"/>
      <c r="W180" s="4"/>
    </row>
    <row r="181" spans="1:206" x14ac:dyDescent="0.2">
      <c r="A181" s="4">
        <v>50</v>
      </c>
      <c r="B181" s="4">
        <v>0</v>
      </c>
      <c r="C181" s="4">
        <v>0</v>
      </c>
      <c r="D181" s="4">
        <v>1</v>
      </c>
      <c r="E181" s="4">
        <v>209</v>
      </c>
      <c r="F181" s="4">
        <f>ROUND(Source!W157,O181)</f>
        <v>0</v>
      </c>
      <c r="G181" s="4" t="s">
        <v>170</v>
      </c>
      <c r="H181" s="4" t="s">
        <v>171</v>
      </c>
      <c r="I181" s="4"/>
      <c r="J181" s="4"/>
      <c r="K181" s="4">
        <v>209</v>
      </c>
      <c r="L181" s="4">
        <v>23</v>
      </c>
      <c r="M181" s="4">
        <v>3</v>
      </c>
      <c r="N181" s="4" t="s">
        <v>3</v>
      </c>
      <c r="O181" s="4">
        <v>2</v>
      </c>
      <c r="P181" s="4"/>
      <c r="Q181" s="4"/>
      <c r="R181" s="4"/>
      <c r="S181" s="4"/>
      <c r="T181" s="4"/>
      <c r="U181" s="4"/>
      <c r="V181" s="4"/>
      <c r="W181" s="4"/>
    </row>
    <row r="182" spans="1:206" x14ac:dyDescent="0.2">
      <c r="A182" s="4">
        <v>50</v>
      </c>
      <c r="B182" s="4">
        <v>0</v>
      </c>
      <c r="C182" s="4">
        <v>0</v>
      </c>
      <c r="D182" s="4">
        <v>1</v>
      </c>
      <c r="E182" s="4">
        <v>233</v>
      </c>
      <c r="F182" s="4">
        <f>ROUND(Source!BD157,O182)</f>
        <v>0</v>
      </c>
      <c r="G182" s="4" t="s">
        <v>172</v>
      </c>
      <c r="H182" s="4" t="s">
        <v>173</v>
      </c>
      <c r="I182" s="4"/>
      <c r="J182" s="4"/>
      <c r="K182" s="4">
        <v>233</v>
      </c>
      <c r="L182" s="4">
        <v>24</v>
      </c>
      <c r="M182" s="4">
        <v>3</v>
      </c>
      <c r="N182" s="4" t="s">
        <v>3</v>
      </c>
      <c r="O182" s="4">
        <v>2</v>
      </c>
      <c r="P182" s="4"/>
      <c r="Q182" s="4"/>
      <c r="R182" s="4"/>
      <c r="S182" s="4"/>
      <c r="T182" s="4"/>
      <c r="U182" s="4"/>
      <c r="V182" s="4"/>
      <c r="W182" s="4"/>
    </row>
    <row r="183" spans="1:206" x14ac:dyDescent="0.2">
      <c r="A183" s="4">
        <v>50</v>
      </c>
      <c r="B183" s="4">
        <v>0</v>
      </c>
      <c r="C183" s="4">
        <v>0</v>
      </c>
      <c r="D183" s="4">
        <v>1</v>
      </c>
      <c r="E183" s="4">
        <v>210</v>
      </c>
      <c r="F183" s="4">
        <f>ROUND(Source!X157,O183)</f>
        <v>9445.99</v>
      </c>
      <c r="G183" s="4" t="s">
        <v>174</v>
      </c>
      <c r="H183" s="4" t="s">
        <v>175</v>
      </c>
      <c r="I183" s="4"/>
      <c r="J183" s="4"/>
      <c r="K183" s="4">
        <v>210</v>
      </c>
      <c r="L183" s="4">
        <v>25</v>
      </c>
      <c r="M183" s="4">
        <v>3</v>
      </c>
      <c r="N183" s="4" t="s">
        <v>3</v>
      </c>
      <c r="O183" s="4">
        <v>2</v>
      </c>
      <c r="P183" s="4"/>
      <c r="Q183" s="4"/>
      <c r="R183" s="4"/>
      <c r="S183" s="4"/>
      <c r="T183" s="4"/>
      <c r="U183" s="4"/>
      <c r="V183" s="4"/>
      <c r="W183" s="4"/>
    </row>
    <row r="184" spans="1:206" x14ac:dyDescent="0.2">
      <c r="A184" s="4">
        <v>50</v>
      </c>
      <c r="B184" s="4">
        <v>0</v>
      </c>
      <c r="C184" s="4">
        <v>0</v>
      </c>
      <c r="D184" s="4">
        <v>1</v>
      </c>
      <c r="E184" s="4">
        <v>211</v>
      </c>
      <c r="F184" s="4">
        <f>ROUND(Source!Y157,O184)</f>
        <v>4513.08</v>
      </c>
      <c r="G184" s="4" t="s">
        <v>176</v>
      </c>
      <c r="H184" s="4" t="s">
        <v>177</v>
      </c>
      <c r="I184" s="4"/>
      <c r="J184" s="4"/>
      <c r="K184" s="4">
        <v>211</v>
      </c>
      <c r="L184" s="4">
        <v>26</v>
      </c>
      <c r="M184" s="4">
        <v>3</v>
      </c>
      <c r="N184" s="4" t="s">
        <v>3</v>
      </c>
      <c r="O184" s="4">
        <v>2</v>
      </c>
      <c r="P184" s="4"/>
      <c r="Q184" s="4"/>
      <c r="R184" s="4"/>
      <c r="S184" s="4"/>
      <c r="T184" s="4"/>
      <c r="U184" s="4"/>
      <c r="V184" s="4"/>
      <c r="W184" s="4"/>
    </row>
    <row r="185" spans="1:206" x14ac:dyDescent="0.2">
      <c r="A185" s="4">
        <v>50</v>
      </c>
      <c r="B185" s="4">
        <v>0</v>
      </c>
      <c r="C185" s="4">
        <v>0</v>
      </c>
      <c r="D185" s="4">
        <v>1</v>
      </c>
      <c r="E185" s="4">
        <v>224</v>
      </c>
      <c r="F185" s="4">
        <f>ROUND(Source!AR157,O185)</f>
        <v>67903.12</v>
      </c>
      <c r="G185" s="4" t="s">
        <v>178</v>
      </c>
      <c r="H185" s="4" t="s">
        <v>179</v>
      </c>
      <c r="I185" s="4"/>
      <c r="J185" s="4"/>
      <c r="K185" s="4">
        <v>224</v>
      </c>
      <c r="L185" s="4">
        <v>27</v>
      </c>
      <c r="M185" s="4">
        <v>3</v>
      </c>
      <c r="N185" s="4" t="s">
        <v>3</v>
      </c>
      <c r="O185" s="4">
        <v>2</v>
      </c>
      <c r="P185" s="4"/>
      <c r="Q185" s="4"/>
      <c r="R185" s="4"/>
      <c r="S185" s="4"/>
      <c r="T185" s="4"/>
      <c r="U185" s="4"/>
      <c r="V185" s="4"/>
      <c r="W185" s="4"/>
    </row>
    <row r="187" spans="1:206" x14ac:dyDescent="0.2">
      <c r="A187" s="2">
        <v>51</v>
      </c>
      <c r="B187" s="2">
        <f>B20</f>
        <v>1</v>
      </c>
      <c r="C187" s="2">
        <f>A20</f>
        <v>3</v>
      </c>
      <c r="D187" s="2">
        <f>ROW(A20)</f>
        <v>20</v>
      </c>
      <c r="E187" s="2"/>
      <c r="F187" s="2" t="str">
        <f>IF(F20&lt;&gt;"",F20,"")</f>
        <v>04-01-01</v>
      </c>
      <c r="G187" s="2" t="str">
        <f>IF(G20&lt;&gt;"",G20,"")</f>
        <v>Устройство наружного освещения</v>
      </c>
      <c r="H187" s="2">
        <v>0</v>
      </c>
      <c r="I187" s="2"/>
      <c r="J187" s="2"/>
      <c r="K187" s="2"/>
      <c r="L187" s="2"/>
      <c r="M187" s="2"/>
      <c r="N187" s="2"/>
      <c r="O187" s="2">
        <f t="shared" ref="O187:T187" si="163">ROUND(O50+O96+O157+AB187,2)</f>
        <v>3102493.16</v>
      </c>
      <c r="P187" s="2">
        <f t="shared" si="163"/>
        <v>2137940.13</v>
      </c>
      <c r="Q187" s="2">
        <f t="shared" si="163"/>
        <v>403592.63</v>
      </c>
      <c r="R187" s="2">
        <f t="shared" si="163"/>
        <v>163834.12</v>
      </c>
      <c r="S187" s="2">
        <f t="shared" si="163"/>
        <v>560960.4</v>
      </c>
      <c r="T187" s="2">
        <f t="shared" si="163"/>
        <v>0</v>
      </c>
      <c r="U187" s="2">
        <f>U50+U96+U157+AH187</f>
        <v>1946.90859</v>
      </c>
      <c r="V187" s="2">
        <f>V50+V96+V157+AI187</f>
        <v>0</v>
      </c>
      <c r="W187" s="2">
        <f>ROUND(W50+W96+W157+AJ187,2)</f>
        <v>0</v>
      </c>
      <c r="X187" s="2">
        <f>ROUND(X50+X96+X157+AK187,2)</f>
        <v>507122.19</v>
      </c>
      <c r="Y187" s="2">
        <f>ROUND(Y50+Y96+Y157+AL187,2)</f>
        <v>239226.12</v>
      </c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>
        <f t="shared" ref="AO187:BD187" si="164">ROUND(AO50+AO96+AO157+BX187,2)</f>
        <v>0</v>
      </c>
      <c r="AP187" s="2">
        <f t="shared" si="164"/>
        <v>0</v>
      </c>
      <c r="AQ187" s="2">
        <f t="shared" si="164"/>
        <v>0</v>
      </c>
      <c r="AR187" s="2">
        <f t="shared" si="164"/>
        <v>4106061.05</v>
      </c>
      <c r="AS187" s="2">
        <f t="shared" si="164"/>
        <v>825835.42</v>
      </c>
      <c r="AT187" s="2">
        <f t="shared" si="164"/>
        <v>3178299.64</v>
      </c>
      <c r="AU187" s="2">
        <f t="shared" si="164"/>
        <v>101925.99</v>
      </c>
      <c r="AV187" s="2">
        <f t="shared" si="164"/>
        <v>2137940.13</v>
      </c>
      <c r="AW187" s="2">
        <f t="shared" si="164"/>
        <v>2137940.13</v>
      </c>
      <c r="AX187" s="2">
        <f t="shared" si="164"/>
        <v>0</v>
      </c>
      <c r="AY187" s="2">
        <f t="shared" si="164"/>
        <v>2137940.13</v>
      </c>
      <c r="AZ187" s="2">
        <f t="shared" si="164"/>
        <v>0</v>
      </c>
      <c r="BA187" s="2">
        <f t="shared" si="164"/>
        <v>0</v>
      </c>
      <c r="BB187" s="2">
        <f t="shared" si="164"/>
        <v>0</v>
      </c>
      <c r="BC187" s="2">
        <f t="shared" si="164"/>
        <v>0</v>
      </c>
      <c r="BD187" s="2">
        <f t="shared" si="164"/>
        <v>0</v>
      </c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>
        <v>0</v>
      </c>
    </row>
    <row r="189" spans="1:206" x14ac:dyDescent="0.2">
      <c r="A189" s="4">
        <v>50</v>
      </c>
      <c r="B189" s="4">
        <v>0</v>
      </c>
      <c r="C189" s="4">
        <v>0</v>
      </c>
      <c r="D189" s="4">
        <v>1</v>
      </c>
      <c r="E189" s="4">
        <v>201</v>
      </c>
      <c r="F189" s="4">
        <f>ROUND(Source!O187,O189)</f>
        <v>3102493.16</v>
      </c>
      <c r="G189" s="4" t="s">
        <v>126</v>
      </c>
      <c r="H189" s="4" t="s">
        <v>127</v>
      </c>
      <c r="I189" s="4"/>
      <c r="J189" s="4"/>
      <c r="K189" s="4">
        <v>201</v>
      </c>
      <c r="L189" s="4">
        <v>1</v>
      </c>
      <c r="M189" s="4">
        <v>3</v>
      </c>
      <c r="N189" s="4" t="s">
        <v>3</v>
      </c>
      <c r="O189" s="4">
        <v>2</v>
      </c>
      <c r="P189" s="4"/>
      <c r="Q189" s="4"/>
      <c r="R189" s="4"/>
      <c r="S189" s="4"/>
      <c r="T189" s="4"/>
      <c r="U189" s="4"/>
      <c r="V189" s="4"/>
      <c r="W189" s="4"/>
    </row>
    <row r="190" spans="1:206" x14ac:dyDescent="0.2">
      <c r="A190" s="4">
        <v>50</v>
      </c>
      <c r="B190" s="4">
        <v>0</v>
      </c>
      <c r="C190" s="4">
        <v>0</v>
      </c>
      <c r="D190" s="4">
        <v>1</v>
      </c>
      <c r="E190" s="4">
        <v>202</v>
      </c>
      <c r="F190" s="4">
        <f>ROUND(Source!P187,O190)</f>
        <v>2137940.13</v>
      </c>
      <c r="G190" s="4" t="s">
        <v>128</v>
      </c>
      <c r="H190" s="4" t="s">
        <v>129</v>
      </c>
      <c r="I190" s="4"/>
      <c r="J190" s="4"/>
      <c r="K190" s="4">
        <v>202</v>
      </c>
      <c r="L190" s="4">
        <v>2</v>
      </c>
      <c r="M190" s="4">
        <v>3</v>
      </c>
      <c r="N190" s="4" t="s">
        <v>3</v>
      </c>
      <c r="O190" s="4">
        <v>2</v>
      </c>
      <c r="P190" s="4"/>
      <c r="Q190" s="4"/>
      <c r="R190" s="4"/>
      <c r="S190" s="4"/>
      <c r="T190" s="4"/>
      <c r="U190" s="4"/>
      <c r="V190" s="4"/>
      <c r="W190" s="4"/>
    </row>
    <row r="191" spans="1:206" x14ac:dyDescent="0.2">
      <c r="A191" s="4">
        <v>50</v>
      </c>
      <c r="B191" s="4">
        <v>0</v>
      </c>
      <c r="C191" s="4">
        <v>0</v>
      </c>
      <c r="D191" s="4">
        <v>1</v>
      </c>
      <c r="E191" s="4">
        <v>222</v>
      </c>
      <c r="F191" s="4">
        <f>ROUND(Source!AO187,O191)</f>
        <v>0</v>
      </c>
      <c r="G191" s="4" t="s">
        <v>130</v>
      </c>
      <c r="H191" s="4" t="s">
        <v>131</v>
      </c>
      <c r="I191" s="4"/>
      <c r="J191" s="4"/>
      <c r="K191" s="4">
        <v>222</v>
      </c>
      <c r="L191" s="4">
        <v>3</v>
      </c>
      <c r="M191" s="4">
        <v>3</v>
      </c>
      <c r="N191" s="4" t="s">
        <v>3</v>
      </c>
      <c r="O191" s="4">
        <v>2</v>
      </c>
      <c r="P191" s="4"/>
      <c r="Q191" s="4"/>
      <c r="R191" s="4"/>
      <c r="S191" s="4"/>
      <c r="T191" s="4"/>
      <c r="U191" s="4"/>
      <c r="V191" s="4"/>
      <c r="W191" s="4"/>
    </row>
    <row r="192" spans="1:206" x14ac:dyDescent="0.2">
      <c r="A192" s="4">
        <v>50</v>
      </c>
      <c r="B192" s="4">
        <v>0</v>
      </c>
      <c r="C192" s="4">
        <v>0</v>
      </c>
      <c r="D192" s="4">
        <v>1</v>
      </c>
      <c r="E192" s="4">
        <v>225</v>
      </c>
      <c r="F192" s="4">
        <f>ROUND(Source!AV187,O192)</f>
        <v>2137940.13</v>
      </c>
      <c r="G192" s="4" t="s">
        <v>132</v>
      </c>
      <c r="H192" s="4" t="s">
        <v>133</v>
      </c>
      <c r="I192" s="4"/>
      <c r="J192" s="4"/>
      <c r="K192" s="4">
        <v>225</v>
      </c>
      <c r="L192" s="4">
        <v>4</v>
      </c>
      <c r="M192" s="4">
        <v>3</v>
      </c>
      <c r="N192" s="4" t="s">
        <v>3</v>
      </c>
      <c r="O192" s="4">
        <v>2</v>
      </c>
      <c r="P192" s="4"/>
      <c r="Q192" s="4"/>
      <c r="R192" s="4"/>
      <c r="S192" s="4"/>
      <c r="T192" s="4"/>
      <c r="U192" s="4"/>
      <c r="V192" s="4"/>
      <c r="W192" s="4"/>
    </row>
    <row r="193" spans="1:23" x14ac:dyDescent="0.2">
      <c r="A193" s="4">
        <v>50</v>
      </c>
      <c r="B193" s="4">
        <v>0</v>
      </c>
      <c r="C193" s="4">
        <v>0</v>
      </c>
      <c r="D193" s="4">
        <v>1</v>
      </c>
      <c r="E193" s="4">
        <v>226</v>
      </c>
      <c r="F193" s="4">
        <f>ROUND(Source!AW187,O193)</f>
        <v>2137940.13</v>
      </c>
      <c r="G193" s="4" t="s">
        <v>134</v>
      </c>
      <c r="H193" s="4" t="s">
        <v>135</v>
      </c>
      <c r="I193" s="4"/>
      <c r="J193" s="4"/>
      <c r="K193" s="4">
        <v>226</v>
      </c>
      <c r="L193" s="4">
        <v>5</v>
      </c>
      <c r="M193" s="4">
        <v>3</v>
      </c>
      <c r="N193" s="4" t="s">
        <v>3</v>
      </c>
      <c r="O193" s="4">
        <v>2</v>
      </c>
      <c r="P193" s="4"/>
      <c r="Q193" s="4"/>
      <c r="R193" s="4"/>
      <c r="S193" s="4"/>
      <c r="T193" s="4"/>
      <c r="U193" s="4"/>
      <c r="V193" s="4"/>
      <c r="W193" s="4"/>
    </row>
    <row r="194" spans="1:23" x14ac:dyDescent="0.2">
      <c r="A194" s="4">
        <v>50</v>
      </c>
      <c r="B194" s="4">
        <v>0</v>
      </c>
      <c r="C194" s="4">
        <v>0</v>
      </c>
      <c r="D194" s="4">
        <v>1</v>
      </c>
      <c r="E194" s="4">
        <v>227</v>
      </c>
      <c r="F194" s="4">
        <f>ROUND(Source!AX187,O194)</f>
        <v>0</v>
      </c>
      <c r="G194" s="4" t="s">
        <v>136</v>
      </c>
      <c r="H194" s="4" t="s">
        <v>137</v>
      </c>
      <c r="I194" s="4"/>
      <c r="J194" s="4"/>
      <c r="K194" s="4">
        <v>227</v>
      </c>
      <c r="L194" s="4">
        <v>6</v>
      </c>
      <c r="M194" s="4">
        <v>3</v>
      </c>
      <c r="N194" s="4" t="s">
        <v>3</v>
      </c>
      <c r="O194" s="4">
        <v>2</v>
      </c>
      <c r="P194" s="4"/>
      <c r="Q194" s="4"/>
      <c r="R194" s="4"/>
      <c r="S194" s="4"/>
      <c r="T194" s="4"/>
      <c r="U194" s="4"/>
      <c r="V194" s="4"/>
      <c r="W194" s="4"/>
    </row>
    <row r="195" spans="1:23" x14ac:dyDescent="0.2">
      <c r="A195" s="4">
        <v>50</v>
      </c>
      <c r="B195" s="4">
        <v>0</v>
      </c>
      <c r="C195" s="4">
        <v>0</v>
      </c>
      <c r="D195" s="4">
        <v>1</v>
      </c>
      <c r="E195" s="4">
        <v>228</v>
      </c>
      <c r="F195" s="4">
        <f>ROUND(Source!AY187,O195)</f>
        <v>2137940.13</v>
      </c>
      <c r="G195" s="4" t="s">
        <v>138</v>
      </c>
      <c r="H195" s="4" t="s">
        <v>139</v>
      </c>
      <c r="I195" s="4"/>
      <c r="J195" s="4"/>
      <c r="K195" s="4">
        <v>228</v>
      </c>
      <c r="L195" s="4">
        <v>7</v>
      </c>
      <c r="M195" s="4">
        <v>3</v>
      </c>
      <c r="N195" s="4" t="s">
        <v>3</v>
      </c>
      <c r="O195" s="4">
        <v>2</v>
      </c>
      <c r="P195" s="4"/>
      <c r="Q195" s="4"/>
      <c r="R195" s="4"/>
      <c r="S195" s="4"/>
      <c r="T195" s="4"/>
      <c r="U195" s="4"/>
      <c r="V195" s="4"/>
      <c r="W195" s="4"/>
    </row>
    <row r="196" spans="1:23" x14ac:dyDescent="0.2">
      <c r="A196" s="4">
        <v>50</v>
      </c>
      <c r="B196" s="4">
        <v>0</v>
      </c>
      <c r="C196" s="4">
        <v>0</v>
      </c>
      <c r="D196" s="4">
        <v>1</v>
      </c>
      <c r="E196" s="4">
        <v>216</v>
      </c>
      <c r="F196" s="4">
        <f>ROUND(Source!AP187,O196)</f>
        <v>0</v>
      </c>
      <c r="G196" s="4" t="s">
        <v>140</v>
      </c>
      <c r="H196" s="4" t="s">
        <v>141</v>
      </c>
      <c r="I196" s="4"/>
      <c r="J196" s="4"/>
      <c r="K196" s="4">
        <v>216</v>
      </c>
      <c r="L196" s="4">
        <v>8</v>
      </c>
      <c r="M196" s="4">
        <v>3</v>
      </c>
      <c r="N196" s="4" t="s">
        <v>3</v>
      </c>
      <c r="O196" s="4">
        <v>2</v>
      </c>
      <c r="P196" s="4"/>
      <c r="Q196" s="4"/>
      <c r="R196" s="4"/>
      <c r="S196" s="4"/>
      <c r="T196" s="4"/>
      <c r="U196" s="4"/>
      <c r="V196" s="4"/>
      <c r="W196" s="4"/>
    </row>
    <row r="197" spans="1:23" x14ac:dyDescent="0.2">
      <c r="A197" s="4">
        <v>50</v>
      </c>
      <c r="B197" s="4">
        <v>0</v>
      </c>
      <c r="C197" s="4">
        <v>0</v>
      </c>
      <c r="D197" s="4">
        <v>1</v>
      </c>
      <c r="E197" s="4">
        <v>223</v>
      </c>
      <c r="F197" s="4">
        <f>ROUND(Source!AQ187,O197)</f>
        <v>0</v>
      </c>
      <c r="G197" s="4" t="s">
        <v>142</v>
      </c>
      <c r="H197" s="4" t="s">
        <v>143</v>
      </c>
      <c r="I197" s="4"/>
      <c r="J197" s="4"/>
      <c r="K197" s="4">
        <v>223</v>
      </c>
      <c r="L197" s="4">
        <v>9</v>
      </c>
      <c r="M197" s="4">
        <v>3</v>
      </c>
      <c r="N197" s="4" t="s">
        <v>3</v>
      </c>
      <c r="O197" s="4">
        <v>2</v>
      </c>
      <c r="P197" s="4"/>
      <c r="Q197" s="4"/>
      <c r="R197" s="4"/>
      <c r="S197" s="4"/>
      <c r="T197" s="4"/>
      <c r="U197" s="4"/>
      <c r="V197" s="4"/>
      <c r="W197" s="4"/>
    </row>
    <row r="198" spans="1:23" x14ac:dyDescent="0.2">
      <c r="A198" s="4">
        <v>50</v>
      </c>
      <c r="B198" s="4">
        <v>0</v>
      </c>
      <c r="C198" s="4">
        <v>0</v>
      </c>
      <c r="D198" s="4">
        <v>1</v>
      </c>
      <c r="E198" s="4">
        <v>229</v>
      </c>
      <c r="F198" s="4">
        <f>ROUND(Source!AZ187,O198)</f>
        <v>0</v>
      </c>
      <c r="G198" s="4" t="s">
        <v>144</v>
      </c>
      <c r="H198" s="4" t="s">
        <v>145</v>
      </c>
      <c r="I198" s="4"/>
      <c r="J198" s="4"/>
      <c r="K198" s="4">
        <v>229</v>
      </c>
      <c r="L198" s="4">
        <v>10</v>
      </c>
      <c r="M198" s="4">
        <v>3</v>
      </c>
      <c r="N198" s="4" t="s">
        <v>3</v>
      </c>
      <c r="O198" s="4">
        <v>2</v>
      </c>
      <c r="P198" s="4"/>
      <c r="Q198" s="4"/>
      <c r="R198" s="4"/>
      <c r="S198" s="4"/>
      <c r="T198" s="4"/>
      <c r="U198" s="4"/>
      <c r="V198" s="4"/>
      <c r="W198" s="4"/>
    </row>
    <row r="199" spans="1:23" x14ac:dyDescent="0.2">
      <c r="A199" s="4">
        <v>50</v>
      </c>
      <c r="B199" s="4">
        <v>0</v>
      </c>
      <c r="C199" s="4">
        <v>0</v>
      </c>
      <c r="D199" s="4">
        <v>1</v>
      </c>
      <c r="E199" s="4">
        <v>203</v>
      </c>
      <c r="F199" s="4">
        <f>ROUND(Source!Q187,O199)</f>
        <v>403592.63</v>
      </c>
      <c r="G199" s="4" t="s">
        <v>146</v>
      </c>
      <c r="H199" s="4" t="s">
        <v>147</v>
      </c>
      <c r="I199" s="4"/>
      <c r="J199" s="4"/>
      <c r="K199" s="4">
        <v>203</v>
      </c>
      <c r="L199" s="4">
        <v>11</v>
      </c>
      <c r="M199" s="4">
        <v>3</v>
      </c>
      <c r="N199" s="4" t="s">
        <v>3</v>
      </c>
      <c r="O199" s="4">
        <v>2</v>
      </c>
      <c r="P199" s="4"/>
      <c r="Q199" s="4"/>
      <c r="R199" s="4"/>
      <c r="S199" s="4"/>
      <c r="T199" s="4"/>
      <c r="U199" s="4"/>
      <c r="V199" s="4"/>
      <c r="W199" s="4"/>
    </row>
    <row r="200" spans="1:23" x14ac:dyDescent="0.2">
      <c r="A200" s="4">
        <v>50</v>
      </c>
      <c r="B200" s="4">
        <v>0</v>
      </c>
      <c r="C200" s="4">
        <v>0</v>
      </c>
      <c r="D200" s="4">
        <v>1</v>
      </c>
      <c r="E200" s="4">
        <v>231</v>
      </c>
      <c r="F200" s="4">
        <f>ROUND(Source!BB187,O200)</f>
        <v>0</v>
      </c>
      <c r="G200" s="4" t="s">
        <v>148</v>
      </c>
      <c r="H200" s="4" t="s">
        <v>149</v>
      </c>
      <c r="I200" s="4"/>
      <c r="J200" s="4"/>
      <c r="K200" s="4">
        <v>231</v>
      </c>
      <c r="L200" s="4">
        <v>12</v>
      </c>
      <c r="M200" s="4">
        <v>3</v>
      </c>
      <c r="N200" s="4" t="s">
        <v>3</v>
      </c>
      <c r="O200" s="4">
        <v>2</v>
      </c>
      <c r="P200" s="4"/>
      <c r="Q200" s="4"/>
      <c r="R200" s="4"/>
      <c r="S200" s="4"/>
      <c r="T200" s="4"/>
      <c r="U200" s="4"/>
      <c r="V200" s="4"/>
      <c r="W200" s="4"/>
    </row>
    <row r="201" spans="1:23" x14ac:dyDescent="0.2">
      <c r="A201" s="4">
        <v>50</v>
      </c>
      <c r="B201" s="4">
        <v>0</v>
      </c>
      <c r="C201" s="4">
        <v>0</v>
      </c>
      <c r="D201" s="4">
        <v>1</v>
      </c>
      <c r="E201" s="4">
        <v>204</v>
      </c>
      <c r="F201" s="4">
        <f>ROUND(Source!R187,O201)</f>
        <v>163834.12</v>
      </c>
      <c r="G201" s="4" t="s">
        <v>150</v>
      </c>
      <c r="H201" s="4" t="s">
        <v>151</v>
      </c>
      <c r="I201" s="4"/>
      <c r="J201" s="4"/>
      <c r="K201" s="4">
        <v>204</v>
      </c>
      <c r="L201" s="4">
        <v>13</v>
      </c>
      <c r="M201" s="4">
        <v>3</v>
      </c>
      <c r="N201" s="4" t="s">
        <v>3</v>
      </c>
      <c r="O201" s="4">
        <v>2</v>
      </c>
      <c r="P201" s="4"/>
      <c r="Q201" s="4"/>
      <c r="R201" s="4"/>
      <c r="S201" s="4"/>
      <c r="T201" s="4"/>
      <c r="U201" s="4"/>
      <c r="V201" s="4"/>
      <c r="W201" s="4"/>
    </row>
    <row r="202" spans="1:23" x14ac:dyDescent="0.2">
      <c r="A202" s="4">
        <v>50</v>
      </c>
      <c r="B202" s="4">
        <v>0</v>
      </c>
      <c r="C202" s="4">
        <v>0</v>
      </c>
      <c r="D202" s="4">
        <v>1</v>
      </c>
      <c r="E202" s="4">
        <v>205</v>
      </c>
      <c r="F202" s="4">
        <f>ROUND(Source!S187,O202)</f>
        <v>560960.4</v>
      </c>
      <c r="G202" s="4" t="s">
        <v>152</v>
      </c>
      <c r="H202" s="4" t="s">
        <v>153</v>
      </c>
      <c r="I202" s="4"/>
      <c r="J202" s="4"/>
      <c r="K202" s="4">
        <v>205</v>
      </c>
      <c r="L202" s="4">
        <v>14</v>
      </c>
      <c r="M202" s="4">
        <v>3</v>
      </c>
      <c r="N202" s="4" t="s">
        <v>3</v>
      </c>
      <c r="O202" s="4">
        <v>2</v>
      </c>
      <c r="P202" s="4"/>
      <c r="Q202" s="4"/>
      <c r="R202" s="4"/>
      <c r="S202" s="4"/>
      <c r="T202" s="4"/>
      <c r="U202" s="4"/>
      <c r="V202" s="4"/>
      <c r="W202" s="4"/>
    </row>
    <row r="203" spans="1:23" x14ac:dyDescent="0.2">
      <c r="A203" s="4">
        <v>50</v>
      </c>
      <c r="B203" s="4">
        <v>0</v>
      </c>
      <c r="C203" s="4">
        <v>0</v>
      </c>
      <c r="D203" s="4">
        <v>1</v>
      </c>
      <c r="E203" s="4">
        <v>232</v>
      </c>
      <c r="F203" s="4">
        <f>ROUND(Source!BC187,O203)</f>
        <v>0</v>
      </c>
      <c r="G203" s="4" t="s">
        <v>154</v>
      </c>
      <c r="H203" s="4" t="s">
        <v>155</v>
      </c>
      <c r="I203" s="4"/>
      <c r="J203" s="4"/>
      <c r="K203" s="4">
        <v>232</v>
      </c>
      <c r="L203" s="4">
        <v>15</v>
      </c>
      <c r="M203" s="4">
        <v>3</v>
      </c>
      <c r="N203" s="4" t="s">
        <v>3</v>
      </c>
      <c r="O203" s="4">
        <v>2</v>
      </c>
      <c r="P203" s="4"/>
      <c r="Q203" s="4"/>
      <c r="R203" s="4"/>
      <c r="S203" s="4"/>
      <c r="T203" s="4"/>
      <c r="U203" s="4"/>
      <c r="V203" s="4"/>
      <c r="W203" s="4"/>
    </row>
    <row r="204" spans="1:23" x14ac:dyDescent="0.2">
      <c r="A204" s="4">
        <v>50</v>
      </c>
      <c r="B204" s="4">
        <v>0</v>
      </c>
      <c r="C204" s="4">
        <v>0</v>
      </c>
      <c r="D204" s="4">
        <v>1</v>
      </c>
      <c r="E204" s="4">
        <v>214</v>
      </c>
      <c r="F204" s="4">
        <f>ROUND(Source!AS187,O204)</f>
        <v>825835.42</v>
      </c>
      <c r="G204" s="4" t="s">
        <v>156</v>
      </c>
      <c r="H204" s="4" t="s">
        <v>157</v>
      </c>
      <c r="I204" s="4"/>
      <c r="J204" s="4"/>
      <c r="K204" s="4">
        <v>214</v>
      </c>
      <c r="L204" s="4">
        <v>16</v>
      </c>
      <c r="M204" s="4">
        <v>3</v>
      </c>
      <c r="N204" s="4" t="s">
        <v>3</v>
      </c>
      <c r="O204" s="4">
        <v>2</v>
      </c>
      <c r="P204" s="4"/>
      <c r="Q204" s="4"/>
      <c r="R204" s="4"/>
      <c r="S204" s="4"/>
      <c r="T204" s="4"/>
      <c r="U204" s="4"/>
      <c r="V204" s="4"/>
      <c r="W204" s="4"/>
    </row>
    <row r="205" spans="1:23" x14ac:dyDescent="0.2">
      <c r="A205" s="4">
        <v>50</v>
      </c>
      <c r="B205" s="4">
        <v>0</v>
      </c>
      <c r="C205" s="4">
        <v>0</v>
      </c>
      <c r="D205" s="4">
        <v>1</v>
      </c>
      <c r="E205" s="4">
        <v>215</v>
      </c>
      <c r="F205" s="4">
        <f>ROUND(Source!AT187,O205)</f>
        <v>3178299.64</v>
      </c>
      <c r="G205" s="4" t="s">
        <v>158</v>
      </c>
      <c r="H205" s="4" t="s">
        <v>159</v>
      </c>
      <c r="I205" s="4"/>
      <c r="J205" s="4"/>
      <c r="K205" s="4">
        <v>215</v>
      </c>
      <c r="L205" s="4">
        <v>17</v>
      </c>
      <c r="M205" s="4">
        <v>3</v>
      </c>
      <c r="N205" s="4" t="s">
        <v>3</v>
      </c>
      <c r="O205" s="4">
        <v>2</v>
      </c>
      <c r="P205" s="4"/>
      <c r="Q205" s="4"/>
      <c r="R205" s="4"/>
      <c r="S205" s="4"/>
      <c r="T205" s="4"/>
      <c r="U205" s="4"/>
      <c r="V205" s="4"/>
      <c r="W205" s="4"/>
    </row>
    <row r="206" spans="1:23" x14ac:dyDescent="0.2">
      <c r="A206" s="4">
        <v>50</v>
      </c>
      <c r="B206" s="4">
        <v>0</v>
      </c>
      <c r="C206" s="4">
        <v>0</v>
      </c>
      <c r="D206" s="4">
        <v>1</v>
      </c>
      <c r="E206" s="4">
        <v>217</v>
      </c>
      <c r="F206" s="4">
        <f>ROUND(Source!AU187,O206)</f>
        <v>101925.99</v>
      </c>
      <c r="G206" s="4" t="s">
        <v>160</v>
      </c>
      <c r="H206" s="4" t="s">
        <v>161</v>
      </c>
      <c r="I206" s="4"/>
      <c r="J206" s="4"/>
      <c r="K206" s="4">
        <v>217</v>
      </c>
      <c r="L206" s="4">
        <v>18</v>
      </c>
      <c r="M206" s="4">
        <v>3</v>
      </c>
      <c r="N206" s="4" t="s">
        <v>3</v>
      </c>
      <c r="O206" s="4">
        <v>2</v>
      </c>
      <c r="P206" s="4"/>
      <c r="Q206" s="4"/>
      <c r="R206" s="4"/>
      <c r="S206" s="4"/>
      <c r="T206" s="4"/>
      <c r="U206" s="4"/>
      <c r="V206" s="4"/>
      <c r="W206" s="4"/>
    </row>
    <row r="207" spans="1:23" x14ac:dyDescent="0.2">
      <c r="A207" s="4">
        <v>50</v>
      </c>
      <c r="B207" s="4">
        <v>0</v>
      </c>
      <c r="C207" s="4">
        <v>0</v>
      </c>
      <c r="D207" s="4">
        <v>1</v>
      </c>
      <c r="E207" s="4">
        <v>230</v>
      </c>
      <c r="F207" s="4">
        <f>ROUND(Source!BA187,O207)</f>
        <v>0</v>
      </c>
      <c r="G207" s="4" t="s">
        <v>162</v>
      </c>
      <c r="H207" s="4" t="s">
        <v>163</v>
      </c>
      <c r="I207" s="4"/>
      <c r="J207" s="4"/>
      <c r="K207" s="4">
        <v>230</v>
      </c>
      <c r="L207" s="4">
        <v>19</v>
      </c>
      <c r="M207" s="4">
        <v>3</v>
      </c>
      <c r="N207" s="4" t="s">
        <v>3</v>
      </c>
      <c r="O207" s="4">
        <v>2</v>
      </c>
      <c r="P207" s="4"/>
      <c r="Q207" s="4"/>
      <c r="R207" s="4"/>
      <c r="S207" s="4"/>
      <c r="T207" s="4"/>
      <c r="U207" s="4"/>
      <c r="V207" s="4"/>
      <c r="W207" s="4"/>
    </row>
    <row r="208" spans="1:23" x14ac:dyDescent="0.2">
      <c r="A208" s="4">
        <v>50</v>
      </c>
      <c r="B208" s="4">
        <v>0</v>
      </c>
      <c r="C208" s="4">
        <v>0</v>
      </c>
      <c r="D208" s="4">
        <v>1</v>
      </c>
      <c r="E208" s="4">
        <v>206</v>
      </c>
      <c r="F208" s="4">
        <f>ROUND(Source!T187,O208)</f>
        <v>0</v>
      </c>
      <c r="G208" s="4" t="s">
        <v>164</v>
      </c>
      <c r="H208" s="4" t="s">
        <v>165</v>
      </c>
      <c r="I208" s="4"/>
      <c r="J208" s="4"/>
      <c r="K208" s="4">
        <v>206</v>
      </c>
      <c r="L208" s="4">
        <v>20</v>
      </c>
      <c r="M208" s="4">
        <v>3</v>
      </c>
      <c r="N208" s="4" t="s">
        <v>3</v>
      </c>
      <c r="O208" s="4">
        <v>2</v>
      </c>
      <c r="P208" s="4"/>
      <c r="Q208" s="4"/>
      <c r="R208" s="4"/>
      <c r="S208" s="4"/>
      <c r="T208" s="4"/>
      <c r="U208" s="4"/>
      <c r="V208" s="4"/>
      <c r="W208" s="4"/>
    </row>
    <row r="209" spans="1:206" x14ac:dyDescent="0.2">
      <c r="A209" s="4">
        <v>50</v>
      </c>
      <c r="B209" s="4">
        <v>0</v>
      </c>
      <c r="C209" s="4">
        <v>0</v>
      </c>
      <c r="D209" s="4">
        <v>1</v>
      </c>
      <c r="E209" s="4">
        <v>207</v>
      </c>
      <c r="F209" s="4">
        <f>Source!U187</f>
        <v>1946.90859</v>
      </c>
      <c r="G209" s="4" t="s">
        <v>166</v>
      </c>
      <c r="H209" s="4" t="s">
        <v>167</v>
      </c>
      <c r="I209" s="4"/>
      <c r="J209" s="4"/>
      <c r="K209" s="4">
        <v>207</v>
      </c>
      <c r="L209" s="4">
        <v>21</v>
      </c>
      <c r="M209" s="4">
        <v>3</v>
      </c>
      <c r="N209" s="4" t="s">
        <v>3</v>
      </c>
      <c r="O209" s="4">
        <v>-1</v>
      </c>
      <c r="P209" s="4"/>
      <c r="Q209" s="4"/>
      <c r="R209" s="4"/>
      <c r="S209" s="4"/>
      <c r="T209" s="4"/>
      <c r="U209" s="4"/>
      <c r="V209" s="4"/>
      <c r="W209" s="4"/>
    </row>
    <row r="210" spans="1:206" x14ac:dyDescent="0.2">
      <c r="A210" s="4">
        <v>50</v>
      </c>
      <c r="B210" s="4">
        <v>0</v>
      </c>
      <c r="C210" s="4">
        <v>0</v>
      </c>
      <c r="D210" s="4">
        <v>1</v>
      </c>
      <c r="E210" s="4">
        <v>208</v>
      </c>
      <c r="F210" s="4">
        <f>Source!V187</f>
        <v>0</v>
      </c>
      <c r="G210" s="4" t="s">
        <v>168</v>
      </c>
      <c r="H210" s="4" t="s">
        <v>169</v>
      </c>
      <c r="I210" s="4"/>
      <c r="J210" s="4"/>
      <c r="K210" s="4">
        <v>208</v>
      </c>
      <c r="L210" s="4">
        <v>22</v>
      </c>
      <c r="M210" s="4">
        <v>3</v>
      </c>
      <c r="N210" s="4" t="s">
        <v>3</v>
      </c>
      <c r="O210" s="4">
        <v>-1</v>
      </c>
      <c r="P210" s="4"/>
      <c r="Q210" s="4"/>
      <c r="R210" s="4"/>
      <c r="S210" s="4"/>
      <c r="T210" s="4"/>
      <c r="U210" s="4"/>
      <c r="V210" s="4"/>
      <c r="W210" s="4"/>
    </row>
    <row r="211" spans="1:206" x14ac:dyDescent="0.2">
      <c r="A211" s="4">
        <v>50</v>
      </c>
      <c r="B211" s="4">
        <v>0</v>
      </c>
      <c r="C211" s="4">
        <v>0</v>
      </c>
      <c r="D211" s="4">
        <v>1</v>
      </c>
      <c r="E211" s="4">
        <v>209</v>
      </c>
      <c r="F211" s="4">
        <f>ROUND(Source!W187,O211)</f>
        <v>0</v>
      </c>
      <c r="G211" s="4" t="s">
        <v>170</v>
      </c>
      <c r="H211" s="4" t="s">
        <v>171</v>
      </c>
      <c r="I211" s="4"/>
      <c r="J211" s="4"/>
      <c r="K211" s="4">
        <v>209</v>
      </c>
      <c r="L211" s="4">
        <v>23</v>
      </c>
      <c r="M211" s="4">
        <v>3</v>
      </c>
      <c r="N211" s="4" t="s">
        <v>3</v>
      </c>
      <c r="O211" s="4">
        <v>2</v>
      </c>
      <c r="P211" s="4"/>
      <c r="Q211" s="4"/>
      <c r="R211" s="4"/>
      <c r="S211" s="4"/>
      <c r="T211" s="4"/>
      <c r="U211" s="4"/>
      <c r="V211" s="4"/>
      <c r="W211" s="4"/>
    </row>
    <row r="212" spans="1:206" x14ac:dyDescent="0.2">
      <c r="A212" s="4">
        <v>50</v>
      </c>
      <c r="B212" s="4">
        <v>0</v>
      </c>
      <c r="C212" s="4">
        <v>0</v>
      </c>
      <c r="D212" s="4">
        <v>1</v>
      </c>
      <c r="E212" s="4">
        <v>233</v>
      </c>
      <c r="F212" s="4">
        <f>ROUND(Source!BD187,O212)</f>
        <v>0</v>
      </c>
      <c r="G212" s="4" t="s">
        <v>172</v>
      </c>
      <c r="H212" s="4" t="s">
        <v>173</v>
      </c>
      <c r="I212" s="4"/>
      <c r="J212" s="4"/>
      <c r="K212" s="4">
        <v>233</v>
      </c>
      <c r="L212" s="4">
        <v>24</v>
      </c>
      <c r="M212" s="4">
        <v>3</v>
      </c>
      <c r="N212" s="4" t="s">
        <v>3</v>
      </c>
      <c r="O212" s="4">
        <v>2</v>
      </c>
      <c r="P212" s="4"/>
      <c r="Q212" s="4"/>
      <c r="R212" s="4"/>
      <c r="S212" s="4"/>
      <c r="T212" s="4"/>
      <c r="U212" s="4"/>
      <c r="V212" s="4"/>
      <c r="W212" s="4"/>
    </row>
    <row r="213" spans="1:206" x14ac:dyDescent="0.2">
      <c r="A213" s="4">
        <v>50</v>
      </c>
      <c r="B213" s="4">
        <v>0</v>
      </c>
      <c r="C213" s="4">
        <v>0</v>
      </c>
      <c r="D213" s="4">
        <v>1</v>
      </c>
      <c r="E213" s="4">
        <v>210</v>
      </c>
      <c r="F213" s="4">
        <f>ROUND(Source!X187,O213)</f>
        <v>507122.19</v>
      </c>
      <c r="G213" s="4" t="s">
        <v>174</v>
      </c>
      <c r="H213" s="4" t="s">
        <v>175</v>
      </c>
      <c r="I213" s="4"/>
      <c r="J213" s="4"/>
      <c r="K213" s="4">
        <v>210</v>
      </c>
      <c r="L213" s="4">
        <v>25</v>
      </c>
      <c r="M213" s="4">
        <v>3</v>
      </c>
      <c r="N213" s="4" t="s">
        <v>3</v>
      </c>
      <c r="O213" s="4">
        <v>2</v>
      </c>
      <c r="P213" s="4"/>
      <c r="Q213" s="4"/>
      <c r="R213" s="4"/>
      <c r="S213" s="4"/>
      <c r="T213" s="4"/>
      <c r="U213" s="4"/>
      <c r="V213" s="4"/>
      <c r="W213" s="4"/>
    </row>
    <row r="214" spans="1:206" x14ac:dyDescent="0.2">
      <c r="A214" s="4">
        <v>50</v>
      </c>
      <c r="B214" s="4">
        <v>0</v>
      </c>
      <c r="C214" s="4">
        <v>0</v>
      </c>
      <c r="D214" s="4">
        <v>1</v>
      </c>
      <c r="E214" s="4">
        <v>211</v>
      </c>
      <c r="F214" s="4">
        <f>ROUND(Source!Y187,O214)</f>
        <v>239226.12</v>
      </c>
      <c r="G214" s="4" t="s">
        <v>176</v>
      </c>
      <c r="H214" s="4" t="s">
        <v>177</v>
      </c>
      <c r="I214" s="4"/>
      <c r="J214" s="4"/>
      <c r="K214" s="4">
        <v>211</v>
      </c>
      <c r="L214" s="4">
        <v>26</v>
      </c>
      <c r="M214" s="4">
        <v>3</v>
      </c>
      <c r="N214" s="4" t="s">
        <v>3</v>
      </c>
      <c r="O214" s="4">
        <v>2</v>
      </c>
      <c r="P214" s="4"/>
      <c r="Q214" s="4"/>
      <c r="R214" s="4"/>
      <c r="S214" s="4"/>
      <c r="T214" s="4"/>
      <c r="U214" s="4"/>
      <c r="V214" s="4"/>
      <c r="W214" s="4"/>
    </row>
    <row r="215" spans="1:206" x14ac:dyDescent="0.2">
      <c r="A215" s="4">
        <v>50</v>
      </c>
      <c r="B215" s="4">
        <v>0</v>
      </c>
      <c r="C215" s="4">
        <v>0</v>
      </c>
      <c r="D215" s="4">
        <v>1</v>
      </c>
      <c r="E215" s="4">
        <v>224</v>
      </c>
      <c r="F215" s="4">
        <f>ROUND(Source!AR187,O215)</f>
        <v>4106061.05</v>
      </c>
      <c r="G215" s="4" t="s">
        <v>178</v>
      </c>
      <c r="H215" s="4" t="s">
        <v>179</v>
      </c>
      <c r="I215" s="4"/>
      <c r="J215" s="4"/>
      <c r="K215" s="4">
        <v>224</v>
      </c>
      <c r="L215" s="4">
        <v>27</v>
      </c>
      <c r="M215" s="4">
        <v>3</v>
      </c>
      <c r="N215" s="4" t="s">
        <v>3</v>
      </c>
      <c r="O215" s="4">
        <v>2</v>
      </c>
      <c r="P215" s="4"/>
      <c r="Q215" s="4"/>
      <c r="R215" s="4"/>
      <c r="S215" s="4"/>
      <c r="T215" s="4"/>
      <c r="U215" s="4"/>
      <c r="V215" s="4"/>
      <c r="W215" s="4"/>
    </row>
    <row r="217" spans="1:206" x14ac:dyDescent="0.2">
      <c r="A217" s="2">
        <v>51</v>
      </c>
      <c r="B217" s="2">
        <f>B12</f>
        <v>250</v>
      </c>
      <c r="C217" s="2">
        <f>A12</f>
        <v>1</v>
      </c>
      <c r="D217" s="2">
        <f>ROW(A12)</f>
        <v>12</v>
      </c>
      <c r="E217" s="2"/>
      <c r="F217" s="2" t="str">
        <f>IF(F12&lt;&gt;"",F12,"")</f>
        <v>04-01-01_(Копия)</v>
      </c>
      <c r="G217" s="2" t="str">
        <f>IF(G12&lt;&gt;"",G12,"")</f>
        <v>Выполнение работ по благоустройству прилегающей территории</v>
      </c>
      <c r="H217" s="2">
        <v>0</v>
      </c>
      <c r="I217" s="2"/>
      <c r="J217" s="2"/>
      <c r="K217" s="2"/>
      <c r="L217" s="2"/>
      <c r="M217" s="2"/>
      <c r="N217" s="2"/>
      <c r="O217" s="2">
        <f t="shared" ref="O217:T217" si="165">ROUND(O187,2)</f>
        <v>3102493.16</v>
      </c>
      <c r="P217" s="2">
        <f t="shared" si="165"/>
        <v>2137940.13</v>
      </c>
      <c r="Q217" s="2">
        <f t="shared" si="165"/>
        <v>403592.63</v>
      </c>
      <c r="R217" s="2">
        <f t="shared" si="165"/>
        <v>163834.12</v>
      </c>
      <c r="S217" s="2">
        <f t="shared" si="165"/>
        <v>560960.4</v>
      </c>
      <c r="T217" s="2">
        <f t="shared" si="165"/>
        <v>0</v>
      </c>
      <c r="U217" s="2">
        <f>U187</f>
        <v>1946.90859</v>
      </c>
      <c r="V217" s="2">
        <f>V187</f>
        <v>0</v>
      </c>
      <c r="W217" s="2">
        <f>ROUND(W187,2)</f>
        <v>0</v>
      </c>
      <c r="X217" s="2">
        <f>ROUND(X187,2)</f>
        <v>507122.19</v>
      </c>
      <c r="Y217" s="2">
        <f>ROUND(Y187,2)</f>
        <v>239226.12</v>
      </c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>
        <f t="shared" ref="AO217:BD217" si="166">ROUND(AO187,2)</f>
        <v>0</v>
      </c>
      <c r="AP217" s="2">
        <f t="shared" si="166"/>
        <v>0</v>
      </c>
      <c r="AQ217" s="2">
        <f t="shared" si="166"/>
        <v>0</v>
      </c>
      <c r="AR217" s="2">
        <f t="shared" si="166"/>
        <v>4106061.05</v>
      </c>
      <c r="AS217" s="2">
        <f t="shared" si="166"/>
        <v>825835.42</v>
      </c>
      <c r="AT217" s="2">
        <f t="shared" si="166"/>
        <v>3178299.64</v>
      </c>
      <c r="AU217" s="2">
        <f t="shared" si="166"/>
        <v>101925.99</v>
      </c>
      <c r="AV217" s="2">
        <f t="shared" si="166"/>
        <v>2137940.13</v>
      </c>
      <c r="AW217" s="2">
        <f t="shared" si="166"/>
        <v>2137940.13</v>
      </c>
      <c r="AX217" s="2">
        <f t="shared" si="166"/>
        <v>0</v>
      </c>
      <c r="AY217" s="2">
        <f t="shared" si="166"/>
        <v>2137940.13</v>
      </c>
      <c r="AZ217" s="2">
        <f t="shared" si="166"/>
        <v>0</v>
      </c>
      <c r="BA217" s="2">
        <f t="shared" si="166"/>
        <v>0</v>
      </c>
      <c r="BB217" s="2">
        <f t="shared" si="166"/>
        <v>0</v>
      </c>
      <c r="BC217" s="2">
        <f t="shared" si="166"/>
        <v>0</v>
      </c>
      <c r="BD217" s="2">
        <f t="shared" si="166"/>
        <v>0</v>
      </c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>
        <v>0</v>
      </c>
    </row>
    <row r="219" spans="1:206" x14ac:dyDescent="0.2">
      <c r="A219" s="4">
        <v>50</v>
      </c>
      <c r="B219" s="4">
        <v>0</v>
      </c>
      <c r="C219" s="4">
        <v>0</v>
      </c>
      <c r="D219" s="4">
        <v>1</v>
      </c>
      <c r="E219" s="4">
        <v>201</v>
      </c>
      <c r="F219" s="4">
        <f>ROUND(Source!O217,O219)</f>
        <v>3102493.16</v>
      </c>
      <c r="G219" s="4" t="s">
        <v>126</v>
      </c>
      <c r="H219" s="4" t="s">
        <v>127</v>
      </c>
      <c r="I219" s="4"/>
      <c r="J219" s="4"/>
      <c r="K219" s="4">
        <v>201</v>
      </c>
      <c r="L219" s="4">
        <v>1</v>
      </c>
      <c r="M219" s="4">
        <v>3</v>
      </c>
      <c r="N219" s="4" t="s">
        <v>3</v>
      </c>
      <c r="O219" s="4">
        <v>2</v>
      </c>
      <c r="P219" s="4"/>
      <c r="Q219" s="4"/>
      <c r="R219" s="4"/>
      <c r="S219" s="4"/>
      <c r="T219" s="4"/>
      <c r="U219" s="4"/>
      <c r="V219" s="4"/>
      <c r="W219" s="4"/>
    </row>
    <row r="220" spans="1:206" x14ac:dyDescent="0.2">
      <c r="A220" s="4">
        <v>50</v>
      </c>
      <c r="B220" s="4">
        <v>0</v>
      </c>
      <c r="C220" s="4">
        <v>0</v>
      </c>
      <c r="D220" s="4">
        <v>1</v>
      </c>
      <c r="E220" s="4">
        <v>202</v>
      </c>
      <c r="F220" s="4">
        <f>ROUND(Source!P217,O220)</f>
        <v>2137940.13</v>
      </c>
      <c r="G220" s="4" t="s">
        <v>128</v>
      </c>
      <c r="H220" s="4" t="s">
        <v>129</v>
      </c>
      <c r="I220" s="4"/>
      <c r="J220" s="4"/>
      <c r="K220" s="4">
        <v>202</v>
      </c>
      <c r="L220" s="4">
        <v>2</v>
      </c>
      <c r="M220" s="4">
        <v>3</v>
      </c>
      <c r="N220" s="4" t="s">
        <v>3</v>
      </c>
      <c r="O220" s="4">
        <v>2</v>
      </c>
      <c r="P220" s="4"/>
      <c r="Q220" s="4"/>
      <c r="R220" s="4"/>
      <c r="S220" s="4"/>
      <c r="T220" s="4"/>
      <c r="U220" s="4"/>
      <c r="V220" s="4"/>
      <c r="W220" s="4"/>
    </row>
    <row r="221" spans="1:206" x14ac:dyDescent="0.2">
      <c r="A221" s="4">
        <v>50</v>
      </c>
      <c r="B221" s="4">
        <v>0</v>
      </c>
      <c r="C221" s="4">
        <v>0</v>
      </c>
      <c r="D221" s="4">
        <v>1</v>
      </c>
      <c r="E221" s="4">
        <v>222</v>
      </c>
      <c r="F221" s="4">
        <f>ROUND(Source!AO217,O221)</f>
        <v>0</v>
      </c>
      <c r="G221" s="4" t="s">
        <v>130</v>
      </c>
      <c r="H221" s="4" t="s">
        <v>131</v>
      </c>
      <c r="I221" s="4"/>
      <c r="J221" s="4"/>
      <c r="K221" s="4">
        <v>222</v>
      </c>
      <c r="L221" s="4">
        <v>3</v>
      </c>
      <c r="M221" s="4">
        <v>3</v>
      </c>
      <c r="N221" s="4" t="s">
        <v>3</v>
      </c>
      <c r="O221" s="4">
        <v>2</v>
      </c>
      <c r="P221" s="4"/>
      <c r="Q221" s="4"/>
      <c r="R221" s="4"/>
      <c r="S221" s="4"/>
      <c r="T221" s="4"/>
      <c r="U221" s="4"/>
      <c r="V221" s="4"/>
      <c r="W221" s="4"/>
    </row>
    <row r="222" spans="1:206" x14ac:dyDescent="0.2">
      <c r="A222" s="4">
        <v>50</v>
      </c>
      <c r="B222" s="4">
        <v>0</v>
      </c>
      <c r="C222" s="4">
        <v>0</v>
      </c>
      <c r="D222" s="4">
        <v>1</v>
      </c>
      <c r="E222" s="4">
        <v>225</v>
      </c>
      <c r="F222" s="4">
        <f>ROUND(Source!AV217,O222)</f>
        <v>2137940.13</v>
      </c>
      <c r="G222" s="4" t="s">
        <v>132</v>
      </c>
      <c r="H222" s="4" t="s">
        <v>133</v>
      </c>
      <c r="I222" s="4"/>
      <c r="J222" s="4"/>
      <c r="K222" s="4">
        <v>225</v>
      </c>
      <c r="L222" s="4">
        <v>4</v>
      </c>
      <c r="M222" s="4">
        <v>3</v>
      </c>
      <c r="N222" s="4" t="s">
        <v>3</v>
      </c>
      <c r="O222" s="4">
        <v>2</v>
      </c>
      <c r="P222" s="4"/>
      <c r="Q222" s="4"/>
      <c r="R222" s="4"/>
      <c r="S222" s="4"/>
      <c r="T222" s="4"/>
      <c r="U222" s="4"/>
      <c r="V222" s="4"/>
      <c r="W222" s="4"/>
    </row>
    <row r="223" spans="1:206" x14ac:dyDescent="0.2">
      <c r="A223" s="4">
        <v>50</v>
      </c>
      <c r="B223" s="4">
        <v>0</v>
      </c>
      <c r="C223" s="4">
        <v>0</v>
      </c>
      <c r="D223" s="4">
        <v>1</v>
      </c>
      <c r="E223" s="4">
        <v>226</v>
      </c>
      <c r="F223" s="4">
        <f>ROUND(Source!AW217,O223)</f>
        <v>2137940.13</v>
      </c>
      <c r="G223" s="4" t="s">
        <v>134</v>
      </c>
      <c r="H223" s="4" t="s">
        <v>135</v>
      </c>
      <c r="I223" s="4"/>
      <c r="J223" s="4"/>
      <c r="K223" s="4">
        <v>226</v>
      </c>
      <c r="L223" s="4">
        <v>5</v>
      </c>
      <c r="M223" s="4">
        <v>3</v>
      </c>
      <c r="N223" s="4" t="s">
        <v>3</v>
      </c>
      <c r="O223" s="4">
        <v>2</v>
      </c>
      <c r="P223" s="4"/>
      <c r="Q223" s="4"/>
      <c r="R223" s="4"/>
      <c r="S223" s="4"/>
      <c r="T223" s="4"/>
      <c r="U223" s="4"/>
      <c r="V223" s="4"/>
      <c r="W223" s="4"/>
    </row>
    <row r="224" spans="1:206" x14ac:dyDescent="0.2">
      <c r="A224" s="4">
        <v>50</v>
      </c>
      <c r="B224" s="4">
        <v>0</v>
      </c>
      <c r="C224" s="4">
        <v>0</v>
      </c>
      <c r="D224" s="4">
        <v>1</v>
      </c>
      <c r="E224" s="4">
        <v>227</v>
      </c>
      <c r="F224" s="4">
        <f>ROUND(Source!AX217,O224)</f>
        <v>0</v>
      </c>
      <c r="G224" s="4" t="s">
        <v>136</v>
      </c>
      <c r="H224" s="4" t="s">
        <v>137</v>
      </c>
      <c r="I224" s="4"/>
      <c r="J224" s="4"/>
      <c r="K224" s="4">
        <v>227</v>
      </c>
      <c r="L224" s="4">
        <v>6</v>
      </c>
      <c r="M224" s="4">
        <v>3</v>
      </c>
      <c r="N224" s="4" t="s">
        <v>3</v>
      </c>
      <c r="O224" s="4">
        <v>2</v>
      </c>
      <c r="P224" s="4"/>
      <c r="Q224" s="4"/>
      <c r="R224" s="4"/>
      <c r="S224" s="4"/>
      <c r="T224" s="4"/>
      <c r="U224" s="4"/>
      <c r="V224" s="4"/>
      <c r="W224" s="4"/>
    </row>
    <row r="225" spans="1:23" x14ac:dyDescent="0.2">
      <c r="A225" s="4">
        <v>50</v>
      </c>
      <c r="B225" s="4">
        <v>0</v>
      </c>
      <c r="C225" s="4">
        <v>0</v>
      </c>
      <c r="D225" s="4">
        <v>1</v>
      </c>
      <c r="E225" s="4">
        <v>228</v>
      </c>
      <c r="F225" s="4">
        <f>ROUND(Source!AY217,O225)</f>
        <v>2137940.13</v>
      </c>
      <c r="G225" s="4" t="s">
        <v>138</v>
      </c>
      <c r="H225" s="4" t="s">
        <v>139</v>
      </c>
      <c r="I225" s="4"/>
      <c r="J225" s="4"/>
      <c r="K225" s="4">
        <v>228</v>
      </c>
      <c r="L225" s="4">
        <v>7</v>
      </c>
      <c r="M225" s="4">
        <v>3</v>
      </c>
      <c r="N225" s="4" t="s">
        <v>3</v>
      </c>
      <c r="O225" s="4">
        <v>2</v>
      </c>
      <c r="P225" s="4"/>
      <c r="Q225" s="4"/>
      <c r="R225" s="4"/>
      <c r="S225" s="4"/>
      <c r="T225" s="4"/>
      <c r="U225" s="4"/>
      <c r="V225" s="4"/>
      <c r="W225" s="4"/>
    </row>
    <row r="226" spans="1:23" x14ac:dyDescent="0.2">
      <c r="A226" s="4">
        <v>50</v>
      </c>
      <c r="B226" s="4">
        <v>0</v>
      </c>
      <c r="C226" s="4">
        <v>0</v>
      </c>
      <c r="D226" s="4">
        <v>1</v>
      </c>
      <c r="E226" s="4">
        <v>216</v>
      </c>
      <c r="F226" s="4">
        <f>ROUND(Source!AP217,O226)</f>
        <v>0</v>
      </c>
      <c r="G226" s="4" t="s">
        <v>140</v>
      </c>
      <c r="H226" s="4" t="s">
        <v>141</v>
      </c>
      <c r="I226" s="4"/>
      <c r="J226" s="4"/>
      <c r="K226" s="4">
        <v>216</v>
      </c>
      <c r="L226" s="4">
        <v>8</v>
      </c>
      <c r="M226" s="4">
        <v>3</v>
      </c>
      <c r="N226" s="4" t="s">
        <v>3</v>
      </c>
      <c r="O226" s="4">
        <v>2</v>
      </c>
      <c r="P226" s="4"/>
      <c r="Q226" s="4"/>
      <c r="R226" s="4"/>
      <c r="S226" s="4"/>
      <c r="T226" s="4"/>
      <c r="U226" s="4"/>
      <c r="V226" s="4"/>
      <c r="W226" s="4"/>
    </row>
    <row r="227" spans="1:23" x14ac:dyDescent="0.2">
      <c r="A227" s="4">
        <v>50</v>
      </c>
      <c r="B227" s="4">
        <v>0</v>
      </c>
      <c r="C227" s="4">
        <v>0</v>
      </c>
      <c r="D227" s="4">
        <v>1</v>
      </c>
      <c r="E227" s="4">
        <v>223</v>
      </c>
      <c r="F227" s="4">
        <f>ROUND(Source!AQ217,O227)</f>
        <v>0</v>
      </c>
      <c r="G227" s="4" t="s">
        <v>142</v>
      </c>
      <c r="H227" s="4" t="s">
        <v>143</v>
      </c>
      <c r="I227" s="4"/>
      <c r="J227" s="4"/>
      <c r="K227" s="4">
        <v>223</v>
      </c>
      <c r="L227" s="4">
        <v>9</v>
      </c>
      <c r="M227" s="4">
        <v>3</v>
      </c>
      <c r="N227" s="4" t="s">
        <v>3</v>
      </c>
      <c r="O227" s="4">
        <v>2</v>
      </c>
      <c r="P227" s="4"/>
      <c r="Q227" s="4"/>
      <c r="R227" s="4"/>
      <c r="S227" s="4"/>
      <c r="T227" s="4"/>
      <c r="U227" s="4"/>
      <c r="V227" s="4"/>
      <c r="W227" s="4"/>
    </row>
    <row r="228" spans="1:23" x14ac:dyDescent="0.2">
      <c r="A228" s="4">
        <v>50</v>
      </c>
      <c r="B228" s="4">
        <v>0</v>
      </c>
      <c r="C228" s="4">
        <v>0</v>
      </c>
      <c r="D228" s="4">
        <v>1</v>
      </c>
      <c r="E228" s="4">
        <v>229</v>
      </c>
      <c r="F228" s="4">
        <f>ROUND(Source!AZ217,O228)</f>
        <v>0</v>
      </c>
      <c r="G228" s="4" t="s">
        <v>144</v>
      </c>
      <c r="H228" s="4" t="s">
        <v>145</v>
      </c>
      <c r="I228" s="4"/>
      <c r="J228" s="4"/>
      <c r="K228" s="4">
        <v>229</v>
      </c>
      <c r="L228" s="4">
        <v>10</v>
      </c>
      <c r="M228" s="4">
        <v>3</v>
      </c>
      <c r="N228" s="4" t="s">
        <v>3</v>
      </c>
      <c r="O228" s="4">
        <v>2</v>
      </c>
      <c r="P228" s="4"/>
      <c r="Q228" s="4"/>
      <c r="R228" s="4"/>
      <c r="S228" s="4"/>
      <c r="T228" s="4"/>
      <c r="U228" s="4"/>
      <c r="V228" s="4"/>
      <c r="W228" s="4"/>
    </row>
    <row r="229" spans="1:23" x14ac:dyDescent="0.2">
      <c r="A229" s="4">
        <v>50</v>
      </c>
      <c r="B229" s="4">
        <v>0</v>
      </c>
      <c r="C229" s="4">
        <v>0</v>
      </c>
      <c r="D229" s="4">
        <v>1</v>
      </c>
      <c r="E229" s="4">
        <v>203</v>
      </c>
      <c r="F229" s="4">
        <f>ROUND(Source!Q217,O229)</f>
        <v>403592.63</v>
      </c>
      <c r="G229" s="4" t="s">
        <v>146</v>
      </c>
      <c r="H229" s="4" t="s">
        <v>147</v>
      </c>
      <c r="I229" s="4"/>
      <c r="J229" s="4"/>
      <c r="K229" s="4">
        <v>203</v>
      </c>
      <c r="L229" s="4">
        <v>11</v>
      </c>
      <c r="M229" s="4">
        <v>3</v>
      </c>
      <c r="N229" s="4" t="s">
        <v>3</v>
      </c>
      <c r="O229" s="4">
        <v>2</v>
      </c>
      <c r="P229" s="4"/>
      <c r="Q229" s="4"/>
      <c r="R229" s="4"/>
      <c r="S229" s="4"/>
      <c r="T229" s="4"/>
      <c r="U229" s="4"/>
      <c r="V229" s="4"/>
      <c r="W229" s="4"/>
    </row>
    <row r="230" spans="1:23" x14ac:dyDescent="0.2">
      <c r="A230" s="4">
        <v>50</v>
      </c>
      <c r="B230" s="4">
        <v>0</v>
      </c>
      <c r="C230" s="4">
        <v>0</v>
      </c>
      <c r="D230" s="4">
        <v>1</v>
      </c>
      <c r="E230" s="4">
        <v>231</v>
      </c>
      <c r="F230" s="4">
        <f>ROUND(Source!BB217,O230)</f>
        <v>0</v>
      </c>
      <c r="G230" s="4" t="s">
        <v>148</v>
      </c>
      <c r="H230" s="4" t="s">
        <v>149</v>
      </c>
      <c r="I230" s="4"/>
      <c r="J230" s="4"/>
      <c r="K230" s="4">
        <v>231</v>
      </c>
      <c r="L230" s="4">
        <v>12</v>
      </c>
      <c r="M230" s="4">
        <v>3</v>
      </c>
      <c r="N230" s="4" t="s">
        <v>3</v>
      </c>
      <c r="O230" s="4">
        <v>2</v>
      </c>
      <c r="P230" s="4"/>
      <c r="Q230" s="4"/>
      <c r="R230" s="4"/>
      <c r="S230" s="4"/>
      <c r="T230" s="4"/>
      <c r="U230" s="4"/>
      <c r="V230" s="4"/>
      <c r="W230" s="4"/>
    </row>
    <row r="231" spans="1:23" x14ac:dyDescent="0.2">
      <c r="A231" s="4">
        <v>50</v>
      </c>
      <c r="B231" s="4">
        <v>0</v>
      </c>
      <c r="C231" s="4">
        <v>0</v>
      </c>
      <c r="D231" s="4">
        <v>1</v>
      </c>
      <c r="E231" s="4">
        <v>204</v>
      </c>
      <c r="F231" s="4">
        <f>ROUND(Source!R217,O231)</f>
        <v>163834.12</v>
      </c>
      <c r="G231" s="4" t="s">
        <v>150</v>
      </c>
      <c r="H231" s="4" t="s">
        <v>151</v>
      </c>
      <c r="I231" s="4"/>
      <c r="J231" s="4"/>
      <c r="K231" s="4">
        <v>204</v>
      </c>
      <c r="L231" s="4">
        <v>13</v>
      </c>
      <c r="M231" s="4">
        <v>3</v>
      </c>
      <c r="N231" s="4" t="s">
        <v>3</v>
      </c>
      <c r="O231" s="4">
        <v>2</v>
      </c>
      <c r="P231" s="4"/>
      <c r="Q231" s="4"/>
      <c r="R231" s="4"/>
      <c r="S231" s="4"/>
      <c r="T231" s="4"/>
      <c r="U231" s="4"/>
      <c r="V231" s="4"/>
      <c r="W231" s="4"/>
    </row>
    <row r="232" spans="1:23" x14ac:dyDescent="0.2">
      <c r="A232" s="4">
        <v>50</v>
      </c>
      <c r="B232" s="4">
        <v>0</v>
      </c>
      <c r="C232" s="4">
        <v>0</v>
      </c>
      <c r="D232" s="4">
        <v>1</v>
      </c>
      <c r="E232" s="4">
        <v>205</v>
      </c>
      <c r="F232" s="4">
        <f>ROUND(Source!S217,O232)</f>
        <v>560960.4</v>
      </c>
      <c r="G232" s="4" t="s">
        <v>152</v>
      </c>
      <c r="H232" s="4" t="s">
        <v>153</v>
      </c>
      <c r="I232" s="4"/>
      <c r="J232" s="4"/>
      <c r="K232" s="4">
        <v>205</v>
      </c>
      <c r="L232" s="4">
        <v>14</v>
      </c>
      <c r="M232" s="4">
        <v>3</v>
      </c>
      <c r="N232" s="4" t="s">
        <v>3</v>
      </c>
      <c r="O232" s="4">
        <v>2</v>
      </c>
      <c r="P232" s="4"/>
      <c r="Q232" s="4"/>
      <c r="R232" s="4"/>
      <c r="S232" s="4"/>
      <c r="T232" s="4"/>
      <c r="U232" s="4"/>
      <c r="V232" s="4"/>
      <c r="W232" s="4"/>
    </row>
    <row r="233" spans="1:23" x14ac:dyDescent="0.2">
      <c r="A233" s="4">
        <v>50</v>
      </c>
      <c r="B233" s="4">
        <v>0</v>
      </c>
      <c r="C233" s="4">
        <v>0</v>
      </c>
      <c r="D233" s="4">
        <v>1</v>
      </c>
      <c r="E233" s="4">
        <v>232</v>
      </c>
      <c r="F233" s="4">
        <f>ROUND(Source!BC217,O233)</f>
        <v>0</v>
      </c>
      <c r="G233" s="4" t="s">
        <v>154</v>
      </c>
      <c r="H233" s="4" t="s">
        <v>155</v>
      </c>
      <c r="I233" s="4"/>
      <c r="J233" s="4"/>
      <c r="K233" s="4">
        <v>232</v>
      </c>
      <c r="L233" s="4">
        <v>15</v>
      </c>
      <c r="M233" s="4">
        <v>3</v>
      </c>
      <c r="N233" s="4" t="s">
        <v>3</v>
      </c>
      <c r="O233" s="4">
        <v>2</v>
      </c>
      <c r="P233" s="4"/>
      <c r="Q233" s="4"/>
      <c r="R233" s="4"/>
      <c r="S233" s="4"/>
      <c r="T233" s="4"/>
      <c r="U233" s="4"/>
      <c r="V233" s="4"/>
      <c r="W233" s="4"/>
    </row>
    <row r="234" spans="1:23" x14ac:dyDescent="0.2">
      <c r="A234" s="4">
        <v>50</v>
      </c>
      <c r="B234" s="4">
        <v>0</v>
      </c>
      <c r="C234" s="4">
        <v>0</v>
      </c>
      <c r="D234" s="4">
        <v>1</v>
      </c>
      <c r="E234" s="4">
        <v>214</v>
      </c>
      <c r="F234" s="4">
        <f>ROUND(Source!AS217,O234)</f>
        <v>825835.42</v>
      </c>
      <c r="G234" s="4" t="s">
        <v>156</v>
      </c>
      <c r="H234" s="4" t="s">
        <v>157</v>
      </c>
      <c r="I234" s="4"/>
      <c r="J234" s="4"/>
      <c r="K234" s="4">
        <v>214</v>
      </c>
      <c r="L234" s="4">
        <v>16</v>
      </c>
      <c r="M234" s="4">
        <v>3</v>
      </c>
      <c r="N234" s="4" t="s">
        <v>3</v>
      </c>
      <c r="O234" s="4">
        <v>2</v>
      </c>
      <c r="P234" s="4"/>
      <c r="Q234" s="4"/>
      <c r="R234" s="4"/>
      <c r="S234" s="4"/>
      <c r="T234" s="4"/>
      <c r="U234" s="4"/>
      <c r="V234" s="4"/>
      <c r="W234" s="4"/>
    </row>
    <row r="235" spans="1:23" x14ac:dyDescent="0.2">
      <c r="A235" s="4">
        <v>50</v>
      </c>
      <c r="B235" s="4">
        <v>0</v>
      </c>
      <c r="C235" s="4">
        <v>0</v>
      </c>
      <c r="D235" s="4">
        <v>1</v>
      </c>
      <c r="E235" s="4">
        <v>215</v>
      </c>
      <c r="F235" s="4">
        <f>ROUND(Source!AT217,O235)</f>
        <v>3178299.64</v>
      </c>
      <c r="G235" s="4" t="s">
        <v>158</v>
      </c>
      <c r="H235" s="4" t="s">
        <v>159</v>
      </c>
      <c r="I235" s="4"/>
      <c r="J235" s="4"/>
      <c r="K235" s="4">
        <v>215</v>
      </c>
      <c r="L235" s="4">
        <v>17</v>
      </c>
      <c r="M235" s="4">
        <v>3</v>
      </c>
      <c r="N235" s="4" t="s">
        <v>3</v>
      </c>
      <c r="O235" s="4">
        <v>2</v>
      </c>
      <c r="P235" s="4"/>
      <c r="Q235" s="4"/>
      <c r="R235" s="4"/>
      <c r="S235" s="4"/>
      <c r="T235" s="4"/>
      <c r="U235" s="4"/>
      <c r="V235" s="4"/>
      <c r="W235" s="4"/>
    </row>
    <row r="236" spans="1:23" x14ac:dyDescent="0.2">
      <c r="A236" s="4">
        <v>50</v>
      </c>
      <c r="B236" s="4">
        <v>0</v>
      </c>
      <c r="C236" s="4">
        <v>0</v>
      </c>
      <c r="D236" s="4">
        <v>1</v>
      </c>
      <c r="E236" s="4">
        <v>217</v>
      </c>
      <c r="F236" s="4">
        <f>ROUND(Source!AU217,O236)</f>
        <v>101925.99</v>
      </c>
      <c r="G236" s="4" t="s">
        <v>160</v>
      </c>
      <c r="H236" s="4" t="s">
        <v>161</v>
      </c>
      <c r="I236" s="4"/>
      <c r="J236" s="4"/>
      <c r="K236" s="4">
        <v>217</v>
      </c>
      <c r="L236" s="4">
        <v>18</v>
      </c>
      <c r="M236" s="4">
        <v>3</v>
      </c>
      <c r="N236" s="4" t="s">
        <v>3</v>
      </c>
      <c r="O236" s="4">
        <v>2</v>
      </c>
      <c r="P236" s="4"/>
      <c r="Q236" s="4"/>
      <c r="R236" s="4"/>
      <c r="S236" s="4"/>
      <c r="T236" s="4"/>
      <c r="U236" s="4"/>
      <c r="V236" s="4"/>
      <c r="W236" s="4"/>
    </row>
    <row r="237" spans="1:23" x14ac:dyDescent="0.2">
      <c r="A237" s="4">
        <v>50</v>
      </c>
      <c r="B237" s="4">
        <v>0</v>
      </c>
      <c r="C237" s="4">
        <v>0</v>
      </c>
      <c r="D237" s="4">
        <v>1</v>
      </c>
      <c r="E237" s="4">
        <v>230</v>
      </c>
      <c r="F237" s="4">
        <f>ROUND(Source!BA217,O237)</f>
        <v>0</v>
      </c>
      <c r="G237" s="4" t="s">
        <v>162</v>
      </c>
      <c r="H237" s="4" t="s">
        <v>163</v>
      </c>
      <c r="I237" s="4"/>
      <c r="J237" s="4"/>
      <c r="K237" s="4">
        <v>230</v>
      </c>
      <c r="L237" s="4">
        <v>19</v>
      </c>
      <c r="M237" s="4">
        <v>3</v>
      </c>
      <c r="N237" s="4" t="s">
        <v>3</v>
      </c>
      <c r="O237" s="4">
        <v>2</v>
      </c>
      <c r="P237" s="4"/>
      <c r="Q237" s="4"/>
      <c r="R237" s="4"/>
      <c r="S237" s="4"/>
      <c r="T237" s="4"/>
      <c r="U237" s="4"/>
      <c r="V237" s="4"/>
      <c r="W237" s="4"/>
    </row>
    <row r="238" spans="1:23" x14ac:dyDescent="0.2">
      <c r="A238" s="4">
        <v>50</v>
      </c>
      <c r="B238" s="4">
        <v>0</v>
      </c>
      <c r="C238" s="4">
        <v>0</v>
      </c>
      <c r="D238" s="4">
        <v>1</v>
      </c>
      <c r="E238" s="4">
        <v>206</v>
      </c>
      <c r="F238" s="4">
        <f>ROUND(Source!T217,O238)</f>
        <v>0</v>
      </c>
      <c r="G238" s="4" t="s">
        <v>164</v>
      </c>
      <c r="H238" s="4" t="s">
        <v>165</v>
      </c>
      <c r="I238" s="4"/>
      <c r="J238" s="4"/>
      <c r="K238" s="4">
        <v>206</v>
      </c>
      <c r="L238" s="4">
        <v>20</v>
      </c>
      <c r="M238" s="4">
        <v>3</v>
      </c>
      <c r="N238" s="4" t="s">
        <v>3</v>
      </c>
      <c r="O238" s="4">
        <v>2</v>
      </c>
      <c r="P238" s="4"/>
      <c r="Q238" s="4"/>
      <c r="R238" s="4"/>
      <c r="S238" s="4"/>
      <c r="T238" s="4"/>
      <c r="U238" s="4"/>
      <c r="V238" s="4"/>
      <c r="W238" s="4"/>
    </row>
    <row r="239" spans="1:23" x14ac:dyDescent="0.2">
      <c r="A239" s="4">
        <v>50</v>
      </c>
      <c r="B239" s="4">
        <v>0</v>
      </c>
      <c r="C239" s="4">
        <v>0</v>
      </c>
      <c r="D239" s="4">
        <v>1</v>
      </c>
      <c r="E239" s="4">
        <v>207</v>
      </c>
      <c r="F239" s="4">
        <f>Source!U217</f>
        <v>1946.90859</v>
      </c>
      <c r="G239" s="4" t="s">
        <v>166</v>
      </c>
      <c r="H239" s="4" t="s">
        <v>167</v>
      </c>
      <c r="I239" s="4"/>
      <c r="J239" s="4"/>
      <c r="K239" s="4">
        <v>207</v>
      </c>
      <c r="L239" s="4">
        <v>21</v>
      </c>
      <c r="M239" s="4">
        <v>3</v>
      </c>
      <c r="N239" s="4" t="s">
        <v>3</v>
      </c>
      <c r="O239" s="4">
        <v>-1</v>
      </c>
      <c r="P239" s="4"/>
      <c r="Q239" s="4"/>
      <c r="R239" s="4"/>
      <c r="S239" s="4"/>
      <c r="T239" s="4"/>
      <c r="U239" s="4"/>
      <c r="V239" s="4"/>
      <c r="W239" s="4"/>
    </row>
    <row r="240" spans="1:23" x14ac:dyDescent="0.2">
      <c r="A240" s="4">
        <v>50</v>
      </c>
      <c r="B240" s="4">
        <v>0</v>
      </c>
      <c r="C240" s="4">
        <v>0</v>
      </c>
      <c r="D240" s="4">
        <v>1</v>
      </c>
      <c r="E240" s="4">
        <v>208</v>
      </c>
      <c r="F240" s="4">
        <f>Source!V217</f>
        <v>0</v>
      </c>
      <c r="G240" s="4" t="s">
        <v>168</v>
      </c>
      <c r="H240" s="4" t="s">
        <v>169</v>
      </c>
      <c r="I240" s="4"/>
      <c r="J240" s="4"/>
      <c r="K240" s="4">
        <v>208</v>
      </c>
      <c r="L240" s="4">
        <v>22</v>
      </c>
      <c r="M240" s="4">
        <v>3</v>
      </c>
      <c r="N240" s="4" t="s">
        <v>3</v>
      </c>
      <c r="O240" s="4">
        <v>-1</v>
      </c>
      <c r="P240" s="4"/>
      <c r="Q240" s="4"/>
      <c r="R240" s="4"/>
      <c r="S240" s="4"/>
      <c r="T240" s="4"/>
      <c r="U240" s="4"/>
      <c r="V240" s="4"/>
      <c r="W240" s="4"/>
    </row>
    <row r="241" spans="1:27" x14ac:dyDescent="0.2">
      <c r="A241" s="4">
        <v>50</v>
      </c>
      <c r="B241" s="4">
        <v>0</v>
      </c>
      <c r="C241" s="4">
        <v>0</v>
      </c>
      <c r="D241" s="4">
        <v>1</v>
      </c>
      <c r="E241" s="4">
        <v>209</v>
      </c>
      <c r="F241" s="4">
        <f>ROUND(Source!W217,O241)</f>
        <v>0</v>
      </c>
      <c r="G241" s="4" t="s">
        <v>170</v>
      </c>
      <c r="H241" s="4" t="s">
        <v>171</v>
      </c>
      <c r="I241" s="4"/>
      <c r="J241" s="4"/>
      <c r="K241" s="4">
        <v>209</v>
      </c>
      <c r="L241" s="4">
        <v>23</v>
      </c>
      <c r="M241" s="4">
        <v>3</v>
      </c>
      <c r="N241" s="4" t="s">
        <v>3</v>
      </c>
      <c r="O241" s="4">
        <v>2</v>
      </c>
      <c r="P241" s="4"/>
      <c r="Q241" s="4"/>
      <c r="R241" s="4"/>
      <c r="S241" s="4"/>
      <c r="T241" s="4"/>
      <c r="U241" s="4"/>
      <c r="V241" s="4"/>
      <c r="W241" s="4"/>
    </row>
    <row r="242" spans="1:27" x14ac:dyDescent="0.2">
      <c r="A242" s="4">
        <v>50</v>
      </c>
      <c r="B242" s="4">
        <v>0</v>
      </c>
      <c r="C242" s="4">
        <v>0</v>
      </c>
      <c r="D242" s="4">
        <v>1</v>
      </c>
      <c r="E242" s="4">
        <v>233</v>
      </c>
      <c r="F242" s="4">
        <f>ROUND(Source!BD217,O242)</f>
        <v>0</v>
      </c>
      <c r="G242" s="4" t="s">
        <v>172</v>
      </c>
      <c r="H242" s="4" t="s">
        <v>173</v>
      </c>
      <c r="I242" s="4"/>
      <c r="J242" s="4"/>
      <c r="K242" s="4">
        <v>233</v>
      </c>
      <c r="L242" s="4">
        <v>24</v>
      </c>
      <c r="M242" s="4">
        <v>3</v>
      </c>
      <c r="N242" s="4" t="s">
        <v>3</v>
      </c>
      <c r="O242" s="4">
        <v>2</v>
      </c>
      <c r="P242" s="4"/>
      <c r="Q242" s="4"/>
      <c r="R242" s="4"/>
      <c r="S242" s="4"/>
      <c r="T242" s="4"/>
      <c r="U242" s="4"/>
      <c r="V242" s="4"/>
      <c r="W242" s="4"/>
    </row>
    <row r="243" spans="1:27" x14ac:dyDescent="0.2">
      <c r="A243" s="4">
        <v>50</v>
      </c>
      <c r="B243" s="4">
        <v>0</v>
      </c>
      <c r="C243" s="4">
        <v>0</v>
      </c>
      <c r="D243" s="4">
        <v>1</v>
      </c>
      <c r="E243" s="4">
        <v>210</v>
      </c>
      <c r="F243" s="4">
        <f>ROUND(Source!X217,O243)</f>
        <v>507122.19</v>
      </c>
      <c r="G243" s="4" t="s">
        <v>174</v>
      </c>
      <c r="H243" s="4" t="s">
        <v>175</v>
      </c>
      <c r="I243" s="4"/>
      <c r="J243" s="4"/>
      <c r="K243" s="4">
        <v>210</v>
      </c>
      <c r="L243" s="4">
        <v>25</v>
      </c>
      <c r="M243" s="4">
        <v>3</v>
      </c>
      <c r="N243" s="4" t="s">
        <v>3</v>
      </c>
      <c r="O243" s="4">
        <v>2</v>
      </c>
      <c r="P243" s="4"/>
      <c r="Q243" s="4"/>
      <c r="R243" s="4"/>
      <c r="S243" s="4"/>
      <c r="T243" s="4"/>
      <c r="U243" s="4"/>
      <c r="V243" s="4"/>
      <c r="W243" s="4"/>
    </row>
    <row r="244" spans="1:27" x14ac:dyDescent="0.2">
      <c r="A244" s="4">
        <v>50</v>
      </c>
      <c r="B244" s="4">
        <v>0</v>
      </c>
      <c r="C244" s="4">
        <v>0</v>
      </c>
      <c r="D244" s="4">
        <v>1</v>
      </c>
      <c r="E244" s="4">
        <v>211</v>
      </c>
      <c r="F244" s="4">
        <f>ROUND(Source!Y217,O244)</f>
        <v>239226.12</v>
      </c>
      <c r="G244" s="4" t="s">
        <v>176</v>
      </c>
      <c r="H244" s="4" t="s">
        <v>177</v>
      </c>
      <c r="I244" s="4"/>
      <c r="J244" s="4"/>
      <c r="K244" s="4">
        <v>211</v>
      </c>
      <c r="L244" s="4">
        <v>26</v>
      </c>
      <c r="M244" s="4">
        <v>3</v>
      </c>
      <c r="N244" s="4" t="s">
        <v>3</v>
      </c>
      <c r="O244" s="4">
        <v>2</v>
      </c>
      <c r="P244" s="4"/>
      <c r="Q244" s="4"/>
      <c r="R244" s="4"/>
      <c r="S244" s="4"/>
      <c r="T244" s="4"/>
      <c r="U244" s="4"/>
      <c r="V244" s="4"/>
      <c r="W244" s="4"/>
    </row>
    <row r="245" spans="1:27" x14ac:dyDescent="0.2">
      <c r="A245" s="4">
        <v>50</v>
      </c>
      <c r="B245" s="4">
        <v>0</v>
      </c>
      <c r="C245" s="4">
        <v>0</v>
      </c>
      <c r="D245" s="4">
        <v>1</v>
      </c>
      <c r="E245" s="4">
        <v>224</v>
      </c>
      <c r="F245" s="4">
        <f>ROUND(Source!AR217,O245)</f>
        <v>4106061.05</v>
      </c>
      <c r="G245" s="4" t="s">
        <v>178</v>
      </c>
      <c r="H245" s="4" t="s">
        <v>179</v>
      </c>
      <c r="I245" s="4"/>
      <c r="J245" s="4"/>
      <c r="K245" s="4">
        <v>224</v>
      </c>
      <c r="L245" s="4">
        <v>27</v>
      </c>
      <c r="M245" s="4">
        <v>3</v>
      </c>
      <c r="N245" s="4" t="s">
        <v>3</v>
      </c>
      <c r="O245" s="4">
        <v>2</v>
      </c>
      <c r="P245" s="4"/>
      <c r="Q245" s="4"/>
      <c r="R245" s="4"/>
      <c r="S245" s="4"/>
      <c r="T245" s="4"/>
      <c r="U245" s="4"/>
      <c r="V245" s="4"/>
      <c r="W245" s="4"/>
    </row>
    <row r="248" spans="1:27" x14ac:dyDescent="0.2">
      <c r="A248">
        <v>-1</v>
      </c>
    </row>
    <row r="250" spans="1:27" x14ac:dyDescent="0.2">
      <c r="A250" s="3">
        <v>75</v>
      </c>
      <c r="B250" s="3" t="s">
        <v>352</v>
      </c>
      <c r="C250" s="3">
        <v>2019</v>
      </c>
      <c r="D250" s="3">
        <v>0</v>
      </c>
      <c r="E250" s="3">
        <v>1</v>
      </c>
      <c r="F250" s="3"/>
      <c r="G250" s="3">
        <v>0</v>
      </c>
      <c r="H250" s="3">
        <v>2</v>
      </c>
      <c r="I250" s="3">
        <v>1</v>
      </c>
      <c r="J250" s="3">
        <v>1</v>
      </c>
      <c r="K250" s="3">
        <v>93</v>
      </c>
      <c r="L250" s="3">
        <v>64</v>
      </c>
      <c r="M250" s="3">
        <v>0</v>
      </c>
      <c r="N250" s="3">
        <v>44002026</v>
      </c>
      <c r="O250" s="3">
        <v>1</v>
      </c>
    </row>
    <row r="251" spans="1:27" x14ac:dyDescent="0.2">
      <c r="A251" s="5">
        <v>1</v>
      </c>
      <c r="B251" s="5" t="s">
        <v>353</v>
      </c>
      <c r="C251" s="5" t="s">
        <v>354</v>
      </c>
      <c r="D251" s="5">
        <v>2020</v>
      </c>
      <c r="E251" s="5">
        <v>3</v>
      </c>
      <c r="F251" s="5">
        <v>1</v>
      </c>
      <c r="G251" s="5">
        <v>1</v>
      </c>
      <c r="H251" s="5">
        <v>0</v>
      </c>
      <c r="I251" s="5">
        <v>2</v>
      </c>
      <c r="J251" s="5">
        <v>1</v>
      </c>
      <c r="K251" s="5">
        <v>5.36</v>
      </c>
      <c r="L251" s="5">
        <v>4.33</v>
      </c>
      <c r="M251" s="5">
        <v>1</v>
      </c>
      <c r="N251" s="5">
        <v>1</v>
      </c>
      <c r="O251" s="5">
        <v>5.36</v>
      </c>
      <c r="P251" s="5">
        <v>4.33</v>
      </c>
      <c r="Q251" s="5">
        <v>1</v>
      </c>
      <c r="R251" s="5" t="s">
        <v>3</v>
      </c>
      <c r="S251" s="5" t="s">
        <v>3</v>
      </c>
      <c r="T251" s="5" t="s">
        <v>3</v>
      </c>
      <c r="U251" s="5" t="s">
        <v>3</v>
      </c>
      <c r="V251" s="5" t="s">
        <v>3</v>
      </c>
      <c r="W251" s="5" t="s">
        <v>3</v>
      </c>
      <c r="X251" s="5" t="s">
        <v>3</v>
      </c>
      <c r="Y251" s="5" t="s">
        <v>3</v>
      </c>
      <c r="Z251" s="5" t="s">
        <v>3</v>
      </c>
      <c r="AA251" s="5" t="s">
        <v>355</v>
      </c>
    </row>
    <row r="255" spans="1:27" x14ac:dyDescent="0.2">
      <c r="A255">
        <v>65</v>
      </c>
      <c r="C255">
        <v>1</v>
      </c>
      <c r="D255">
        <v>0</v>
      </c>
      <c r="E255">
        <v>245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52"/>
  <sheetViews>
    <sheetView workbookViewId="0"/>
  </sheetViews>
  <sheetFormatPr defaultColWidth="9.140625" defaultRowHeight="12.75" x14ac:dyDescent="0.2"/>
  <cols>
    <col min="1" max="256" width="9.140625" customWidth="1"/>
  </cols>
  <sheetData>
    <row r="1" spans="1:133" x14ac:dyDescent="0.2">
      <c r="A1">
        <v>0</v>
      </c>
      <c r="B1" t="s">
        <v>0</v>
      </c>
      <c r="D1" t="s">
        <v>356</v>
      </c>
      <c r="F1">
        <v>0</v>
      </c>
      <c r="G1">
        <v>0</v>
      </c>
      <c r="H1">
        <v>0</v>
      </c>
      <c r="I1" t="s">
        <v>2</v>
      </c>
      <c r="J1" t="s">
        <v>3</v>
      </c>
      <c r="K1">
        <v>1</v>
      </c>
      <c r="L1">
        <v>53593</v>
      </c>
      <c r="M1">
        <v>10</v>
      </c>
      <c r="N1">
        <v>11</v>
      </c>
      <c r="O1">
        <v>0</v>
      </c>
      <c r="P1">
        <v>0</v>
      </c>
      <c r="Q1">
        <v>6</v>
      </c>
    </row>
    <row r="12" spans="1:133" x14ac:dyDescent="0.2">
      <c r="A12" s="1">
        <v>1</v>
      </c>
      <c r="B12" s="1">
        <v>51</v>
      </c>
      <c r="C12" s="1">
        <v>0</v>
      </c>
      <c r="D12" s="1"/>
      <c r="E12" s="1">
        <v>0</v>
      </c>
      <c r="F12" s="1" t="s">
        <v>4</v>
      </c>
      <c r="G12" s="1" t="s">
        <v>5</v>
      </c>
      <c r="H12" s="1" t="s">
        <v>3</v>
      </c>
      <c r="I12" s="1">
        <v>0</v>
      </c>
      <c r="J12" s="1" t="s">
        <v>6</v>
      </c>
      <c r="K12" s="1">
        <v>0</v>
      </c>
      <c r="L12" s="1"/>
      <c r="M12" s="1"/>
      <c r="N12" s="1"/>
      <c r="O12" s="1">
        <v>0</v>
      </c>
      <c r="P12" s="1">
        <v>0</v>
      </c>
      <c r="Q12" s="1">
        <v>0</v>
      </c>
      <c r="R12" s="1">
        <v>157</v>
      </c>
      <c r="S12" s="1"/>
      <c r="T12" s="1"/>
      <c r="U12" s="1" t="s">
        <v>3</v>
      </c>
      <c r="V12" s="1">
        <v>0</v>
      </c>
      <c r="W12" s="1" t="s">
        <v>3</v>
      </c>
      <c r="X12" s="1" t="s">
        <v>3</v>
      </c>
      <c r="Y12" s="1" t="s">
        <v>3</v>
      </c>
      <c r="Z12" s="1" t="s">
        <v>3</v>
      </c>
      <c r="AA12" s="1" t="s">
        <v>3</v>
      </c>
      <c r="AB12" s="1" t="s">
        <v>3</v>
      </c>
      <c r="AC12" s="1" t="s">
        <v>3</v>
      </c>
      <c r="AD12" s="1" t="s">
        <v>3</v>
      </c>
      <c r="AE12" s="1" t="s">
        <v>3</v>
      </c>
      <c r="AF12" s="1" t="s">
        <v>3</v>
      </c>
      <c r="AG12" s="1" t="s">
        <v>3</v>
      </c>
      <c r="AH12" s="1" t="s">
        <v>3</v>
      </c>
      <c r="AI12" s="1" t="s">
        <v>3</v>
      </c>
      <c r="AJ12" s="1" t="s">
        <v>3</v>
      </c>
      <c r="AK12" s="1"/>
      <c r="AL12" s="1" t="s">
        <v>3</v>
      </c>
      <c r="AM12" s="1" t="s">
        <v>3</v>
      </c>
      <c r="AN12" s="1" t="s">
        <v>3</v>
      </c>
      <c r="AO12" s="1"/>
      <c r="AP12" s="1" t="s">
        <v>3</v>
      </c>
      <c r="AQ12" s="1" t="s">
        <v>3</v>
      </c>
      <c r="AR12" s="1" t="s">
        <v>3</v>
      </c>
      <c r="AS12" s="1"/>
      <c r="AT12" s="1"/>
      <c r="AU12" s="1"/>
      <c r="AV12" s="1"/>
      <c r="AW12" s="1"/>
      <c r="AX12" s="1" t="s">
        <v>3</v>
      </c>
      <c r="AY12" s="1" t="s">
        <v>3</v>
      </c>
      <c r="AZ12" s="1" t="s">
        <v>3</v>
      </c>
      <c r="BA12" s="1"/>
      <c r="BB12" s="1"/>
      <c r="BC12" s="1"/>
      <c r="BD12" s="1"/>
      <c r="BE12" s="1"/>
      <c r="BF12" s="1"/>
      <c r="BG12" s="1"/>
      <c r="BH12" s="1" t="s">
        <v>7</v>
      </c>
      <c r="BI12" s="1" t="s">
        <v>8</v>
      </c>
      <c r="BJ12" s="1">
        <v>1</v>
      </c>
      <c r="BK12" s="1">
        <v>1</v>
      </c>
      <c r="BL12" s="1">
        <v>0</v>
      </c>
      <c r="BM12" s="1">
        <v>0</v>
      </c>
      <c r="BN12" s="1">
        <v>0</v>
      </c>
      <c r="BO12" s="1">
        <v>0</v>
      </c>
      <c r="BP12" s="1">
        <v>2</v>
      </c>
      <c r="BQ12" s="1">
        <v>2</v>
      </c>
      <c r="BR12" s="1">
        <v>1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 t="s">
        <v>9</v>
      </c>
      <c r="BZ12" s="1" t="s">
        <v>10</v>
      </c>
      <c r="CA12" s="1" t="s">
        <v>11</v>
      </c>
      <c r="CB12" s="1" t="s">
        <v>11</v>
      </c>
      <c r="CC12" s="1" t="s">
        <v>11</v>
      </c>
      <c r="CD12" s="1" t="s">
        <v>11</v>
      </c>
      <c r="CE12" s="1" t="s">
        <v>12</v>
      </c>
      <c r="CF12" s="1">
        <v>0</v>
      </c>
      <c r="CG12" s="1">
        <v>0</v>
      </c>
      <c r="CH12" s="1">
        <v>18874376</v>
      </c>
      <c r="CI12" s="1" t="s">
        <v>3</v>
      </c>
      <c r="CJ12" s="1" t="s">
        <v>3</v>
      </c>
      <c r="CK12" s="1">
        <v>55</v>
      </c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>
        <v>0</v>
      </c>
    </row>
    <row r="14" spans="1:133" x14ac:dyDescent="0.2">
      <c r="A14" s="1">
        <v>22</v>
      </c>
      <c r="B14" s="1">
        <v>0</v>
      </c>
      <c r="C14" s="1">
        <v>0</v>
      </c>
      <c r="D14" s="1">
        <v>44002026</v>
      </c>
      <c r="E14" s="1">
        <v>0</v>
      </c>
      <c r="F14" s="1">
        <v>3</v>
      </c>
      <c r="G14" s="1"/>
      <c r="H14" s="1"/>
      <c r="I14" s="1"/>
      <c r="J14" s="1"/>
      <c r="K14" s="1"/>
      <c r="L14" s="1"/>
      <c r="M14" s="1"/>
      <c r="N14" s="1"/>
      <c r="O14" s="1"/>
    </row>
    <row r="16" spans="1:133" x14ac:dyDescent="0.2">
      <c r="A16" s="6">
        <v>3</v>
      </c>
      <c r="B16" s="6">
        <v>1</v>
      </c>
      <c r="C16" s="6" t="s">
        <v>13</v>
      </c>
      <c r="D16" s="6" t="s">
        <v>14</v>
      </c>
      <c r="E16" s="7">
        <f>(Source!F204)/1000</f>
        <v>825.83542</v>
      </c>
      <c r="F16" s="7">
        <f>(Source!F205)/1000</f>
        <v>3178.2996400000002</v>
      </c>
      <c r="G16" s="7">
        <f>(Source!F196)/1000</f>
        <v>0</v>
      </c>
      <c r="H16" s="7">
        <f>(Source!F206)/1000+(Source!F207)/1000</f>
        <v>101.92599</v>
      </c>
      <c r="I16" s="7">
        <f>E16+F16+G16+H16</f>
        <v>4106.0610500000003</v>
      </c>
      <c r="J16" s="7">
        <f>(Source!F202)/1000</f>
        <v>560.96040000000005</v>
      </c>
      <c r="AI16" s="6">
        <v>0</v>
      </c>
      <c r="AJ16" s="6">
        <v>0</v>
      </c>
      <c r="AK16" s="6" t="s">
        <v>3</v>
      </c>
      <c r="AL16" s="6" t="s">
        <v>3</v>
      </c>
      <c r="AM16" s="6" t="s">
        <v>3</v>
      </c>
      <c r="AN16" s="6">
        <v>0</v>
      </c>
      <c r="AO16" s="6" t="s">
        <v>3</v>
      </c>
      <c r="AP16" s="6" t="s">
        <v>3</v>
      </c>
      <c r="AT16" s="7">
        <v>3102493.16</v>
      </c>
      <c r="AU16" s="7">
        <v>2137940.13</v>
      </c>
      <c r="AV16" s="7">
        <v>0</v>
      </c>
      <c r="AW16" s="7">
        <v>0</v>
      </c>
      <c r="AX16" s="7">
        <v>0</v>
      </c>
      <c r="AY16" s="7">
        <v>403592.63</v>
      </c>
      <c r="AZ16" s="7">
        <v>163834.12</v>
      </c>
      <c r="BA16" s="7">
        <v>560960.4</v>
      </c>
      <c r="BB16" s="7">
        <v>825835.42</v>
      </c>
      <c r="BC16" s="7">
        <v>3178299.64</v>
      </c>
      <c r="BD16" s="7">
        <v>101925.99</v>
      </c>
      <c r="BE16" s="7">
        <v>0</v>
      </c>
      <c r="BF16" s="7">
        <v>1946.90859</v>
      </c>
      <c r="BG16" s="7">
        <v>0</v>
      </c>
      <c r="BH16" s="7">
        <v>0</v>
      </c>
      <c r="BI16" s="7">
        <v>507122.19</v>
      </c>
      <c r="BJ16" s="7">
        <v>239226.12</v>
      </c>
      <c r="BK16" s="7">
        <v>4106061.05</v>
      </c>
    </row>
    <row r="18" spans="1:19" x14ac:dyDescent="0.2">
      <c r="A18">
        <v>51</v>
      </c>
      <c r="E18" s="8">
        <f>SUMIF(A16:A17,3,E16:E17)</f>
        <v>825.83542</v>
      </c>
      <c r="F18" s="8">
        <f>SUMIF(A16:A17,3,F16:F17)</f>
        <v>3178.2996400000002</v>
      </c>
      <c r="G18" s="8">
        <f>SUMIF(A16:A17,3,G16:G17)</f>
        <v>0</v>
      </c>
      <c r="H18" s="8">
        <f>SUMIF(A16:A17,3,H16:H17)</f>
        <v>101.92599</v>
      </c>
      <c r="I18" s="8">
        <f>SUMIF(A16:A17,3,I16:I17)</f>
        <v>4106.0610500000003</v>
      </c>
      <c r="J18" s="8">
        <f>SUMIF(A16:A17,3,J16:J17)</f>
        <v>560.96040000000005</v>
      </c>
      <c r="K18" s="8"/>
      <c r="L18" s="8"/>
      <c r="M18" s="8"/>
      <c r="N18" s="8"/>
      <c r="O18" s="8"/>
      <c r="P18" s="8"/>
      <c r="Q18" s="8"/>
      <c r="R18" s="8"/>
      <c r="S18" s="8"/>
    </row>
    <row r="20" spans="1:19" x14ac:dyDescent="0.2">
      <c r="A20" s="4">
        <v>50</v>
      </c>
      <c r="B20" s="4">
        <v>0</v>
      </c>
      <c r="C20" s="4">
        <v>0</v>
      </c>
      <c r="D20" s="4">
        <v>1</v>
      </c>
      <c r="E20" s="4">
        <v>201</v>
      </c>
      <c r="F20" s="4">
        <v>3102493.16</v>
      </c>
      <c r="G20" s="4" t="s">
        <v>126</v>
      </c>
      <c r="H20" s="4" t="s">
        <v>127</v>
      </c>
      <c r="I20" s="4"/>
      <c r="J20" s="4"/>
      <c r="K20" s="4">
        <v>201</v>
      </c>
      <c r="L20" s="4">
        <v>1</v>
      </c>
      <c r="M20" s="4">
        <v>3</v>
      </c>
      <c r="N20" s="4" t="s">
        <v>3</v>
      </c>
      <c r="O20" s="4">
        <v>2</v>
      </c>
      <c r="P20" s="4"/>
    </row>
    <row r="21" spans="1:19" x14ac:dyDescent="0.2">
      <c r="A21" s="4">
        <v>50</v>
      </c>
      <c r="B21" s="4">
        <v>0</v>
      </c>
      <c r="C21" s="4">
        <v>0</v>
      </c>
      <c r="D21" s="4">
        <v>1</v>
      </c>
      <c r="E21" s="4">
        <v>202</v>
      </c>
      <c r="F21" s="4">
        <v>2137940.13</v>
      </c>
      <c r="G21" s="4" t="s">
        <v>128</v>
      </c>
      <c r="H21" s="4" t="s">
        <v>129</v>
      </c>
      <c r="I21" s="4"/>
      <c r="J21" s="4"/>
      <c r="K21" s="4">
        <v>202</v>
      </c>
      <c r="L21" s="4">
        <v>2</v>
      </c>
      <c r="M21" s="4">
        <v>3</v>
      </c>
      <c r="N21" s="4" t="s">
        <v>3</v>
      </c>
      <c r="O21" s="4">
        <v>2</v>
      </c>
      <c r="P21" s="4"/>
    </row>
    <row r="22" spans="1:19" x14ac:dyDescent="0.2">
      <c r="A22" s="4">
        <v>50</v>
      </c>
      <c r="B22" s="4">
        <v>0</v>
      </c>
      <c r="C22" s="4">
        <v>0</v>
      </c>
      <c r="D22" s="4">
        <v>1</v>
      </c>
      <c r="E22" s="4">
        <v>222</v>
      </c>
      <c r="F22" s="4">
        <v>0</v>
      </c>
      <c r="G22" s="4" t="s">
        <v>130</v>
      </c>
      <c r="H22" s="4" t="s">
        <v>131</v>
      </c>
      <c r="I22" s="4"/>
      <c r="J22" s="4"/>
      <c r="K22" s="4">
        <v>222</v>
      </c>
      <c r="L22" s="4">
        <v>3</v>
      </c>
      <c r="M22" s="4">
        <v>3</v>
      </c>
      <c r="N22" s="4" t="s">
        <v>3</v>
      </c>
      <c r="O22" s="4">
        <v>2</v>
      </c>
      <c r="P22" s="4"/>
    </row>
    <row r="23" spans="1:19" x14ac:dyDescent="0.2">
      <c r="A23" s="4">
        <v>50</v>
      </c>
      <c r="B23" s="4">
        <v>0</v>
      </c>
      <c r="C23" s="4">
        <v>0</v>
      </c>
      <c r="D23" s="4">
        <v>1</v>
      </c>
      <c r="E23" s="4">
        <v>225</v>
      </c>
      <c r="F23" s="4">
        <v>2137940.13</v>
      </c>
      <c r="G23" s="4" t="s">
        <v>132</v>
      </c>
      <c r="H23" s="4" t="s">
        <v>133</v>
      </c>
      <c r="I23" s="4"/>
      <c r="J23" s="4"/>
      <c r="K23" s="4">
        <v>225</v>
      </c>
      <c r="L23" s="4">
        <v>4</v>
      </c>
      <c r="M23" s="4">
        <v>3</v>
      </c>
      <c r="N23" s="4" t="s">
        <v>3</v>
      </c>
      <c r="O23" s="4">
        <v>2</v>
      </c>
      <c r="P23" s="4"/>
    </row>
    <row r="24" spans="1:19" x14ac:dyDescent="0.2">
      <c r="A24" s="4">
        <v>50</v>
      </c>
      <c r="B24" s="4">
        <v>0</v>
      </c>
      <c r="C24" s="4">
        <v>0</v>
      </c>
      <c r="D24" s="4">
        <v>1</v>
      </c>
      <c r="E24" s="4">
        <v>226</v>
      </c>
      <c r="F24" s="4">
        <v>2137940.13</v>
      </c>
      <c r="G24" s="4" t="s">
        <v>134</v>
      </c>
      <c r="H24" s="4" t="s">
        <v>135</v>
      </c>
      <c r="I24" s="4"/>
      <c r="J24" s="4"/>
      <c r="K24" s="4">
        <v>226</v>
      </c>
      <c r="L24" s="4">
        <v>5</v>
      </c>
      <c r="M24" s="4">
        <v>3</v>
      </c>
      <c r="N24" s="4" t="s">
        <v>3</v>
      </c>
      <c r="O24" s="4">
        <v>2</v>
      </c>
      <c r="P24" s="4"/>
    </row>
    <row r="25" spans="1:19" x14ac:dyDescent="0.2">
      <c r="A25" s="4">
        <v>50</v>
      </c>
      <c r="B25" s="4">
        <v>0</v>
      </c>
      <c r="C25" s="4">
        <v>0</v>
      </c>
      <c r="D25" s="4">
        <v>1</v>
      </c>
      <c r="E25" s="4">
        <v>227</v>
      </c>
      <c r="F25" s="4">
        <v>0</v>
      </c>
      <c r="G25" s="4" t="s">
        <v>136</v>
      </c>
      <c r="H25" s="4" t="s">
        <v>137</v>
      </c>
      <c r="I25" s="4"/>
      <c r="J25" s="4"/>
      <c r="K25" s="4">
        <v>227</v>
      </c>
      <c r="L25" s="4">
        <v>6</v>
      </c>
      <c r="M25" s="4">
        <v>3</v>
      </c>
      <c r="N25" s="4" t="s">
        <v>3</v>
      </c>
      <c r="O25" s="4">
        <v>2</v>
      </c>
      <c r="P25" s="4"/>
    </row>
    <row r="26" spans="1:19" x14ac:dyDescent="0.2">
      <c r="A26" s="4">
        <v>50</v>
      </c>
      <c r="B26" s="4">
        <v>0</v>
      </c>
      <c r="C26" s="4">
        <v>0</v>
      </c>
      <c r="D26" s="4">
        <v>1</v>
      </c>
      <c r="E26" s="4">
        <v>228</v>
      </c>
      <c r="F26" s="4">
        <v>2137940.13</v>
      </c>
      <c r="G26" s="4" t="s">
        <v>138</v>
      </c>
      <c r="H26" s="4" t="s">
        <v>139</v>
      </c>
      <c r="I26" s="4"/>
      <c r="J26" s="4"/>
      <c r="K26" s="4">
        <v>228</v>
      </c>
      <c r="L26" s="4">
        <v>7</v>
      </c>
      <c r="M26" s="4">
        <v>3</v>
      </c>
      <c r="N26" s="4" t="s">
        <v>3</v>
      </c>
      <c r="O26" s="4">
        <v>2</v>
      </c>
      <c r="P26" s="4"/>
    </row>
    <row r="27" spans="1:19" x14ac:dyDescent="0.2">
      <c r="A27" s="4">
        <v>50</v>
      </c>
      <c r="B27" s="4">
        <v>0</v>
      </c>
      <c r="C27" s="4">
        <v>0</v>
      </c>
      <c r="D27" s="4">
        <v>1</v>
      </c>
      <c r="E27" s="4">
        <v>216</v>
      </c>
      <c r="F27" s="4">
        <v>0</v>
      </c>
      <c r="G27" s="4" t="s">
        <v>140</v>
      </c>
      <c r="H27" s="4" t="s">
        <v>141</v>
      </c>
      <c r="I27" s="4"/>
      <c r="J27" s="4"/>
      <c r="K27" s="4">
        <v>216</v>
      </c>
      <c r="L27" s="4">
        <v>8</v>
      </c>
      <c r="M27" s="4">
        <v>3</v>
      </c>
      <c r="N27" s="4" t="s">
        <v>3</v>
      </c>
      <c r="O27" s="4">
        <v>2</v>
      </c>
      <c r="P27" s="4"/>
    </row>
    <row r="28" spans="1:19" x14ac:dyDescent="0.2">
      <c r="A28" s="4">
        <v>50</v>
      </c>
      <c r="B28" s="4">
        <v>0</v>
      </c>
      <c r="C28" s="4">
        <v>0</v>
      </c>
      <c r="D28" s="4">
        <v>1</v>
      </c>
      <c r="E28" s="4">
        <v>223</v>
      </c>
      <c r="F28" s="4">
        <v>0</v>
      </c>
      <c r="G28" s="4" t="s">
        <v>142</v>
      </c>
      <c r="H28" s="4" t="s">
        <v>143</v>
      </c>
      <c r="I28" s="4"/>
      <c r="J28" s="4"/>
      <c r="K28" s="4">
        <v>223</v>
      </c>
      <c r="L28" s="4">
        <v>9</v>
      </c>
      <c r="M28" s="4">
        <v>3</v>
      </c>
      <c r="N28" s="4" t="s">
        <v>3</v>
      </c>
      <c r="O28" s="4">
        <v>2</v>
      </c>
      <c r="P28" s="4"/>
    </row>
    <row r="29" spans="1:19" x14ac:dyDescent="0.2">
      <c r="A29" s="4">
        <v>50</v>
      </c>
      <c r="B29" s="4">
        <v>0</v>
      </c>
      <c r="C29" s="4">
        <v>0</v>
      </c>
      <c r="D29" s="4">
        <v>1</v>
      </c>
      <c r="E29" s="4">
        <v>229</v>
      </c>
      <c r="F29" s="4">
        <v>0</v>
      </c>
      <c r="G29" s="4" t="s">
        <v>144</v>
      </c>
      <c r="H29" s="4" t="s">
        <v>145</v>
      </c>
      <c r="I29" s="4"/>
      <c r="J29" s="4"/>
      <c r="K29" s="4">
        <v>229</v>
      </c>
      <c r="L29" s="4">
        <v>10</v>
      </c>
      <c r="M29" s="4">
        <v>3</v>
      </c>
      <c r="N29" s="4" t="s">
        <v>3</v>
      </c>
      <c r="O29" s="4">
        <v>2</v>
      </c>
      <c r="P29" s="4"/>
    </row>
    <row r="30" spans="1:19" x14ac:dyDescent="0.2">
      <c r="A30" s="4">
        <v>50</v>
      </c>
      <c r="B30" s="4">
        <v>0</v>
      </c>
      <c r="C30" s="4">
        <v>0</v>
      </c>
      <c r="D30" s="4">
        <v>1</v>
      </c>
      <c r="E30" s="4">
        <v>203</v>
      </c>
      <c r="F30" s="4">
        <v>403592.63</v>
      </c>
      <c r="G30" s="4" t="s">
        <v>146</v>
      </c>
      <c r="H30" s="4" t="s">
        <v>147</v>
      </c>
      <c r="I30" s="4"/>
      <c r="J30" s="4"/>
      <c r="K30" s="4">
        <v>203</v>
      </c>
      <c r="L30" s="4">
        <v>11</v>
      </c>
      <c r="M30" s="4">
        <v>3</v>
      </c>
      <c r="N30" s="4" t="s">
        <v>3</v>
      </c>
      <c r="O30" s="4">
        <v>2</v>
      </c>
      <c r="P30" s="4"/>
    </row>
    <row r="31" spans="1:19" x14ac:dyDescent="0.2">
      <c r="A31" s="4">
        <v>50</v>
      </c>
      <c r="B31" s="4">
        <v>0</v>
      </c>
      <c r="C31" s="4">
        <v>0</v>
      </c>
      <c r="D31" s="4">
        <v>1</v>
      </c>
      <c r="E31" s="4">
        <v>231</v>
      </c>
      <c r="F31" s="4">
        <v>0</v>
      </c>
      <c r="G31" s="4" t="s">
        <v>148</v>
      </c>
      <c r="H31" s="4" t="s">
        <v>149</v>
      </c>
      <c r="I31" s="4"/>
      <c r="J31" s="4"/>
      <c r="K31" s="4">
        <v>231</v>
      </c>
      <c r="L31" s="4">
        <v>12</v>
      </c>
      <c r="M31" s="4">
        <v>3</v>
      </c>
      <c r="N31" s="4" t="s">
        <v>3</v>
      </c>
      <c r="O31" s="4">
        <v>2</v>
      </c>
      <c r="P31" s="4"/>
    </row>
    <row r="32" spans="1:19" x14ac:dyDescent="0.2">
      <c r="A32" s="4">
        <v>50</v>
      </c>
      <c r="B32" s="4">
        <v>0</v>
      </c>
      <c r="C32" s="4">
        <v>0</v>
      </c>
      <c r="D32" s="4">
        <v>1</v>
      </c>
      <c r="E32" s="4">
        <v>204</v>
      </c>
      <c r="F32" s="4">
        <v>163834.12</v>
      </c>
      <c r="G32" s="4" t="s">
        <v>150</v>
      </c>
      <c r="H32" s="4" t="s">
        <v>151</v>
      </c>
      <c r="I32" s="4"/>
      <c r="J32" s="4"/>
      <c r="K32" s="4">
        <v>204</v>
      </c>
      <c r="L32" s="4">
        <v>13</v>
      </c>
      <c r="M32" s="4">
        <v>3</v>
      </c>
      <c r="N32" s="4" t="s">
        <v>3</v>
      </c>
      <c r="O32" s="4">
        <v>2</v>
      </c>
      <c r="P32" s="4"/>
    </row>
    <row r="33" spans="1:16" x14ac:dyDescent="0.2">
      <c r="A33" s="4">
        <v>50</v>
      </c>
      <c r="B33" s="4">
        <v>0</v>
      </c>
      <c r="C33" s="4">
        <v>0</v>
      </c>
      <c r="D33" s="4">
        <v>1</v>
      </c>
      <c r="E33" s="4">
        <v>205</v>
      </c>
      <c r="F33" s="4">
        <v>560960.4</v>
      </c>
      <c r="G33" s="4" t="s">
        <v>152</v>
      </c>
      <c r="H33" s="4" t="s">
        <v>153</v>
      </c>
      <c r="I33" s="4"/>
      <c r="J33" s="4"/>
      <c r="K33" s="4">
        <v>205</v>
      </c>
      <c r="L33" s="4">
        <v>14</v>
      </c>
      <c r="M33" s="4">
        <v>3</v>
      </c>
      <c r="N33" s="4" t="s">
        <v>3</v>
      </c>
      <c r="O33" s="4">
        <v>2</v>
      </c>
      <c r="P33" s="4"/>
    </row>
    <row r="34" spans="1:16" x14ac:dyDescent="0.2">
      <c r="A34" s="4">
        <v>50</v>
      </c>
      <c r="B34" s="4">
        <v>0</v>
      </c>
      <c r="C34" s="4">
        <v>0</v>
      </c>
      <c r="D34" s="4">
        <v>1</v>
      </c>
      <c r="E34" s="4">
        <v>232</v>
      </c>
      <c r="F34" s="4">
        <v>0</v>
      </c>
      <c r="G34" s="4" t="s">
        <v>154</v>
      </c>
      <c r="H34" s="4" t="s">
        <v>155</v>
      </c>
      <c r="I34" s="4"/>
      <c r="J34" s="4"/>
      <c r="K34" s="4">
        <v>232</v>
      </c>
      <c r="L34" s="4">
        <v>15</v>
      </c>
      <c r="M34" s="4">
        <v>3</v>
      </c>
      <c r="N34" s="4" t="s">
        <v>3</v>
      </c>
      <c r="O34" s="4">
        <v>2</v>
      </c>
      <c r="P34" s="4"/>
    </row>
    <row r="35" spans="1:16" x14ac:dyDescent="0.2">
      <c r="A35" s="4">
        <v>50</v>
      </c>
      <c r="B35" s="4">
        <v>0</v>
      </c>
      <c r="C35" s="4">
        <v>0</v>
      </c>
      <c r="D35" s="4">
        <v>1</v>
      </c>
      <c r="E35" s="4">
        <v>214</v>
      </c>
      <c r="F35" s="4">
        <v>825835.42</v>
      </c>
      <c r="G35" s="4" t="s">
        <v>156</v>
      </c>
      <c r="H35" s="4" t="s">
        <v>157</v>
      </c>
      <c r="I35" s="4"/>
      <c r="J35" s="4"/>
      <c r="K35" s="4">
        <v>214</v>
      </c>
      <c r="L35" s="4">
        <v>16</v>
      </c>
      <c r="M35" s="4">
        <v>3</v>
      </c>
      <c r="N35" s="4" t="s">
        <v>3</v>
      </c>
      <c r="O35" s="4">
        <v>2</v>
      </c>
      <c r="P35" s="4"/>
    </row>
    <row r="36" spans="1:16" x14ac:dyDescent="0.2">
      <c r="A36" s="4">
        <v>50</v>
      </c>
      <c r="B36" s="4">
        <v>0</v>
      </c>
      <c r="C36" s="4">
        <v>0</v>
      </c>
      <c r="D36" s="4">
        <v>1</v>
      </c>
      <c r="E36" s="4">
        <v>215</v>
      </c>
      <c r="F36" s="4">
        <v>3178299.64</v>
      </c>
      <c r="G36" s="4" t="s">
        <v>158</v>
      </c>
      <c r="H36" s="4" t="s">
        <v>159</v>
      </c>
      <c r="I36" s="4"/>
      <c r="J36" s="4"/>
      <c r="K36" s="4">
        <v>215</v>
      </c>
      <c r="L36" s="4">
        <v>17</v>
      </c>
      <c r="M36" s="4">
        <v>3</v>
      </c>
      <c r="N36" s="4" t="s">
        <v>3</v>
      </c>
      <c r="O36" s="4">
        <v>2</v>
      </c>
      <c r="P36" s="4"/>
    </row>
    <row r="37" spans="1:16" x14ac:dyDescent="0.2">
      <c r="A37" s="4">
        <v>50</v>
      </c>
      <c r="B37" s="4">
        <v>0</v>
      </c>
      <c r="C37" s="4">
        <v>0</v>
      </c>
      <c r="D37" s="4">
        <v>1</v>
      </c>
      <c r="E37" s="4">
        <v>217</v>
      </c>
      <c r="F37" s="4">
        <v>101925.99</v>
      </c>
      <c r="G37" s="4" t="s">
        <v>160</v>
      </c>
      <c r="H37" s="4" t="s">
        <v>161</v>
      </c>
      <c r="I37" s="4"/>
      <c r="J37" s="4"/>
      <c r="K37" s="4">
        <v>217</v>
      </c>
      <c r="L37" s="4">
        <v>18</v>
      </c>
      <c r="M37" s="4">
        <v>3</v>
      </c>
      <c r="N37" s="4" t="s">
        <v>3</v>
      </c>
      <c r="O37" s="4">
        <v>2</v>
      </c>
      <c r="P37" s="4"/>
    </row>
    <row r="38" spans="1:16" x14ac:dyDescent="0.2">
      <c r="A38" s="4">
        <v>50</v>
      </c>
      <c r="B38" s="4">
        <v>0</v>
      </c>
      <c r="C38" s="4">
        <v>0</v>
      </c>
      <c r="D38" s="4">
        <v>1</v>
      </c>
      <c r="E38" s="4">
        <v>230</v>
      </c>
      <c r="F38" s="4">
        <v>0</v>
      </c>
      <c r="G38" s="4" t="s">
        <v>162</v>
      </c>
      <c r="H38" s="4" t="s">
        <v>163</v>
      </c>
      <c r="I38" s="4"/>
      <c r="J38" s="4"/>
      <c r="K38" s="4">
        <v>230</v>
      </c>
      <c r="L38" s="4">
        <v>19</v>
      </c>
      <c r="M38" s="4">
        <v>3</v>
      </c>
      <c r="N38" s="4" t="s">
        <v>3</v>
      </c>
      <c r="O38" s="4">
        <v>2</v>
      </c>
      <c r="P38" s="4"/>
    </row>
    <row r="39" spans="1:16" x14ac:dyDescent="0.2">
      <c r="A39" s="4">
        <v>50</v>
      </c>
      <c r="B39" s="4">
        <v>0</v>
      </c>
      <c r="C39" s="4">
        <v>0</v>
      </c>
      <c r="D39" s="4">
        <v>1</v>
      </c>
      <c r="E39" s="4">
        <v>206</v>
      </c>
      <c r="F39" s="4">
        <v>0</v>
      </c>
      <c r="G39" s="4" t="s">
        <v>164</v>
      </c>
      <c r="H39" s="4" t="s">
        <v>165</v>
      </c>
      <c r="I39" s="4"/>
      <c r="J39" s="4"/>
      <c r="K39" s="4">
        <v>206</v>
      </c>
      <c r="L39" s="4">
        <v>20</v>
      </c>
      <c r="M39" s="4">
        <v>3</v>
      </c>
      <c r="N39" s="4" t="s">
        <v>3</v>
      </c>
      <c r="O39" s="4">
        <v>2</v>
      </c>
      <c r="P39" s="4"/>
    </row>
    <row r="40" spans="1:16" x14ac:dyDescent="0.2">
      <c r="A40" s="4">
        <v>50</v>
      </c>
      <c r="B40" s="4">
        <v>0</v>
      </c>
      <c r="C40" s="4">
        <v>0</v>
      </c>
      <c r="D40" s="4">
        <v>1</v>
      </c>
      <c r="E40" s="4">
        <v>207</v>
      </c>
      <c r="F40" s="4">
        <v>1946.90859</v>
      </c>
      <c r="G40" s="4" t="s">
        <v>166</v>
      </c>
      <c r="H40" s="4" t="s">
        <v>167</v>
      </c>
      <c r="I40" s="4"/>
      <c r="J40" s="4"/>
      <c r="K40" s="4">
        <v>207</v>
      </c>
      <c r="L40" s="4">
        <v>21</v>
      </c>
      <c r="M40" s="4">
        <v>3</v>
      </c>
      <c r="N40" s="4" t="s">
        <v>3</v>
      </c>
      <c r="O40" s="4">
        <v>-1</v>
      </c>
      <c r="P40" s="4"/>
    </row>
    <row r="41" spans="1:16" x14ac:dyDescent="0.2">
      <c r="A41" s="4">
        <v>50</v>
      </c>
      <c r="B41" s="4">
        <v>0</v>
      </c>
      <c r="C41" s="4">
        <v>0</v>
      </c>
      <c r="D41" s="4">
        <v>1</v>
      </c>
      <c r="E41" s="4">
        <v>208</v>
      </c>
      <c r="F41" s="4">
        <v>0</v>
      </c>
      <c r="G41" s="4" t="s">
        <v>168</v>
      </c>
      <c r="H41" s="4" t="s">
        <v>169</v>
      </c>
      <c r="I41" s="4"/>
      <c r="J41" s="4"/>
      <c r="K41" s="4">
        <v>208</v>
      </c>
      <c r="L41" s="4">
        <v>22</v>
      </c>
      <c r="M41" s="4">
        <v>3</v>
      </c>
      <c r="N41" s="4" t="s">
        <v>3</v>
      </c>
      <c r="O41" s="4">
        <v>-1</v>
      </c>
      <c r="P41" s="4"/>
    </row>
    <row r="42" spans="1:16" x14ac:dyDescent="0.2">
      <c r="A42" s="4">
        <v>50</v>
      </c>
      <c r="B42" s="4">
        <v>0</v>
      </c>
      <c r="C42" s="4">
        <v>0</v>
      </c>
      <c r="D42" s="4">
        <v>1</v>
      </c>
      <c r="E42" s="4">
        <v>209</v>
      </c>
      <c r="F42" s="4">
        <v>0</v>
      </c>
      <c r="G42" s="4" t="s">
        <v>170</v>
      </c>
      <c r="H42" s="4" t="s">
        <v>171</v>
      </c>
      <c r="I42" s="4"/>
      <c r="J42" s="4"/>
      <c r="K42" s="4">
        <v>209</v>
      </c>
      <c r="L42" s="4">
        <v>23</v>
      </c>
      <c r="M42" s="4">
        <v>3</v>
      </c>
      <c r="N42" s="4" t="s">
        <v>3</v>
      </c>
      <c r="O42" s="4">
        <v>2</v>
      </c>
      <c r="P42" s="4"/>
    </row>
    <row r="43" spans="1:16" x14ac:dyDescent="0.2">
      <c r="A43" s="4">
        <v>50</v>
      </c>
      <c r="B43" s="4">
        <v>0</v>
      </c>
      <c r="C43" s="4">
        <v>0</v>
      </c>
      <c r="D43" s="4">
        <v>1</v>
      </c>
      <c r="E43" s="4">
        <v>233</v>
      </c>
      <c r="F43" s="4">
        <v>0</v>
      </c>
      <c r="G43" s="4" t="s">
        <v>172</v>
      </c>
      <c r="H43" s="4" t="s">
        <v>173</v>
      </c>
      <c r="I43" s="4"/>
      <c r="J43" s="4"/>
      <c r="K43" s="4">
        <v>233</v>
      </c>
      <c r="L43" s="4">
        <v>24</v>
      </c>
      <c r="M43" s="4">
        <v>3</v>
      </c>
      <c r="N43" s="4" t="s">
        <v>3</v>
      </c>
      <c r="O43" s="4">
        <v>2</v>
      </c>
      <c r="P43" s="4"/>
    </row>
    <row r="44" spans="1:16" x14ac:dyDescent="0.2">
      <c r="A44" s="4">
        <v>50</v>
      </c>
      <c r="B44" s="4">
        <v>0</v>
      </c>
      <c r="C44" s="4">
        <v>0</v>
      </c>
      <c r="D44" s="4">
        <v>1</v>
      </c>
      <c r="E44" s="4">
        <v>210</v>
      </c>
      <c r="F44" s="4">
        <v>507122.19</v>
      </c>
      <c r="G44" s="4" t="s">
        <v>174</v>
      </c>
      <c r="H44" s="4" t="s">
        <v>175</v>
      </c>
      <c r="I44" s="4"/>
      <c r="J44" s="4"/>
      <c r="K44" s="4">
        <v>210</v>
      </c>
      <c r="L44" s="4">
        <v>25</v>
      </c>
      <c r="M44" s="4">
        <v>3</v>
      </c>
      <c r="N44" s="4" t="s">
        <v>3</v>
      </c>
      <c r="O44" s="4">
        <v>2</v>
      </c>
      <c r="P44" s="4"/>
    </row>
    <row r="45" spans="1:16" x14ac:dyDescent="0.2">
      <c r="A45" s="4">
        <v>50</v>
      </c>
      <c r="B45" s="4">
        <v>0</v>
      </c>
      <c r="C45" s="4">
        <v>0</v>
      </c>
      <c r="D45" s="4">
        <v>1</v>
      </c>
      <c r="E45" s="4">
        <v>211</v>
      </c>
      <c r="F45" s="4">
        <v>239226.12</v>
      </c>
      <c r="G45" s="4" t="s">
        <v>176</v>
      </c>
      <c r="H45" s="4" t="s">
        <v>177</v>
      </c>
      <c r="I45" s="4"/>
      <c r="J45" s="4"/>
      <c r="K45" s="4">
        <v>211</v>
      </c>
      <c r="L45" s="4">
        <v>26</v>
      </c>
      <c r="M45" s="4">
        <v>3</v>
      </c>
      <c r="N45" s="4" t="s">
        <v>3</v>
      </c>
      <c r="O45" s="4">
        <v>2</v>
      </c>
      <c r="P45" s="4"/>
    </row>
    <row r="46" spans="1:16" x14ac:dyDescent="0.2">
      <c r="A46" s="4">
        <v>50</v>
      </c>
      <c r="B46" s="4">
        <v>0</v>
      </c>
      <c r="C46" s="4">
        <v>0</v>
      </c>
      <c r="D46" s="4">
        <v>1</v>
      </c>
      <c r="E46" s="4">
        <v>224</v>
      </c>
      <c r="F46" s="4">
        <v>4106061.05</v>
      </c>
      <c r="G46" s="4" t="s">
        <v>178</v>
      </c>
      <c r="H46" s="4" t="s">
        <v>179</v>
      </c>
      <c r="I46" s="4"/>
      <c r="J46" s="4"/>
      <c r="K46" s="4">
        <v>224</v>
      </c>
      <c r="L46" s="4">
        <v>27</v>
      </c>
      <c r="M46" s="4">
        <v>3</v>
      </c>
      <c r="N46" s="4" t="s">
        <v>3</v>
      </c>
      <c r="O46" s="4">
        <v>2</v>
      </c>
      <c r="P46" s="4"/>
    </row>
    <row r="48" spans="1:16" x14ac:dyDescent="0.2">
      <c r="A48">
        <v>-1</v>
      </c>
    </row>
    <row r="51" spans="1:27" x14ac:dyDescent="0.2">
      <c r="A51" s="3">
        <v>75</v>
      </c>
      <c r="B51" s="3" t="s">
        <v>352</v>
      </c>
      <c r="C51" s="3">
        <v>2019</v>
      </c>
      <c r="D51" s="3">
        <v>0</v>
      </c>
      <c r="E51" s="3">
        <v>1</v>
      </c>
      <c r="F51" s="3"/>
      <c r="G51" s="3">
        <v>0</v>
      </c>
      <c r="H51" s="3">
        <v>2</v>
      </c>
      <c r="I51" s="3">
        <v>1</v>
      </c>
      <c r="J51" s="3">
        <v>1</v>
      </c>
      <c r="K51" s="3">
        <v>93</v>
      </c>
      <c r="L51" s="3">
        <v>64</v>
      </c>
      <c r="M51" s="3">
        <v>0</v>
      </c>
      <c r="N51" s="3">
        <v>44002026</v>
      </c>
      <c r="O51" s="3">
        <v>1</v>
      </c>
    </row>
    <row r="52" spans="1:27" x14ac:dyDescent="0.2">
      <c r="A52" s="5">
        <v>1</v>
      </c>
      <c r="B52" s="5" t="s">
        <v>353</v>
      </c>
      <c r="C52" s="5" t="s">
        <v>354</v>
      </c>
      <c r="D52" s="5">
        <v>2020</v>
      </c>
      <c r="E52" s="5">
        <v>3</v>
      </c>
      <c r="F52" s="5">
        <v>1</v>
      </c>
      <c r="G52" s="5">
        <v>1</v>
      </c>
      <c r="H52" s="5">
        <v>0</v>
      </c>
      <c r="I52" s="5">
        <v>2</v>
      </c>
      <c r="J52" s="5">
        <v>1</v>
      </c>
      <c r="K52" s="5">
        <v>5.36</v>
      </c>
      <c r="L52" s="5">
        <v>4.33</v>
      </c>
      <c r="M52" s="5">
        <v>1</v>
      </c>
      <c r="N52" s="5">
        <v>1</v>
      </c>
      <c r="O52" s="5">
        <v>5.36</v>
      </c>
      <c r="P52" s="5">
        <v>4.33</v>
      </c>
      <c r="Q52" s="5">
        <v>1</v>
      </c>
      <c r="R52" s="5" t="s">
        <v>3</v>
      </c>
      <c r="S52" s="5" t="s">
        <v>3</v>
      </c>
      <c r="T52" s="5" t="s">
        <v>3</v>
      </c>
      <c r="U52" s="5" t="s">
        <v>3</v>
      </c>
      <c r="V52" s="5" t="s">
        <v>3</v>
      </c>
      <c r="W52" s="5" t="s">
        <v>3</v>
      </c>
      <c r="X52" s="5" t="s">
        <v>3</v>
      </c>
      <c r="Y52" s="5" t="s">
        <v>3</v>
      </c>
      <c r="Z52" s="5" t="s">
        <v>3</v>
      </c>
      <c r="AA52" s="5" t="s">
        <v>355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71"/>
  <sheetViews>
    <sheetView workbookViewId="0"/>
  </sheetViews>
  <sheetFormatPr defaultColWidth="9.140625" defaultRowHeight="12.75" x14ac:dyDescent="0.2"/>
  <cols>
    <col min="1" max="256" width="9.140625" customWidth="1"/>
  </cols>
  <sheetData>
    <row r="1" spans="1:107" x14ac:dyDescent="0.2">
      <c r="A1">
        <f>ROW(Source!A28)</f>
        <v>28</v>
      </c>
      <c r="B1">
        <v>44002026</v>
      </c>
      <c r="C1">
        <v>44002264</v>
      </c>
      <c r="D1">
        <v>31452189</v>
      </c>
      <c r="E1">
        <v>31452184</v>
      </c>
      <c r="F1">
        <v>1</v>
      </c>
      <c r="G1">
        <v>31452184</v>
      </c>
      <c r="H1">
        <v>1</v>
      </c>
      <c r="I1" t="s">
        <v>357</v>
      </c>
      <c r="J1" t="s">
        <v>3</v>
      </c>
      <c r="K1" t="s">
        <v>358</v>
      </c>
      <c r="L1">
        <v>1191</v>
      </c>
      <c r="N1">
        <v>1013</v>
      </c>
      <c r="O1" t="s">
        <v>359</v>
      </c>
      <c r="P1" t="s">
        <v>359</v>
      </c>
      <c r="Q1">
        <v>1</v>
      </c>
      <c r="W1">
        <v>0</v>
      </c>
      <c r="X1">
        <v>476480486</v>
      </c>
      <c r="Y1">
        <v>0.93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1</v>
      </c>
      <c r="AJ1">
        <v>1</v>
      </c>
      <c r="AK1">
        <v>1</v>
      </c>
      <c r="AL1">
        <v>1</v>
      </c>
      <c r="AN1">
        <v>0</v>
      </c>
      <c r="AO1">
        <v>1</v>
      </c>
      <c r="AP1">
        <v>0</v>
      </c>
      <c r="AQ1">
        <v>0</v>
      </c>
      <c r="AR1">
        <v>0</v>
      </c>
      <c r="AS1" t="s">
        <v>3</v>
      </c>
      <c r="AT1">
        <v>0.93</v>
      </c>
      <c r="AU1" t="s">
        <v>3</v>
      </c>
      <c r="AV1">
        <v>1</v>
      </c>
      <c r="AW1">
        <v>2</v>
      </c>
      <c r="AX1">
        <v>44002267</v>
      </c>
      <c r="AY1">
        <v>1</v>
      </c>
      <c r="AZ1">
        <v>0</v>
      </c>
      <c r="BA1">
        <v>1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CX1">
        <f>Y1*Source!I28</f>
        <v>3.0383100000000001</v>
      </c>
      <c r="CY1">
        <f>AD1</f>
        <v>0</v>
      </c>
      <c r="CZ1">
        <f>AH1</f>
        <v>0</v>
      </c>
      <c r="DA1">
        <f>AL1</f>
        <v>1</v>
      </c>
      <c r="DB1">
        <f t="shared" ref="DB1:DB47" si="0">ROUND(ROUND(AT1*CZ1,2),2)</f>
        <v>0</v>
      </c>
      <c r="DC1">
        <f t="shared" ref="DC1:DC47" si="1">ROUND(ROUND(AT1*AG1,2),2)</f>
        <v>0</v>
      </c>
    </row>
    <row r="2" spans="1:107" x14ac:dyDescent="0.2">
      <c r="A2">
        <f>ROW(Source!A28)</f>
        <v>28</v>
      </c>
      <c r="B2">
        <v>44002026</v>
      </c>
      <c r="C2">
        <v>44002264</v>
      </c>
      <c r="D2">
        <v>31524560</v>
      </c>
      <c r="E2">
        <v>1</v>
      </c>
      <c r="F2">
        <v>1</v>
      </c>
      <c r="G2">
        <v>31452184</v>
      </c>
      <c r="H2">
        <v>2</v>
      </c>
      <c r="I2" t="s">
        <v>360</v>
      </c>
      <c r="J2" t="s">
        <v>361</v>
      </c>
      <c r="K2" t="s">
        <v>362</v>
      </c>
      <c r="L2">
        <v>1367</v>
      </c>
      <c r="N2">
        <v>1011</v>
      </c>
      <c r="O2" t="s">
        <v>363</v>
      </c>
      <c r="P2" t="s">
        <v>363</v>
      </c>
      <c r="Q2">
        <v>1</v>
      </c>
      <c r="W2">
        <v>0</v>
      </c>
      <c r="X2">
        <v>-998810610</v>
      </c>
      <c r="Y2">
        <v>2.5605000000000002</v>
      </c>
      <c r="AA2">
        <v>0</v>
      </c>
      <c r="AB2">
        <v>1602.83</v>
      </c>
      <c r="AC2">
        <v>657.63</v>
      </c>
      <c r="AD2">
        <v>0</v>
      </c>
      <c r="AE2">
        <v>0</v>
      </c>
      <c r="AF2">
        <v>164.9</v>
      </c>
      <c r="AG2">
        <v>27.47</v>
      </c>
      <c r="AH2">
        <v>0</v>
      </c>
      <c r="AI2">
        <v>1</v>
      </c>
      <c r="AJ2">
        <v>9.7200000000000006</v>
      </c>
      <c r="AK2">
        <v>23.94</v>
      </c>
      <c r="AL2">
        <v>1</v>
      </c>
      <c r="AN2">
        <v>0</v>
      </c>
      <c r="AO2">
        <v>1</v>
      </c>
      <c r="AP2">
        <v>0</v>
      </c>
      <c r="AQ2">
        <v>0</v>
      </c>
      <c r="AR2">
        <v>0</v>
      </c>
      <c r="AS2" t="s">
        <v>3</v>
      </c>
      <c r="AT2">
        <v>2.5605000000000002</v>
      </c>
      <c r="AU2" t="s">
        <v>3</v>
      </c>
      <c r="AV2">
        <v>0</v>
      </c>
      <c r="AW2">
        <v>2</v>
      </c>
      <c r="AX2">
        <v>44002268</v>
      </c>
      <c r="AY2">
        <v>1</v>
      </c>
      <c r="AZ2">
        <v>0</v>
      </c>
      <c r="BA2">
        <v>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CX2">
        <f>Y2*Source!I28</f>
        <v>8.3651534999999999</v>
      </c>
      <c r="CY2">
        <f>AB2</f>
        <v>1602.83</v>
      </c>
      <c r="CZ2">
        <f>AF2</f>
        <v>164.9</v>
      </c>
      <c r="DA2">
        <f>AJ2</f>
        <v>9.7200000000000006</v>
      </c>
      <c r="DB2">
        <f t="shared" si="0"/>
        <v>422.23</v>
      </c>
      <c r="DC2">
        <f t="shared" si="1"/>
        <v>70.34</v>
      </c>
    </row>
    <row r="3" spans="1:107" x14ac:dyDescent="0.2">
      <c r="A3">
        <f>ROW(Source!A29)</f>
        <v>29</v>
      </c>
      <c r="B3">
        <v>44002026</v>
      </c>
      <c r="C3">
        <v>44002269</v>
      </c>
      <c r="D3">
        <v>31452189</v>
      </c>
      <c r="E3">
        <v>31452184</v>
      </c>
      <c r="F3">
        <v>1</v>
      </c>
      <c r="G3">
        <v>31452184</v>
      </c>
      <c r="H3">
        <v>1</v>
      </c>
      <c r="I3" t="s">
        <v>357</v>
      </c>
      <c r="J3" t="s">
        <v>3</v>
      </c>
      <c r="K3" t="s">
        <v>358</v>
      </c>
      <c r="L3">
        <v>1191</v>
      </c>
      <c r="N3">
        <v>1013</v>
      </c>
      <c r="O3" t="s">
        <v>359</v>
      </c>
      <c r="P3" t="s">
        <v>359</v>
      </c>
      <c r="Q3">
        <v>1</v>
      </c>
      <c r="W3">
        <v>0</v>
      </c>
      <c r="X3">
        <v>476480486</v>
      </c>
      <c r="Y3">
        <v>1.38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N3">
        <v>0</v>
      </c>
      <c r="AO3">
        <v>1</v>
      </c>
      <c r="AP3">
        <v>0</v>
      </c>
      <c r="AQ3">
        <v>0</v>
      </c>
      <c r="AR3">
        <v>0</v>
      </c>
      <c r="AS3" t="s">
        <v>3</v>
      </c>
      <c r="AT3">
        <v>1.38</v>
      </c>
      <c r="AU3" t="s">
        <v>3</v>
      </c>
      <c r="AV3">
        <v>1</v>
      </c>
      <c r="AW3">
        <v>2</v>
      </c>
      <c r="AX3">
        <v>44002273</v>
      </c>
      <c r="AY3">
        <v>1</v>
      </c>
      <c r="AZ3">
        <v>0</v>
      </c>
      <c r="BA3">
        <v>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CX3">
        <f>Y3*Source!I29</f>
        <v>2.5046999999999997</v>
      </c>
      <c r="CY3">
        <f>AD3</f>
        <v>0</v>
      </c>
      <c r="CZ3">
        <f>AH3</f>
        <v>0</v>
      </c>
      <c r="DA3">
        <f>AL3</f>
        <v>1</v>
      </c>
      <c r="DB3">
        <f t="shared" si="0"/>
        <v>0</v>
      </c>
      <c r="DC3">
        <f t="shared" si="1"/>
        <v>0</v>
      </c>
    </row>
    <row r="4" spans="1:107" x14ac:dyDescent="0.2">
      <c r="A4">
        <f>ROW(Source!A29)</f>
        <v>29</v>
      </c>
      <c r="B4">
        <v>44002026</v>
      </c>
      <c r="C4">
        <v>44002269</v>
      </c>
      <c r="D4">
        <v>31524559</v>
      </c>
      <c r="E4">
        <v>1</v>
      </c>
      <c r="F4">
        <v>1</v>
      </c>
      <c r="G4">
        <v>31452184</v>
      </c>
      <c r="H4">
        <v>2</v>
      </c>
      <c r="I4" t="s">
        <v>364</v>
      </c>
      <c r="J4" t="s">
        <v>365</v>
      </c>
      <c r="K4" t="s">
        <v>366</v>
      </c>
      <c r="L4">
        <v>1367</v>
      </c>
      <c r="N4">
        <v>1011</v>
      </c>
      <c r="O4" t="s">
        <v>363</v>
      </c>
      <c r="P4" t="s">
        <v>363</v>
      </c>
      <c r="Q4">
        <v>1</v>
      </c>
      <c r="W4">
        <v>0</v>
      </c>
      <c r="X4">
        <v>781556702</v>
      </c>
      <c r="Y4">
        <v>3.9874999999999998</v>
      </c>
      <c r="AA4">
        <v>0</v>
      </c>
      <c r="AB4">
        <v>1560.66</v>
      </c>
      <c r="AC4">
        <v>684.68</v>
      </c>
      <c r="AD4">
        <v>0</v>
      </c>
      <c r="AE4">
        <v>0</v>
      </c>
      <c r="AF4">
        <v>162.4</v>
      </c>
      <c r="AG4">
        <v>28.6</v>
      </c>
      <c r="AH4">
        <v>0</v>
      </c>
      <c r="AI4">
        <v>1</v>
      </c>
      <c r="AJ4">
        <v>9.61</v>
      </c>
      <c r="AK4">
        <v>23.94</v>
      </c>
      <c r="AL4">
        <v>1</v>
      </c>
      <c r="AN4">
        <v>0</v>
      </c>
      <c r="AO4">
        <v>1</v>
      </c>
      <c r="AP4">
        <v>0</v>
      </c>
      <c r="AQ4">
        <v>0</v>
      </c>
      <c r="AR4">
        <v>0</v>
      </c>
      <c r="AS4" t="s">
        <v>3</v>
      </c>
      <c r="AT4">
        <v>3.9874999999999998</v>
      </c>
      <c r="AU4" t="s">
        <v>3</v>
      </c>
      <c r="AV4">
        <v>0</v>
      </c>
      <c r="AW4">
        <v>2</v>
      </c>
      <c r="AX4">
        <v>44002274</v>
      </c>
      <c r="AY4">
        <v>1</v>
      </c>
      <c r="AZ4">
        <v>0</v>
      </c>
      <c r="BA4">
        <v>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CX4">
        <f>Y4*Source!I29</f>
        <v>7.2373124999999998</v>
      </c>
      <c r="CY4">
        <f>AB4</f>
        <v>1560.66</v>
      </c>
      <c r="CZ4">
        <f>AF4</f>
        <v>162.4</v>
      </c>
      <c r="DA4">
        <f>AJ4</f>
        <v>9.61</v>
      </c>
      <c r="DB4">
        <f t="shared" si="0"/>
        <v>647.57000000000005</v>
      </c>
      <c r="DC4">
        <f t="shared" si="1"/>
        <v>114.04</v>
      </c>
    </row>
    <row r="5" spans="1:107" x14ac:dyDescent="0.2">
      <c r="A5">
        <f>ROW(Source!A29)</f>
        <v>29</v>
      </c>
      <c r="B5">
        <v>44002026</v>
      </c>
      <c r="C5">
        <v>44002269</v>
      </c>
      <c r="D5">
        <v>31524584</v>
      </c>
      <c r="E5">
        <v>1</v>
      </c>
      <c r="F5">
        <v>1</v>
      </c>
      <c r="G5">
        <v>31452184</v>
      </c>
      <c r="H5">
        <v>2</v>
      </c>
      <c r="I5" t="s">
        <v>367</v>
      </c>
      <c r="J5" t="s">
        <v>368</v>
      </c>
      <c r="K5" t="s">
        <v>369</v>
      </c>
      <c r="L5">
        <v>1367</v>
      </c>
      <c r="N5">
        <v>1011</v>
      </c>
      <c r="O5" t="s">
        <v>363</v>
      </c>
      <c r="P5" t="s">
        <v>363</v>
      </c>
      <c r="Q5">
        <v>1</v>
      </c>
      <c r="W5">
        <v>0</v>
      </c>
      <c r="X5">
        <v>695902881</v>
      </c>
      <c r="Y5">
        <v>0.997</v>
      </c>
      <c r="AA5">
        <v>0</v>
      </c>
      <c r="AB5">
        <v>1004.92</v>
      </c>
      <c r="AC5">
        <v>634.89</v>
      </c>
      <c r="AD5">
        <v>0</v>
      </c>
      <c r="AE5">
        <v>0</v>
      </c>
      <c r="AF5">
        <v>110.31</v>
      </c>
      <c r="AG5">
        <v>26.52</v>
      </c>
      <c r="AH5">
        <v>0</v>
      </c>
      <c r="AI5">
        <v>1</v>
      </c>
      <c r="AJ5">
        <v>9.11</v>
      </c>
      <c r="AK5">
        <v>23.94</v>
      </c>
      <c r="AL5">
        <v>1</v>
      </c>
      <c r="AN5">
        <v>0</v>
      </c>
      <c r="AO5">
        <v>1</v>
      </c>
      <c r="AP5">
        <v>0</v>
      </c>
      <c r="AQ5">
        <v>0</v>
      </c>
      <c r="AR5">
        <v>0</v>
      </c>
      <c r="AS5" t="s">
        <v>3</v>
      </c>
      <c r="AT5">
        <v>0.997</v>
      </c>
      <c r="AU5" t="s">
        <v>3</v>
      </c>
      <c r="AV5">
        <v>0</v>
      </c>
      <c r="AW5">
        <v>2</v>
      </c>
      <c r="AX5">
        <v>44002275</v>
      </c>
      <c r="AY5">
        <v>1</v>
      </c>
      <c r="AZ5">
        <v>0</v>
      </c>
      <c r="BA5">
        <v>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CX5">
        <f>Y5*Source!I29</f>
        <v>1.809555</v>
      </c>
      <c r="CY5">
        <f>AB5</f>
        <v>1004.92</v>
      </c>
      <c r="CZ5">
        <f>AF5</f>
        <v>110.31</v>
      </c>
      <c r="DA5">
        <f>AJ5</f>
        <v>9.11</v>
      </c>
      <c r="DB5">
        <f t="shared" si="0"/>
        <v>109.98</v>
      </c>
      <c r="DC5">
        <f t="shared" si="1"/>
        <v>26.44</v>
      </c>
    </row>
    <row r="6" spans="1:107" x14ac:dyDescent="0.2">
      <c r="A6">
        <f>ROW(Source!A30)</f>
        <v>30</v>
      </c>
      <c r="B6">
        <v>44002026</v>
      </c>
      <c r="C6">
        <v>44002276</v>
      </c>
      <c r="D6">
        <v>31452918</v>
      </c>
      <c r="E6">
        <v>31452184</v>
      </c>
      <c r="F6">
        <v>1</v>
      </c>
      <c r="G6">
        <v>31452184</v>
      </c>
      <c r="H6">
        <v>2</v>
      </c>
      <c r="I6" t="s">
        <v>370</v>
      </c>
      <c r="J6" t="s">
        <v>3</v>
      </c>
      <c r="K6" t="s">
        <v>371</v>
      </c>
      <c r="L6">
        <v>1344</v>
      </c>
      <c r="N6">
        <v>1008</v>
      </c>
      <c r="O6" t="s">
        <v>372</v>
      </c>
      <c r="P6" t="s">
        <v>372</v>
      </c>
      <c r="Q6">
        <v>1</v>
      </c>
      <c r="W6">
        <v>0</v>
      </c>
      <c r="X6">
        <v>-1180195794</v>
      </c>
      <c r="Y6">
        <v>39.020000000000003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N6">
        <v>0</v>
      </c>
      <c r="AO6">
        <v>1</v>
      </c>
      <c r="AP6">
        <v>0</v>
      </c>
      <c r="AQ6">
        <v>0</v>
      </c>
      <c r="AR6">
        <v>0</v>
      </c>
      <c r="AS6" t="s">
        <v>3</v>
      </c>
      <c r="AT6">
        <v>39.020000000000003</v>
      </c>
      <c r="AU6" t="s">
        <v>3</v>
      </c>
      <c r="AV6">
        <v>0</v>
      </c>
      <c r="AW6">
        <v>2</v>
      </c>
      <c r="AX6">
        <v>44002278</v>
      </c>
      <c r="AY6">
        <v>1</v>
      </c>
      <c r="AZ6">
        <v>0</v>
      </c>
      <c r="BA6">
        <v>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CX6">
        <f>Y6*Source!I30</f>
        <v>9914.982</v>
      </c>
      <c r="CY6">
        <f>AB6</f>
        <v>1</v>
      </c>
      <c r="CZ6">
        <f>AF6</f>
        <v>1</v>
      </c>
      <c r="DA6">
        <f>AJ6</f>
        <v>1</v>
      </c>
      <c r="DB6">
        <f t="shared" si="0"/>
        <v>39.020000000000003</v>
      </c>
      <c r="DC6">
        <f t="shared" si="1"/>
        <v>0</v>
      </c>
    </row>
    <row r="7" spans="1:107" x14ac:dyDescent="0.2">
      <c r="A7">
        <f>ROW(Source!A31)</f>
        <v>31</v>
      </c>
      <c r="B7">
        <v>44002026</v>
      </c>
      <c r="C7">
        <v>44002279</v>
      </c>
      <c r="D7">
        <v>31452189</v>
      </c>
      <c r="E7">
        <v>31452184</v>
      </c>
      <c r="F7">
        <v>1</v>
      </c>
      <c r="G7">
        <v>31452184</v>
      </c>
      <c r="H7">
        <v>1</v>
      </c>
      <c r="I7" t="s">
        <v>357</v>
      </c>
      <c r="J7" t="s">
        <v>3</v>
      </c>
      <c r="K7" t="s">
        <v>358</v>
      </c>
      <c r="L7">
        <v>1191</v>
      </c>
      <c r="N7">
        <v>1013</v>
      </c>
      <c r="O7" t="s">
        <v>359</v>
      </c>
      <c r="P7" t="s">
        <v>359</v>
      </c>
      <c r="Q7">
        <v>1</v>
      </c>
      <c r="W7">
        <v>0</v>
      </c>
      <c r="X7">
        <v>476480486</v>
      </c>
      <c r="Y7">
        <v>6.08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N7">
        <v>0</v>
      </c>
      <c r="AO7">
        <v>1</v>
      </c>
      <c r="AP7">
        <v>0</v>
      </c>
      <c r="AQ7">
        <v>0</v>
      </c>
      <c r="AR7">
        <v>0</v>
      </c>
      <c r="AS7" t="s">
        <v>3</v>
      </c>
      <c r="AT7">
        <v>6.08</v>
      </c>
      <c r="AU7" t="s">
        <v>3</v>
      </c>
      <c r="AV7">
        <v>1</v>
      </c>
      <c r="AW7">
        <v>2</v>
      </c>
      <c r="AX7">
        <v>44002282</v>
      </c>
      <c r="AY7">
        <v>1</v>
      </c>
      <c r="AZ7">
        <v>0</v>
      </c>
      <c r="BA7">
        <v>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CX7">
        <f>Y7*Source!I31</f>
        <v>147.136</v>
      </c>
      <c r="CY7">
        <f>AD7</f>
        <v>0</v>
      </c>
      <c r="CZ7">
        <f>AH7</f>
        <v>0</v>
      </c>
      <c r="DA7">
        <f>AL7</f>
        <v>1</v>
      </c>
      <c r="DB7">
        <f t="shared" si="0"/>
        <v>0</v>
      </c>
      <c r="DC7">
        <f t="shared" si="1"/>
        <v>0</v>
      </c>
    </row>
    <row r="8" spans="1:107" x14ac:dyDescent="0.2">
      <c r="A8">
        <f>ROW(Source!A31)</f>
        <v>31</v>
      </c>
      <c r="B8">
        <v>44002026</v>
      </c>
      <c r="C8">
        <v>44002279</v>
      </c>
      <c r="D8">
        <v>31501070</v>
      </c>
      <c r="E8">
        <v>1</v>
      </c>
      <c r="F8">
        <v>1</v>
      </c>
      <c r="G8">
        <v>31452184</v>
      </c>
      <c r="H8">
        <v>3</v>
      </c>
      <c r="I8" t="s">
        <v>46</v>
      </c>
      <c r="J8" t="s">
        <v>49</v>
      </c>
      <c r="K8" t="s">
        <v>47</v>
      </c>
      <c r="L8">
        <v>1339</v>
      </c>
      <c r="N8">
        <v>1007</v>
      </c>
      <c r="O8" t="s">
        <v>48</v>
      </c>
      <c r="P8" t="s">
        <v>48</v>
      </c>
      <c r="Q8">
        <v>1</v>
      </c>
      <c r="W8">
        <v>0</v>
      </c>
      <c r="X8">
        <v>2069056849</v>
      </c>
      <c r="Y8">
        <v>7.5</v>
      </c>
      <c r="AA8">
        <v>596.98</v>
      </c>
      <c r="AB8">
        <v>0</v>
      </c>
      <c r="AC8">
        <v>0</v>
      </c>
      <c r="AD8">
        <v>0</v>
      </c>
      <c r="AE8">
        <v>104.99</v>
      </c>
      <c r="AF8">
        <v>0</v>
      </c>
      <c r="AG8">
        <v>0</v>
      </c>
      <c r="AH8">
        <v>0</v>
      </c>
      <c r="AI8">
        <v>5.26</v>
      </c>
      <c r="AJ8">
        <v>1</v>
      </c>
      <c r="AK8">
        <v>1</v>
      </c>
      <c r="AL8">
        <v>1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3</v>
      </c>
      <c r="AT8">
        <v>7.5</v>
      </c>
      <c r="AU8" t="s">
        <v>3</v>
      </c>
      <c r="AV8">
        <v>0</v>
      </c>
      <c r="AW8">
        <v>1</v>
      </c>
      <c r="AX8">
        <v>-1</v>
      </c>
      <c r="AY8">
        <v>0</v>
      </c>
      <c r="AZ8">
        <v>0</v>
      </c>
      <c r="BA8" t="s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CX8">
        <f>Y8*Source!I31</f>
        <v>181.5</v>
      </c>
      <c r="CY8">
        <f>AA8</f>
        <v>596.98</v>
      </c>
      <c r="CZ8">
        <f>AE8</f>
        <v>104.99</v>
      </c>
      <c r="DA8">
        <f>AI8</f>
        <v>5.26</v>
      </c>
      <c r="DB8">
        <f t="shared" si="0"/>
        <v>787.43</v>
      </c>
      <c r="DC8">
        <f t="shared" si="1"/>
        <v>0</v>
      </c>
    </row>
    <row r="9" spans="1:107" x14ac:dyDescent="0.2">
      <c r="A9">
        <f>ROW(Source!A33)</f>
        <v>33</v>
      </c>
      <c r="B9">
        <v>44002026</v>
      </c>
      <c r="C9">
        <v>44002284</v>
      </c>
      <c r="D9">
        <v>31452189</v>
      </c>
      <c r="E9">
        <v>31452184</v>
      </c>
      <c r="F9">
        <v>1</v>
      </c>
      <c r="G9">
        <v>31452184</v>
      </c>
      <c r="H9">
        <v>1</v>
      </c>
      <c r="I9" t="s">
        <v>357</v>
      </c>
      <c r="J9" t="s">
        <v>3</v>
      </c>
      <c r="K9" t="s">
        <v>358</v>
      </c>
      <c r="L9">
        <v>1191</v>
      </c>
      <c r="N9">
        <v>1013</v>
      </c>
      <c r="O9" t="s">
        <v>359</v>
      </c>
      <c r="P9" t="s">
        <v>359</v>
      </c>
      <c r="Q9">
        <v>1</v>
      </c>
      <c r="W9">
        <v>0</v>
      </c>
      <c r="X9">
        <v>476480486</v>
      </c>
      <c r="Y9">
        <v>11.8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N9">
        <v>0</v>
      </c>
      <c r="AO9">
        <v>1</v>
      </c>
      <c r="AP9">
        <v>0</v>
      </c>
      <c r="AQ9">
        <v>0</v>
      </c>
      <c r="AR9">
        <v>0</v>
      </c>
      <c r="AS9" t="s">
        <v>3</v>
      </c>
      <c r="AT9">
        <v>11.8</v>
      </c>
      <c r="AU9" t="s">
        <v>3</v>
      </c>
      <c r="AV9">
        <v>1</v>
      </c>
      <c r="AW9">
        <v>2</v>
      </c>
      <c r="AX9">
        <v>44002289</v>
      </c>
      <c r="AY9">
        <v>1</v>
      </c>
      <c r="AZ9">
        <v>0</v>
      </c>
      <c r="BA9">
        <v>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CX9">
        <f>Y9*Source!I33</f>
        <v>226.56</v>
      </c>
      <c r="CY9">
        <f>AD9</f>
        <v>0</v>
      </c>
      <c r="CZ9">
        <f>AH9</f>
        <v>0</v>
      </c>
      <c r="DA9">
        <f>AL9</f>
        <v>1</v>
      </c>
      <c r="DB9">
        <f t="shared" si="0"/>
        <v>0</v>
      </c>
      <c r="DC9">
        <f t="shared" si="1"/>
        <v>0</v>
      </c>
    </row>
    <row r="10" spans="1:107" x14ac:dyDescent="0.2">
      <c r="A10">
        <f>ROW(Source!A33)</f>
        <v>33</v>
      </c>
      <c r="B10">
        <v>44002026</v>
      </c>
      <c r="C10">
        <v>44002284</v>
      </c>
      <c r="D10">
        <v>31503575</v>
      </c>
      <c r="E10">
        <v>1</v>
      </c>
      <c r="F10">
        <v>1</v>
      </c>
      <c r="G10">
        <v>31452184</v>
      </c>
      <c r="H10">
        <v>3</v>
      </c>
      <c r="I10" t="s">
        <v>64</v>
      </c>
      <c r="J10" t="s">
        <v>67</v>
      </c>
      <c r="K10" t="s">
        <v>65</v>
      </c>
      <c r="L10">
        <v>1301</v>
      </c>
      <c r="N10">
        <v>1003</v>
      </c>
      <c r="O10" t="s">
        <v>66</v>
      </c>
      <c r="P10" t="s">
        <v>66</v>
      </c>
      <c r="Q10">
        <v>1</v>
      </c>
      <c r="W10">
        <v>0</v>
      </c>
      <c r="X10">
        <v>1047663974</v>
      </c>
      <c r="Y10">
        <v>100</v>
      </c>
      <c r="AA10">
        <v>1.29</v>
      </c>
      <c r="AB10">
        <v>0</v>
      </c>
      <c r="AC10">
        <v>0</v>
      </c>
      <c r="AD10">
        <v>0</v>
      </c>
      <c r="AE10">
        <v>0.49</v>
      </c>
      <c r="AF10">
        <v>0</v>
      </c>
      <c r="AG10">
        <v>0</v>
      </c>
      <c r="AH10">
        <v>0</v>
      </c>
      <c r="AI10">
        <v>2.4300000000000002</v>
      </c>
      <c r="AJ10">
        <v>1</v>
      </c>
      <c r="AK10">
        <v>1</v>
      </c>
      <c r="AL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3</v>
      </c>
      <c r="AT10">
        <v>100</v>
      </c>
      <c r="AU10" t="s">
        <v>3</v>
      </c>
      <c r="AV10">
        <v>0</v>
      </c>
      <c r="AW10">
        <v>1</v>
      </c>
      <c r="AX10">
        <v>-1</v>
      </c>
      <c r="AY10">
        <v>0</v>
      </c>
      <c r="AZ10">
        <v>0</v>
      </c>
      <c r="BA10" t="s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CX10">
        <f>Y10*Source!I33</f>
        <v>1920</v>
      </c>
      <c r="CY10">
        <f>AA10</f>
        <v>1.29</v>
      </c>
      <c r="CZ10">
        <f>AE10</f>
        <v>0.49</v>
      </c>
      <c r="DA10">
        <f>AI10</f>
        <v>2.4300000000000002</v>
      </c>
      <c r="DB10">
        <f t="shared" si="0"/>
        <v>49</v>
      </c>
      <c r="DC10">
        <f t="shared" si="1"/>
        <v>0</v>
      </c>
    </row>
    <row r="11" spans="1:107" x14ac:dyDescent="0.2">
      <c r="A11">
        <f>ROW(Source!A33)</f>
        <v>33</v>
      </c>
      <c r="B11">
        <v>44002026</v>
      </c>
      <c r="C11">
        <v>44002284</v>
      </c>
      <c r="D11">
        <v>31517061</v>
      </c>
      <c r="E11">
        <v>1</v>
      </c>
      <c r="F11">
        <v>1</v>
      </c>
      <c r="G11">
        <v>31452184</v>
      </c>
      <c r="H11">
        <v>3</v>
      </c>
      <c r="I11" t="s">
        <v>55</v>
      </c>
      <c r="J11" t="s">
        <v>58</v>
      </c>
      <c r="K11" t="s">
        <v>56</v>
      </c>
      <c r="L11">
        <v>1303</v>
      </c>
      <c r="N11">
        <v>1003</v>
      </c>
      <c r="O11" t="s">
        <v>57</v>
      </c>
      <c r="P11" t="s">
        <v>57</v>
      </c>
      <c r="Q11">
        <v>1000</v>
      </c>
      <c r="W11">
        <v>0</v>
      </c>
      <c r="X11">
        <v>855499765</v>
      </c>
      <c r="Y11">
        <v>2.6563E-2</v>
      </c>
      <c r="AA11">
        <v>82776.179999999993</v>
      </c>
      <c r="AB11">
        <v>0</v>
      </c>
      <c r="AC11">
        <v>0</v>
      </c>
      <c r="AD11">
        <v>0</v>
      </c>
      <c r="AE11">
        <v>18860.52</v>
      </c>
      <c r="AF11">
        <v>0</v>
      </c>
      <c r="AG11">
        <v>0</v>
      </c>
      <c r="AH11">
        <v>0</v>
      </c>
      <c r="AI11">
        <v>4.0599999999999996</v>
      </c>
      <c r="AJ11">
        <v>1</v>
      </c>
      <c r="AK11">
        <v>1</v>
      </c>
      <c r="AL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3</v>
      </c>
      <c r="AT11">
        <v>2.6563E-2</v>
      </c>
      <c r="AU11" t="s">
        <v>3</v>
      </c>
      <c r="AV11">
        <v>0</v>
      </c>
      <c r="AW11">
        <v>1</v>
      </c>
      <c r="AX11">
        <v>-1</v>
      </c>
      <c r="AY11">
        <v>0</v>
      </c>
      <c r="AZ11">
        <v>0</v>
      </c>
      <c r="BA11" t="s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CX11">
        <f>Y11*Source!I33</f>
        <v>0.51000959999999995</v>
      </c>
      <c r="CY11">
        <f>AA11</f>
        <v>82776.179999999993</v>
      </c>
      <c r="CZ11">
        <f>AE11</f>
        <v>18860.52</v>
      </c>
      <c r="DA11">
        <f>AI11</f>
        <v>4.0599999999999996</v>
      </c>
      <c r="DB11">
        <f t="shared" si="0"/>
        <v>500.99</v>
      </c>
      <c r="DC11">
        <f t="shared" si="1"/>
        <v>0</v>
      </c>
    </row>
    <row r="12" spans="1:107" x14ac:dyDescent="0.2">
      <c r="A12">
        <f>ROW(Source!A33)</f>
        <v>33</v>
      </c>
      <c r="B12">
        <v>44002026</v>
      </c>
      <c r="C12">
        <v>44002284</v>
      </c>
      <c r="D12">
        <v>31517503</v>
      </c>
      <c r="E12">
        <v>1</v>
      </c>
      <c r="F12">
        <v>1</v>
      </c>
      <c r="G12">
        <v>31452184</v>
      </c>
      <c r="H12">
        <v>3</v>
      </c>
      <c r="I12" t="s">
        <v>60</v>
      </c>
      <c r="J12" t="s">
        <v>62</v>
      </c>
      <c r="K12" t="s">
        <v>61</v>
      </c>
      <c r="L12">
        <v>1303</v>
      </c>
      <c r="N12">
        <v>1003</v>
      </c>
      <c r="O12" t="s">
        <v>57</v>
      </c>
      <c r="P12" t="s">
        <v>57</v>
      </c>
      <c r="Q12">
        <v>1000</v>
      </c>
      <c r="W12">
        <v>0</v>
      </c>
      <c r="X12">
        <v>-335072208</v>
      </c>
      <c r="Y12">
        <v>7.4999999999999997E-2</v>
      </c>
      <c r="AA12">
        <v>91301.74</v>
      </c>
      <c r="AB12">
        <v>0</v>
      </c>
      <c r="AC12">
        <v>0</v>
      </c>
      <c r="AD12">
        <v>0</v>
      </c>
      <c r="AE12">
        <v>28826.09</v>
      </c>
      <c r="AF12">
        <v>0</v>
      </c>
      <c r="AG12">
        <v>0</v>
      </c>
      <c r="AH12">
        <v>0</v>
      </c>
      <c r="AI12">
        <v>2.93</v>
      </c>
      <c r="AJ12">
        <v>1</v>
      </c>
      <c r="AK12">
        <v>1</v>
      </c>
      <c r="AL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3</v>
      </c>
      <c r="AT12">
        <v>7.4999999999999997E-2</v>
      </c>
      <c r="AU12" t="s">
        <v>3</v>
      </c>
      <c r="AV12">
        <v>0</v>
      </c>
      <c r="AW12">
        <v>1</v>
      </c>
      <c r="AX12">
        <v>-1</v>
      </c>
      <c r="AY12">
        <v>0</v>
      </c>
      <c r="AZ12">
        <v>0</v>
      </c>
      <c r="BA12" t="s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CX12">
        <f>Y12*Source!I33</f>
        <v>1.44</v>
      </c>
      <c r="CY12">
        <f>AA12</f>
        <v>91301.74</v>
      </c>
      <c r="CZ12">
        <f>AE12</f>
        <v>28826.09</v>
      </c>
      <c r="DA12">
        <f>AI12</f>
        <v>2.93</v>
      </c>
      <c r="DB12">
        <f t="shared" si="0"/>
        <v>2161.96</v>
      </c>
      <c r="DC12">
        <f t="shared" si="1"/>
        <v>0</v>
      </c>
    </row>
    <row r="13" spans="1:107" x14ac:dyDescent="0.2">
      <c r="A13">
        <f>ROW(Source!A37)</f>
        <v>37</v>
      </c>
      <c r="B13">
        <v>44002026</v>
      </c>
      <c r="C13">
        <v>44002293</v>
      </c>
      <c r="D13">
        <v>31452189</v>
      </c>
      <c r="E13">
        <v>31452184</v>
      </c>
      <c r="F13">
        <v>1</v>
      </c>
      <c r="G13">
        <v>31452184</v>
      </c>
      <c r="H13">
        <v>1</v>
      </c>
      <c r="I13" t="s">
        <v>357</v>
      </c>
      <c r="J13" t="s">
        <v>3</v>
      </c>
      <c r="K13" t="s">
        <v>358</v>
      </c>
      <c r="L13">
        <v>1191</v>
      </c>
      <c r="N13">
        <v>1013</v>
      </c>
      <c r="O13" t="s">
        <v>359</v>
      </c>
      <c r="P13" t="s">
        <v>359</v>
      </c>
      <c r="Q13">
        <v>1</v>
      </c>
      <c r="W13">
        <v>0</v>
      </c>
      <c r="X13">
        <v>476480486</v>
      </c>
      <c r="Y13">
        <v>151.79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 t="s">
        <v>3</v>
      </c>
      <c r="AT13">
        <v>151.79</v>
      </c>
      <c r="AU13" t="s">
        <v>3</v>
      </c>
      <c r="AV13">
        <v>1</v>
      </c>
      <c r="AW13">
        <v>2</v>
      </c>
      <c r="AX13">
        <v>44002300</v>
      </c>
      <c r="AY13">
        <v>1</v>
      </c>
      <c r="AZ13">
        <v>0</v>
      </c>
      <c r="BA13">
        <v>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CX13">
        <f>Y13*Source!I37</f>
        <v>7.5895000000000001</v>
      </c>
      <c r="CY13">
        <f>AD13</f>
        <v>0</v>
      </c>
      <c r="CZ13">
        <f>AH13</f>
        <v>0</v>
      </c>
      <c r="DA13">
        <f>AL13</f>
        <v>1</v>
      </c>
      <c r="DB13">
        <f t="shared" si="0"/>
        <v>0</v>
      </c>
      <c r="DC13">
        <f t="shared" si="1"/>
        <v>0</v>
      </c>
    </row>
    <row r="14" spans="1:107" x14ac:dyDescent="0.2">
      <c r="A14">
        <f>ROW(Source!A37)</f>
        <v>37</v>
      </c>
      <c r="B14">
        <v>44002026</v>
      </c>
      <c r="C14">
        <v>44002293</v>
      </c>
      <c r="D14">
        <v>31525404</v>
      </c>
      <c r="E14">
        <v>1</v>
      </c>
      <c r="F14">
        <v>1</v>
      </c>
      <c r="G14">
        <v>31452184</v>
      </c>
      <c r="H14">
        <v>2</v>
      </c>
      <c r="I14" t="s">
        <v>373</v>
      </c>
      <c r="J14" t="s">
        <v>374</v>
      </c>
      <c r="K14" t="s">
        <v>375</v>
      </c>
      <c r="L14">
        <v>1367</v>
      </c>
      <c r="N14">
        <v>1011</v>
      </c>
      <c r="O14" t="s">
        <v>363</v>
      </c>
      <c r="P14" t="s">
        <v>363</v>
      </c>
      <c r="Q14">
        <v>1</v>
      </c>
      <c r="W14">
        <v>0</v>
      </c>
      <c r="X14">
        <v>-628430174</v>
      </c>
      <c r="Y14">
        <v>0.82</v>
      </c>
      <c r="AA14">
        <v>0</v>
      </c>
      <c r="AB14">
        <v>691.29</v>
      </c>
      <c r="AC14">
        <v>343.78</v>
      </c>
      <c r="AD14">
        <v>0</v>
      </c>
      <c r="AE14">
        <v>0</v>
      </c>
      <c r="AF14">
        <v>76.81</v>
      </c>
      <c r="AG14">
        <v>14.36</v>
      </c>
      <c r="AH14">
        <v>0</v>
      </c>
      <c r="AI14">
        <v>1</v>
      </c>
      <c r="AJ14">
        <v>9</v>
      </c>
      <c r="AK14">
        <v>23.94</v>
      </c>
      <c r="AL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 t="s">
        <v>3</v>
      </c>
      <c r="AT14">
        <v>0.82</v>
      </c>
      <c r="AU14" t="s">
        <v>3</v>
      </c>
      <c r="AV14">
        <v>0</v>
      </c>
      <c r="AW14">
        <v>2</v>
      </c>
      <c r="AX14">
        <v>44002301</v>
      </c>
      <c r="AY14">
        <v>1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CX14">
        <f>Y14*Source!I37</f>
        <v>4.1000000000000002E-2</v>
      </c>
      <c r="CY14">
        <f>AB14</f>
        <v>691.29</v>
      </c>
      <c r="CZ14">
        <f>AF14</f>
        <v>76.81</v>
      </c>
      <c r="DA14">
        <f>AJ14</f>
        <v>9</v>
      </c>
      <c r="DB14">
        <f t="shared" si="0"/>
        <v>62.98</v>
      </c>
      <c r="DC14">
        <f t="shared" si="1"/>
        <v>11.78</v>
      </c>
    </row>
    <row r="15" spans="1:107" x14ac:dyDescent="0.2">
      <c r="A15">
        <f>ROW(Source!A37)</f>
        <v>37</v>
      </c>
      <c r="B15">
        <v>44002026</v>
      </c>
      <c r="C15">
        <v>44002293</v>
      </c>
      <c r="D15">
        <v>31500508</v>
      </c>
      <c r="E15">
        <v>1</v>
      </c>
      <c r="F15">
        <v>1</v>
      </c>
      <c r="G15">
        <v>31452184</v>
      </c>
      <c r="H15">
        <v>3</v>
      </c>
      <c r="I15" t="s">
        <v>376</v>
      </c>
      <c r="J15" t="s">
        <v>377</v>
      </c>
      <c r="K15" t="s">
        <v>378</v>
      </c>
      <c r="L15">
        <v>1346</v>
      </c>
      <c r="N15">
        <v>1009</v>
      </c>
      <c r="O15" t="s">
        <v>379</v>
      </c>
      <c r="P15" t="s">
        <v>379</v>
      </c>
      <c r="Q15">
        <v>1</v>
      </c>
      <c r="W15">
        <v>0</v>
      </c>
      <c r="X15">
        <v>622621594</v>
      </c>
      <c r="Y15">
        <v>7</v>
      </c>
      <c r="AA15">
        <v>54.94</v>
      </c>
      <c r="AB15">
        <v>0</v>
      </c>
      <c r="AC15">
        <v>0</v>
      </c>
      <c r="AD15">
        <v>0</v>
      </c>
      <c r="AE15">
        <v>1.61</v>
      </c>
      <c r="AF15">
        <v>0</v>
      </c>
      <c r="AG15">
        <v>0</v>
      </c>
      <c r="AH15">
        <v>0</v>
      </c>
      <c r="AI15">
        <v>31.57</v>
      </c>
      <c r="AJ15">
        <v>1</v>
      </c>
      <c r="AK15">
        <v>1</v>
      </c>
      <c r="AL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 t="s">
        <v>3</v>
      </c>
      <c r="AT15">
        <v>7</v>
      </c>
      <c r="AU15" t="s">
        <v>3</v>
      </c>
      <c r="AV15">
        <v>0</v>
      </c>
      <c r="AW15">
        <v>2</v>
      </c>
      <c r="AX15">
        <v>44002302</v>
      </c>
      <c r="AY15">
        <v>1</v>
      </c>
      <c r="AZ15">
        <v>0</v>
      </c>
      <c r="BA15">
        <v>11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CX15">
        <f>Y15*Source!I37</f>
        <v>0.35000000000000003</v>
      </c>
      <c r="CY15">
        <f>AA15</f>
        <v>54.94</v>
      </c>
      <c r="CZ15">
        <f>AE15</f>
        <v>1.61</v>
      </c>
      <c r="DA15">
        <f>AI15</f>
        <v>31.57</v>
      </c>
      <c r="DB15">
        <f t="shared" si="0"/>
        <v>11.27</v>
      </c>
      <c r="DC15">
        <f t="shared" si="1"/>
        <v>0</v>
      </c>
    </row>
    <row r="16" spans="1:107" x14ac:dyDescent="0.2">
      <c r="A16">
        <f>ROW(Source!A37)</f>
        <v>37</v>
      </c>
      <c r="B16">
        <v>44002026</v>
      </c>
      <c r="C16">
        <v>44002293</v>
      </c>
      <c r="D16">
        <v>31500997</v>
      </c>
      <c r="E16">
        <v>1</v>
      </c>
      <c r="F16">
        <v>1</v>
      </c>
      <c r="G16">
        <v>31452184</v>
      </c>
      <c r="H16">
        <v>3</v>
      </c>
      <c r="I16" t="s">
        <v>380</v>
      </c>
      <c r="J16" t="s">
        <v>381</v>
      </c>
      <c r="K16" t="s">
        <v>382</v>
      </c>
      <c r="L16">
        <v>1348</v>
      </c>
      <c r="N16">
        <v>1009</v>
      </c>
      <c r="O16" t="s">
        <v>32</v>
      </c>
      <c r="P16" t="s">
        <v>32</v>
      </c>
      <c r="Q16">
        <v>1000</v>
      </c>
      <c r="W16">
        <v>0</v>
      </c>
      <c r="X16">
        <v>2122386331</v>
      </c>
      <c r="Y16">
        <v>5.1999999999999998E-3</v>
      </c>
      <c r="AA16">
        <v>15613.22</v>
      </c>
      <c r="AB16">
        <v>0</v>
      </c>
      <c r="AC16">
        <v>0</v>
      </c>
      <c r="AD16">
        <v>0</v>
      </c>
      <c r="AE16">
        <v>18054.14</v>
      </c>
      <c r="AF16">
        <v>0</v>
      </c>
      <c r="AG16">
        <v>0</v>
      </c>
      <c r="AH16">
        <v>0</v>
      </c>
      <c r="AI16">
        <v>0.8</v>
      </c>
      <c r="AJ16">
        <v>1</v>
      </c>
      <c r="AK16">
        <v>1</v>
      </c>
      <c r="AL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 t="s">
        <v>3</v>
      </c>
      <c r="AT16">
        <v>5.1999999999999998E-3</v>
      </c>
      <c r="AU16" t="s">
        <v>3</v>
      </c>
      <c r="AV16">
        <v>0</v>
      </c>
      <c r="AW16">
        <v>2</v>
      </c>
      <c r="AX16">
        <v>44002303</v>
      </c>
      <c r="AY16">
        <v>1</v>
      </c>
      <c r="AZ16">
        <v>0</v>
      </c>
      <c r="BA16">
        <v>12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CX16">
        <f>Y16*Source!I37</f>
        <v>2.5999999999999998E-4</v>
      </c>
      <c r="CY16">
        <f>AA16</f>
        <v>15613.22</v>
      </c>
      <c r="CZ16">
        <f>AE16</f>
        <v>18054.14</v>
      </c>
      <c r="DA16">
        <f>AI16</f>
        <v>0.8</v>
      </c>
      <c r="DB16">
        <f t="shared" si="0"/>
        <v>93.88</v>
      </c>
      <c r="DC16">
        <f t="shared" si="1"/>
        <v>0</v>
      </c>
    </row>
    <row r="17" spans="1:107" x14ac:dyDescent="0.2">
      <c r="A17">
        <f>ROW(Source!A37)</f>
        <v>37</v>
      </c>
      <c r="B17">
        <v>44002026</v>
      </c>
      <c r="C17">
        <v>44002293</v>
      </c>
      <c r="D17">
        <v>31506054</v>
      </c>
      <c r="E17">
        <v>1</v>
      </c>
      <c r="F17">
        <v>1</v>
      </c>
      <c r="G17">
        <v>31452184</v>
      </c>
      <c r="H17">
        <v>3</v>
      </c>
      <c r="I17" t="s">
        <v>76</v>
      </c>
      <c r="J17" t="s">
        <v>78</v>
      </c>
      <c r="K17" t="s">
        <v>77</v>
      </c>
      <c r="L17">
        <v>1301</v>
      </c>
      <c r="N17">
        <v>1003</v>
      </c>
      <c r="O17" t="s">
        <v>66</v>
      </c>
      <c r="P17" t="s">
        <v>66</v>
      </c>
      <c r="Q17">
        <v>1</v>
      </c>
      <c r="W17">
        <v>0</v>
      </c>
      <c r="X17">
        <v>1708548343</v>
      </c>
      <c r="Y17">
        <v>1030</v>
      </c>
      <c r="AA17">
        <v>69.930000000000007</v>
      </c>
      <c r="AB17">
        <v>0</v>
      </c>
      <c r="AC17">
        <v>0</v>
      </c>
      <c r="AD17">
        <v>0</v>
      </c>
      <c r="AE17">
        <v>10.35</v>
      </c>
      <c r="AF17">
        <v>0</v>
      </c>
      <c r="AG17">
        <v>0</v>
      </c>
      <c r="AH17">
        <v>0</v>
      </c>
      <c r="AI17">
        <v>6.25</v>
      </c>
      <c r="AJ17">
        <v>1</v>
      </c>
      <c r="AK17">
        <v>1</v>
      </c>
      <c r="AL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3</v>
      </c>
      <c r="AT17">
        <v>1030</v>
      </c>
      <c r="AU17" t="s">
        <v>3</v>
      </c>
      <c r="AV17">
        <v>0</v>
      </c>
      <c r="AW17">
        <v>1</v>
      </c>
      <c r="AX17">
        <v>-1</v>
      </c>
      <c r="AY17">
        <v>0</v>
      </c>
      <c r="AZ17">
        <v>0</v>
      </c>
      <c r="BA17" t="s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CX17">
        <f>Y17*Source!I37</f>
        <v>51.5</v>
      </c>
      <c r="CY17">
        <f>AA17</f>
        <v>69.930000000000007</v>
      </c>
      <c r="CZ17">
        <f>AE17</f>
        <v>10.35</v>
      </c>
      <c r="DA17">
        <f>AI17</f>
        <v>6.25</v>
      </c>
      <c r="DB17">
        <f t="shared" si="0"/>
        <v>10660.5</v>
      </c>
      <c r="DC17">
        <f t="shared" si="1"/>
        <v>0</v>
      </c>
    </row>
    <row r="18" spans="1:107" x14ac:dyDescent="0.2">
      <c r="A18">
        <f>ROW(Source!A37)</f>
        <v>37</v>
      </c>
      <c r="B18">
        <v>44002026</v>
      </c>
      <c r="C18">
        <v>44002293</v>
      </c>
      <c r="D18">
        <v>31505747</v>
      </c>
      <c r="E18">
        <v>1</v>
      </c>
      <c r="F18">
        <v>1</v>
      </c>
      <c r="G18">
        <v>31452184</v>
      </c>
      <c r="H18">
        <v>3</v>
      </c>
      <c r="I18" t="s">
        <v>383</v>
      </c>
      <c r="J18" t="s">
        <v>384</v>
      </c>
      <c r="K18" t="s">
        <v>385</v>
      </c>
      <c r="L18">
        <v>1346</v>
      </c>
      <c r="N18">
        <v>1009</v>
      </c>
      <c r="O18" t="s">
        <v>379</v>
      </c>
      <c r="P18" t="s">
        <v>379</v>
      </c>
      <c r="Q18">
        <v>1</v>
      </c>
      <c r="W18">
        <v>0</v>
      </c>
      <c r="X18">
        <v>-1617875306</v>
      </c>
      <c r="Y18">
        <v>13.8</v>
      </c>
      <c r="AA18">
        <v>368.16</v>
      </c>
      <c r="AB18">
        <v>0</v>
      </c>
      <c r="AC18">
        <v>0</v>
      </c>
      <c r="AD18">
        <v>0</v>
      </c>
      <c r="AE18">
        <v>33.72</v>
      </c>
      <c r="AF18">
        <v>0</v>
      </c>
      <c r="AG18">
        <v>0</v>
      </c>
      <c r="AH18">
        <v>0</v>
      </c>
      <c r="AI18">
        <v>10.1</v>
      </c>
      <c r="AJ18">
        <v>1</v>
      </c>
      <c r="AK18">
        <v>1</v>
      </c>
      <c r="AL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 t="s">
        <v>3</v>
      </c>
      <c r="AT18">
        <v>13.8</v>
      </c>
      <c r="AU18" t="s">
        <v>3</v>
      </c>
      <c r="AV18">
        <v>0</v>
      </c>
      <c r="AW18">
        <v>2</v>
      </c>
      <c r="AX18">
        <v>44002304</v>
      </c>
      <c r="AY18">
        <v>1</v>
      </c>
      <c r="AZ18">
        <v>0</v>
      </c>
      <c r="BA18">
        <v>13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CX18">
        <f>Y18*Source!I37</f>
        <v>0.69000000000000006</v>
      </c>
      <c r="CY18">
        <f>AA18</f>
        <v>368.16</v>
      </c>
      <c r="CZ18">
        <f>AE18</f>
        <v>33.72</v>
      </c>
      <c r="DA18">
        <f>AI18</f>
        <v>10.1</v>
      </c>
      <c r="DB18">
        <f t="shared" si="0"/>
        <v>465.34</v>
      </c>
      <c r="DC18">
        <f t="shared" si="1"/>
        <v>0</v>
      </c>
    </row>
    <row r="19" spans="1:107" x14ac:dyDescent="0.2">
      <c r="A19">
        <f>ROW(Source!A39)</f>
        <v>39</v>
      </c>
      <c r="B19">
        <v>44002026</v>
      </c>
      <c r="C19">
        <v>44002307</v>
      </c>
      <c r="D19">
        <v>31452189</v>
      </c>
      <c r="E19">
        <v>31452184</v>
      </c>
      <c r="F19">
        <v>1</v>
      </c>
      <c r="G19">
        <v>31452184</v>
      </c>
      <c r="H19">
        <v>1</v>
      </c>
      <c r="I19" t="s">
        <v>357</v>
      </c>
      <c r="J19" t="s">
        <v>3</v>
      </c>
      <c r="K19" t="s">
        <v>358</v>
      </c>
      <c r="L19">
        <v>1191</v>
      </c>
      <c r="N19">
        <v>1013</v>
      </c>
      <c r="O19" t="s">
        <v>359</v>
      </c>
      <c r="P19" t="s">
        <v>359</v>
      </c>
      <c r="Q19">
        <v>1</v>
      </c>
      <c r="W19">
        <v>0</v>
      </c>
      <c r="X19">
        <v>476480486</v>
      </c>
      <c r="Y19">
        <v>7.21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 t="s">
        <v>3</v>
      </c>
      <c r="AT19">
        <v>7.21</v>
      </c>
      <c r="AU19" t="s">
        <v>3</v>
      </c>
      <c r="AV19">
        <v>1</v>
      </c>
      <c r="AW19">
        <v>2</v>
      </c>
      <c r="AX19">
        <v>44002310</v>
      </c>
      <c r="AY19">
        <v>1</v>
      </c>
      <c r="AZ19">
        <v>0</v>
      </c>
      <c r="BA19">
        <v>15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CX19">
        <f>Y19*Source!I39</f>
        <v>3.605</v>
      </c>
      <c r="CY19">
        <f>AD19</f>
        <v>0</v>
      </c>
      <c r="CZ19">
        <f>AH19</f>
        <v>0</v>
      </c>
      <c r="DA19">
        <f>AL19</f>
        <v>1</v>
      </c>
      <c r="DB19">
        <f t="shared" si="0"/>
        <v>0</v>
      </c>
      <c r="DC19">
        <f t="shared" si="1"/>
        <v>0</v>
      </c>
    </row>
    <row r="20" spans="1:107" x14ac:dyDescent="0.2">
      <c r="A20">
        <f>ROW(Source!A39)</f>
        <v>39</v>
      </c>
      <c r="B20">
        <v>44002026</v>
      </c>
      <c r="C20">
        <v>44002307</v>
      </c>
      <c r="D20">
        <v>31517503</v>
      </c>
      <c r="E20">
        <v>1</v>
      </c>
      <c r="F20">
        <v>1</v>
      </c>
      <c r="G20">
        <v>31452184</v>
      </c>
      <c r="H20">
        <v>3</v>
      </c>
      <c r="I20" t="s">
        <v>60</v>
      </c>
      <c r="J20" t="s">
        <v>62</v>
      </c>
      <c r="K20" t="s">
        <v>61</v>
      </c>
      <c r="L20">
        <v>1303</v>
      </c>
      <c r="N20">
        <v>1003</v>
      </c>
      <c r="O20" t="s">
        <v>57</v>
      </c>
      <c r="P20" t="s">
        <v>57</v>
      </c>
      <c r="Q20">
        <v>1000</v>
      </c>
      <c r="W20">
        <v>0</v>
      </c>
      <c r="X20">
        <v>-335072208</v>
      </c>
      <c r="Y20">
        <v>0.10199999999999999</v>
      </c>
      <c r="AA20">
        <v>84460.44</v>
      </c>
      <c r="AB20">
        <v>0</v>
      </c>
      <c r="AC20">
        <v>0</v>
      </c>
      <c r="AD20">
        <v>0</v>
      </c>
      <c r="AE20">
        <v>28826.09</v>
      </c>
      <c r="AF20">
        <v>0</v>
      </c>
      <c r="AG20">
        <v>0</v>
      </c>
      <c r="AH20">
        <v>0</v>
      </c>
      <c r="AI20">
        <v>2.93</v>
      </c>
      <c r="AJ20">
        <v>1</v>
      </c>
      <c r="AK20">
        <v>1</v>
      </c>
      <c r="AL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3</v>
      </c>
      <c r="AT20">
        <v>0.10199999999999999</v>
      </c>
      <c r="AU20" t="s">
        <v>3</v>
      </c>
      <c r="AV20">
        <v>0</v>
      </c>
      <c r="AW20">
        <v>1</v>
      </c>
      <c r="AX20">
        <v>-1</v>
      </c>
      <c r="AY20">
        <v>0</v>
      </c>
      <c r="AZ20">
        <v>0</v>
      </c>
      <c r="BA20" t="s">
        <v>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CX20">
        <f>Y20*Source!I39</f>
        <v>5.0999999999999997E-2</v>
      </c>
      <c r="CY20">
        <f>AA20</f>
        <v>84460.44</v>
      </c>
      <c r="CZ20">
        <f>AE20</f>
        <v>28826.09</v>
      </c>
      <c r="DA20">
        <f>AI20</f>
        <v>2.93</v>
      </c>
      <c r="DB20">
        <f t="shared" si="0"/>
        <v>2940.26</v>
      </c>
      <c r="DC20">
        <f t="shared" si="1"/>
        <v>0</v>
      </c>
    </row>
    <row r="21" spans="1:107" x14ac:dyDescent="0.2">
      <c r="A21">
        <f>ROW(Source!A41)</f>
        <v>41</v>
      </c>
      <c r="B21">
        <v>44002026</v>
      </c>
      <c r="C21">
        <v>44002312</v>
      </c>
      <c r="D21">
        <v>31524583</v>
      </c>
      <c r="E21">
        <v>1</v>
      </c>
      <c r="F21">
        <v>1</v>
      </c>
      <c r="G21">
        <v>31452184</v>
      </c>
      <c r="H21">
        <v>2</v>
      </c>
      <c r="I21" t="s">
        <v>386</v>
      </c>
      <c r="J21" t="s">
        <v>387</v>
      </c>
      <c r="K21" t="s">
        <v>388</v>
      </c>
      <c r="L21">
        <v>1367</v>
      </c>
      <c r="N21">
        <v>1011</v>
      </c>
      <c r="O21" t="s">
        <v>363</v>
      </c>
      <c r="P21" t="s">
        <v>363</v>
      </c>
      <c r="Q21">
        <v>1</v>
      </c>
      <c r="W21">
        <v>0</v>
      </c>
      <c r="X21">
        <v>1109083233</v>
      </c>
      <c r="Y21">
        <v>0.89300000000000002</v>
      </c>
      <c r="AA21">
        <v>0</v>
      </c>
      <c r="AB21">
        <v>924.93</v>
      </c>
      <c r="AC21">
        <v>531.95000000000005</v>
      </c>
      <c r="AD21">
        <v>0</v>
      </c>
      <c r="AE21">
        <v>0</v>
      </c>
      <c r="AF21">
        <v>95.06</v>
      </c>
      <c r="AG21">
        <v>22.22</v>
      </c>
      <c r="AH21">
        <v>0</v>
      </c>
      <c r="AI21">
        <v>1</v>
      </c>
      <c r="AJ21">
        <v>9.73</v>
      </c>
      <c r="AK21">
        <v>23.94</v>
      </c>
      <c r="AL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 t="s">
        <v>3</v>
      </c>
      <c r="AT21">
        <v>0.89300000000000002</v>
      </c>
      <c r="AU21" t="s">
        <v>3</v>
      </c>
      <c r="AV21">
        <v>0</v>
      </c>
      <c r="AW21">
        <v>2</v>
      </c>
      <c r="AX21">
        <v>44002314</v>
      </c>
      <c r="AY21">
        <v>1</v>
      </c>
      <c r="AZ21">
        <v>0</v>
      </c>
      <c r="BA21">
        <v>16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CX21">
        <f>Y21*Source!I41</f>
        <v>2.6254200000000001</v>
      </c>
      <c r="CY21">
        <f>AB21</f>
        <v>924.93</v>
      </c>
      <c r="CZ21">
        <f>AF21</f>
        <v>95.06</v>
      </c>
      <c r="DA21">
        <f>AJ21</f>
        <v>9.73</v>
      </c>
      <c r="DB21">
        <f t="shared" si="0"/>
        <v>84.89</v>
      </c>
      <c r="DC21">
        <f t="shared" si="1"/>
        <v>19.84</v>
      </c>
    </row>
    <row r="22" spans="1:107" x14ac:dyDescent="0.2">
      <c r="A22">
        <f>ROW(Source!A42)</f>
        <v>42</v>
      </c>
      <c r="B22">
        <v>44002026</v>
      </c>
      <c r="C22">
        <v>44002315</v>
      </c>
      <c r="D22">
        <v>31452189</v>
      </c>
      <c r="E22">
        <v>31452184</v>
      </c>
      <c r="F22">
        <v>1</v>
      </c>
      <c r="G22">
        <v>31452184</v>
      </c>
      <c r="H22">
        <v>1</v>
      </c>
      <c r="I22" t="s">
        <v>357</v>
      </c>
      <c r="J22" t="s">
        <v>3</v>
      </c>
      <c r="K22" t="s">
        <v>358</v>
      </c>
      <c r="L22">
        <v>1191</v>
      </c>
      <c r="N22">
        <v>1013</v>
      </c>
      <c r="O22" t="s">
        <v>359</v>
      </c>
      <c r="P22" t="s">
        <v>359</v>
      </c>
      <c r="Q22">
        <v>1</v>
      </c>
      <c r="W22">
        <v>0</v>
      </c>
      <c r="X22">
        <v>476480486</v>
      </c>
      <c r="Y22">
        <v>107.04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 t="s">
        <v>3</v>
      </c>
      <c r="AT22">
        <v>107.04</v>
      </c>
      <c r="AU22" t="s">
        <v>3</v>
      </c>
      <c r="AV22">
        <v>1</v>
      </c>
      <c r="AW22">
        <v>2</v>
      </c>
      <c r="AX22">
        <v>44002317</v>
      </c>
      <c r="AY22">
        <v>1</v>
      </c>
      <c r="AZ22">
        <v>0</v>
      </c>
      <c r="BA22">
        <v>17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CX22">
        <f>Y22*Source!I42</f>
        <v>35.002080000000007</v>
      </c>
      <c r="CY22">
        <f>AD22</f>
        <v>0</v>
      </c>
      <c r="CZ22">
        <f>AH22</f>
        <v>0</v>
      </c>
      <c r="DA22">
        <f>AL22</f>
        <v>1</v>
      </c>
      <c r="DB22">
        <f t="shared" si="0"/>
        <v>0</v>
      </c>
      <c r="DC22">
        <f t="shared" si="1"/>
        <v>0</v>
      </c>
    </row>
    <row r="23" spans="1:107" x14ac:dyDescent="0.2">
      <c r="A23">
        <f>ROW(Source!A43)</f>
        <v>43</v>
      </c>
      <c r="B23">
        <v>44002026</v>
      </c>
      <c r="C23">
        <v>44002318</v>
      </c>
      <c r="D23">
        <v>31452189</v>
      </c>
      <c r="E23">
        <v>31452184</v>
      </c>
      <c r="F23">
        <v>1</v>
      </c>
      <c r="G23">
        <v>31452184</v>
      </c>
      <c r="H23">
        <v>1</v>
      </c>
      <c r="I23" t="s">
        <v>357</v>
      </c>
      <c r="J23" t="s">
        <v>3</v>
      </c>
      <c r="K23" t="s">
        <v>358</v>
      </c>
      <c r="L23">
        <v>1191</v>
      </c>
      <c r="N23">
        <v>1013</v>
      </c>
      <c r="O23" t="s">
        <v>359</v>
      </c>
      <c r="P23" t="s">
        <v>359</v>
      </c>
      <c r="Q23">
        <v>1</v>
      </c>
      <c r="W23">
        <v>0</v>
      </c>
      <c r="X23">
        <v>476480486</v>
      </c>
      <c r="Y23">
        <v>10.8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 t="s">
        <v>3</v>
      </c>
      <c r="AT23">
        <v>10.8</v>
      </c>
      <c r="AU23" t="s">
        <v>3</v>
      </c>
      <c r="AV23">
        <v>1</v>
      </c>
      <c r="AW23">
        <v>2</v>
      </c>
      <c r="AX23">
        <v>44002322</v>
      </c>
      <c r="AY23">
        <v>1</v>
      </c>
      <c r="AZ23">
        <v>0</v>
      </c>
      <c r="BA23">
        <v>18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CX23">
        <f>Y23*Source!I43</f>
        <v>31.752000000000002</v>
      </c>
      <c r="CY23">
        <f>AD23</f>
        <v>0</v>
      </c>
      <c r="CZ23">
        <f>AH23</f>
        <v>0</v>
      </c>
      <c r="DA23">
        <f>AL23</f>
        <v>1</v>
      </c>
      <c r="DB23">
        <f t="shared" si="0"/>
        <v>0</v>
      </c>
      <c r="DC23">
        <f t="shared" si="1"/>
        <v>0</v>
      </c>
    </row>
    <row r="24" spans="1:107" x14ac:dyDescent="0.2">
      <c r="A24">
        <f>ROW(Source!A43)</f>
        <v>43</v>
      </c>
      <c r="B24">
        <v>44002026</v>
      </c>
      <c r="C24">
        <v>44002318</v>
      </c>
      <c r="D24">
        <v>31525023</v>
      </c>
      <c r="E24">
        <v>1</v>
      </c>
      <c r="F24">
        <v>1</v>
      </c>
      <c r="G24">
        <v>31452184</v>
      </c>
      <c r="H24">
        <v>2</v>
      </c>
      <c r="I24" t="s">
        <v>389</v>
      </c>
      <c r="J24" t="s">
        <v>390</v>
      </c>
      <c r="K24" t="s">
        <v>391</v>
      </c>
      <c r="L24">
        <v>1367</v>
      </c>
      <c r="N24">
        <v>1011</v>
      </c>
      <c r="O24" t="s">
        <v>363</v>
      </c>
      <c r="P24" t="s">
        <v>363</v>
      </c>
      <c r="Q24">
        <v>1</v>
      </c>
      <c r="W24">
        <v>0</v>
      </c>
      <c r="X24">
        <v>-1426791</v>
      </c>
      <c r="Y24">
        <v>10.5</v>
      </c>
      <c r="AA24">
        <v>0</v>
      </c>
      <c r="AB24">
        <v>715.87</v>
      </c>
      <c r="AC24">
        <v>442.41</v>
      </c>
      <c r="AD24">
        <v>0</v>
      </c>
      <c r="AE24">
        <v>0</v>
      </c>
      <c r="AF24">
        <v>60.77</v>
      </c>
      <c r="AG24">
        <v>18.48</v>
      </c>
      <c r="AH24">
        <v>0</v>
      </c>
      <c r="AI24">
        <v>1</v>
      </c>
      <c r="AJ24">
        <v>11.78</v>
      </c>
      <c r="AK24">
        <v>23.94</v>
      </c>
      <c r="AL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 t="s">
        <v>3</v>
      </c>
      <c r="AT24">
        <v>10.5</v>
      </c>
      <c r="AU24" t="s">
        <v>3</v>
      </c>
      <c r="AV24">
        <v>0</v>
      </c>
      <c r="AW24">
        <v>2</v>
      </c>
      <c r="AX24">
        <v>44002323</v>
      </c>
      <c r="AY24">
        <v>1</v>
      </c>
      <c r="AZ24">
        <v>0</v>
      </c>
      <c r="BA24">
        <v>19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CX24">
        <f>Y24*Source!I43</f>
        <v>30.87</v>
      </c>
      <c r="CY24">
        <f>AB24</f>
        <v>715.87</v>
      </c>
      <c r="CZ24">
        <f>AF24</f>
        <v>60.77</v>
      </c>
      <c r="DA24">
        <f>AJ24</f>
        <v>11.78</v>
      </c>
      <c r="DB24">
        <f t="shared" si="0"/>
        <v>638.09</v>
      </c>
      <c r="DC24">
        <f t="shared" si="1"/>
        <v>194.04</v>
      </c>
    </row>
    <row r="25" spans="1:107" x14ac:dyDescent="0.2">
      <c r="A25">
        <f>ROW(Source!A43)</f>
        <v>43</v>
      </c>
      <c r="B25">
        <v>44002026</v>
      </c>
      <c r="C25">
        <v>44002318</v>
      </c>
      <c r="D25">
        <v>31525433</v>
      </c>
      <c r="E25">
        <v>1</v>
      </c>
      <c r="F25">
        <v>1</v>
      </c>
      <c r="G25">
        <v>31452184</v>
      </c>
      <c r="H25">
        <v>2</v>
      </c>
      <c r="I25" t="s">
        <v>392</v>
      </c>
      <c r="J25" t="s">
        <v>393</v>
      </c>
      <c r="K25" t="s">
        <v>394</v>
      </c>
      <c r="L25">
        <v>1367</v>
      </c>
      <c r="N25">
        <v>1011</v>
      </c>
      <c r="O25" t="s">
        <v>363</v>
      </c>
      <c r="P25" t="s">
        <v>363</v>
      </c>
      <c r="Q25">
        <v>1</v>
      </c>
      <c r="W25">
        <v>0</v>
      </c>
      <c r="X25">
        <v>1280158331</v>
      </c>
      <c r="Y25">
        <v>10.5</v>
      </c>
      <c r="AA25">
        <v>0</v>
      </c>
      <c r="AB25">
        <v>3.57</v>
      </c>
      <c r="AC25">
        <v>2.15</v>
      </c>
      <c r="AD25">
        <v>0</v>
      </c>
      <c r="AE25">
        <v>0</v>
      </c>
      <c r="AF25">
        <v>0.56000000000000005</v>
      </c>
      <c r="AG25">
        <v>0.09</v>
      </c>
      <c r="AH25">
        <v>0</v>
      </c>
      <c r="AI25">
        <v>1</v>
      </c>
      <c r="AJ25">
        <v>6.38</v>
      </c>
      <c r="AK25">
        <v>23.94</v>
      </c>
      <c r="AL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 t="s">
        <v>3</v>
      </c>
      <c r="AT25">
        <v>10.5</v>
      </c>
      <c r="AU25" t="s">
        <v>3</v>
      </c>
      <c r="AV25">
        <v>0</v>
      </c>
      <c r="AW25">
        <v>2</v>
      </c>
      <c r="AX25">
        <v>44002324</v>
      </c>
      <c r="AY25">
        <v>1</v>
      </c>
      <c r="AZ25">
        <v>0</v>
      </c>
      <c r="BA25">
        <v>20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CX25">
        <f>Y25*Source!I43</f>
        <v>30.87</v>
      </c>
      <c r="CY25">
        <f>AB25</f>
        <v>3.57</v>
      </c>
      <c r="CZ25">
        <f>AF25</f>
        <v>0.56000000000000005</v>
      </c>
      <c r="DA25">
        <f>AJ25</f>
        <v>6.38</v>
      </c>
      <c r="DB25">
        <f t="shared" si="0"/>
        <v>5.88</v>
      </c>
      <c r="DC25">
        <f t="shared" si="1"/>
        <v>0.95</v>
      </c>
    </row>
    <row r="26" spans="1:107" x14ac:dyDescent="0.2">
      <c r="A26">
        <f>ROW(Source!A44)</f>
        <v>44</v>
      </c>
      <c r="B26">
        <v>44002026</v>
      </c>
      <c r="C26">
        <v>44002325</v>
      </c>
      <c r="D26">
        <v>31452189</v>
      </c>
      <c r="E26">
        <v>31452184</v>
      </c>
      <c r="F26">
        <v>1</v>
      </c>
      <c r="G26">
        <v>31452184</v>
      </c>
      <c r="H26">
        <v>1</v>
      </c>
      <c r="I26" t="s">
        <v>357</v>
      </c>
      <c r="J26" t="s">
        <v>3</v>
      </c>
      <c r="K26" t="s">
        <v>358</v>
      </c>
      <c r="L26">
        <v>1191</v>
      </c>
      <c r="N26">
        <v>1013</v>
      </c>
      <c r="O26" t="s">
        <v>359</v>
      </c>
      <c r="P26" t="s">
        <v>359</v>
      </c>
      <c r="Q26">
        <v>1</v>
      </c>
      <c r="W26">
        <v>0</v>
      </c>
      <c r="X26">
        <v>476480486</v>
      </c>
      <c r="Y26">
        <v>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 t="s">
        <v>3</v>
      </c>
      <c r="AT26">
        <v>15</v>
      </c>
      <c r="AU26" t="s">
        <v>3</v>
      </c>
      <c r="AV26">
        <v>1</v>
      </c>
      <c r="AW26">
        <v>2</v>
      </c>
      <c r="AX26">
        <v>44002329</v>
      </c>
      <c r="AY26">
        <v>1</v>
      </c>
      <c r="AZ26">
        <v>0</v>
      </c>
      <c r="BA26">
        <v>21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CX26">
        <f>Y26*Source!I44</f>
        <v>60</v>
      </c>
      <c r="CY26">
        <f>AD26</f>
        <v>0</v>
      </c>
      <c r="CZ26">
        <f>AH26</f>
        <v>0</v>
      </c>
      <c r="DA26">
        <f>AL26</f>
        <v>1</v>
      </c>
      <c r="DB26">
        <f t="shared" si="0"/>
        <v>0</v>
      </c>
      <c r="DC26">
        <f t="shared" si="1"/>
        <v>0</v>
      </c>
    </row>
    <row r="27" spans="1:107" x14ac:dyDescent="0.2">
      <c r="A27">
        <f>ROW(Source!A44)</f>
        <v>44</v>
      </c>
      <c r="B27">
        <v>44002026</v>
      </c>
      <c r="C27">
        <v>44002325</v>
      </c>
      <c r="D27">
        <v>31505725</v>
      </c>
      <c r="E27">
        <v>1</v>
      </c>
      <c r="F27">
        <v>1</v>
      </c>
      <c r="G27">
        <v>31452184</v>
      </c>
      <c r="H27">
        <v>3</v>
      </c>
      <c r="I27" t="s">
        <v>113</v>
      </c>
      <c r="J27" t="s">
        <v>115</v>
      </c>
      <c r="K27" t="s">
        <v>114</v>
      </c>
      <c r="L27">
        <v>1301</v>
      </c>
      <c r="N27">
        <v>1003</v>
      </c>
      <c r="O27" t="s">
        <v>66</v>
      </c>
      <c r="P27" t="s">
        <v>66</v>
      </c>
      <c r="Q27">
        <v>1</v>
      </c>
      <c r="W27">
        <v>0</v>
      </c>
      <c r="X27">
        <v>-1102095183</v>
      </c>
      <c r="Y27">
        <v>102</v>
      </c>
      <c r="AA27">
        <v>10.47</v>
      </c>
      <c r="AB27">
        <v>0</v>
      </c>
      <c r="AC27">
        <v>0</v>
      </c>
      <c r="AD27">
        <v>0</v>
      </c>
      <c r="AE27">
        <v>4.59</v>
      </c>
      <c r="AF27">
        <v>0</v>
      </c>
      <c r="AG27">
        <v>0</v>
      </c>
      <c r="AH27">
        <v>0</v>
      </c>
      <c r="AI27">
        <v>2.2799999999999998</v>
      </c>
      <c r="AJ27">
        <v>1</v>
      </c>
      <c r="AK27">
        <v>1</v>
      </c>
      <c r="AL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3</v>
      </c>
      <c r="AT27">
        <v>102</v>
      </c>
      <c r="AU27" t="s">
        <v>3</v>
      </c>
      <c r="AV27">
        <v>0</v>
      </c>
      <c r="AW27">
        <v>1</v>
      </c>
      <c r="AX27">
        <v>-1</v>
      </c>
      <c r="AY27">
        <v>0</v>
      </c>
      <c r="AZ27">
        <v>0</v>
      </c>
      <c r="BA27" t="s">
        <v>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CX27">
        <f>Y27*Source!I44</f>
        <v>408</v>
      </c>
      <c r="CY27">
        <f>AA27</f>
        <v>10.47</v>
      </c>
      <c r="CZ27">
        <f>AE27</f>
        <v>4.59</v>
      </c>
      <c r="DA27">
        <f>AI27</f>
        <v>2.2799999999999998</v>
      </c>
      <c r="DB27">
        <f t="shared" si="0"/>
        <v>468.18</v>
      </c>
      <c r="DC27">
        <f t="shared" si="1"/>
        <v>0</v>
      </c>
    </row>
    <row r="28" spans="1:107" x14ac:dyDescent="0.2">
      <c r="A28">
        <f>ROW(Source!A44)</f>
        <v>44</v>
      </c>
      <c r="B28">
        <v>44002026</v>
      </c>
      <c r="C28">
        <v>44002325</v>
      </c>
      <c r="D28">
        <v>31514162</v>
      </c>
      <c r="E28">
        <v>1</v>
      </c>
      <c r="F28">
        <v>1</v>
      </c>
      <c r="G28">
        <v>31452184</v>
      </c>
      <c r="H28">
        <v>3</v>
      </c>
      <c r="I28" t="s">
        <v>117</v>
      </c>
      <c r="J28" t="s">
        <v>120</v>
      </c>
      <c r="K28" t="s">
        <v>118</v>
      </c>
      <c r="L28">
        <v>1355</v>
      </c>
      <c r="N28">
        <v>1010</v>
      </c>
      <c r="O28" t="s">
        <v>119</v>
      </c>
      <c r="P28" t="s">
        <v>119</v>
      </c>
      <c r="Q28">
        <v>100</v>
      </c>
      <c r="W28">
        <v>0</v>
      </c>
      <c r="X28">
        <v>128275168</v>
      </c>
      <c r="Y28">
        <v>1</v>
      </c>
      <c r="AA28">
        <v>174.8</v>
      </c>
      <c r="AB28">
        <v>0</v>
      </c>
      <c r="AC28">
        <v>0</v>
      </c>
      <c r="AD28">
        <v>0</v>
      </c>
      <c r="AE28">
        <v>146.88999999999999</v>
      </c>
      <c r="AF28">
        <v>0</v>
      </c>
      <c r="AG28">
        <v>0</v>
      </c>
      <c r="AH28">
        <v>0</v>
      </c>
      <c r="AI28">
        <v>1.19</v>
      </c>
      <c r="AJ28">
        <v>1</v>
      </c>
      <c r="AK28">
        <v>1</v>
      </c>
      <c r="AL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3</v>
      </c>
      <c r="AT28">
        <v>1</v>
      </c>
      <c r="AU28" t="s">
        <v>3</v>
      </c>
      <c r="AV28">
        <v>0</v>
      </c>
      <c r="AW28">
        <v>1</v>
      </c>
      <c r="AX28">
        <v>-1</v>
      </c>
      <c r="AY28">
        <v>0</v>
      </c>
      <c r="AZ28">
        <v>0</v>
      </c>
      <c r="BA28" t="s">
        <v>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CX28">
        <f>Y28*Source!I44</f>
        <v>4</v>
      </c>
      <c r="CY28">
        <f>AA28</f>
        <v>174.8</v>
      </c>
      <c r="CZ28">
        <f>AE28</f>
        <v>146.88999999999999</v>
      </c>
      <c r="DA28">
        <f>AI28</f>
        <v>1.19</v>
      </c>
      <c r="DB28">
        <f t="shared" si="0"/>
        <v>146.88999999999999</v>
      </c>
      <c r="DC28">
        <f t="shared" si="1"/>
        <v>0</v>
      </c>
    </row>
    <row r="29" spans="1:107" x14ac:dyDescent="0.2">
      <c r="A29">
        <f>ROW(Source!A47)</f>
        <v>47</v>
      </c>
      <c r="B29">
        <v>44002026</v>
      </c>
      <c r="C29">
        <v>44002335</v>
      </c>
      <c r="D29">
        <v>31452189</v>
      </c>
      <c r="E29">
        <v>31452184</v>
      </c>
      <c r="F29">
        <v>1</v>
      </c>
      <c r="G29">
        <v>31452184</v>
      </c>
      <c r="H29">
        <v>1</v>
      </c>
      <c r="I29" t="s">
        <v>357</v>
      </c>
      <c r="J29" t="s">
        <v>3</v>
      </c>
      <c r="K29" t="s">
        <v>358</v>
      </c>
      <c r="L29">
        <v>1191</v>
      </c>
      <c r="N29">
        <v>1013</v>
      </c>
      <c r="O29" t="s">
        <v>359</v>
      </c>
      <c r="P29" t="s">
        <v>359</v>
      </c>
      <c r="Q29">
        <v>1</v>
      </c>
      <c r="W29">
        <v>0</v>
      </c>
      <c r="X29">
        <v>476480486</v>
      </c>
      <c r="Y29">
        <v>7.21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 t="s">
        <v>3</v>
      </c>
      <c r="AT29">
        <v>7.21</v>
      </c>
      <c r="AU29" t="s">
        <v>3</v>
      </c>
      <c r="AV29">
        <v>1</v>
      </c>
      <c r="AW29">
        <v>2</v>
      </c>
      <c r="AX29">
        <v>44002338</v>
      </c>
      <c r="AY29">
        <v>1</v>
      </c>
      <c r="AZ29">
        <v>0</v>
      </c>
      <c r="BA29">
        <v>25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CX29">
        <f>Y29*Source!I47</f>
        <v>28.84</v>
      </c>
      <c r="CY29">
        <f>AD29</f>
        <v>0</v>
      </c>
      <c r="CZ29">
        <f>AH29</f>
        <v>0</v>
      </c>
      <c r="DA29">
        <f>AL29</f>
        <v>1</v>
      </c>
      <c r="DB29">
        <f t="shared" si="0"/>
        <v>0</v>
      </c>
      <c r="DC29">
        <f t="shared" si="1"/>
        <v>0</v>
      </c>
    </row>
    <row r="30" spans="1:107" x14ac:dyDescent="0.2">
      <c r="A30">
        <f>ROW(Source!A47)</f>
        <v>47</v>
      </c>
      <c r="B30">
        <v>44002026</v>
      </c>
      <c r="C30">
        <v>44002335</v>
      </c>
      <c r="D30">
        <v>31517108</v>
      </c>
      <c r="E30">
        <v>1</v>
      </c>
      <c r="F30">
        <v>1</v>
      </c>
      <c r="G30">
        <v>31452184</v>
      </c>
      <c r="H30">
        <v>3</v>
      </c>
      <c r="I30" t="s">
        <v>123</v>
      </c>
      <c r="J30" t="s">
        <v>125</v>
      </c>
      <c r="K30" t="s">
        <v>124</v>
      </c>
      <c r="L30">
        <v>1303</v>
      </c>
      <c r="N30">
        <v>1003</v>
      </c>
      <c r="O30" t="s">
        <v>57</v>
      </c>
      <c r="P30" t="s">
        <v>57</v>
      </c>
      <c r="Q30">
        <v>1000</v>
      </c>
      <c r="W30">
        <v>0</v>
      </c>
      <c r="X30">
        <v>568479160</v>
      </c>
      <c r="Y30">
        <v>0.10199999999999999</v>
      </c>
      <c r="AA30">
        <v>37115.53</v>
      </c>
      <c r="AB30">
        <v>0</v>
      </c>
      <c r="AC30">
        <v>0</v>
      </c>
      <c r="AD30">
        <v>0</v>
      </c>
      <c r="AE30">
        <v>12798.46</v>
      </c>
      <c r="AF30">
        <v>0</v>
      </c>
      <c r="AG30">
        <v>0</v>
      </c>
      <c r="AH30">
        <v>0</v>
      </c>
      <c r="AI30">
        <v>2.9</v>
      </c>
      <c r="AJ30">
        <v>1</v>
      </c>
      <c r="AK30">
        <v>1</v>
      </c>
      <c r="AL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3</v>
      </c>
      <c r="AT30">
        <v>0.10199999999999999</v>
      </c>
      <c r="AU30" t="s">
        <v>3</v>
      </c>
      <c r="AV30">
        <v>0</v>
      </c>
      <c r="AW30">
        <v>1</v>
      </c>
      <c r="AX30">
        <v>-1</v>
      </c>
      <c r="AY30">
        <v>0</v>
      </c>
      <c r="AZ30">
        <v>0</v>
      </c>
      <c r="BA30" t="s">
        <v>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CX30">
        <f>Y30*Source!I47</f>
        <v>0.40799999999999997</v>
      </c>
      <c r="CY30">
        <f>AA30</f>
        <v>37115.53</v>
      </c>
      <c r="CZ30">
        <f>AE30</f>
        <v>12798.46</v>
      </c>
      <c r="DA30">
        <f>AI30</f>
        <v>2.9</v>
      </c>
      <c r="DB30">
        <f t="shared" si="0"/>
        <v>1305.44</v>
      </c>
      <c r="DC30">
        <f t="shared" si="1"/>
        <v>0</v>
      </c>
    </row>
    <row r="31" spans="1:107" x14ac:dyDescent="0.2">
      <c r="A31">
        <f>ROW(Source!A84)</f>
        <v>84</v>
      </c>
      <c r="B31">
        <v>44002026</v>
      </c>
      <c r="C31">
        <v>44002340</v>
      </c>
      <c r="D31">
        <v>31452189</v>
      </c>
      <c r="E31">
        <v>31452184</v>
      </c>
      <c r="F31">
        <v>1</v>
      </c>
      <c r="G31">
        <v>31452184</v>
      </c>
      <c r="H31">
        <v>1</v>
      </c>
      <c r="I31" t="s">
        <v>357</v>
      </c>
      <c r="J31" t="s">
        <v>3</v>
      </c>
      <c r="K31" t="s">
        <v>358</v>
      </c>
      <c r="L31">
        <v>1191</v>
      </c>
      <c r="N31">
        <v>1013</v>
      </c>
      <c r="O31" t="s">
        <v>359</v>
      </c>
      <c r="P31" t="s">
        <v>359</v>
      </c>
      <c r="Q31">
        <v>1</v>
      </c>
      <c r="W31">
        <v>0</v>
      </c>
      <c r="X31">
        <v>476480486</v>
      </c>
      <c r="Y31">
        <v>196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 t="s">
        <v>3</v>
      </c>
      <c r="AT31">
        <v>196</v>
      </c>
      <c r="AU31" t="s">
        <v>3</v>
      </c>
      <c r="AV31">
        <v>1</v>
      </c>
      <c r="AW31">
        <v>2</v>
      </c>
      <c r="AX31">
        <v>44002343</v>
      </c>
      <c r="AY31">
        <v>1</v>
      </c>
      <c r="AZ31">
        <v>0</v>
      </c>
      <c r="BA31">
        <v>26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CX31">
        <f>Y31*Source!I84</f>
        <v>148.96</v>
      </c>
      <c r="CY31">
        <f>AD31</f>
        <v>0</v>
      </c>
      <c r="CZ31">
        <f>AH31</f>
        <v>0</v>
      </c>
      <c r="DA31">
        <f>AL31</f>
        <v>1</v>
      </c>
      <c r="DB31">
        <f t="shared" si="0"/>
        <v>0</v>
      </c>
      <c r="DC31">
        <f t="shared" si="1"/>
        <v>0</v>
      </c>
    </row>
    <row r="32" spans="1:107" x14ac:dyDescent="0.2">
      <c r="A32">
        <f>ROW(Source!A84)</f>
        <v>84</v>
      </c>
      <c r="B32">
        <v>44002026</v>
      </c>
      <c r="C32">
        <v>44002340</v>
      </c>
      <c r="D32">
        <v>31524990</v>
      </c>
      <c r="E32">
        <v>1</v>
      </c>
      <c r="F32">
        <v>1</v>
      </c>
      <c r="G32">
        <v>31452184</v>
      </c>
      <c r="H32">
        <v>2</v>
      </c>
      <c r="I32" t="s">
        <v>395</v>
      </c>
      <c r="J32" t="s">
        <v>396</v>
      </c>
      <c r="K32" t="s">
        <v>397</v>
      </c>
      <c r="L32">
        <v>1367</v>
      </c>
      <c r="N32">
        <v>1011</v>
      </c>
      <c r="O32" t="s">
        <v>363</v>
      </c>
      <c r="P32" t="s">
        <v>363</v>
      </c>
      <c r="Q32">
        <v>1</v>
      </c>
      <c r="W32">
        <v>0</v>
      </c>
      <c r="X32">
        <v>776244494</v>
      </c>
      <c r="Y32">
        <v>19</v>
      </c>
      <c r="AA32">
        <v>0</v>
      </c>
      <c r="AB32">
        <v>1222.04</v>
      </c>
      <c r="AC32">
        <v>576.48</v>
      </c>
      <c r="AD32">
        <v>0</v>
      </c>
      <c r="AE32">
        <v>0</v>
      </c>
      <c r="AF32">
        <v>117.73</v>
      </c>
      <c r="AG32">
        <v>24.08</v>
      </c>
      <c r="AH32">
        <v>0</v>
      </c>
      <c r="AI32">
        <v>1</v>
      </c>
      <c r="AJ32">
        <v>10.38</v>
      </c>
      <c r="AK32">
        <v>23.94</v>
      </c>
      <c r="AL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 t="s">
        <v>3</v>
      </c>
      <c r="AT32">
        <v>19</v>
      </c>
      <c r="AU32" t="s">
        <v>3</v>
      </c>
      <c r="AV32">
        <v>0</v>
      </c>
      <c r="AW32">
        <v>2</v>
      </c>
      <c r="AX32">
        <v>44002344</v>
      </c>
      <c r="AY32">
        <v>1</v>
      </c>
      <c r="AZ32">
        <v>0</v>
      </c>
      <c r="BA32">
        <v>27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CX32">
        <f>Y32*Source!I84</f>
        <v>14.44</v>
      </c>
      <c r="CY32">
        <f>AB32</f>
        <v>1222.04</v>
      </c>
      <c r="CZ32">
        <f>AF32</f>
        <v>117.73</v>
      </c>
      <c r="DA32">
        <f>AJ32</f>
        <v>10.38</v>
      </c>
      <c r="DB32">
        <f t="shared" si="0"/>
        <v>2236.87</v>
      </c>
      <c r="DC32">
        <f t="shared" si="1"/>
        <v>457.52</v>
      </c>
    </row>
    <row r="33" spans="1:107" x14ac:dyDescent="0.2">
      <c r="A33">
        <f>ROW(Source!A85)</f>
        <v>85</v>
      </c>
      <c r="B33">
        <v>44002026</v>
      </c>
      <c r="C33">
        <v>44002345</v>
      </c>
      <c r="D33">
        <v>31452189</v>
      </c>
      <c r="E33">
        <v>31452184</v>
      </c>
      <c r="F33">
        <v>1</v>
      </c>
      <c r="G33">
        <v>31452184</v>
      </c>
      <c r="H33">
        <v>1</v>
      </c>
      <c r="I33" t="s">
        <v>357</v>
      </c>
      <c r="J33" t="s">
        <v>3</v>
      </c>
      <c r="K33" t="s">
        <v>358</v>
      </c>
      <c r="L33">
        <v>1191</v>
      </c>
      <c r="N33">
        <v>1013</v>
      </c>
      <c r="O33" t="s">
        <v>359</v>
      </c>
      <c r="P33" t="s">
        <v>359</v>
      </c>
      <c r="Q33">
        <v>1</v>
      </c>
      <c r="W33">
        <v>0</v>
      </c>
      <c r="X33">
        <v>476480486</v>
      </c>
      <c r="Y33">
        <v>3.77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 t="s">
        <v>3</v>
      </c>
      <c r="AT33">
        <v>3.77</v>
      </c>
      <c r="AU33" t="s">
        <v>3</v>
      </c>
      <c r="AV33">
        <v>1</v>
      </c>
      <c r="AW33">
        <v>2</v>
      </c>
      <c r="AX33">
        <v>44002351</v>
      </c>
      <c r="AY33">
        <v>1</v>
      </c>
      <c r="AZ33">
        <v>0</v>
      </c>
      <c r="BA33">
        <v>28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CX33">
        <f>Y33*Source!I85</f>
        <v>286.52</v>
      </c>
      <c r="CY33">
        <f>AD33</f>
        <v>0</v>
      </c>
      <c r="CZ33">
        <f>AH33</f>
        <v>0</v>
      </c>
      <c r="DA33">
        <f>AL33</f>
        <v>1</v>
      </c>
      <c r="DB33">
        <f t="shared" si="0"/>
        <v>0</v>
      </c>
      <c r="DC33">
        <f t="shared" si="1"/>
        <v>0</v>
      </c>
    </row>
    <row r="34" spans="1:107" x14ac:dyDescent="0.2">
      <c r="A34">
        <f>ROW(Source!A85)</f>
        <v>85</v>
      </c>
      <c r="B34">
        <v>44002026</v>
      </c>
      <c r="C34">
        <v>44002345</v>
      </c>
      <c r="D34">
        <v>31525414</v>
      </c>
      <c r="E34">
        <v>1</v>
      </c>
      <c r="F34">
        <v>1</v>
      </c>
      <c r="G34">
        <v>31452184</v>
      </c>
      <c r="H34">
        <v>2</v>
      </c>
      <c r="I34" t="s">
        <v>398</v>
      </c>
      <c r="J34" t="s">
        <v>399</v>
      </c>
      <c r="K34" t="s">
        <v>400</v>
      </c>
      <c r="L34">
        <v>1367</v>
      </c>
      <c r="N34">
        <v>1011</v>
      </c>
      <c r="O34" t="s">
        <v>363</v>
      </c>
      <c r="P34" t="s">
        <v>363</v>
      </c>
      <c r="Q34">
        <v>1</v>
      </c>
      <c r="W34">
        <v>0</v>
      </c>
      <c r="X34">
        <v>-1546953749</v>
      </c>
      <c r="Y34">
        <v>0.03</v>
      </c>
      <c r="AA34">
        <v>0</v>
      </c>
      <c r="AB34">
        <v>829.92</v>
      </c>
      <c r="AC34">
        <v>420.15</v>
      </c>
      <c r="AD34">
        <v>0</v>
      </c>
      <c r="AE34">
        <v>0</v>
      </c>
      <c r="AF34">
        <v>93.04</v>
      </c>
      <c r="AG34">
        <v>17.55</v>
      </c>
      <c r="AH34">
        <v>0</v>
      </c>
      <c r="AI34">
        <v>1</v>
      </c>
      <c r="AJ34">
        <v>8.92</v>
      </c>
      <c r="AK34">
        <v>23.94</v>
      </c>
      <c r="AL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 t="s">
        <v>3</v>
      </c>
      <c r="AT34">
        <v>0.03</v>
      </c>
      <c r="AU34" t="s">
        <v>3</v>
      </c>
      <c r="AV34">
        <v>0</v>
      </c>
      <c r="AW34">
        <v>2</v>
      </c>
      <c r="AX34">
        <v>44002352</v>
      </c>
      <c r="AY34">
        <v>1</v>
      </c>
      <c r="AZ34">
        <v>0</v>
      </c>
      <c r="BA34">
        <v>29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CX34">
        <f>Y34*Source!I85</f>
        <v>2.2799999999999998</v>
      </c>
      <c r="CY34">
        <f>AB34</f>
        <v>829.92</v>
      </c>
      <c r="CZ34">
        <f>AF34</f>
        <v>93.04</v>
      </c>
      <c r="DA34">
        <f>AJ34</f>
        <v>8.92</v>
      </c>
      <c r="DB34">
        <f t="shared" si="0"/>
        <v>2.79</v>
      </c>
      <c r="DC34">
        <f t="shared" si="1"/>
        <v>0.53</v>
      </c>
    </row>
    <row r="35" spans="1:107" x14ac:dyDescent="0.2">
      <c r="A35">
        <f>ROW(Source!A85)</f>
        <v>85</v>
      </c>
      <c r="B35">
        <v>44002026</v>
      </c>
      <c r="C35">
        <v>44002345</v>
      </c>
      <c r="D35">
        <v>31525400</v>
      </c>
      <c r="E35">
        <v>1</v>
      </c>
      <c r="F35">
        <v>1</v>
      </c>
      <c r="G35">
        <v>31452184</v>
      </c>
      <c r="H35">
        <v>2</v>
      </c>
      <c r="I35" t="s">
        <v>401</v>
      </c>
      <c r="J35" t="s">
        <v>402</v>
      </c>
      <c r="K35" t="s">
        <v>403</v>
      </c>
      <c r="L35">
        <v>1367</v>
      </c>
      <c r="N35">
        <v>1011</v>
      </c>
      <c r="O35" t="s">
        <v>363</v>
      </c>
      <c r="P35" t="s">
        <v>363</v>
      </c>
      <c r="Q35">
        <v>1</v>
      </c>
      <c r="W35">
        <v>0</v>
      </c>
      <c r="X35">
        <v>1702445989</v>
      </c>
      <c r="Y35">
        <v>0.03</v>
      </c>
      <c r="AA35">
        <v>0</v>
      </c>
      <c r="AB35">
        <v>71.02</v>
      </c>
      <c r="AC35">
        <v>20.11</v>
      </c>
      <c r="AD35">
        <v>0</v>
      </c>
      <c r="AE35">
        <v>0</v>
      </c>
      <c r="AF35">
        <v>10.76</v>
      </c>
      <c r="AG35">
        <v>0.84</v>
      </c>
      <c r="AH35">
        <v>0</v>
      </c>
      <c r="AI35">
        <v>1</v>
      </c>
      <c r="AJ35">
        <v>6.6</v>
      </c>
      <c r="AK35">
        <v>23.94</v>
      </c>
      <c r="AL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 t="s">
        <v>3</v>
      </c>
      <c r="AT35">
        <v>0.03</v>
      </c>
      <c r="AU35" t="s">
        <v>3</v>
      </c>
      <c r="AV35">
        <v>0</v>
      </c>
      <c r="AW35">
        <v>2</v>
      </c>
      <c r="AX35">
        <v>44002353</v>
      </c>
      <c r="AY35">
        <v>1</v>
      </c>
      <c r="AZ35">
        <v>0</v>
      </c>
      <c r="BA35">
        <v>30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CX35">
        <f>Y35*Source!I85</f>
        <v>2.2799999999999998</v>
      </c>
      <c r="CY35">
        <f>AB35</f>
        <v>71.02</v>
      </c>
      <c r="CZ35">
        <f>AF35</f>
        <v>10.76</v>
      </c>
      <c r="DA35">
        <f>AJ35</f>
        <v>6.6</v>
      </c>
      <c r="DB35">
        <f t="shared" si="0"/>
        <v>0.32</v>
      </c>
      <c r="DC35">
        <f t="shared" si="1"/>
        <v>0.03</v>
      </c>
    </row>
    <row r="36" spans="1:107" x14ac:dyDescent="0.2">
      <c r="A36">
        <f>ROW(Source!A85)</f>
        <v>85</v>
      </c>
      <c r="B36">
        <v>44002026</v>
      </c>
      <c r="C36">
        <v>44002345</v>
      </c>
      <c r="D36">
        <v>31524651</v>
      </c>
      <c r="E36">
        <v>1</v>
      </c>
      <c r="F36">
        <v>1</v>
      </c>
      <c r="G36">
        <v>31452184</v>
      </c>
      <c r="H36">
        <v>2</v>
      </c>
      <c r="I36" t="s">
        <v>404</v>
      </c>
      <c r="J36" t="s">
        <v>405</v>
      </c>
      <c r="K36" t="s">
        <v>406</v>
      </c>
      <c r="L36">
        <v>1367</v>
      </c>
      <c r="N36">
        <v>1011</v>
      </c>
      <c r="O36" t="s">
        <v>363</v>
      </c>
      <c r="P36" t="s">
        <v>363</v>
      </c>
      <c r="Q36">
        <v>1</v>
      </c>
      <c r="W36">
        <v>0</v>
      </c>
      <c r="X36">
        <v>-1461286799</v>
      </c>
      <c r="Y36">
        <v>0.09</v>
      </c>
      <c r="AA36">
        <v>0</v>
      </c>
      <c r="AB36">
        <v>984.53</v>
      </c>
      <c r="AC36">
        <v>728.02</v>
      </c>
      <c r="AD36">
        <v>0</v>
      </c>
      <c r="AE36">
        <v>0</v>
      </c>
      <c r="AF36">
        <v>123.84</v>
      </c>
      <c r="AG36">
        <v>30.41</v>
      </c>
      <c r="AH36">
        <v>0</v>
      </c>
      <c r="AI36">
        <v>1</v>
      </c>
      <c r="AJ36">
        <v>7.95</v>
      </c>
      <c r="AK36">
        <v>23.94</v>
      </c>
      <c r="AL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 t="s">
        <v>3</v>
      </c>
      <c r="AT36">
        <v>0.09</v>
      </c>
      <c r="AU36" t="s">
        <v>3</v>
      </c>
      <c r="AV36">
        <v>0</v>
      </c>
      <c r="AW36">
        <v>2</v>
      </c>
      <c r="AX36">
        <v>44002354</v>
      </c>
      <c r="AY36">
        <v>1</v>
      </c>
      <c r="AZ36">
        <v>0</v>
      </c>
      <c r="BA36">
        <v>31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CX36">
        <f>Y36*Source!I85</f>
        <v>6.84</v>
      </c>
      <c r="CY36">
        <f>AB36</f>
        <v>984.53</v>
      </c>
      <c r="CZ36">
        <f>AF36</f>
        <v>123.84</v>
      </c>
      <c r="DA36">
        <f>AJ36</f>
        <v>7.95</v>
      </c>
      <c r="DB36">
        <f t="shared" si="0"/>
        <v>11.15</v>
      </c>
      <c r="DC36">
        <f t="shared" si="1"/>
        <v>2.74</v>
      </c>
    </row>
    <row r="37" spans="1:107" x14ac:dyDescent="0.2">
      <c r="A37">
        <f>ROW(Source!A85)</f>
        <v>85</v>
      </c>
      <c r="B37">
        <v>44002026</v>
      </c>
      <c r="C37">
        <v>44002345</v>
      </c>
      <c r="D37">
        <v>0</v>
      </c>
      <c r="E37">
        <v>0</v>
      </c>
      <c r="F37">
        <v>1</v>
      </c>
      <c r="G37">
        <v>31452184</v>
      </c>
      <c r="H37">
        <v>3</v>
      </c>
      <c r="I37" t="s">
        <v>196</v>
      </c>
      <c r="J37" t="s">
        <v>3</v>
      </c>
      <c r="K37" t="s">
        <v>197</v>
      </c>
      <c r="L37">
        <v>1057</v>
      </c>
      <c r="N37">
        <v>1013</v>
      </c>
      <c r="O37" t="s">
        <v>198</v>
      </c>
      <c r="P37" t="s">
        <v>198</v>
      </c>
      <c r="Q37">
        <v>1</v>
      </c>
      <c r="W37">
        <v>0</v>
      </c>
      <c r="X37">
        <v>1370396487</v>
      </c>
      <c r="Y37">
        <v>1</v>
      </c>
      <c r="AA37">
        <v>4541.6888159999999</v>
      </c>
      <c r="AB37">
        <v>0</v>
      </c>
      <c r="AC37">
        <v>0</v>
      </c>
      <c r="AD37">
        <v>0</v>
      </c>
      <c r="AE37">
        <v>836.41</v>
      </c>
      <c r="AF37">
        <v>0</v>
      </c>
      <c r="AG37">
        <v>0</v>
      </c>
      <c r="AH37">
        <v>0</v>
      </c>
      <c r="AI37">
        <v>5.43</v>
      </c>
      <c r="AJ37">
        <v>1</v>
      </c>
      <c r="AK37">
        <v>1</v>
      </c>
      <c r="AL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3</v>
      </c>
      <c r="AT37">
        <v>1</v>
      </c>
      <c r="AU37" t="s">
        <v>3</v>
      </c>
      <c r="AV37">
        <v>0</v>
      </c>
      <c r="AW37">
        <v>1</v>
      </c>
      <c r="AX37">
        <v>-1</v>
      </c>
      <c r="AY37">
        <v>0</v>
      </c>
      <c r="AZ37">
        <v>0</v>
      </c>
      <c r="BA37" t="s">
        <v>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CX37">
        <f>Y37*Source!I85</f>
        <v>76</v>
      </c>
      <c r="CY37">
        <f>AA37</f>
        <v>4541.6888159999999</v>
      </c>
      <c r="CZ37">
        <f>AE37</f>
        <v>836.41</v>
      </c>
      <c r="DA37">
        <f>AI37</f>
        <v>5.43</v>
      </c>
      <c r="DB37">
        <f t="shared" si="0"/>
        <v>836.41</v>
      </c>
      <c r="DC37">
        <f t="shared" si="1"/>
        <v>0</v>
      </c>
    </row>
    <row r="38" spans="1:107" x14ac:dyDescent="0.2">
      <c r="A38">
        <f>ROW(Source!A87)</f>
        <v>87</v>
      </c>
      <c r="B38">
        <v>44002026</v>
      </c>
      <c r="C38">
        <v>44002357</v>
      </c>
      <c r="D38">
        <v>31452189</v>
      </c>
      <c r="E38">
        <v>31452184</v>
      </c>
      <c r="F38">
        <v>1</v>
      </c>
      <c r="G38">
        <v>31452184</v>
      </c>
      <c r="H38">
        <v>1</v>
      </c>
      <c r="I38" t="s">
        <v>357</v>
      </c>
      <c r="J38" t="s">
        <v>3</v>
      </c>
      <c r="K38" t="s">
        <v>358</v>
      </c>
      <c r="L38">
        <v>1191</v>
      </c>
      <c r="N38">
        <v>1013</v>
      </c>
      <c r="O38" t="s">
        <v>359</v>
      </c>
      <c r="P38" t="s">
        <v>359</v>
      </c>
      <c r="Q38">
        <v>1</v>
      </c>
      <c r="W38">
        <v>0</v>
      </c>
      <c r="X38">
        <v>476480486</v>
      </c>
      <c r="Y38">
        <v>0.99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 t="s">
        <v>3</v>
      </c>
      <c r="AT38">
        <v>0.99</v>
      </c>
      <c r="AU38" t="s">
        <v>3</v>
      </c>
      <c r="AV38">
        <v>1</v>
      </c>
      <c r="AW38">
        <v>2</v>
      </c>
      <c r="AX38">
        <v>44002360</v>
      </c>
      <c r="AY38">
        <v>1</v>
      </c>
      <c r="AZ38">
        <v>0</v>
      </c>
      <c r="BA38">
        <v>33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CX38">
        <f>Y38*Source!I87</f>
        <v>75.239999999999995</v>
      </c>
      <c r="CY38">
        <f>AD38</f>
        <v>0</v>
      </c>
      <c r="CZ38">
        <f>AH38</f>
        <v>0</v>
      </c>
      <c r="DA38">
        <f>AL38</f>
        <v>1</v>
      </c>
      <c r="DB38">
        <f t="shared" si="0"/>
        <v>0</v>
      </c>
      <c r="DC38">
        <f t="shared" si="1"/>
        <v>0</v>
      </c>
    </row>
    <row r="39" spans="1:107" x14ac:dyDescent="0.2">
      <c r="A39">
        <f>ROW(Source!A87)</f>
        <v>87</v>
      </c>
      <c r="B39">
        <v>44002026</v>
      </c>
      <c r="C39">
        <v>44002357</v>
      </c>
      <c r="D39">
        <v>0</v>
      </c>
      <c r="E39">
        <v>0</v>
      </c>
      <c r="F39">
        <v>1</v>
      </c>
      <c r="G39">
        <v>31452184</v>
      </c>
      <c r="H39">
        <v>3</v>
      </c>
      <c r="I39" t="s">
        <v>207</v>
      </c>
      <c r="J39" t="s">
        <v>3</v>
      </c>
      <c r="K39" t="s">
        <v>208</v>
      </c>
      <c r="L39">
        <v>3677</v>
      </c>
      <c r="N39">
        <v>1010</v>
      </c>
      <c r="O39" t="s">
        <v>209</v>
      </c>
      <c r="P39" t="s">
        <v>210</v>
      </c>
      <c r="Q39">
        <v>1</v>
      </c>
      <c r="W39">
        <v>0</v>
      </c>
      <c r="X39">
        <v>-2127492810</v>
      </c>
      <c r="Y39">
        <v>1</v>
      </c>
      <c r="AA39">
        <v>8166.6568420000003</v>
      </c>
      <c r="AB39">
        <v>0</v>
      </c>
      <c r="AC39">
        <v>0</v>
      </c>
      <c r="AD39">
        <v>0</v>
      </c>
      <c r="AE39">
        <v>1503.99</v>
      </c>
      <c r="AF39">
        <v>0</v>
      </c>
      <c r="AG39">
        <v>0</v>
      </c>
      <c r="AH39">
        <v>0</v>
      </c>
      <c r="AI39">
        <v>5.43</v>
      </c>
      <c r="AJ39">
        <v>1</v>
      </c>
      <c r="AK39">
        <v>1</v>
      </c>
      <c r="AL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3</v>
      </c>
      <c r="AT39">
        <v>1</v>
      </c>
      <c r="AU39" t="s">
        <v>3</v>
      </c>
      <c r="AV39">
        <v>0</v>
      </c>
      <c r="AW39">
        <v>1</v>
      </c>
      <c r="AX39">
        <v>-1</v>
      </c>
      <c r="AY39">
        <v>0</v>
      </c>
      <c r="AZ39">
        <v>0</v>
      </c>
      <c r="BA39" t="s">
        <v>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CX39">
        <f>Y39*Source!I87</f>
        <v>76</v>
      </c>
      <c r="CY39">
        <f>AA39</f>
        <v>8166.6568420000003</v>
      </c>
      <c r="CZ39">
        <f>AE39</f>
        <v>1503.99</v>
      </c>
      <c r="DA39">
        <f>AI39</f>
        <v>5.43</v>
      </c>
      <c r="DB39">
        <f t="shared" si="0"/>
        <v>1503.99</v>
      </c>
      <c r="DC39">
        <f t="shared" si="1"/>
        <v>0</v>
      </c>
    </row>
    <row r="40" spans="1:107" x14ac:dyDescent="0.2">
      <c r="A40">
        <f>ROW(Source!A89)</f>
        <v>89</v>
      </c>
      <c r="B40">
        <v>44002026</v>
      </c>
      <c r="C40">
        <v>44002362</v>
      </c>
      <c r="D40">
        <v>31452189</v>
      </c>
      <c r="E40">
        <v>31452184</v>
      </c>
      <c r="F40">
        <v>1</v>
      </c>
      <c r="G40">
        <v>31452184</v>
      </c>
      <c r="H40">
        <v>1</v>
      </c>
      <c r="I40" t="s">
        <v>357</v>
      </c>
      <c r="J40" t="s">
        <v>3</v>
      </c>
      <c r="K40" t="s">
        <v>358</v>
      </c>
      <c r="L40">
        <v>1191</v>
      </c>
      <c r="N40">
        <v>1013</v>
      </c>
      <c r="O40" t="s">
        <v>359</v>
      </c>
      <c r="P40" t="s">
        <v>359</v>
      </c>
      <c r="Q40">
        <v>1</v>
      </c>
      <c r="W40">
        <v>0</v>
      </c>
      <c r="X40">
        <v>476480486</v>
      </c>
      <c r="Y40">
        <v>10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 t="s">
        <v>3</v>
      </c>
      <c r="AT40">
        <v>10</v>
      </c>
      <c r="AU40" t="s">
        <v>3</v>
      </c>
      <c r="AV40">
        <v>1</v>
      </c>
      <c r="AW40">
        <v>2</v>
      </c>
      <c r="AX40">
        <v>44002365</v>
      </c>
      <c r="AY40">
        <v>1</v>
      </c>
      <c r="AZ40">
        <v>0</v>
      </c>
      <c r="BA40">
        <v>34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CX40">
        <f>Y40*Source!I89</f>
        <v>440</v>
      </c>
      <c r="CY40">
        <f>AD40</f>
        <v>0</v>
      </c>
      <c r="CZ40">
        <f>AH40</f>
        <v>0</v>
      </c>
      <c r="DA40">
        <f>AL40</f>
        <v>1</v>
      </c>
      <c r="DB40">
        <f t="shared" si="0"/>
        <v>0</v>
      </c>
      <c r="DC40">
        <f t="shared" si="1"/>
        <v>0</v>
      </c>
    </row>
    <row r="41" spans="1:107" x14ac:dyDescent="0.2">
      <c r="A41">
        <f>ROW(Source!A89)</f>
        <v>89</v>
      </c>
      <c r="B41">
        <v>44002026</v>
      </c>
      <c r="C41">
        <v>44002362</v>
      </c>
      <c r="D41">
        <v>0</v>
      </c>
      <c r="E41">
        <v>0</v>
      </c>
      <c r="F41">
        <v>1</v>
      </c>
      <c r="G41">
        <v>31452184</v>
      </c>
      <c r="H41">
        <v>3</v>
      </c>
      <c r="I41" t="s">
        <v>221</v>
      </c>
      <c r="J41" t="s">
        <v>3</v>
      </c>
      <c r="K41" t="s">
        <v>222</v>
      </c>
      <c r="L41">
        <v>3677</v>
      </c>
      <c r="N41">
        <v>1010</v>
      </c>
      <c r="O41" t="s">
        <v>209</v>
      </c>
      <c r="P41" t="s">
        <v>210</v>
      </c>
      <c r="Q41">
        <v>1</v>
      </c>
      <c r="W41">
        <v>0</v>
      </c>
      <c r="X41">
        <v>1133697820</v>
      </c>
      <c r="Y41">
        <v>1</v>
      </c>
      <c r="AA41">
        <v>3750.0168180000001</v>
      </c>
      <c r="AB41">
        <v>0</v>
      </c>
      <c r="AC41">
        <v>0</v>
      </c>
      <c r="AD41">
        <v>0</v>
      </c>
      <c r="AE41">
        <v>690.61</v>
      </c>
      <c r="AF41">
        <v>0</v>
      </c>
      <c r="AG41">
        <v>0</v>
      </c>
      <c r="AH41">
        <v>0</v>
      </c>
      <c r="AI41">
        <v>5.43</v>
      </c>
      <c r="AJ41">
        <v>1</v>
      </c>
      <c r="AK41">
        <v>1</v>
      </c>
      <c r="AL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3</v>
      </c>
      <c r="AT41">
        <v>1</v>
      </c>
      <c r="AU41" t="s">
        <v>3</v>
      </c>
      <c r="AV41">
        <v>0</v>
      </c>
      <c r="AW41">
        <v>1</v>
      </c>
      <c r="AX41">
        <v>-1</v>
      </c>
      <c r="AY41">
        <v>0</v>
      </c>
      <c r="AZ41">
        <v>0</v>
      </c>
      <c r="BA41" t="s">
        <v>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CX41">
        <f>Y41*Source!I89</f>
        <v>44</v>
      </c>
      <c r="CY41">
        <f>AA41</f>
        <v>3750.0168180000001</v>
      </c>
      <c r="CZ41">
        <f>AE41</f>
        <v>690.61</v>
      </c>
      <c r="DA41">
        <f>AI41</f>
        <v>5.43</v>
      </c>
      <c r="DB41">
        <f t="shared" si="0"/>
        <v>690.61</v>
      </c>
      <c r="DC41">
        <f t="shared" si="1"/>
        <v>0</v>
      </c>
    </row>
    <row r="42" spans="1:107" x14ac:dyDescent="0.2">
      <c r="A42">
        <f>ROW(Source!A91)</f>
        <v>91</v>
      </c>
      <c r="B42">
        <v>44002026</v>
      </c>
      <c r="C42">
        <v>44002367</v>
      </c>
      <c r="D42">
        <v>31452189</v>
      </c>
      <c r="E42">
        <v>31452184</v>
      </c>
      <c r="F42">
        <v>1</v>
      </c>
      <c r="G42">
        <v>31452184</v>
      </c>
      <c r="H42">
        <v>1</v>
      </c>
      <c r="I42" t="s">
        <v>357</v>
      </c>
      <c r="J42" t="s">
        <v>3</v>
      </c>
      <c r="K42" t="s">
        <v>358</v>
      </c>
      <c r="L42">
        <v>1191</v>
      </c>
      <c r="N42">
        <v>1013</v>
      </c>
      <c r="O42" t="s">
        <v>359</v>
      </c>
      <c r="P42" t="s">
        <v>359</v>
      </c>
      <c r="Q42">
        <v>1</v>
      </c>
      <c r="W42">
        <v>0</v>
      </c>
      <c r="X42">
        <v>476480486</v>
      </c>
      <c r="Y42">
        <v>9.44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 t="s">
        <v>3</v>
      </c>
      <c r="AT42">
        <v>9.44</v>
      </c>
      <c r="AU42" t="s">
        <v>3</v>
      </c>
      <c r="AV42">
        <v>1</v>
      </c>
      <c r="AW42">
        <v>2</v>
      </c>
      <c r="AX42">
        <v>44002372</v>
      </c>
      <c r="AY42">
        <v>1</v>
      </c>
      <c r="AZ42">
        <v>0</v>
      </c>
      <c r="BA42">
        <v>35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CX42">
        <f>Y42*Source!I91</f>
        <v>415.35999999999996</v>
      </c>
      <c r="CY42">
        <f>AD42</f>
        <v>0</v>
      </c>
      <c r="CZ42">
        <f>AH42</f>
        <v>0</v>
      </c>
      <c r="DA42">
        <f>AL42</f>
        <v>1</v>
      </c>
      <c r="DB42">
        <f t="shared" si="0"/>
        <v>0</v>
      </c>
      <c r="DC42">
        <f t="shared" si="1"/>
        <v>0</v>
      </c>
    </row>
    <row r="43" spans="1:107" x14ac:dyDescent="0.2">
      <c r="A43">
        <f>ROW(Source!A91)</f>
        <v>91</v>
      </c>
      <c r="B43">
        <v>44002026</v>
      </c>
      <c r="C43">
        <v>44002367</v>
      </c>
      <c r="D43">
        <v>0</v>
      </c>
      <c r="E43">
        <v>0</v>
      </c>
      <c r="F43">
        <v>1</v>
      </c>
      <c r="G43">
        <v>31452184</v>
      </c>
      <c r="H43">
        <v>3</v>
      </c>
      <c r="I43" t="s">
        <v>229</v>
      </c>
      <c r="J43" t="s">
        <v>3</v>
      </c>
      <c r="K43" t="s">
        <v>230</v>
      </c>
      <c r="L43">
        <v>3677</v>
      </c>
      <c r="N43">
        <v>1010</v>
      </c>
      <c r="O43" t="s">
        <v>209</v>
      </c>
      <c r="P43" t="s">
        <v>210</v>
      </c>
      <c r="Q43">
        <v>1</v>
      </c>
      <c r="W43">
        <v>0</v>
      </c>
      <c r="X43">
        <v>-1149515497</v>
      </c>
      <c r="Y43">
        <v>0.113636</v>
      </c>
      <c r="AA43">
        <v>21275</v>
      </c>
      <c r="AB43">
        <v>0</v>
      </c>
      <c r="AC43">
        <v>0</v>
      </c>
      <c r="AD43">
        <v>0</v>
      </c>
      <c r="AE43">
        <v>3918.05</v>
      </c>
      <c r="AF43">
        <v>0</v>
      </c>
      <c r="AG43">
        <v>0</v>
      </c>
      <c r="AH43">
        <v>0</v>
      </c>
      <c r="AI43">
        <v>5.43</v>
      </c>
      <c r="AJ43">
        <v>1</v>
      </c>
      <c r="AK43">
        <v>1</v>
      </c>
      <c r="AL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3</v>
      </c>
      <c r="AT43">
        <v>0.113636</v>
      </c>
      <c r="AU43" t="s">
        <v>3</v>
      </c>
      <c r="AV43">
        <v>0</v>
      </c>
      <c r="AW43">
        <v>1</v>
      </c>
      <c r="AX43">
        <v>-1</v>
      </c>
      <c r="AY43">
        <v>0</v>
      </c>
      <c r="AZ43">
        <v>0</v>
      </c>
      <c r="BA43" t="s">
        <v>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CX43">
        <f>Y43*Source!I91</f>
        <v>4.9999840000000004</v>
      </c>
      <c r="CY43">
        <f>AA43</f>
        <v>21275</v>
      </c>
      <c r="CZ43">
        <f>AE43</f>
        <v>3918.05</v>
      </c>
      <c r="DA43">
        <f>AI43</f>
        <v>5.43</v>
      </c>
      <c r="DB43">
        <f t="shared" si="0"/>
        <v>445.23</v>
      </c>
      <c r="DC43">
        <f t="shared" si="1"/>
        <v>0</v>
      </c>
    </row>
    <row r="44" spans="1:107" x14ac:dyDescent="0.2">
      <c r="A44">
        <f>ROW(Source!A91)</f>
        <v>91</v>
      </c>
      <c r="B44">
        <v>44002026</v>
      </c>
      <c r="C44">
        <v>44002367</v>
      </c>
      <c r="D44">
        <v>0</v>
      </c>
      <c r="E44">
        <v>0</v>
      </c>
      <c r="F44">
        <v>1</v>
      </c>
      <c r="G44">
        <v>31452184</v>
      </c>
      <c r="H44">
        <v>3</v>
      </c>
      <c r="I44" t="s">
        <v>233</v>
      </c>
      <c r="J44" t="s">
        <v>3</v>
      </c>
      <c r="K44" t="s">
        <v>234</v>
      </c>
      <c r="L44">
        <v>3677</v>
      </c>
      <c r="N44">
        <v>1010</v>
      </c>
      <c r="O44" t="s">
        <v>209</v>
      </c>
      <c r="P44" t="s">
        <v>210</v>
      </c>
      <c r="Q44">
        <v>1</v>
      </c>
      <c r="W44">
        <v>0</v>
      </c>
      <c r="X44">
        <v>1101304285</v>
      </c>
      <c r="Y44">
        <v>0.52272700000000005</v>
      </c>
      <c r="AA44">
        <v>21225.010429999998</v>
      </c>
      <c r="AB44">
        <v>0</v>
      </c>
      <c r="AC44">
        <v>0</v>
      </c>
      <c r="AD44">
        <v>0</v>
      </c>
      <c r="AE44">
        <v>3908.84</v>
      </c>
      <c r="AF44">
        <v>0</v>
      </c>
      <c r="AG44">
        <v>0</v>
      </c>
      <c r="AH44">
        <v>0</v>
      </c>
      <c r="AI44">
        <v>5.43</v>
      </c>
      <c r="AJ44">
        <v>1</v>
      </c>
      <c r="AK44">
        <v>1</v>
      </c>
      <c r="AL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3</v>
      </c>
      <c r="AT44">
        <v>0.52272700000000005</v>
      </c>
      <c r="AU44" t="s">
        <v>3</v>
      </c>
      <c r="AV44">
        <v>0</v>
      </c>
      <c r="AW44">
        <v>1</v>
      </c>
      <c r="AX44">
        <v>-1</v>
      </c>
      <c r="AY44">
        <v>0</v>
      </c>
      <c r="AZ44">
        <v>0</v>
      </c>
      <c r="BA44" t="s">
        <v>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CX44">
        <f>Y44*Source!I91</f>
        <v>22.999988000000002</v>
      </c>
      <c r="CY44">
        <f>AA44</f>
        <v>21225.010429999998</v>
      </c>
      <c r="CZ44">
        <f>AE44</f>
        <v>3908.84</v>
      </c>
      <c r="DA44">
        <f>AI44</f>
        <v>5.43</v>
      </c>
      <c r="DB44">
        <f t="shared" si="0"/>
        <v>2043.26</v>
      </c>
      <c r="DC44">
        <f t="shared" si="1"/>
        <v>0</v>
      </c>
    </row>
    <row r="45" spans="1:107" x14ac:dyDescent="0.2">
      <c r="A45">
        <f>ROW(Source!A91)</f>
        <v>91</v>
      </c>
      <c r="B45">
        <v>44002026</v>
      </c>
      <c r="C45">
        <v>44002367</v>
      </c>
      <c r="D45">
        <v>0</v>
      </c>
      <c r="E45">
        <v>0</v>
      </c>
      <c r="F45">
        <v>1</v>
      </c>
      <c r="G45">
        <v>31452184</v>
      </c>
      <c r="H45">
        <v>3</v>
      </c>
      <c r="I45" t="s">
        <v>237</v>
      </c>
      <c r="J45" t="s">
        <v>3</v>
      </c>
      <c r="K45" t="s">
        <v>238</v>
      </c>
      <c r="L45">
        <v>3677</v>
      </c>
      <c r="N45">
        <v>1010</v>
      </c>
      <c r="O45" t="s">
        <v>209</v>
      </c>
      <c r="P45" t="s">
        <v>210</v>
      </c>
      <c r="Q45">
        <v>1</v>
      </c>
      <c r="W45">
        <v>0</v>
      </c>
      <c r="X45">
        <v>1401446527</v>
      </c>
      <c r="Y45">
        <v>0.36363600000000001</v>
      </c>
      <c r="AA45">
        <v>4374.9925000000003</v>
      </c>
      <c r="AB45">
        <v>0</v>
      </c>
      <c r="AC45">
        <v>0</v>
      </c>
      <c r="AD45">
        <v>0</v>
      </c>
      <c r="AE45">
        <v>805.71</v>
      </c>
      <c r="AF45">
        <v>0</v>
      </c>
      <c r="AG45">
        <v>0</v>
      </c>
      <c r="AH45">
        <v>0</v>
      </c>
      <c r="AI45">
        <v>5.43</v>
      </c>
      <c r="AJ45">
        <v>1</v>
      </c>
      <c r="AK45">
        <v>1</v>
      </c>
      <c r="AL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3</v>
      </c>
      <c r="AT45">
        <v>0.36363600000000001</v>
      </c>
      <c r="AU45" t="s">
        <v>3</v>
      </c>
      <c r="AV45">
        <v>0</v>
      </c>
      <c r="AW45">
        <v>1</v>
      </c>
      <c r="AX45">
        <v>-1</v>
      </c>
      <c r="AY45">
        <v>0</v>
      </c>
      <c r="AZ45">
        <v>0</v>
      </c>
      <c r="BA45" t="s">
        <v>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CX45">
        <f>Y45*Source!I91</f>
        <v>15.999984000000001</v>
      </c>
      <c r="CY45">
        <f>AA45</f>
        <v>4374.9925000000003</v>
      </c>
      <c r="CZ45">
        <f>AE45</f>
        <v>805.71</v>
      </c>
      <c r="DA45">
        <f>AI45</f>
        <v>5.43</v>
      </c>
      <c r="DB45">
        <f t="shared" si="0"/>
        <v>292.99</v>
      </c>
      <c r="DC45">
        <f t="shared" si="1"/>
        <v>0</v>
      </c>
    </row>
    <row r="46" spans="1:107" x14ac:dyDescent="0.2">
      <c r="A46">
        <f>ROW(Source!A130)</f>
        <v>130</v>
      </c>
      <c r="B46">
        <v>44002026</v>
      </c>
      <c r="C46">
        <v>44002376</v>
      </c>
      <c r="D46">
        <v>31452189</v>
      </c>
      <c r="E46">
        <v>31452184</v>
      </c>
      <c r="F46">
        <v>1</v>
      </c>
      <c r="G46">
        <v>31452184</v>
      </c>
      <c r="H46">
        <v>1</v>
      </c>
      <c r="I46" t="s">
        <v>357</v>
      </c>
      <c r="J46" t="s">
        <v>3</v>
      </c>
      <c r="K46" t="s">
        <v>358</v>
      </c>
      <c r="L46">
        <v>1191</v>
      </c>
      <c r="N46">
        <v>1013</v>
      </c>
      <c r="O46" t="s">
        <v>359</v>
      </c>
      <c r="P46" t="s">
        <v>359</v>
      </c>
      <c r="Q46">
        <v>1</v>
      </c>
      <c r="W46">
        <v>0</v>
      </c>
      <c r="X46">
        <v>476480486</v>
      </c>
      <c r="Y46">
        <v>2.06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 t="s">
        <v>3</v>
      </c>
      <c r="AT46">
        <v>2.06</v>
      </c>
      <c r="AU46" t="s">
        <v>3</v>
      </c>
      <c r="AV46">
        <v>1</v>
      </c>
      <c r="AW46">
        <v>2</v>
      </c>
      <c r="AX46">
        <v>44002379</v>
      </c>
      <c r="AY46">
        <v>1</v>
      </c>
      <c r="AZ46">
        <v>0</v>
      </c>
      <c r="BA46">
        <v>36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CX46">
        <f>Y46*Source!I130</f>
        <v>2.06</v>
      </c>
      <c r="CY46">
        <f>AD46</f>
        <v>0</v>
      </c>
      <c r="CZ46">
        <f>AH46</f>
        <v>0</v>
      </c>
      <c r="DA46">
        <f>AL46</f>
        <v>1</v>
      </c>
      <c r="DB46">
        <f t="shared" si="0"/>
        <v>0</v>
      </c>
      <c r="DC46">
        <f t="shared" si="1"/>
        <v>0</v>
      </c>
    </row>
    <row r="47" spans="1:107" x14ac:dyDescent="0.2">
      <c r="A47">
        <f>ROW(Source!A130)</f>
        <v>130</v>
      </c>
      <c r="B47">
        <v>44002026</v>
      </c>
      <c r="C47">
        <v>44002376</v>
      </c>
      <c r="D47">
        <v>31513033</v>
      </c>
      <c r="E47">
        <v>1</v>
      </c>
      <c r="F47">
        <v>1</v>
      </c>
      <c r="G47">
        <v>31452184</v>
      </c>
      <c r="H47">
        <v>3</v>
      </c>
      <c r="I47" t="s">
        <v>246</v>
      </c>
      <c r="J47" t="s">
        <v>249</v>
      </c>
      <c r="K47" t="s">
        <v>247</v>
      </c>
      <c r="L47">
        <v>1391</v>
      </c>
      <c r="N47">
        <v>1013</v>
      </c>
      <c r="O47" t="s">
        <v>248</v>
      </c>
      <c r="P47" t="s">
        <v>248</v>
      </c>
      <c r="Q47">
        <v>1</v>
      </c>
      <c r="W47">
        <v>0</v>
      </c>
      <c r="X47">
        <v>1380418014</v>
      </c>
      <c r="Y47">
        <v>1</v>
      </c>
      <c r="AA47">
        <v>1140.5</v>
      </c>
      <c r="AB47">
        <v>0</v>
      </c>
      <c r="AC47">
        <v>0</v>
      </c>
      <c r="AD47">
        <v>0</v>
      </c>
      <c r="AE47">
        <v>273.5</v>
      </c>
      <c r="AF47">
        <v>0</v>
      </c>
      <c r="AG47">
        <v>0</v>
      </c>
      <c r="AH47">
        <v>0</v>
      </c>
      <c r="AI47">
        <v>4.17</v>
      </c>
      <c r="AJ47">
        <v>1</v>
      </c>
      <c r="AK47">
        <v>1</v>
      </c>
      <c r="AL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3</v>
      </c>
      <c r="AT47">
        <v>1</v>
      </c>
      <c r="AU47" t="s">
        <v>3</v>
      </c>
      <c r="AV47">
        <v>0</v>
      </c>
      <c r="AW47">
        <v>1</v>
      </c>
      <c r="AX47">
        <v>-1</v>
      </c>
      <c r="AY47">
        <v>0</v>
      </c>
      <c r="AZ47">
        <v>0</v>
      </c>
      <c r="BA47" t="s">
        <v>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CX47">
        <f>Y47*Source!I130</f>
        <v>1</v>
      </c>
      <c r="CY47">
        <f>AA47</f>
        <v>1140.5</v>
      </c>
      <c r="CZ47">
        <f>AE47</f>
        <v>273.5</v>
      </c>
      <c r="DA47">
        <f>AI47</f>
        <v>4.17</v>
      </c>
      <c r="DB47">
        <f t="shared" si="0"/>
        <v>273.5</v>
      </c>
      <c r="DC47">
        <f t="shared" si="1"/>
        <v>0</v>
      </c>
    </row>
    <row r="48" spans="1:107" x14ac:dyDescent="0.2">
      <c r="A48">
        <f>ROW(Source!A133)</f>
        <v>133</v>
      </c>
      <c r="B48">
        <v>44002026</v>
      </c>
      <c r="C48">
        <v>44002382</v>
      </c>
      <c r="D48">
        <v>31452189</v>
      </c>
      <c r="E48">
        <v>31452184</v>
      </c>
      <c r="F48">
        <v>1</v>
      </c>
      <c r="G48">
        <v>31452184</v>
      </c>
      <c r="H48">
        <v>1</v>
      </c>
      <c r="I48" t="s">
        <v>357</v>
      </c>
      <c r="J48" t="s">
        <v>3</v>
      </c>
      <c r="K48" t="s">
        <v>358</v>
      </c>
      <c r="L48">
        <v>1191</v>
      </c>
      <c r="N48">
        <v>1013</v>
      </c>
      <c r="O48" t="s">
        <v>359</v>
      </c>
      <c r="P48" t="s">
        <v>359</v>
      </c>
      <c r="Q48">
        <v>1</v>
      </c>
      <c r="W48">
        <v>0</v>
      </c>
      <c r="X48">
        <v>476480486</v>
      </c>
      <c r="Y48">
        <v>1.0720000000000001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 t="s">
        <v>3</v>
      </c>
      <c r="AT48">
        <v>1.34</v>
      </c>
      <c r="AU48" t="s">
        <v>259</v>
      </c>
      <c r="AV48">
        <v>1</v>
      </c>
      <c r="AW48">
        <v>2</v>
      </c>
      <c r="AX48">
        <v>44002389</v>
      </c>
      <c r="AY48">
        <v>1</v>
      </c>
      <c r="AZ48">
        <v>0</v>
      </c>
      <c r="BA48">
        <v>37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CX48">
        <f>Y48*Source!I133</f>
        <v>13.936</v>
      </c>
      <c r="CY48">
        <f>AD48</f>
        <v>0</v>
      </c>
      <c r="CZ48">
        <f>AH48</f>
        <v>0</v>
      </c>
      <c r="DA48">
        <f>AL48</f>
        <v>1</v>
      </c>
      <c r="DB48">
        <f>ROUND((ROUND(AT48*CZ48,2)*0.8),2)</f>
        <v>0</v>
      </c>
      <c r="DC48">
        <f>ROUND((ROUND(AT48*AG48,2)*0.8),2)</f>
        <v>0</v>
      </c>
    </row>
    <row r="49" spans="1:107" x14ac:dyDescent="0.2">
      <c r="A49">
        <f>ROW(Source!A133)</f>
        <v>133</v>
      </c>
      <c r="B49">
        <v>44002026</v>
      </c>
      <c r="C49">
        <v>44002382</v>
      </c>
      <c r="D49">
        <v>31514063</v>
      </c>
      <c r="E49">
        <v>1</v>
      </c>
      <c r="F49">
        <v>1</v>
      </c>
      <c r="G49">
        <v>31452184</v>
      </c>
      <c r="H49">
        <v>3</v>
      </c>
      <c r="I49" t="s">
        <v>270</v>
      </c>
      <c r="J49" t="s">
        <v>272</v>
      </c>
      <c r="K49" t="s">
        <v>271</v>
      </c>
      <c r="L49">
        <v>1354</v>
      </c>
      <c r="N49">
        <v>1010</v>
      </c>
      <c r="O49" t="s">
        <v>209</v>
      </c>
      <c r="P49" t="s">
        <v>209</v>
      </c>
      <c r="Q49">
        <v>1</v>
      </c>
      <c r="W49">
        <v>0</v>
      </c>
      <c r="X49">
        <v>186337221</v>
      </c>
      <c r="Y49">
        <v>7.6923000000000005E-2</v>
      </c>
      <c r="AA49">
        <v>281.08999999999997</v>
      </c>
      <c r="AB49">
        <v>0</v>
      </c>
      <c r="AC49">
        <v>0</v>
      </c>
      <c r="AD49">
        <v>0</v>
      </c>
      <c r="AE49">
        <v>77.010000000000005</v>
      </c>
      <c r="AF49">
        <v>0</v>
      </c>
      <c r="AG49">
        <v>0</v>
      </c>
      <c r="AH49">
        <v>0</v>
      </c>
      <c r="AI49">
        <v>3.65</v>
      </c>
      <c r="AJ49">
        <v>1</v>
      </c>
      <c r="AK49">
        <v>1</v>
      </c>
      <c r="AL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3</v>
      </c>
      <c r="AT49">
        <v>7.6923000000000005E-2</v>
      </c>
      <c r="AU49" t="s">
        <v>3</v>
      </c>
      <c r="AV49">
        <v>0</v>
      </c>
      <c r="AW49">
        <v>1</v>
      </c>
      <c r="AX49">
        <v>-1</v>
      </c>
      <c r="AY49">
        <v>0</v>
      </c>
      <c r="AZ49">
        <v>0</v>
      </c>
      <c r="BA49" t="s">
        <v>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CX49">
        <f>Y49*Source!I133</f>
        <v>0.99999900000000008</v>
      </c>
      <c r="CY49">
        <f>AA49</f>
        <v>281.08999999999997</v>
      </c>
      <c r="CZ49">
        <f>AE49</f>
        <v>77.010000000000005</v>
      </c>
      <c r="DA49">
        <f>AI49</f>
        <v>3.65</v>
      </c>
      <c r="DB49">
        <f t="shared" ref="DB49:DB71" si="2">ROUND(ROUND(AT49*CZ49,2),2)</f>
        <v>5.92</v>
      </c>
      <c r="DC49">
        <f t="shared" ref="DC49:DC71" si="3">ROUND(ROUND(AT49*AG49,2),2)</f>
        <v>0</v>
      </c>
    </row>
    <row r="50" spans="1:107" x14ac:dyDescent="0.2">
      <c r="A50">
        <f>ROW(Source!A133)</f>
        <v>133</v>
      </c>
      <c r="B50">
        <v>44002026</v>
      </c>
      <c r="C50">
        <v>44002382</v>
      </c>
      <c r="D50">
        <v>31514063</v>
      </c>
      <c r="E50">
        <v>1</v>
      </c>
      <c r="F50">
        <v>1</v>
      </c>
      <c r="G50">
        <v>31452184</v>
      </c>
      <c r="H50">
        <v>3</v>
      </c>
      <c r="I50" t="s">
        <v>270</v>
      </c>
      <c r="J50" t="s">
        <v>272</v>
      </c>
      <c r="K50" t="s">
        <v>274</v>
      </c>
      <c r="L50">
        <v>1354</v>
      </c>
      <c r="N50">
        <v>1010</v>
      </c>
      <c r="O50" t="s">
        <v>209</v>
      </c>
      <c r="P50" t="s">
        <v>209</v>
      </c>
      <c r="Q50">
        <v>1</v>
      </c>
      <c r="W50">
        <v>0</v>
      </c>
      <c r="X50">
        <v>-134416926</v>
      </c>
      <c r="Y50">
        <v>0.30769200000000002</v>
      </c>
      <c r="AA50">
        <v>281.08999999999997</v>
      </c>
      <c r="AB50">
        <v>0</v>
      </c>
      <c r="AC50">
        <v>0</v>
      </c>
      <c r="AD50">
        <v>0</v>
      </c>
      <c r="AE50">
        <v>77.010000000000005</v>
      </c>
      <c r="AF50">
        <v>0</v>
      </c>
      <c r="AG50">
        <v>0</v>
      </c>
      <c r="AH50">
        <v>0</v>
      </c>
      <c r="AI50">
        <v>3.65</v>
      </c>
      <c r="AJ50">
        <v>1</v>
      </c>
      <c r="AK50">
        <v>1</v>
      </c>
      <c r="AL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3</v>
      </c>
      <c r="AT50">
        <v>0.30769200000000002</v>
      </c>
      <c r="AU50" t="s">
        <v>3</v>
      </c>
      <c r="AV50">
        <v>0</v>
      </c>
      <c r="AW50">
        <v>1</v>
      </c>
      <c r="AX50">
        <v>-1</v>
      </c>
      <c r="AY50">
        <v>0</v>
      </c>
      <c r="AZ50">
        <v>0</v>
      </c>
      <c r="BA50" t="s">
        <v>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CX50">
        <f>Y50*Source!I133</f>
        <v>3.9999960000000003</v>
      </c>
      <c r="CY50">
        <f>AA50</f>
        <v>281.08999999999997</v>
      </c>
      <c r="CZ50">
        <f>AE50</f>
        <v>77.010000000000005</v>
      </c>
      <c r="DA50">
        <f>AI50</f>
        <v>3.65</v>
      </c>
      <c r="DB50">
        <f t="shared" si="2"/>
        <v>23.7</v>
      </c>
      <c r="DC50">
        <f t="shared" si="3"/>
        <v>0</v>
      </c>
    </row>
    <row r="51" spans="1:107" x14ac:dyDescent="0.2">
      <c r="A51">
        <f>ROW(Source!A133)</f>
        <v>133</v>
      </c>
      <c r="B51">
        <v>44002026</v>
      </c>
      <c r="C51">
        <v>44002382</v>
      </c>
      <c r="D51">
        <v>31514066</v>
      </c>
      <c r="E51">
        <v>1</v>
      </c>
      <c r="F51">
        <v>1</v>
      </c>
      <c r="G51">
        <v>31452184</v>
      </c>
      <c r="H51">
        <v>3</v>
      </c>
      <c r="I51" t="s">
        <v>266</v>
      </c>
      <c r="J51" t="s">
        <v>268</v>
      </c>
      <c r="K51" t="s">
        <v>267</v>
      </c>
      <c r="L51">
        <v>1354</v>
      </c>
      <c r="N51">
        <v>1010</v>
      </c>
      <c r="O51" t="s">
        <v>209</v>
      </c>
      <c r="P51" t="s">
        <v>209</v>
      </c>
      <c r="Q51">
        <v>1</v>
      </c>
      <c r="W51">
        <v>0</v>
      </c>
      <c r="X51">
        <v>-31680573</v>
      </c>
      <c r="Y51">
        <v>0.461538</v>
      </c>
      <c r="AA51">
        <v>919.7</v>
      </c>
      <c r="AB51">
        <v>0</v>
      </c>
      <c r="AC51">
        <v>0</v>
      </c>
      <c r="AD51">
        <v>0</v>
      </c>
      <c r="AE51">
        <v>256.89999999999998</v>
      </c>
      <c r="AF51">
        <v>0</v>
      </c>
      <c r="AG51">
        <v>0</v>
      </c>
      <c r="AH51">
        <v>0</v>
      </c>
      <c r="AI51">
        <v>3.58</v>
      </c>
      <c r="AJ51">
        <v>1</v>
      </c>
      <c r="AK51">
        <v>1</v>
      </c>
      <c r="AL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3</v>
      </c>
      <c r="AT51">
        <v>0.461538</v>
      </c>
      <c r="AU51" t="s">
        <v>3</v>
      </c>
      <c r="AV51">
        <v>0</v>
      </c>
      <c r="AW51">
        <v>1</v>
      </c>
      <c r="AX51">
        <v>-1</v>
      </c>
      <c r="AY51">
        <v>0</v>
      </c>
      <c r="AZ51">
        <v>0</v>
      </c>
      <c r="BA51" t="s">
        <v>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CX51">
        <f>Y51*Source!I133</f>
        <v>5.999994</v>
      </c>
      <c r="CY51">
        <f>AA51</f>
        <v>919.7</v>
      </c>
      <c r="CZ51">
        <f>AE51</f>
        <v>256.89999999999998</v>
      </c>
      <c r="DA51">
        <f>AI51</f>
        <v>3.58</v>
      </c>
      <c r="DB51">
        <f t="shared" si="2"/>
        <v>118.57</v>
      </c>
      <c r="DC51">
        <f t="shared" si="3"/>
        <v>0</v>
      </c>
    </row>
    <row r="52" spans="1:107" x14ac:dyDescent="0.2">
      <c r="A52">
        <f>ROW(Source!A133)</f>
        <v>133</v>
      </c>
      <c r="B52">
        <v>44002026</v>
      </c>
      <c r="C52">
        <v>44002382</v>
      </c>
      <c r="D52">
        <v>31514067</v>
      </c>
      <c r="E52">
        <v>1</v>
      </c>
      <c r="F52">
        <v>1</v>
      </c>
      <c r="G52">
        <v>31452184</v>
      </c>
      <c r="H52">
        <v>3</v>
      </c>
      <c r="I52" t="s">
        <v>262</v>
      </c>
      <c r="J52" t="s">
        <v>264</v>
      </c>
      <c r="K52" t="s">
        <v>263</v>
      </c>
      <c r="L52">
        <v>1354</v>
      </c>
      <c r="N52">
        <v>1010</v>
      </c>
      <c r="O52" t="s">
        <v>209</v>
      </c>
      <c r="P52" t="s">
        <v>209</v>
      </c>
      <c r="Q52">
        <v>1</v>
      </c>
      <c r="W52">
        <v>0</v>
      </c>
      <c r="X52">
        <v>-166357622</v>
      </c>
      <c r="Y52">
        <v>7.6923000000000005E-2</v>
      </c>
      <c r="AA52">
        <v>1155.56</v>
      </c>
      <c r="AB52">
        <v>0</v>
      </c>
      <c r="AC52">
        <v>0</v>
      </c>
      <c r="AD52">
        <v>0</v>
      </c>
      <c r="AE52">
        <v>295.54000000000002</v>
      </c>
      <c r="AF52">
        <v>0</v>
      </c>
      <c r="AG52">
        <v>0</v>
      </c>
      <c r="AH52">
        <v>0</v>
      </c>
      <c r="AI52">
        <v>3.91</v>
      </c>
      <c r="AJ52">
        <v>1</v>
      </c>
      <c r="AK52">
        <v>1</v>
      </c>
      <c r="AL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3</v>
      </c>
      <c r="AT52">
        <v>7.6923000000000005E-2</v>
      </c>
      <c r="AU52" t="s">
        <v>3</v>
      </c>
      <c r="AV52">
        <v>0</v>
      </c>
      <c r="AW52">
        <v>1</v>
      </c>
      <c r="AX52">
        <v>-1</v>
      </c>
      <c r="AY52">
        <v>0</v>
      </c>
      <c r="AZ52">
        <v>0</v>
      </c>
      <c r="BA52" t="s">
        <v>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CX52">
        <f>Y52*Source!I133</f>
        <v>0.99999900000000008</v>
      </c>
      <c r="CY52">
        <f>AA52</f>
        <v>1155.56</v>
      </c>
      <c r="CZ52">
        <f>AE52</f>
        <v>295.54000000000002</v>
      </c>
      <c r="DA52">
        <f>AI52</f>
        <v>3.91</v>
      </c>
      <c r="DB52">
        <f t="shared" si="2"/>
        <v>22.73</v>
      </c>
      <c r="DC52">
        <f t="shared" si="3"/>
        <v>0</v>
      </c>
    </row>
    <row r="53" spans="1:107" x14ac:dyDescent="0.2">
      <c r="A53">
        <f>ROW(Source!A133)</f>
        <v>133</v>
      </c>
      <c r="B53">
        <v>44002026</v>
      </c>
      <c r="C53">
        <v>44002382</v>
      </c>
      <c r="D53">
        <v>0</v>
      </c>
      <c r="E53">
        <v>0</v>
      </c>
      <c r="F53">
        <v>1</v>
      </c>
      <c r="G53">
        <v>31452184</v>
      </c>
      <c r="H53">
        <v>3</v>
      </c>
      <c r="I53" t="s">
        <v>276</v>
      </c>
      <c r="J53" t="s">
        <v>3</v>
      </c>
      <c r="K53" t="s">
        <v>277</v>
      </c>
      <c r="L53">
        <v>3677</v>
      </c>
      <c r="N53">
        <v>1010</v>
      </c>
      <c r="O53" t="s">
        <v>209</v>
      </c>
      <c r="P53" t="s">
        <v>210</v>
      </c>
      <c r="Q53">
        <v>1</v>
      </c>
      <c r="W53">
        <v>0</v>
      </c>
      <c r="X53">
        <v>-1958887544</v>
      </c>
      <c r="Y53">
        <v>7.6923000000000005E-2</v>
      </c>
      <c r="AA53">
        <v>615.01</v>
      </c>
      <c r="AB53">
        <v>0</v>
      </c>
      <c r="AC53">
        <v>0</v>
      </c>
      <c r="AD53">
        <v>0</v>
      </c>
      <c r="AE53">
        <v>113.26</v>
      </c>
      <c r="AF53">
        <v>0</v>
      </c>
      <c r="AG53">
        <v>0</v>
      </c>
      <c r="AH53">
        <v>0</v>
      </c>
      <c r="AI53">
        <v>5.43</v>
      </c>
      <c r="AJ53">
        <v>1</v>
      </c>
      <c r="AK53">
        <v>1</v>
      </c>
      <c r="AL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3</v>
      </c>
      <c r="AT53">
        <v>7.6923000000000005E-2</v>
      </c>
      <c r="AU53" t="s">
        <v>3</v>
      </c>
      <c r="AV53">
        <v>0</v>
      </c>
      <c r="AW53">
        <v>1</v>
      </c>
      <c r="AX53">
        <v>-1</v>
      </c>
      <c r="AY53">
        <v>0</v>
      </c>
      <c r="AZ53">
        <v>0</v>
      </c>
      <c r="BA53" t="s">
        <v>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CX53">
        <f>Y53*Source!I133</f>
        <v>0.99999900000000008</v>
      </c>
      <c r="CY53">
        <f>AA53</f>
        <v>615.01</v>
      </c>
      <c r="CZ53">
        <f>AE53</f>
        <v>113.26</v>
      </c>
      <c r="DA53">
        <f>AI53</f>
        <v>5.43</v>
      </c>
      <c r="DB53">
        <f t="shared" si="2"/>
        <v>8.7100000000000009</v>
      </c>
      <c r="DC53">
        <f t="shared" si="3"/>
        <v>0</v>
      </c>
    </row>
    <row r="54" spans="1:107" x14ac:dyDescent="0.2">
      <c r="A54">
        <f>ROW(Source!A139)</f>
        <v>139</v>
      </c>
      <c r="B54">
        <v>44002026</v>
      </c>
      <c r="C54">
        <v>44002395</v>
      </c>
      <c r="D54">
        <v>31452189</v>
      </c>
      <c r="E54">
        <v>31452184</v>
      </c>
      <c r="F54">
        <v>1</v>
      </c>
      <c r="G54">
        <v>31452184</v>
      </c>
      <c r="H54">
        <v>1</v>
      </c>
      <c r="I54" t="s">
        <v>357</v>
      </c>
      <c r="J54" t="s">
        <v>3</v>
      </c>
      <c r="K54" t="s">
        <v>358</v>
      </c>
      <c r="L54">
        <v>1191</v>
      </c>
      <c r="N54">
        <v>1013</v>
      </c>
      <c r="O54" t="s">
        <v>359</v>
      </c>
      <c r="P54" t="s">
        <v>359</v>
      </c>
      <c r="Q54">
        <v>1</v>
      </c>
      <c r="W54">
        <v>0</v>
      </c>
      <c r="X54">
        <v>476480486</v>
      </c>
      <c r="Y54">
        <v>1.03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 t="s">
        <v>3</v>
      </c>
      <c r="AT54">
        <v>1.03</v>
      </c>
      <c r="AU54" t="s">
        <v>3</v>
      </c>
      <c r="AV54">
        <v>1</v>
      </c>
      <c r="AW54">
        <v>2</v>
      </c>
      <c r="AX54">
        <v>44002399</v>
      </c>
      <c r="AY54">
        <v>1</v>
      </c>
      <c r="AZ54">
        <v>0</v>
      </c>
      <c r="BA54">
        <v>38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CX54">
        <f>Y54*Source!I139</f>
        <v>5.15</v>
      </c>
      <c r="CY54">
        <f>AD54</f>
        <v>0</v>
      </c>
      <c r="CZ54">
        <f>AH54</f>
        <v>0</v>
      </c>
      <c r="DA54">
        <f>AL54</f>
        <v>1</v>
      </c>
      <c r="DB54">
        <f t="shared" si="2"/>
        <v>0</v>
      </c>
      <c r="DC54">
        <f t="shared" si="3"/>
        <v>0</v>
      </c>
    </row>
    <row r="55" spans="1:107" x14ac:dyDescent="0.2">
      <c r="A55">
        <f>ROW(Source!A139)</f>
        <v>139</v>
      </c>
      <c r="B55">
        <v>44002026</v>
      </c>
      <c r="C55">
        <v>44002395</v>
      </c>
      <c r="D55">
        <v>31513628</v>
      </c>
      <c r="E55">
        <v>1</v>
      </c>
      <c r="F55">
        <v>1</v>
      </c>
      <c r="G55">
        <v>31452184</v>
      </c>
      <c r="H55">
        <v>3</v>
      </c>
      <c r="I55" t="s">
        <v>286</v>
      </c>
      <c r="J55" t="s">
        <v>288</v>
      </c>
      <c r="K55" t="s">
        <v>287</v>
      </c>
      <c r="L55">
        <v>1354</v>
      </c>
      <c r="N55">
        <v>1010</v>
      </c>
      <c r="O55" t="s">
        <v>209</v>
      </c>
      <c r="P55" t="s">
        <v>209</v>
      </c>
      <c r="Q55">
        <v>1</v>
      </c>
      <c r="W55">
        <v>0</v>
      </c>
      <c r="X55">
        <v>1061999</v>
      </c>
      <c r="Y55">
        <v>0.6</v>
      </c>
      <c r="AA55">
        <v>2543.42</v>
      </c>
      <c r="AB55">
        <v>0</v>
      </c>
      <c r="AC55">
        <v>0</v>
      </c>
      <c r="AD55">
        <v>0</v>
      </c>
      <c r="AE55">
        <v>362.31</v>
      </c>
      <c r="AF55">
        <v>0</v>
      </c>
      <c r="AG55">
        <v>0</v>
      </c>
      <c r="AH55">
        <v>0</v>
      </c>
      <c r="AI55">
        <v>7.02</v>
      </c>
      <c r="AJ55">
        <v>1</v>
      </c>
      <c r="AK55">
        <v>1</v>
      </c>
      <c r="AL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3</v>
      </c>
      <c r="AT55">
        <v>0.6</v>
      </c>
      <c r="AU55" t="s">
        <v>3</v>
      </c>
      <c r="AV55">
        <v>0</v>
      </c>
      <c r="AW55">
        <v>1</v>
      </c>
      <c r="AX55">
        <v>-1</v>
      </c>
      <c r="AY55">
        <v>0</v>
      </c>
      <c r="AZ55">
        <v>0</v>
      </c>
      <c r="BA55" t="s">
        <v>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CX55">
        <f>Y55*Source!I139</f>
        <v>3</v>
      </c>
      <c r="CY55">
        <f>AA55</f>
        <v>2543.42</v>
      </c>
      <c r="CZ55">
        <f>AE55</f>
        <v>362.31</v>
      </c>
      <c r="DA55">
        <f>AI55</f>
        <v>7.02</v>
      </c>
      <c r="DB55">
        <f t="shared" si="2"/>
        <v>217.39</v>
      </c>
      <c r="DC55">
        <f t="shared" si="3"/>
        <v>0</v>
      </c>
    </row>
    <row r="56" spans="1:107" x14ac:dyDescent="0.2">
      <c r="A56">
        <f>ROW(Source!A139)</f>
        <v>139</v>
      </c>
      <c r="B56">
        <v>44002026</v>
      </c>
      <c r="C56">
        <v>44002395</v>
      </c>
      <c r="D56">
        <v>31513632</v>
      </c>
      <c r="E56">
        <v>1</v>
      </c>
      <c r="F56">
        <v>1</v>
      </c>
      <c r="G56">
        <v>31452184</v>
      </c>
      <c r="H56">
        <v>3</v>
      </c>
      <c r="I56" t="s">
        <v>290</v>
      </c>
      <c r="J56" t="s">
        <v>292</v>
      </c>
      <c r="K56" t="s">
        <v>291</v>
      </c>
      <c r="L56">
        <v>1354</v>
      </c>
      <c r="N56">
        <v>1010</v>
      </c>
      <c r="O56" t="s">
        <v>209</v>
      </c>
      <c r="P56" t="s">
        <v>209</v>
      </c>
      <c r="Q56">
        <v>1</v>
      </c>
      <c r="W56">
        <v>0</v>
      </c>
      <c r="X56">
        <v>-713965678</v>
      </c>
      <c r="Y56">
        <v>0.4</v>
      </c>
      <c r="AA56">
        <v>3187.11</v>
      </c>
      <c r="AB56">
        <v>0</v>
      </c>
      <c r="AC56">
        <v>0</v>
      </c>
      <c r="AD56">
        <v>0</v>
      </c>
      <c r="AE56">
        <v>344.18</v>
      </c>
      <c r="AF56">
        <v>0</v>
      </c>
      <c r="AG56">
        <v>0</v>
      </c>
      <c r="AH56">
        <v>0</v>
      </c>
      <c r="AI56">
        <v>9.26</v>
      </c>
      <c r="AJ56">
        <v>1</v>
      </c>
      <c r="AK56">
        <v>1</v>
      </c>
      <c r="AL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3</v>
      </c>
      <c r="AT56">
        <v>0.4</v>
      </c>
      <c r="AU56" t="s">
        <v>3</v>
      </c>
      <c r="AV56">
        <v>0</v>
      </c>
      <c r="AW56">
        <v>1</v>
      </c>
      <c r="AX56">
        <v>-1</v>
      </c>
      <c r="AY56">
        <v>0</v>
      </c>
      <c r="AZ56">
        <v>0</v>
      </c>
      <c r="BA56" t="s">
        <v>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CX56">
        <f>Y56*Source!I139</f>
        <v>2</v>
      </c>
      <c r="CY56">
        <f>AA56</f>
        <v>3187.11</v>
      </c>
      <c r="CZ56">
        <f>AE56</f>
        <v>344.18</v>
      </c>
      <c r="DA56">
        <f>AI56</f>
        <v>9.26</v>
      </c>
      <c r="DB56">
        <f t="shared" si="2"/>
        <v>137.66999999999999</v>
      </c>
      <c r="DC56">
        <f t="shared" si="3"/>
        <v>0</v>
      </c>
    </row>
    <row r="57" spans="1:107" x14ac:dyDescent="0.2">
      <c r="A57">
        <f>ROW(Source!A142)</f>
        <v>142</v>
      </c>
      <c r="B57">
        <v>44002026</v>
      </c>
      <c r="C57">
        <v>44002402</v>
      </c>
      <c r="D57">
        <v>31452189</v>
      </c>
      <c r="E57">
        <v>31452184</v>
      </c>
      <c r="F57">
        <v>1</v>
      </c>
      <c r="G57">
        <v>31452184</v>
      </c>
      <c r="H57">
        <v>1</v>
      </c>
      <c r="I57" t="s">
        <v>357</v>
      </c>
      <c r="J57" t="s">
        <v>3</v>
      </c>
      <c r="K57" t="s">
        <v>358</v>
      </c>
      <c r="L57">
        <v>1191</v>
      </c>
      <c r="N57">
        <v>1013</v>
      </c>
      <c r="O57" t="s">
        <v>359</v>
      </c>
      <c r="P57" t="s">
        <v>359</v>
      </c>
      <c r="Q57">
        <v>1</v>
      </c>
      <c r="W57">
        <v>0</v>
      </c>
      <c r="X57">
        <v>476480486</v>
      </c>
      <c r="Y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 t="s">
        <v>3</v>
      </c>
      <c r="AT57">
        <v>0.5</v>
      </c>
      <c r="AU57" t="s">
        <v>3</v>
      </c>
      <c r="AV57">
        <v>1</v>
      </c>
      <c r="AW57">
        <v>2</v>
      </c>
      <c r="AX57">
        <v>44002406</v>
      </c>
      <c r="AY57">
        <v>1</v>
      </c>
      <c r="AZ57">
        <v>0</v>
      </c>
      <c r="BA57">
        <v>39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CX57">
        <f>Y57*Source!I142</f>
        <v>0.5</v>
      </c>
      <c r="CY57">
        <f>AD57</f>
        <v>0</v>
      </c>
      <c r="CZ57">
        <f>AH57</f>
        <v>0</v>
      </c>
      <c r="DA57">
        <f>AL57</f>
        <v>1</v>
      </c>
      <c r="DB57">
        <f t="shared" si="2"/>
        <v>0</v>
      </c>
      <c r="DC57">
        <f t="shared" si="3"/>
        <v>0</v>
      </c>
    </row>
    <row r="58" spans="1:107" x14ac:dyDescent="0.2">
      <c r="A58">
        <f>ROW(Source!A142)</f>
        <v>142</v>
      </c>
      <c r="B58">
        <v>44002026</v>
      </c>
      <c r="C58">
        <v>44002402</v>
      </c>
      <c r="D58">
        <v>31513528</v>
      </c>
      <c r="E58">
        <v>1</v>
      </c>
      <c r="F58">
        <v>1</v>
      </c>
      <c r="G58">
        <v>31452184</v>
      </c>
      <c r="H58">
        <v>3</v>
      </c>
      <c r="I58" t="s">
        <v>300</v>
      </c>
      <c r="J58" t="s">
        <v>302</v>
      </c>
      <c r="K58" t="s">
        <v>301</v>
      </c>
      <c r="L58">
        <v>1354</v>
      </c>
      <c r="N58">
        <v>1010</v>
      </c>
      <c r="O58" t="s">
        <v>209</v>
      </c>
      <c r="P58" t="s">
        <v>209</v>
      </c>
      <c r="Q58">
        <v>1</v>
      </c>
      <c r="W58">
        <v>0</v>
      </c>
      <c r="X58">
        <v>1756658100</v>
      </c>
      <c r="Y58">
        <v>1</v>
      </c>
      <c r="AA58">
        <v>553.15</v>
      </c>
      <c r="AB58">
        <v>0</v>
      </c>
      <c r="AC58">
        <v>0</v>
      </c>
      <c r="AD58">
        <v>0</v>
      </c>
      <c r="AE58">
        <v>106.17</v>
      </c>
      <c r="AF58">
        <v>0</v>
      </c>
      <c r="AG58">
        <v>0</v>
      </c>
      <c r="AH58">
        <v>0</v>
      </c>
      <c r="AI58">
        <v>5.21</v>
      </c>
      <c r="AJ58">
        <v>1</v>
      </c>
      <c r="AK58">
        <v>1</v>
      </c>
      <c r="AL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3</v>
      </c>
      <c r="AT58">
        <v>1</v>
      </c>
      <c r="AU58" t="s">
        <v>3</v>
      </c>
      <c r="AV58">
        <v>0</v>
      </c>
      <c r="AW58">
        <v>1</v>
      </c>
      <c r="AX58">
        <v>-1</v>
      </c>
      <c r="AY58">
        <v>0</v>
      </c>
      <c r="AZ58">
        <v>0</v>
      </c>
      <c r="BA58" t="s">
        <v>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CX58">
        <f>Y58*Source!I142</f>
        <v>1</v>
      </c>
      <c r="CY58">
        <f>AA58</f>
        <v>553.15</v>
      </c>
      <c r="CZ58">
        <f>AE58</f>
        <v>106.17</v>
      </c>
      <c r="DA58">
        <f>AI58</f>
        <v>5.21</v>
      </c>
      <c r="DB58">
        <f t="shared" si="2"/>
        <v>106.17</v>
      </c>
      <c r="DC58">
        <f t="shared" si="3"/>
        <v>0</v>
      </c>
    </row>
    <row r="59" spans="1:107" x14ac:dyDescent="0.2">
      <c r="A59">
        <f>ROW(Source!A142)</f>
        <v>142</v>
      </c>
      <c r="B59">
        <v>44002026</v>
      </c>
      <c r="C59">
        <v>44002402</v>
      </c>
      <c r="D59">
        <v>31473947</v>
      </c>
      <c r="E59">
        <v>31452184</v>
      </c>
      <c r="F59">
        <v>1</v>
      </c>
      <c r="G59">
        <v>31452184</v>
      </c>
      <c r="H59">
        <v>3</v>
      </c>
      <c r="I59" t="s">
        <v>407</v>
      </c>
      <c r="J59" t="s">
        <v>3</v>
      </c>
      <c r="K59" t="s">
        <v>408</v>
      </c>
      <c r="L59">
        <v>1348</v>
      </c>
      <c r="N59">
        <v>1009</v>
      </c>
      <c r="O59" t="s">
        <v>32</v>
      </c>
      <c r="P59" t="s">
        <v>32</v>
      </c>
      <c r="Q59">
        <v>1000</v>
      </c>
      <c r="W59">
        <v>0</v>
      </c>
      <c r="X59">
        <v>-783086922</v>
      </c>
      <c r="Y59">
        <v>1E-3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 t="s">
        <v>3</v>
      </c>
      <c r="AT59">
        <v>1E-3</v>
      </c>
      <c r="AU59" t="s">
        <v>3</v>
      </c>
      <c r="AV59">
        <v>0</v>
      </c>
      <c r="AW59">
        <v>2</v>
      </c>
      <c r="AX59">
        <v>44002407</v>
      </c>
      <c r="AY59">
        <v>1</v>
      </c>
      <c r="AZ59">
        <v>0</v>
      </c>
      <c r="BA59">
        <v>40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CX59">
        <f>Y59*Source!I142</f>
        <v>1E-3</v>
      </c>
      <c r="CY59">
        <f>AA59</f>
        <v>0</v>
      </c>
      <c r="CZ59">
        <f>AE59</f>
        <v>0</v>
      </c>
      <c r="DA59">
        <f>AI59</f>
        <v>1</v>
      </c>
      <c r="DB59">
        <f t="shared" si="2"/>
        <v>0</v>
      </c>
      <c r="DC59">
        <f t="shared" si="3"/>
        <v>0</v>
      </c>
    </row>
    <row r="60" spans="1:107" x14ac:dyDescent="0.2">
      <c r="A60">
        <f>ROW(Source!A144)</f>
        <v>144</v>
      </c>
      <c r="B60">
        <v>44002026</v>
      </c>
      <c r="C60">
        <v>44002409</v>
      </c>
      <c r="D60">
        <v>31452189</v>
      </c>
      <c r="E60">
        <v>31452184</v>
      </c>
      <c r="F60">
        <v>1</v>
      </c>
      <c r="G60">
        <v>31452184</v>
      </c>
      <c r="H60">
        <v>1</v>
      </c>
      <c r="I60" t="s">
        <v>357</v>
      </c>
      <c r="J60" t="s">
        <v>3</v>
      </c>
      <c r="K60" t="s">
        <v>358</v>
      </c>
      <c r="L60">
        <v>1191</v>
      </c>
      <c r="N60">
        <v>1013</v>
      </c>
      <c r="O60" t="s">
        <v>359</v>
      </c>
      <c r="P60" t="s">
        <v>359</v>
      </c>
      <c r="Q60">
        <v>1</v>
      </c>
      <c r="W60">
        <v>0</v>
      </c>
      <c r="X60">
        <v>476480486</v>
      </c>
      <c r="Y60">
        <v>0.93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 t="s">
        <v>3</v>
      </c>
      <c r="AT60">
        <v>0.93</v>
      </c>
      <c r="AU60" t="s">
        <v>3</v>
      </c>
      <c r="AV60">
        <v>1</v>
      </c>
      <c r="AW60">
        <v>2</v>
      </c>
      <c r="AX60">
        <v>44002412</v>
      </c>
      <c r="AY60">
        <v>1</v>
      </c>
      <c r="AZ60">
        <v>0</v>
      </c>
      <c r="BA60">
        <v>41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CX60">
        <f>Y60*Source!I144</f>
        <v>1.86</v>
      </c>
      <c r="CY60">
        <f>AD60</f>
        <v>0</v>
      </c>
      <c r="CZ60">
        <f>AH60</f>
        <v>0</v>
      </c>
      <c r="DA60">
        <f>AL60</f>
        <v>1</v>
      </c>
      <c r="DB60">
        <f t="shared" si="2"/>
        <v>0</v>
      </c>
      <c r="DC60">
        <f t="shared" si="3"/>
        <v>0</v>
      </c>
    </row>
    <row r="61" spans="1:107" x14ac:dyDescent="0.2">
      <c r="A61">
        <f>ROW(Source!A144)</f>
        <v>144</v>
      </c>
      <c r="B61">
        <v>44002026</v>
      </c>
      <c r="C61">
        <v>44002409</v>
      </c>
      <c r="D61">
        <v>0</v>
      </c>
      <c r="E61">
        <v>0</v>
      </c>
      <c r="F61">
        <v>1</v>
      </c>
      <c r="G61">
        <v>31452184</v>
      </c>
      <c r="H61">
        <v>3</v>
      </c>
      <c r="I61" t="s">
        <v>308</v>
      </c>
      <c r="J61" t="s">
        <v>3</v>
      </c>
      <c r="K61" t="s">
        <v>309</v>
      </c>
      <c r="L61">
        <v>3677</v>
      </c>
      <c r="N61">
        <v>1010</v>
      </c>
      <c r="O61" t="s">
        <v>209</v>
      </c>
      <c r="P61" t="s">
        <v>210</v>
      </c>
      <c r="Q61">
        <v>1</v>
      </c>
      <c r="W61">
        <v>0</v>
      </c>
      <c r="X61">
        <v>1188112444</v>
      </c>
      <c r="Y61">
        <v>1</v>
      </c>
      <c r="AA61">
        <v>3407.5149999999999</v>
      </c>
      <c r="AB61">
        <v>0</v>
      </c>
      <c r="AC61">
        <v>0</v>
      </c>
      <c r="AD61">
        <v>0</v>
      </c>
      <c r="AE61">
        <v>627.53</v>
      </c>
      <c r="AF61">
        <v>0</v>
      </c>
      <c r="AG61">
        <v>0</v>
      </c>
      <c r="AH61">
        <v>0</v>
      </c>
      <c r="AI61">
        <v>5.43</v>
      </c>
      <c r="AJ61">
        <v>1</v>
      </c>
      <c r="AK61">
        <v>1</v>
      </c>
      <c r="AL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3</v>
      </c>
      <c r="AT61">
        <v>1</v>
      </c>
      <c r="AU61" t="s">
        <v>3</v>
      </c>
      <c r="AV61">
        <v>0</v>
      </c>
      <c r="AW61">
        <v>1</v>
      </c>
      <c r="AX61">
        <v>-1</v>
      </c>
      <c r="AY61">
        <v>0</v>
      </c>
      <c r="AZ61">
        <v>0</v>
      </c>
      <c r="BA61" t="s">
        <v>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CX61">
        <f>Y61*Source!I144</f>
        <v>2</v>
      </c>
      <c r="CY61">
        <f>AA61</f>
        <v>3407.5149999999999</v>
      </c>
      <c r="CZ61">
        <f>AE61</f>
        <v>627.53</v>
      </c>
      <c r="DA61">
        <f>AI61</f>
        <v>5.43</v>
      </c>
      <c r="DB61">
        <f t="shared" si="2"/>
        <v>627.53</v>
      </c>
      <c r="DC61">
        <f t="shared" si="3"/>
        <v>0</v>
      </c>
    </row>
    <row r="62" spans="1:107" x14ac:dyDescent="0.2">
      <c r="A62">
        <f>ROW(Source!A146)</f>
        <v>146</v>
      </c>
      <c r="B62">
        <v>44002026</v>
      </c>
      <c r="C62">
        <v>44002414</v>
      </c>
      <c r="D62">
        <v>31452189</v>
      </c>
      <c r="E62">
        <v>31452184</v>
      </c>
      <c r="F62">
        <v>1</v>
      </c>
      <c r="G62">
        <v>31452184</v>
      </c>
      <c r="H62">
        <v>1</v>
      </c>
      <c r="I62" t="s">
        <v>357</v>
      </c>
      <c r="J62" t="s">
        <v>3</v>
      </c>
      <c r="K62" t="s">
        <v>358</v>
      </c>
      <c r="L62">
        <v>1191</v>
      </c>
      <c r="N62">
        <v>1013</v>
      </c>
      <c r="O62" t="s">
        <v>359</v>
      </c>
      <c r="P62" t="s">
        <v>359</v>
      </c>
      <c r="Q62">
        <v>1</v>
      </c>
      <c r="W62">
        <v>0</v>
      </c>
      <c r="X62">
        <v>476480486</v>
      </c>
      <c r="Y62">
        <v>1.02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 t="s">
        <v>3</v>
      </c>
      <c r="AT62">
        <v>1.02</v>
      </c>
      <c r="AU62" t="s">
        <v>3</v>
      </c>
      <c r="AV62">
        <v>1</v>
      </c>
      <c r="AW62">
        <v>2</v>
      </c>
      <c r="AX62">
        <v>44002417</v>
      </c>
      <c r="AY62">
        <v>1</v>
      </c>
      <c r="AZ62">
        <v>0</v>
      </c>
      <c r="BA62">
        <v>42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CX62">
        <f>Y62*Source!I146</f>
        <v>1.02</v>
      </c>
      <c r="CY62">
        <f>AD62</f>
        <v>0</v>
      </c>
      <c r="CZ62">
        <f>AH62</f>
        <v>0</v>
      </c>
      <c r="DA62">
        <f>AL62</f>
        <v>1</v>
      </c>
      <c r="DB62">
        <f t="shared" si="2"/>
        <v>0</v>
      </c>
      <c r="DC62">
        <f t="shared" si="3"/>
        <v>0</v>
      </c>
    </row>
    <row r="63" spans="1:107" x14ac:dyDescent="0.2">
      <c r="A63">
        <f>ROW(Source!A146)</f>
        <v>146</v>
      </c>
      <c r="B63">
        <v>44002026</v>
      </c>
      <c r="C63">
        <v>44002414</v>
      </c>
      <c r="D63">
        <v>31514074</v>
      </c>
      <c r="E63">
        <v>1</v>
      </c>
      <c r="F63">
        <v>1</v>
      </c>
      <c r="G63">
        <v>31452184</v>
      </c>
      <c r="H63">
        <v>3</v>
      </c>
      <c r="I63" t="s">
        <v>316</v>
      </c>
      <c r="J63" t="s">
        <v>318</v>
      </c>
      <c r="K63" t="s">
        <v>317</v>
      </c>
      <c r="L63">
        <v>1354</v>
      </c>
      <c r="N63">
        <v>1010</v>
      </c>
      <c r="O63" t="s">
        <v>209</v>
      </c>
      <c r="P63" t="s">
        <v>209</v>
      </c>
      <c r="Q63">
        <v>1</v>
      </c>
      <c r="W63">
        <v>0</v>
      </c>
      <c r="X63">
        <v>62615217</v>
      </c>
      <c r="Y63">
        <v>1</v>
      </c>
      <c r="AA63">
        <v>618.89</v>
      </c>
      <c r="AB63">
        <v>0</v>
      </c>
      <c r="AC63">
        <v>0</v>
      </c>
      <c r="AD63">
        <v>0</v>
      </c>
      <c r="AE63">
        <v>167.72</v>
      </c>
      <c r="AF63">
        <v>0</v>
      </c>
      <c r="AG63">
        <v>0</v>
      </c>
      <c r="AH63">
        <v>0</v>
      </c>
      <c r="AI63">
        <v>3.69</v>
      </c>
      <c r="AJ63">
        <v>1</v>
      </c>
      <c r="AK63">
        <v>1</v>
      </c>
      <c r="AL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3</v>
      </c>
      <c r="AT63">
        <v>1</v>
      </c>
      <c r="AU63" t="s">
        <v>3</v>
      </c>
      <c r="AV63">
        <v>0</v>
      </c>
      <c r="AW63">
        <v>1</v>
      </c>
      <c r="AX63">
        <v>-1</v>
      </c>
      <c r="AY63">
        <v>0</v>
      </c>
      <c r="AZ63">
        <v>0</v>
      </c>
      <c r="BA63" t="s">
        <v>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CX63">
        <f>Y63*Source!I146</f>
        <v>1</v>
      </c>
      <c r="CY63">
        <f>AA63</f>
        <v>618.89</v>
      </c>
      <c r="CZ63">
        <f>AE63</f>
        <v>167.72</v>
      </c>
      <c r="DA63">
        <f>AI63</f>
        <v>3.69</v>
      </c>
      <c r="DB63">
        <f t="shared" si="2"/>
        <v>167.72</v>
      </c>
      <c r="DC63">
        <f t="shared" si="3"/>
        <v>0</v>
      </c>
    </row>
    <row r="64" spans="1:107" x14ac:dyDescent="0.2">
      <c r="A64">
        <f>ROW(Source!A148)</f>
        <v>148</v>
      </c>
      <c r="B64">
        <v>44002026</v>
      </c>
      <c r="C64">
        <v>44002419</v>
      </c>
      <c r="D64">
        <v>31452189</v>
      </c>
      <c r="E64">
        <v>31452184</v>
      </c>
      <c r="F64">
        <v>1</v>
      </c>
      <c r="G64">
        <v>31452184</v>
      </c>
      <c r="H64">
        <v>1</v>
      </c>
      <c r="I64" t="s">
        <v>357</v>
      </c>
      <c r="J64" t="s">
        <v>3</v>
      </c>
      <c r="K64" t="s">
        <v>358</v>
      </c>
      <c r="L64">
        <v>1191</v>
      </c>
      <c r="N64">
        <v>1013</v>
      </c>
      <c r="O64" t="s">
        <v>359</v>
      </c>
      <c r="P64" t="s">
        <v>359</v>
      </c>
      <c r="Q64">
        <v>1</v>
      </c>
      <c r="W64">
        <v>0</v>
      </c>
      <c r="X64">
        <v>476480486</v>
      </c>
      <c r="Y64">
        <v>1.03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 t="s">
        <v>3</v>
      </c>
      <c r="AT64">
        <v>1.03</v>
      </c>
      <c r="AU64" t="s">
        <v>3</v>
      </c>
      <c r="AV64">
        <v>1</v>
      </c>
      <c r="AW64">
        <v>2</v>
      </c>
      <c r="AX64">
        <v>44002422</v>
      </c>
      <c r="AY64">
        <v>1</v>
      </c>
      <c r="AZ64">
        <v>0</v>
      </c>
      <c r="BA64">
        <v>43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CX64">
        <f>Y64*Source!I148</f>
        <v>1.03</v>
      </c>
      <c r="CY64">
        <f>AD64</f>
        <v>0</v>
      </c>
      <c r="CZ64">
        <f>AH64</f>
        <v>0</v>
      </c>
      <c r="DA64">
        <f>AL64</f>
        <v>1</v>
      </c>
      <c r="DB64">
        <f t="shared" si="2"/>
        <v>0</v>
      </c>
      <c r="DC64">
        <f t="shared" si="3"/>
        <v>0</v>
      </c>
    </row>
    <row r="65" spans="1:107" x14ac:dyDescent="0.2">
      <c r="A65">
        <f>ROW(Source!A148)</f>
        <v>148</v>
      </c>
      <c r="B65">
        <v>44002026</v>
      </c>
      <c r="C65">
        <v>44002419</v>
      </c>
      <c r="D65">
        <v>0</v>
      </c>
      <c r="E65">
        <v>0</v>
      </c>
      <c r="F65">
        <v>1</v>
      </c>
      <c r="G65">
        <v>31452184</v>
      </c>
      <c r="H65">
        <v>3</v>
      </c>
      <c r="I65" t="s">
        <v>324</v>
      </c>
      <c r="J65" t="s">
        <v>3</v>
      </c>
      <c r="K65" t="s">
        <v>325</v>
      </c>
      <c r="L65">
        <v>3677</v>
      </c>
      <c r="N65">
        <v>1010</v>
      </c>
      <c r="O65" t="s">
        <v>209</v>
      </c>
      <c r="P65" t="s">
        <v>210</v>
      </c>
      <c r="Q65">
        <v>1</v>
      </c>
      <c r="W65">
        <v>0</v>
      </c>
      <c r="X65">
        <v>387128999</v>
      </c>
      <c r="Y65">
        <v>1</v>
      </c>
      <c r="AA65">
        <v>3488.88</v>
      </c>
      <c r="AB65">
        <v>0</v>
      </c>
      <c r="AC65">
        <v>0</v>
      </c>
      <c r="AD65">
        <v>0</v>
      </c>
      <c r="AE65">
        <v>642.52</v>
      </c>
      <c r="AF65">
        <v>0</v>
      </c>
      <c r="AG65">
        <v>0</v>
      </c>
      <c r="AH65">
        <v>0</v>
      </c>
      <c r="AI65">
        <v>5.43</v>
      </c>
      <c r="AJ65">
        <v>1</v>
      </c>
      <c r="AK65">
        <v>1</v>
      </c>
      <c r="AL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3</v>
      </c>
      <c r="AT65">
        <v>1</v>
      </c>
      <c r="AU65" t="s">
        <v>3</v>
      </c>
      <c r="AV65">
        <v>0</v>
      </c>
      <c r="AW65">
        <v>1</v>
      </c>
      <c r="AX65">
        <v>-1</v>
      </c>
      <c r="AY65">
        <v>0</v>
      </c>
      <c r="AZ65">
        <v>0</v>
      </c>
      <c r="BA65" t="s">
        <v>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CX65">
        <f>Y65*Source!I148</f>
        <v>1</v>
      </c>
      <c r="CY65">
        <f>AA65</f>
        <v>3488.88</v>
      </c>
      <c r="CZ65">
        <f>AE65</f>
        <v>642.52</v>
      </c>
      <c r="DA65">
        <f>AI65</f>
        <v>5.43</v>
      </c>
      <c r="DB65">
        <f t="shared" si="2"/>
        <v>642.52</v>
      </c>
      <c r="DC65">
        <f t="shared" si="3"/>
        <v>0</v>
      </c>
    </row>
    <row r="66" spans="1:107" x14ac:dyDescent="0.2">
      <c r="A66">
        <f>ROW(Source!A150)</f>
        <v>150</v>
      </c>
      <c r="B66">
        <v>44002026</v>
      </c>
      <c r="C66">
        <v>44002424</v>
      </c>
      <c r="D66">
        <v>31452189</v>
      </c>
      <c r="E66">
        <v>31452184</v>
      </c>
      <c r="F66">
        <v>1</v>
      </c>
      <c r="G66">
        <v>31452184</v>
      </c>
      <c r="H66">
        <v>1</v>
      </c>
      <c r="I66" t="s">
        <v>357</v>
      </c>
      <c r="J66" t="s">
        <v>3</v>
      </c>
      <c r="K66" t="s">
        <v>358</v>
      </c>
      <c r="L66">
        <v>1191</v>
      </c>
      <c r="N66">
        <v>1013</v>
      </c>
      <c r="O66" t="s">
        <v>359</v>
      </c>
      <c r="P66" t="s">
        <v>359</v>
      </c>
      <c r="Q66">
        <v>1</v>
      </c>
      <c r="W66">
        <v>0</v>
      </c>
      <c r="X66">
        <v>476480486</v>
      </c>
      <c r="Y66">
        <v>70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 t="s">
        <v>3</v>
      </c>
      <c r="AT66">
        <v>70</v>
      </c>
      <c r="AU66" t="s">
        <v>3</v>
      </c>
      <c r="AV66">
        <v>1</v>
      </c>
      <c r="AW66">
        <v>2</v>
      </c>
      <c r="AX66">
        <v>44002427</v>
      </c>
      <c r="AY66">
        <v>1</v>
      </c>
      <c r="AZ66">
        <v>0</v>
      </c>
      <c r="BA66">
        <v>44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CX66">
        <f>Y66*Source!I150</f>
        <v>1.4000000000000001</v>
      </c>
      <c r="CY66">
        <f>AD66</f>
        <v>0</v>
      </c>
      <c r="CZ66">
        <f>AH66</f>
        <v>0</v>
      </c>
      <c r="DA66">
        <f>AL66</f>
        <v>1</v>
      </c>
      <c r="DB66">
        <f t="shared" si="2"/>
        <v>0</v>
      </c>
      <c r="DC66">
        <f t="shared" si="3"/>
        <v>0</v>
      </c>
    </row>
    <row r="67" spans="1:107" x14ac:dyDescent="0.2">
      <c r="A67">
        <f>ROW(Source!A150)</f>
        <v>150</v>
      </c>
      <c r="B67">
        <v>44002026</v>
      </c>
      <c r="C67">
        <v>44002424</v>
      </c>
      <c r="D67">
        <v>31513776</v>
      </c>
      <c r="E67">
        <v>1</v>
      </c>
      <c r="F67">
        <v>1</v>
      </c>
      <c r="G67">
        <v>31452184</v>
      </c>
      <c r="H67">
        <v>3</v>
      </c>
      <c r="I67" t="s">
        <v>332</v>
      </c>
      <c r="J67" t="s">
        <v>334</v>
      </c>
      <c r="K67" t="s">
        <v>333</v>
      </c>
      <c r="L67">
        <v>1354</v>
      </c>
      <c r="N67">
        <v>1010</v>
      </c>
      <c r="O67" t="s">
        <v>209</v>
      </c>
      <c r="P67" t="s">
        <v>209</v>
      </c>
      <c r="Q67">
        <v>1</v>
      </c>
      <c r="W67">
        <v>0</v>
      </c>
      <c r="X67">
        <v>2059250457</v>
      </c>
      <c r="Y67">
        <v>100</v>
      </c>
      <c r="AA67">
        <v>60.7</v>
      </c>
      <c r="AB67">
        <v>0</v>
      </c>
      <c r="AC67">
        <v>0</v>
      </c>
      <c r="AD67">
        <v>0</v>
      </c>
      <c r="AE67">
        <v>8.35</v>
      </c>
      <c r="AF67">
        <v>0</v>
      </c>
      <c r="AG67">
        <v>0</v>
      </c>
      <c r="AH67">
        <v>0</v>
      </c>
      <c r="AI67">
        <v>7.27</v>
      </c>
      <c r="AJ67">
        <v>1</v>
      </c>
      <c r="AK67">
        <v>1</v>
      </c>
      <c r="AL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3</v>
      </c>
      <c r="AT67">
        <v>100</v>
      </c>
      <c r="AU67" t="s">
        <v>3</v>
      </c>
      <c r="AV67">
        <v>0</v>
      </c>
      <c r="AW67">
        <v>1</v>
      </c>
      <c r="AX67">
        <v>-1</v>
      </c>
      <c r="AY67">
        <v>0</v>
      </c>
      <c r="AZ67">
        <v>0</v>
      </c>
      <c r="BA67" t="s">
        <v>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CX67">
        <f>Y67*Source!I150</f>
        <v>2</v>
      </c>
      <c r="CY67">
        <f>AA67</f>
        <v>60.7</v>
      </c>
      <c r="CZ67">
        <f>AE67</f>
        <v>8.35</v>
      </c>
      <c r="DA67">
        <f>AI67</f>
        <v>7.27</v>
      </c>
      <c r="DB67">
        <f t="shared" si="2"/>
        <v>835</v>
      </c>
      <c r="DC67">
        <f t="shared" si="3"/>
        <v>0</v>
      </c>
    </row>
    <row r="68" spans="1:107" x14ac:dyDescent="0.2">
      <c r="A68">
        <f>ROW(Source!A152)</f>
        <v>152</v>
      </c>
      <c r="B68">
        <v>44002026</v>
      </c>
      <c r="C68">
        <v>44002429</v>
      </c>
      <c r="D68">
        <v>31452189</v>
      </c>
      <c r="E68">
        <v>31452184</v>
      </c>
      <c r="F68">
        <v>1</v>
      </c>
      <c r="G68">
        <v>31452184</v>
      </c>
      <c r="H68">
        <v>1</v>
      </c>
      <c r="I68" t="s">
        <v>357</v>
      </c>
      <c r="J68" t="s">
        <v>3</v>
      </c>
      <c r="K68" t="s">
        <v>358</v>
      </c>
      <c r="L68">
        <v>1191</v>
      </c>
      <c r="N68">
        <v>1013</v>
      </c>
      <c r="O68" t="s">
        <v>359</v>
      </c>
      <c r="P68" t="s">
        <v>359</v>
      </c>
      <c r="Q68">
        <v>1</v>
      </c>
      <c r="W68">
        <v>0</v>
      </c>
      <c r="X68">
        <v>476480486</v>
      </c>
      <c r="Y68">
        <v>19.3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 t="s">
        <v>3</v>
      </c>
      <c r="AT68">
        <v>19.3</v>
      </c>
      <c r="AU68" t="s">
        <v>3</v>
      </c>
      <c r="AV68">
        <v>1</v>
      </c>
      <c r="AW68">
        <v>2</v>
      </c>
      <c r="AX68">
        <v>44002432</v>
      </c>
      <c r="AY68">
        <v>1</v>
      </c>
      <c r="AZ68">
        <v>0</v>
      </c>
      <c r="BA68">
        <v>45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CX68">
        <f>Y68*Source!I152</f>
        <v>2.895</v>
      </c>
      <c r="CY68">
        <f>AD68</f>
        <v>0</v>
      </c>
      <c r="CZ68">
        <f>AH68</f>
        <v>0</v>
      </c>
      <c r="DA68">
        <f>AL68</f>
        <v>1</v>
      </c>
      <c r="DB68">
        <f t="shared" si="2"/>
        <v>0</v>
      </c>
      <c r="DC68">
        <f t="shared" si="3"/>
        <v>0</v>
      </c>
    </row>
    <row r="69" spans="1:107" x14ac:dyDescent="0.2">
      <c r="A69">
        <f>ROW(Source!A152)</f>
        <v>152</v>
      </c>
      <c r="B69">
        <v>44002026</v>
      </c>
      <c r="C69">
        <v>44002429</v>
      </c>
      <c r="D69">
        <v>31517430</v>
      </c>
      <c r="E69">
        <v>1</v>
      </c>
      <c r="F69">
        <v>1</v>
      </c>
      <c r="G69">
        <v>31452184</v>
      </c>
      <c r="H69">
        <v>3</v>
      </c>
      <c r="I69" t="s">
        <v>340</v>
      </c>
      <c r="J69" t="s">
        <v>342</v>
      </c>
      <c r="K69" t="s">
        <v>341</v>
      </c>
      <c r="L69">
        <v>1303</v>
      </c>
      <c r="N69">
        <v>1003</v>
      </c>
      <c r="O69" t="s">
        <v>57</v>
      </c>
      <c r="P69" t="s">
        <v>57</v>
      </c>
      <c r="Q69">
        <v>1000</v>
      </c>
      <c r="W69">
        <v>0</v>
      </c>
      <c r="X69">
        <v>-890143031</v>
      </c>
      <c r="Y69">
        <v>0.10199999999999999</v>
      </c>
      <c r="AA69">
        <v>133225.19</v>
      </c>
      <c r="AB69">
        <v>0</v>
      </c>
      <c r="AC69">
        <v>0</v>
      </c>
      <c r="AD69">
        <v>0</v>
      </c>
      <c r="AE69">
        <v>35059.26</v>
      </c>
      <c r="AF69">
        <v>0</v>
      </c>
      <c r="AG69">
        <v>0</v>
      </c>
      <c r="AH69">
        <v>0</v>
      </c>
      <c r="AI69">
        <v>3.8</v>
      </c>
      <c r="AJ69">
        <v>1</v>
      </c>
      <c r="AK69">
        <v>1</v>
      </c>
      <c r="AL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3</v>
      </c>
      <c r="AT69">
        <v>0.10199999999999999</v>
      </c>
      <c r="AU69" t="s">
        <v>3</v>
      </c>
      <c r="AV69">
        <v>0</v>
      </c>
      <c r="AW69">
        <v>1</v>
      </c>
      <c r="AX69">
        <v>-1</v>
      </c>
      <c r="AY69">
        <v>0</v>
      </c>
      <c r="AZ69">
        <v>0</v>
      </c>
      <c r="BA69" t="s">
        <v>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CX69">
        <f>Y69*Source!I152</f>
        <v>1.5299999999999998E-2</v>
      </c>
      <c r="CY69">
        <f>AA69</f>
        <v>133225.19</v>
      </c>
      <c r="CZ69">
        <f>AE69</f>
        <v>35059.26</v>
      </c>
      <c r="DA69">
        <f>AI69</f>
        <v>3.8</v>
      </c>
      <c r="DB69">
        <f t="shared" si="2"/>
        <v>3576.04</v>
      </c>
      <c r="DC69">
        <f t="shared" si="3"/>
        <v>0</v>
      </c>
    </row>
    <row r="70" spans="1:107" x14ac:dyDescent="0.2">
      <c r="A70">
        <f>ROW(Source!A154)</f>
        <v>154</v>
      </c>
      <c r="B70">
        <v>44002026</v>
      </c>
      <c r="C70">
        <v>44002434</v>
      </c>
      <c r="D70">
        <v>31452189</v>
      </c>
      <c r="E70">
        <v>31452184</v>
      </c>
      <c r="F70">
        <v>1</v>
      </c>
      <c r="G70">
        <v>31452184</v>
      </c>
      <c r="H70">
        <v>1</v>
      </c>
      <c r="I70" t="s">
        <v>357</v>
      </c>
      <c r="J70" t="s">
        <v>3</v>
      </c>
      <c r="K70" t="s">
        <v>358</v>
      </c>
      <c r="L70">
        <v>1191</v>
      </c>
      <c r="N70">
        <v>1013</v>
      </c>
      <c r="O70" t="s">
        <v>359</v>
      </c>
      <c r="P70" t="s">
        <v>359</v>
      </c>
      <c r="Q70">
        <v>1</v>
      </c>
      <c r="W70">
        <v>0</v>
      </c>
      <c r="X70">
        <v>476480486</v>
      </c>
      <c r="Y70">
        <v>33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 t="s">
        <v>3</v>
      </c>
      <c r="AT70">
        <v>33</v>
      </c>
      <c r="AU70" t="s">
        <v>3</v>
      </c>
      <c r="AV70">
        <v>1</v>
      </c>
      <c r="AW70">
        <v>2</v>
      </c>
      <c r="AX70">
        <v>44002437</v>
      </c>
      <c r="AY70">
        <v>1</v>
      </c>
      <c r="AZ70">
        <v>0</v>
      </c>
      <c r="BA70">
        <v>46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CX70">
        <f>Y70*Source!I154</f>
        <v>4.95</v>
      </c>
      <c r="CY70">
        <f>AD70</f>
        <v>0</v>
      </c>
      <c r="CZ70">
        <f>AH70</f>
        <v>0</v>
      </c>
      <c r="DA70">
        <f>AL70</f>
        <v>1</v>
      </c>
      <c r="DB70">
        <f t="shared" si="2"/>
        <v>0</v>
      </c>
      <c r="DC70">
        <f t="shared" si="3"/>
        <v>0</v>
      </c>
    </row>
    <row r="71" spans="1:107" x14ac:dyDescent="0.2">
      <c r="A71">
        <f>ROW(Source!A154)</f>
        <v>154</v>
      </c>
      <c r="B71">
        <v>44002026</v>
      </c>
      <c r="C71">
        <v>44002434</v>
      </c>
      <c r="D71">
        <v>31517430</v>
      </c>
      <c r="E71">
        <v>1</v>
      </c>
      <c r="F71">
        <v>1</v>
      </c>
      <c r="G71">
        <v>31452184</v>
      </c>
      <c r="H71">
        <v>3</v>
      </c>
      <c r="I71" t="s">
        <v>340</v>
      </c>
      <c r="J71" t="s">
        <v>342</v>
      </c>
      <c r="K71" t="s">
        <v>341</v>
      </c>
      <c r="L71">
        <v>1303</v>
      </c>
      <c r="N71">
        <v>1003</v>
      </c>
      <c r="O71" t="s">
        <v>57</v>
      </c>
      <c r="P71" t="s">
        <v>57</v>
      </c>
      <c r="Q71">
        <v>1000</v>
      </c>
      <c r="W71">
        <v>0</v>
      </c>
      <c r="X71">
        <v>-890143031</v>
      </c>
      <c r="Y71">
        <v>0.10199999999999999</v>
      </c>
      <c r="AA71">
        <v>133225.19</v>
      </c>
      <c r="AB71">
        <v>0</v>
      </c>
      <c r="AC71">
        <v>0</v>
      </c>
      <c r="AD71">
        <v>0</v>
      </c>
      <c r="AE71">
        <v>35059.26</v>
      </c>
      <c r="AF71">
        <v>0</v>
      </c>
      <c r="AG71">
        <v>0</v>
      </c>
      <c r="AH71">
        <v>0</v>
      </c>
      <c r="AI71">
        <v>3.8</v>
      </c>
      <c r="AJ71">
        <v>1</v>
      </c>
      <c r="AK71">
        <v>1</v>
      </c>
      <c r="AL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3</v>
      </c>
      <c r="AT71">
        <v>0.10199999999999999</v>
      </c>
      <c r="AU71" t="s">
        <v>3</v>
      </c>
      <c r="AV71">
        <v>0</v>
      </c>
      <c r="AW71">
        <v>1</v>
      </c>
      <c r="AX71">
        <v>-1</v>
      </c>
      <c r="AY71">
        <v>0</v>
      </c>
      <c r="AZ71">
        <v>0</v>
      </c>
      <c r="BA71" t="s">
        <v>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CX71">
        <f>Y71*Source!I154</f>
        <v>1.5299999999999998E-2</v>
      </c>
      <c r="CY71">
        <f>AA71</f>
        <v>133225.19</v>
      </c>
      <c r="CZ71">
        <f>AE71</f>
        <v>35059.26</v>
      </c>
      <c r="DA71">
        <f>AI71</f>
        <v>3.8</v>
      </c>
      <c r="DB71">
        <f t="shared" si="2"/>
        <v>3576.04</v>
      </c>
      <c r="DC71">
        <f t="shared" si="3"/>
        <v>0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6"/>
  <sheetViews>
    <sheetView workbookViewId="0"/>
  </sheetViews>
  <sheetFormatPr defaultColWidth="9.140625" defaultRowHeight="12.75" x14ac:dyDescent="0.2"/>
  <cols>
    <col min="1" max="256" width="9.140625" customWidth="1"/>
  </cols>
  <sheetData>
    <row r="1" spans="1:44" x14ac:dyDescent="0.2">
      <c r="A1">
        <f>ROW(Source!A28)</f>
        <v>28</v>
      </c>
      <c r="B1">
        <v>44002267</v>
      </c>
      <c r="C1">
        <v>44002264</v>
      </c>
      <c r="D1">
        <v>31452189</v>
      </c>
      <c r="E1">
        <v>31452184</v>
      </c>
      <c r="F1">
        <v>1</v>
      </c>
      <c r="G1">
        <v>31452184</v>
      </c>
      <c r="H1">
        <v>1</v>
      </c>
      <c r="I1" t="s">
        <v>357</v>
      </c>
      <c r="J1" t="s">
        <v>3</v>
      </c>
      <c r="K1" t="s">
        <v>358</v>
      </c>
      <c r="L1">
        <v>1191</v>
      </c>
      <c r="N1">
        <v>1013</v>
      </c>
      <c r="O1" t="s">
        <v>359</v>
      </c>
      <c r="P1" t="s">
        <v>359</v>
      </c>
      <c r="Q1">
        <v>1</v>
      </c>
      <c r="X1">
        <v>0.93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1</v>
      </c>
      <c r="AF1" t="s">
        <v>3</v>
      </c>
      <c r="AG1">
        <v>0.93</v>
      </c>
      <c r="AH1">
        <v>2</v>
      </c>
      <c r="AI1">
        <v>44002265</v>
      </c>
      <c r="AJ1">
        <v>1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</row>
    <row r="2" spans="1:44" x14ac:dyDescent="0.2">
      <c r="A2">
        <f>ROW(Source!A28)</f>
        <v>28</v>
      </c>
      <c r="B2">
        <v>44002268</v>
      </c>
      <c r="C2">
        <v>44002264</v>
      </c>
      <c r="D2">
        <v>31524560</v>
      </c>
      <c r="E2">
        <v>1</v>
      </c>
      <c r="F2">
        <v>1</v>
      </c>
      <c r="G2">
        <v>31452184</v>
      </c>
      <c r="H2">
        <v>2</v>
      </c>
      <c r="I2" t="s">
        <v>360</v>
      </c>
      <c r="J2" t="s">
        <v>361</v>
      </c>
      <c r="K2" t="s">
        <v>362</v>
      </c>
      <c r="L2">
        <v>1367</v>
      </c>
      <c r="N2">
        <v>1011</v>
      </c>
      <c r="O2" t="s">
        <v>363</v>
      </c>
      <c r="P2" t="s">
        <v>363</v>
      </c>
      <c r="Q2">
        <v>1</v>
      </c>
      <c r="X2">
        <v>2.5605000000000002</v>
      </c>
      <c r="Y2">
        <v>0</v>
      </c>
      <c r="Z2">
        <v>164.9</v>
      </c>
      <c r="AA2">
        <v>27.47</v>
      </c>
      <c r="AB2">
        <v>0</v>
      </c>
      <c r="AC2">
        <v>0</v>
      </c>
      <c r="AD2">
        <v>1</v>
      </c>
      <c r="AE2">
        <v>0</v>
      </c>
      <c r="AF2" t="s">
        <v>3</v>
      </c>
      <c r="AG2">
        <v>2.5605000000000002</v>
      </c>
      <c r="AH2">
        <v>2</v>
      </c>
      <c r="AI2">
        <v>44002266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2">
      <c r="A3">
        <f>ROW(Source!A29)</f>
        <v>29</v>
      </c>
      <c r="B3">
        <v>44002273</v>
      </c>
      <c r="C3">
        <v>44002269</v>
      </c>
      <c r="D3">
        <v>31452189</v>
      </c>
      <c r="E3">
        <v>31452184</v>
      </c>
      <c r="F3">
        <v>1</v>
      </c>
      <c r="G3">
        <v>31452184</v>
      </c>
      <c r="H3">
        <v>1</v>
      </c>
      <c r="I3" t="s">
        <v>357</v>
      </c>
      <c r="J3" t="s">
        <v>3</v>
      </c>
      <c r="K3" t="s">
        <v>358</v>
      </c>
      <c r="L3">
        <v>1191</v>
      </c>
      <c r="N3">
        <v>1013</v>
      </c>
      <c r="O3" t="s">
        <v>359</v>
      </c>
      <c r="P3" t="s">
        <v>359</v>
      </c>
      <c r="Q3">
        <v>1</v>
      </c>
      <c r="X3">
        <v>1.38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 t="s">
        <v>3</v>
      </c>
      <c r="AG3">
        <v>1.38</v>
      </c>
      <c r="AH3">
        <v>2</v>
      </c>
      <c r="AI3">
        <v>44002270</v>
      </c>
      <c r="AJ3">
        <v>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2">
      <c r="A4">
        <f>ROW(Source!A29)</f>
        <v>29</v>
      </c>
      <c r="B4">
        <v>44002274</v>
      </c>
      <c r="C4">
        <v>44002269</v>
      </c>
      <c r="D4">
        <v>31524559</v>
      </c>
      <c r="E4">
        <v>1</v>
      </c>
      <c r="F4">
        <v>1</v>
      </c>
      <c r="G4">
        <v>31452184</v>
      </c>
      <c r="H4">
        <v>2</v>
      </c>
      <c r="I4" t="s">
        <v>364</v>
      </c>
      <c r="J4" t="s">
        <v>365</v>
      </c>
      <c r="K4" t="s">
        <v>366</v>
      </c>
      <c r="L4">
        <v>1367</v>
      </c>
      <c r="N4">
        <v>1011</v>
      </c>
      <c r="O4" t="s">
        <v>363</v>
      </c>
      <c r="P4" t="s">
        <v>363</v>
      </c>
      <c r="Q4">
        <v>1</v>
      </c>
      <c r="X4">
        <v>3.9874999999999998</v>
      </c>
      <c r="Y4">
        <v>0</v>
      </c>
      <c r="Z4">
        <v>162.4</v>
      </c>
      <c r="AA4">
        <v>28.6</v>
      </c>
      <c r="AB4">
        <v>0</v>
      </c>
      <c r="AC4">
        <v>0</v>
      </c>
      <c r="AD4">
        <v>1</v>
      </c>
      <c r="AE4">
        <v>0</v>
      </c>
      <c r="AF4" t="s">
        <v>3</v>
      </c>
      <c r="AG4">
        <v>3.9874999999999998</v>
      </c>
      <c r="AH4">
        <v>2</v>
      </c>
      <c r="AI4">
        <v>44002271</v>
      </c>
      <c r="AJ4">
        <v>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2">
      <c r="A5">
        <f>ROW(Source!A29)</f>
        <v>29</v>
      </c>
      <c r="B5">
        <v>44002275</v>
      </c>
      <c r="C5">
        <v>44002269</v>
      </c>
      <c r="D5">
        <v>31524584</v>
      </c>
      <c r="E5">
        <v>1</v>
      </c>
      <c r="F5">
        <v>1</v>
      </c>
      <c r="G5">
        <v>31452184</v>
      </c>
      <c r="H5">
        <v>2</v>
      </c>
      <c r="I5" t="s">
        <v>367</v>
      </c>
      <c r="J5" t="s">
        <v>368</v>
      </c>
      <c r="K5" t="s">
        <v>369</v>
      </c>
      <c r="L5">
        <v>1367</v>
      </c>
      <c r="N5">
        <v>1011</v>
      </c>
      <c r="O5" t="s">
        <v>363</v>
      </c>
      <c r="P5" t="s">
        <v>363</v>
      </c>
      <c r="Q5">
        <v>1</v>
      </c>
      <c r="X5">
        <v>0.997</v>
      </c>
      <c r="Y5">
        <v>0</v>
      </c>
      <c r="Z5">
        <v>110.31</v>
      </c>
      <c r="AA5">
        <v>26.52</v>
      </c>
      <c r="AB5">
        <v>0</v>
      </c>
      <c r="AC5">
        <v>0</v>
      </c>
      <c r="AD5">
        <v>1</v>
      </c>
      <c r="AE5">
        <v>0</v>
      </c>
      <c r="AF5" t="s">
        <v>3</v>
      </c>
      <c r="AG5">
        <v>0.997</v>
      </c>
      <c r="AH5">
        <v>2</v>
      </c>
      <c r="AI5">
        <v>44002272</v>
      </c>
      <c r="AJ5">
        <v>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2">
      <c r="A6">
        <f>ROW(Source!A30)</f>
        <v>30</v>
      </c>
      <c r="B6">
        <v>44002278</v>
      </c>
      <c r="C6">
        <v>44002276</v>
      </c>
      <c r="D6">
        <v>31452918</v>
      </c>
      <c r="E6">
        <v>31452184</v>
      </c>
      <c r="F6">
        <v>1</v>
      </c>
      <c r="G6">
        <v>31452184</v>
      </c>
      <c r="H6">
        <v>2</v>
      </c>
      <c r="I6" t="s">
        <v>370</v>
      </c>
      <c r="J6" t="s">
        <v>3</v>
      </c>
      <c r="K6" t="s">
        <v>371</v>
      </c>
      <c r="L6">
        <v>1344</v>
      </c>
      <c r="N6">
        <v>1008</v>
      </c>
      <c r="O6" t="s">
        <v>372</v>
      </c>
      <c r="P6" t="s">
        <v>372</v>
      </c>
      <c r="Q6">
        <v>1</v>
      </c>
      <c r="X6">
        <v>39.020000000000003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 t="s">
        <v>3</v>
      </c>
      <c r="AG6">
        <v>39.020000000000003</v>
      </c>
      <c r="AH6">
        <v>2</v>
      </c>
      <c r="AI6">
        <v>44002277</v>
      </c>
      <c r="AJ6">
        <v>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">
      <c r="A7">
        <f>ROW(Source!A31)</f>
        <v>31</v>
      </c>
      <c r="B7">
        <v>44002282</v>
      </c>
      <c r="C7">
        <v>44002279</v>
      </c>
      <c r="D7">
        <v>31452189</v>
      </c>
      <c r="E7">
        <v>31452184</v>
      </c>
      <c r="F7">
        <v>1</v>
      </c>
      <c r="G7">
        <v>31452184</v>
      </c>
      <c r="H7">
        <v>1</v>
      </c>
      <c r="I7" t="s">
        <v>357</v>
      </c>
      <c r="J7" t="s">
        <v>3</v>
      </c>
      <c r="K7" t="s">
        <v>358</v>
      </c>
      <c r="L7">
        <v>1191</v>
      </c>
      <c r="N7">
        <v>1013</v>
      </c>
      <c r="O7" t="s">
        <v>359</v>
      </c>
      <c r="P7" t="s">
        <v>359</v>
      </c>
      <c r="Q7">
        <v>1</v>
      </c>
      <c r="X7">
        <v>6.08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 t="s">
        <v>3</v>
      </c>
      <c r="AG7">
        <v>6.08</v>
      </c>
      <c r="AH7">
        <v>2</v>
      </c>
      <c r="AI7">
        <v>44002280</v>
      </c>
      <c r="AJ7">
        <v>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">
      <c r="A8">
        <f>ROW(Source!A33)</f>
        <v>33</v>
      </c>
      <c r="B8">
        <v>44002289</v>
      </c>
      <c r="C8">
        <v>44002284</v>
      </c>
      <c r="D8">
        <v>31452189</v>
      </c>
      <c r="E8">
        <v>31452184</v>
      </c>
      <c r="F8">
        <v>1</v>
      </c>
      <c r="G8">
        <v>31452184</v>
      </c>
      <c r="H8">
        <v>1</v>
      </c>
      <c r="I8" t="s">
        <v>357</v>
      </c>
      <c r="J8" t="s">
        <v>3</v>
      </c>
      <c r="K8" t="s">
        <v>358</v>
      </c>
      <c r="L8">
        <v>1191</v>
      </c>
      <c r="N8">
        <v>1013</v>
      </c>
      <c r="O8" t="s">
        <v>359</v>
      </c>
      <c r="P8" t="s">
        <v>359</v>
      </c>
      <c r="Q8">
        <v>1</v>
      </c>
      <c r="X8">
        <v>11.8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 t="s">
        <v>3</v>
      </c>
      <c r="AG8">
        <v>11.8</v>
      </c>
      <c r="AH8">
        <v>2</v>
      </c>
      <c r="AI8">
        <v>44002285</v>
      </c>
      <c r="AJ8">
        <v>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2">
      <c r="A9">
        <f>ROW(Source!A37)</f>
        <v>37</v>
      </c>
      <c r="B9">
        <v>44002300</v>
      </c>
      <c r="C9">
        <v>44002293</v>
      </c>
      <c r="D9">
        <v>31452189</v>
      </c>
      <c r="E9">
        <v>31452184</v>
      </c>
      <c r="F9">
        <v>1</v>
      </c>
      <c r="G9">
        <v>31452184</v>
      </c>
      <c r="H9">
        <v>1</v>
      </c>
      <c r="I9" t="s">
        <v>357</v>
      </c>
      <c r="J9" t="s">
        <v>3</v>
      </c>
      <c r="K9" t="s">
        <v>358</v>
      </c>
      <c r="L9">
        <v>1191</v>
      </c>
      <c r="N9">
        <v>1013</v>
      </c>
      <c r="O9" t="s">
        <v>359</v>
      </c>
      <c r="P9" t="s">
        <v>359</v>
      </c>
      <c r="Q9">
        <v>1</v>
      </c>
      <c r="X9">
        <v>151.79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 t="s">
        <v>3</v>
      </c>
      <c r="AG9">
        <v>151.79</v>
      </c>
      <c r="AH9">
        <v>2</v>
      </c>
      <c r="AI9">
        <v>44002294</v>
      </c>
      <c r="AJ9">
        <v>13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">
      <c r="A10">
        <f>ROW(Source!A37)</f>
        <v>37</v>
      </c>
      <c r="B10">
        <v>44002301</v>
      </c>
      <c r="C10">
        <v>44002293</v>
      </c>
      <c r="D10">
        <v>31525404</v>
      </c>
      <c r="E10">
        <v>1</v>
      </c>
      <c r="F10">
        <v>1</v>
      </c>
      <c r="G10">
        <v>31452184</v>
      </c>
      <c r="H10">
        <v>2</v>
      </c>
      <c r="I10" t="s">
        <v>373</v>
      </c>
      <c r="J10" t="s">
        <v>374</v>
      </c>
      <c r="K10" t="s">
        <v>375</v>
      </c>
      <c r="L10">
        <v>1367</v>
      </c>
      <c r="N10">
        <v>1011</v>
      </c>
      <c r="O10" t="s">
        <v>363</v>
      </c>
      <c r="P10" t="s">
        <v>363</v>
      </c>
      <c r="Q10">
        <v>1</v>
      </c>
      <c r="X10">
        <v>0.82</v>
      </c>
      <c r="Y10">
        <v>0</v>
      </c>
      <c r="Z10">
        <v>76.81</v>
      </c>
      <c r="AA10">
        <v>14.36</v>
      </c>
      <c r="AB10">
        <v>0</v>
      </c>
      <c r="AC10">
        <v>0</v>
      </c>
      <c r="AD10">
        <v>1</v>
      </c>
      <c r="AE10">
        <v>0</v>
      </c>
      <c r="AF10" t="s">
        <v>3</v>
      </c>
      <c r="AG10">
        <v>0.82</v>
      </c>
      <c r="AH10">
        <v>2</v>
      </c>
      <c r="AI10">
        <v>44002295</v>
      </c>
      <c r="AJ10">
        <v>14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">
      <c r="A11">
        <f>ROW(Source!A37)</f>
        <v>37</v>
      </c>
      <c r="B11">
        <v>44002302</v>
      </c>
      <c r="C11">
        <v>44002293</v>
      </c>
      <c r="D11">
        <v>31500508</v>
      </c>
      <c r="E11">
        <v>1</v>
      </c>
      <c r="F11">
        <v>1</v>
      </c>
      <c r="G11">
        <v>31452184</v>
      </c>
      <c r="H11">
        <v>3</v>
      </c>
      <c r="I11" t="s">
        <v>376</v>
      </c>
      <c r="J11" t="s">
        <v>377</v>
      </c>
      <c r="K11" t="s">
        <v>378</v>
      </c>
      <c r="L11">
        <v>1346</v>
      </c>
      <c r="N11">
        <v>1009</v>
      </c>
      <c r="O11" t="s">
        <v>379</v>
      </c>
      <c r="P11" t="s">
        <v>379</v>
      </c>
      <c r="Q11">
        <v>1</v>
      </c>
      <c r="X11">
        <v>7</v>
      </c>
      <c r="Y11">
        <v>1.61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 t="s">
        <v>3</v>
      </c>
      <c r="AG11">
        <v>7</v>
      </c>
      <c r="AH11">
        <v>2</v>
      </c>
      <c r="AI11">
        <v>44002296</v>
      </c>
      <c r="AJ11">
        <v>15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2">
      <c r="A12">
        <f>ROW(Source!A37)</f>
        <v>37</v>
      </c>
      <c r="B12">
        <v>44002303</v>
      </c>
      <c r="C12">
        <v>44002293</v>
      </c>
      <c r="D12">
        <v>31500997</v>
      </c>
      <c r="E12">
        <v>1</v>
      </c>
      <c r="F12">
        <v>1</v>
      </c>
      <c r="G12">
        <v>31452184</v>
      </c>
      <c r="H12">
        <v>3</v>
      </c>
      <c r="I12" t="s">
        <v>380</v>
      </c>
      <c r="J12" t="s">
        <v>381</v>
      </c>
      <c r="K12" t="s">
        <v>382</v>
      </c>
      <c r="L12">
        <v>1348</v>
      </c>
      <c r="N12">
        <v>1009</v>
      </c>
      <c r="O12" t="s">
        <v>32</v>
      </c>
      <c r="P12" t="s">
        <v>32</v>
      </c>
      <c r="Q12">
        <v>1000</v>
      </c>
      <c r="X12">
        <v>5.1999999999999998E-3</v>
      </c>
      <c r="Y12">
        <v>18054.14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 t="s">
        <v>3</v>
      </c>
      <c r="AG12">
        <v>5.1999999999999998E-3</v>
      </c>
      <c r="AH12">
        <v>2</v>
      </c>
      <c r="AI12">
        <v>44002297</v>
      </c>
      <c r="AJ12">
        <v>16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2">
      <c r="A13">
        <f>ROW(Source!A37)</f>
        <v>37</v>
      </c>
      <c r="B13">
        <v>44002304</v>
      </c>
      <c r="C13">
        <v>44002293</v>
      </c>
      <c r="D13">
        <v>31505747</v>
      </c>
      <c r="E13">
        <v>1</v>
      </c>
      <c r="F13">
        <v>1</v>
      </c>
      <c r="G13">
        <v>31452184</v>
      </c>
      <c r="H13">
        <v>3</v>
      </c>
      <c r="I13" t="s">
        <v>383</v>
      </c>
      <c r="J13" t="s">
        <v>384</v>
      </c>
      <c r="K13" t="s">
        <v>385</v>
      </c>
      <c r="L13">
        <v>1346</v>
      </c>
      <c r="N13">
        <v>1009</v>
      </c>
      <c r="O13" t="s">
        <v>379</v>
      </c>
      <c r="P13" t="s">
        <v>379</v>
      </c>
      <c r="Q13">
        <v>1</v>
      </c>
      <c r="X13">
        <v>13.8</v>
      </c>
      <c r="Y13">
        <v>33.72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 t="s">
        <v>3</v>
      </c>
      <c r="AG13">
        <v>13.8</v>
      </c>
      <c r="AH13">
        <v>2</v>
      </c>
      <c r="AI13">
        <v>44002298</v>
      </c>
      <c r="AJ13">
        <v>18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2">
      <c r="A14">
        <f>ROW(Source!A37)</f>
        <v>37</v>
      </c>
      <c r="B14">
        <v>44002305</v>
      </c>
      <c r="C14">
        <v>44002293</v>
      </c>
      <c r="D14">
        <v>31465774</v>
      </c>
      <c r="E14">
        <v>31452184</v>
      </c>
      <c r="F14">
        <v>1</v>
      </c>
      <c r="G14">
        <v>31452184</v>
      </c>
      <c r="H14">
        <v>3</v>
      </c>
      <c r="I14" t="s">
        <v>409</v>
      </c>
      <c r="J14" t="s">
        <v>3</v>
      </c>
      <c r="K14" t="s">
        <v>410</v>
      </c>
      <c r="L14">
        <v>1301</v>
      </c>
      <c r="N14">
        <v>1003</v>
      </c>
      <c r="O14" t="s">
        <v>66</v>
      </c>
      <c r="P14" t="s">
        <v>66</v>
      </c>
      <c r="Q14">
        <v>1</v>
      </c>
      <c r="X14">
        <v>1030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</v>
      </c>
      <c r="AG14">
        <v>1030</v>
      </c>
      <c r="AH14">
        <v>3</v>
      </c>
      <c r="AI14">
        <v>-1</v>
      </c>
      <c r="AJ14" t="s">
        <v>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2">
      <c r="A15">
        <f>ROW(Source!A39)</f>
        <v>39</v>
      </c>
      <c r="B15">
        <v>44002310</v>
      </c>
      <c r="C15">
        <v>44002307</v>
      </c>
      <c r="D15">
        <v>31452189</v>
      </c>
      <c r="E15">
        <v>31452184</v>
      </c>
      <c r="F15">
        <v>1</v>
      </c>
      <c r="G15">
        <v>31452184</v>
      </c>
      <c r="H15">
        <v>1</v>
      </c>
      <c r="I15" t="s">
        <v>357</v>
      </c>
      <c r="J15" t="s">
        <v>3</v>
      </c>
      <c r="K15" t="s">
        <v>358</v>
      </c>
      <c r="L15">
        <v>1191</v>
      </c>
      <c r="N15">
        <v>1013</v>
      </c>
      <c r="O15" t="s">
        <v>359</v>
      </c>
      <c r="P15" t="s">
        <v>359</v>
      </c>
      <c r="Q15">
        <v>1</v>
      </c>
      <c r="X15">
        <v>7.21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 t="s">
        <v>3</v>
      </c>
      <c r="AG15">
        <v>7.21</v>
      </c>
      <c r="AH15">
        <v>2</v>
      </c>
      <c r="AI15">
        <v>44002308</v>
      </c>
      <c r="AJ15">
        <v>19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2">
      <c r="A16">
        <f>ROW(Source!A41)</f>
        <v>41</v>
      </c>
      <c r="B16">
        <v>44002314</v>
      </c>
      <c r="C16">
        <v>44002312</v>
      </c>
      <c r="D16">
        <v>31524583</v>
      </c>
      <c r="E16">
        <v>1</v>
      </c>
      <c r="F16">
        <v>1</v>
      </c>
      <c r="G16">
        <v>31452184</v>
      </c>
      <c r="H16">
        <v>2</v>
      </c>
      <c r="I16" t="s">
        <v>386</v>
      </c>
      <c r="J16" t="s">
        <v>387</v>
      </c>
      <c r="K16" t="s">
        <v>388</v>
      </c>
      <c r="L16">
        <v>1367</v>
      </c>
      <c r="N16">
        <v>1011</v>
      </c>
      <c r="O16" t="s">
        <v>363</v>
      </c>
      <c r="P16" t="s">
        <v>363</v>
      </c>
      <c r="Q16">
        <v>1</v>
      </c>
      <c r="X16">
        <v>0.89300000000000002</v>
      </c>
      <c r="Y16">
        <v>0</v>
      </c>
      <c r="Z16">
        <v>95.06</v>
      </c>
      <c r="AA16">
        <v>22.22</v>
      </c>
      <c r="AB16">
        <v>0</v>
      </c>
      <c r="AC16">
        <v>0</v>
      </c>
      <c r="AD16">
        <v>1</v>
      </c>
      <c r="AE16">
        <v>0</v>
      </c>
      <c r="AF16" t="s">
        <v>3</v>
      </c>
      <c r="AG16">
        <v>0.89300000000000002</v>
      </c>
      <c r="AH16">
        <v>2</v>
      </c>
      <c r="AI16">
        <v>44002313</v>
      </c>
      <c r="AJ16">
        <v>21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2">
      <c r="A17">
        <f>ROW(Source!A42)</f>
        <v>42</v>
      </c>
      <c r="B17">
        <v>44002317</v>
      </c>
      <c r="C17">
        <v>44002315</v>
      </c>
      <c r="D17">
        <v>31452189</v>
      </c>
      <c r="E17">
        <v>31452184</v>
      </c>
      <c r="F17">
        <v>1</v>
      </c>
      <c r="G17">
        <v>31452184</v>
      </c>
      <c r="H17">
        <v>1</v>
      </c>
      <c r="I17" t="s">
        <v>357</v>
      </c>
      <c r="J17" t="s">
        <v>3</v>
      </c>
      <c r="K17" t="s">
        <v>358</v>
      </c>
      <c r="L17">
        <v>1191</v>
      </c>
      <c r="N17">
        <v>1013</v>
      </c>
      <c r="O17" t="s">
        <v>359</v>
      </c>
      <c r="P17" t="s">
        <v>359</v>
      </c>
      <c r="Q17">
        <v>1</v>
      </c>
      <c r="X17">
        <v>107.04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 t="s">
        <v>3</v>
      </c>
      <c r="AG17">
        <v>107.04</v>
      </c>
      <c r="AH17">
        <v>2</v>
      </c>
      <c r="AI17">
        <v>44002316</v>
      </c>
      <c r="AJ17">
        <v>22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2">
      <c r="A18">
        <f>ROW(Source!A43)</f>
        <v>43</v>
      </c>
      <c r="B18">
        <v>44002322</v>
      </c>
      <c r="C18">
        <v>44002318</v>
      </c>
      <c r="D18">
        <v>31452189</v>
      </c>
      <c r="E18">
        <v>31452184</v>
      </c>
      <c r="F18">
        <v>1</v>
      </c>
      <c r="G18">
        <v>31452184</v>
      </c>
      <c r="H18">
        <v>1</v>
      </c>
      <c r="I18" t="s">
        <v>357</v>
      </c>
      <c r="J18" t="s">
        <v>3</v>
      </c>
      <c r="K18" t="s">
        <v>358</v>
      </c>
      <c r="L18">
        <v>1191</v>
      </c>
      <c r="N18">
        <v>1013</v>
      </c>
      <c r="O18" t="s">
        <v>359</v>
      </c>
      <c r="P18" t="s">
        <v>359</v>
      </c>
      <c r="Q18">
        <v>1</v>
      </c>
      <c r="X18">
        <v>10.8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 t="s">
        <v>3</v>
      </c>
      <c r="AG18">
        <v>10.8</v>
      </c>
      <c r="AH18">
        <v>2</v>
      </c>
      <c r="AI18">
        <v>44002319</v>
      </c>
      <c r="AJ18">
        <v>23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2">
      <c r="A19">
        <f>ROW(Source!A43)</f>
        <v>43</v>
      </c>
      <c r="B19">
        <v>44002323</v>
      </c>
      <c r="C19">
        <v>44002318</v>
      </c>
      <c r="D19">
        <v>31525023</v>
      </c>
      <c r="E19">
        <v>1</v>
      </c>
      <c r="F19">
        <v>1</v>
      </c>
      <c r="G19">
        <v>31452184</v>
      </c>
      <c r="H19">
        <v>2</v>
      </c>
      <c r="I19" t="s">
        <v>389</v>
      </c>
      <c r="J19" t="s">
        <v>390</v>
      </c>
      <c r="K19" t="s">
        <v>391</v>
      </c>
      <c r="L19">
        <v>1367</v>
      </c>
      <c r="N19">
        <v>1011</v>
      </c>
      <c r="O19" t="s">
        <v>363</v>
      </c>
      <c r="P19" t="s">
        <v>363</v>
      </c>
      <c r="Q19">
        <v>1</v>
      </c>
      <c r="X19">
        <v>10.5</v>
      </c>
      <c r="Y19">
        <v>0</v>
      </c>
      <c r="Z19">
        <v>60.77</v>
      </c>
      <c r="AA19">
        <v>18.48</v>
      </c>
      <c r="AB19">
        <v>0</v>
      </c>
      <c r="AC19">
        <v>0</v>
      </c>
      <c r="AD19">
        <v>1</v>
      </c>
      <c r="AE19">
        <v>0</v>
      </c>
      <c r="AF19" t="s">
        <v>3</v>
      </c>
      <c r="AG19">
        <v>10.5</v>
      </c>
      <c r="AH19">
        <v>2</v>
      </c>
      <c r="AI19">
        <v>44002320</v>
      </c>
      <c r="AJ19">
        <v>24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2">
      <c r="A20">
        <f>ROW(Source!A43)</f>
        <v>43</v>
      </c>
      <c r="B20">
        <v>44002324</v>
      </c>
      <c r="C20">
        <v>44002318</v>
      </c>
      <c r="D20">
        <v>31525433</v>
      </c>
      <c r="E20">
        <v>1</v>
      </c>
      <c r="F20">
        <v>1</v>
      </c>
      <c r="G20">
        <v>31452184</v>
      </c>
      <c r="H20">
        <v>2</v>
      </c>
      <c r="I20" t="s">
        <v>392</v>
      </c>
      <c r="J20" t="s">
        <v>393</v>
      </c>
      <c r="K20" t="s">
        <v>394</v>
      </c>
      <c r="L20">
        <v>1367</v>
      </c>
      <c r="N20">
        <v>1011</v>
      </c>
      <c r="O20" t="s">
        <v>363</v>
      </c>
      <c r="P20" t="s">
        <v>363</v>
      </c>
      <c r="Q20">
        <v>1</v>
      </c>
      <c r="X20">
        <v>10.5</v>
      </c>
      <c r="Y20">
        <v>0</v>
      </c>
      <c r="Z20">
        <v>0.56000000000000005</v>
      </c>
      <c r="AA20">
        <v>0.09</v>
      </c>
      <c r="AB20">
        <v>0</v>
      </c>
      <c r="AC20">
        <v>0</v>
      </c>
      <c r="AD20">
        <v>1</v>
      </c>
      <c r="AE20">
        <v>0</v>
      </c>
      <c r="AF20" t="s">
        <v>3</v>
      </c>
      <c r="AG20">
        <v>10.5</v>
      </c>
      <c r="AH20">
        <v>2</v>
      </c>
      <c r="AI20">
        <v>44002321</v>
      </c>
      <c r="AJ20">
        <v>25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2">
      <c r="A21">
        <f>ROW(Source!A44)</f>
        <v>44</v>
      </c>
      <c r="B21">
        <v>44002329</v>
      </c>
      <c r="C21">
        <v>44002325</v>
      </c>
      <c r="D21">
        <v>31452189</v>
      </c>
      <c r="E21">
        <v>31452184</v>
      </c>
      <c r="F21">
        <v>1</v>
      </c>
      <c r="G21">
        <v>31452184</v>
      </c>
      <c r="H21">
        <v>1</v>
      </c>
      <c r="I21" t="s">
        <v>357</v>
      </c>
      <c r="J21" t="s">
        <v>3</v>
      </c>
      <c r="K21" t="s">
        <v>358</v>
      </c>
      <c r="L21">
        <v>1191</v>
      </c>
      <c r="N21">
        <v>1013</v>
      </c>
      <c r="O21" t="s">
        <v>359</v>
      </c>
      <c r="P21" t="s">
        <v>359</v>
      </c>
      <c r="Q21">
        <v>1</v>
      </c>
      <c r="X21">
        <v>15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 t="s">
        <v>3</v>
      </c>
      <c r="AG21">
        <v>15</v>
      </c>
      <c r="AH21">
        <v>2</v>
      </c>
      <c r="AI21">
        <v>44002326</v>
      </c>
      <c r="AJ21">
        <v>26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x14ac:dyDescent="0.2">
      <c r="A22">
        <f>ROW(Source!A44)</f>
        <v>44</v>
      </c>
      <c r="B22">
        <v>44002330</v>
      </c>
      <c r="C22">
        <v>44002325</v>
      </c>
      <c r="D22">
        <v>31467320</v>
      </c>
      <c r="E22">
        <v>31452184</v>
      </c>
      <c r="F22">
        <v>1</v>
      </c>
      <c r="G22">
        <v>31452184</v>
      </c>
      <c r="H22">
        <v>3</v>
      </c>
      <c r="I22" t="s">
        <v>411</v>
      </c>
      <c r="J22" t="s">
        <v>3</v>
      </c>
      <c r="K22" t="s">
        <v>412</v>
      </c>
      <c r="L22">
        <v>1301</v>
      </c>
      <c r="N22">
        <v>1003</v>
      </c>
      <c r="O22" t="s">
        <v>66</v>
      </c>
      <c r="P22" t="s">
        <v>66</v>
      </c>
      <c r="Q22">
        <v>1</v>
      </c>
      <c r="X22">
        <v>102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</v>
      </c>
      <c r="AG22">
        <v>102</v>
      </c>
      <c r="AH22">
        <v>3</v>
      </c>
      <c r="AI22">
        <v>-1</v>
      </c>
      <c r="AJ22" t="s">
        <v>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2">
      <c r="A23">
        <f>ROW(Source!A44)</f>
        <v>44</v>
      </c>
      <c r="B23">
        <v>44002331</v>
      </c>
      <c r="C23">
        <v>44002325</v>
      </c>
      <c r="D23">
        <v>31465916</v>
      </c>
      <c r="E23">
        <v>31452184</v>
      </c>
      <c r="F23">
        <v>1</v>
      </c>
      <c r="G23">
        <v>31452184</v>
      </c>
      <c r="H23">
        <v>3</v>
      </c>
      <c r="I23" t="s">
        <v>413</v>
      </c>
      <c r="J23" t="s">
        <v>3</v>
      </c>
      <c r="K23" t="s">
        <v>414</v>
      </c>
      <c r="L23">
        <v>1354</v>
      </c>
      <c r="N23">
        <v>1010</v>
      </c>
      <c r="O23" t="s">
        <v>209</v>
      </c>
      <c r="P23" t="s">
        <v>209</v>
      </c>
      <c r="Q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</v>
      </c>
      <c r="AG23">
        <v>0</v>
      </c>
      <c r="AH23">
        <v>3</v>
      </c>
      <c r="AI23">
        <v>-1</v>
      </c>
      <c r="AJ23" t="s">
        <v>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2">
      <c r="A24">
        <f>ROW(Source!A44)</f>
        <v>44</v>
      </c>
      <c r="B24">
        <v>44002332</v>
      </c>
      <c r="C24">
        <v>44002325</v>
      </c>
      <c r="D24">
        <v>31465932</v>
      </c>
      <c r="E24">
        <v>31452184</v>
      </c>
      <c r="F24">
        <v>1</v>
      </c>
      <c r="G24">
        <v>31452184</v>
      </c>
      <c r="H24">
        <v>3</v>
      </c>
      <c r="I24" t="s">
        <v>415</v>
      </c>
      <c r="J24" t="s">
        <v>3</v>
      </c>
      <c r="K24" t="s">
        <v>416</v>
      </c>
      <c r="L24">
        <v>1354</v>
      </c>
      <c r="N24">
        <v>1010</v>
      </c>
      <c r="O24" t="s">
        <v>209</v>
      </c>
      <c r="P24" t="s">
        <v>209</v>
      </c>
      <c r="Q24">
        <v>1</v>
      </c>
      <c r="X24">
        <v>100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</v>
      </c>
      <c r="AG24">
        <v>100</v>
      </c>
      <c r="AH24">
        <v>3</v>
      </c>
      <c r="AI24">
        <v>-1</v>
      </c>
      <c r="AJ24" t="s">
        <v>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2">
      <c r="A25">
        <f>ROW(Source!A47)</f>
        <v>47</v>
      </c>
      <c r="B25">
        <v>44002338</v>
      </c>
      <c r="C25">
        <v>44002335</v>
      </c>
      <c r="D25">
        <v>31452189</v>
      </c>
      <c r="E25">
        <v>31452184</v>
      </c>
      <c r="F25">
        <v>1</v>
      </c>
      <c r="G25">
        <v>31452184</v>
      </c>
      <c r="H25">
        <v>1</v>
      </c>
      <c r="I25" t="s">
        <v>357</v>
      </c>
      <c r="J25" t="s">
        <v>3</v>
      </c>
      <c r="K25" t="s">
        <v>358</v>
      </c>
      <c r="L25">
        <v>1191</v>
      </c>
      <c r="N25">
        <v>1013</v>
      </c>
      <c r="O25" t="s">
        <v>359</v>
      </c>
      <c r="P25" t="s">
        <v>359</v>
      </c>
      <c r="Q25">
        <v>1</v>
      </c>
      <c r="X25">
        <v>7.21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 t="s">
        <v>3</v>
      </c>
      <c r="AG25">
        <v>7.21</v>
      </c>
      <c r="AH25">
        <v>2</v>
      </c>
      <c r="AI25">
        <v>44002336</v>
      </c>
      <c r="AJ25">
        <v>29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2">
      <c r="A26">
        <f>ROW(Source!A84)</f>
        <v>84</v>
      </c>
      <c r="B26">
        <v>44002343</v>
      </c>
      <c r="C26">
        <v>44002340</v>
      </c>
      <c r="D26">
        <v>31452189</v>
      </c>
      <c r="E26">
        <v>31452184</v>
      </c>
      <c r="F26">
        <v>1</v>
      </c>
      <c r="G26">
        <v>31452184</v>
      </c>
      <c r="H26">
        <v>1</v>
      </c>
      <c r="I26" t="s">
        <v>357</v>
      </c>
      <c r="J26" t="s">
        <v>3</v>
      </c>
      <c r="K26" t="s">
        <v>358</v>
      </c>
      <c r="L26">
        <v>1191</v>
      </c>
      <c r="N26">
        <v>1013</v>
      </c>
      <c r="O26" t="s">
        <v>359</v>
      </c>
      <c r="P26" t="s">
        <v>359</v>
      </c>
      <c r="Q26">
        <v>1</v>
      </c>
      <c r="X26">
        <v>196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 t="s">
        <v>3</v>
      </c>
      <c r="AG26">
        <v>196</v>
      </c>
      <c r="AH26">
        <v>2</v>
      </c>
      <c r="AI26">
        <v>44002341</v>
      </c>
      <c r="AJ26">
        <v>31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 x14ac:dyDescent="0.2">
      <c r="A27">
        <f>ROW(Source!A84)</f>
        <v>84</v>
      </c>
      <c r="B27">
        <v>44002344</v>
      </c>
      <c r="C27">
        <v>44002340</v>
      </c>
      <c r="D27">
        <v>31524990</v>
      </c>
      <c r="E27">
        <v>1</v>
      </c>
      <c r="F27">
        <v>1</v>
      </c>
      <c r="G27">
        <v>31452184</v>
      </c>
      <c r="H27">
        <v>2</v>
      </c>
      <c r="I27" t="s">
        <v>395</v>
      </c>
      <c r="J27" t="s">
        <v>396</v>
      </c>
      <c r="K27" t="s">
        <v>397</v>
      </c>
      <c r="L27">
        <v>1367</v>
      </c>
      <c r="N27">
        <v>1011</v>
      </c>
      <c r="O27" t="s">
        <v>363</v>
      </c>
      <c r="P27" t="s">
        <v>363</v>
      </c>
      <c r="Q27">
        <v>1</v>
      </c>
      <c r="X27">
        <v>19</v>
      </c>
      <c r="Y27">
        <v>0</v>
      </c>
      <c r="Z27">
        <v>117.73</v>
      </c>
      <c r="AA27">
        <v>24.08</v>
      </c>
      <c r="AB27">
        <v>0</v>
      </c>
      <c r="AC27">
        <v>0</v>
      </c>
      <c r="AD27">
        <v>1</v>
      </c>
      <c r="AE27">
        <v>0</v>
      </c>
      <c r="AF27" t="s">
        <v>3</v>
      </c>
      <c r="AG27">
        <v>19</v>
      </c>
      <c r="AH27">
        <v>2</v>
      </c>
      <c r="AI27">
        <v>44002342</v>
      </c>
      <c r="AJ27">
        <v>32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2">
      <c r="A28">
        <f>ROW(Source!A85)</f>
        <v>85</v>
      </c>
      <c r="B28">
        <v>44002351</v>
      </c>
      <c r="C28">
        <v>44002345</v>
      </c>
      <c r="D28">
        <v>31452189</v>
      </c>
      <c r="E28">
        <v>31452184</v>
      </c>
      <c r="F28">
        <v>1</v>
      </c>
      <c r="G28">
        <v>31452184</v>
      </c>
      <c r="H28">
        <v>1</v>
      </c>
      <c r="I28" t="s">
        <v>357</v>
      </c>
      <c r="J28" t="s">
        <v>3</v>
      </c>
      <c r="K28" t="s">
        <v>358</v>
      </c>
      <c r="L28">
        <v>1191</v>
      </c>
      <c r="N28">
        <v>1013</v>
      </c>
      <c r="O28" t="s">
        <v>359</v>
      </c>
      <c r="P28" t="s">
        <v>359</v>
      </c>
      <c r="Q28">
        <v>1</v>
      </c>
      <c r="X28">
        <v>3.77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 t="s">
        <v>3</v>
      </c>
      <c r="AG28">
        <v>3.77</v>
      </c>
      <c r="AH28">
        <v>2</v>
      </c>
      <c r="AI28">
        <v>44002346</v>
      </c>
      <c r="AJ28">
        <v>33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2">
      <c r="A29">
        <f>ROW(Source!A85)</f>
        <v>85</v>
      </c>
      <c r="B29">
        <v>44002352</v>
      </c>
      <c r="C29">
        <v>44002345</v>
      </c>
      <c r="D29">
        <v>31525414</v>
      </c>
      <c r="E29">
        <v>1</v>
      </c>
      <c r="F29">
        <v>1</v>
      </c>
      <c r="G29">
        <v>31452184</v>
      </c>
      <c r="H29">
        <v>2</v>
      </c>
      <c r="I29" t="s">
        <v>398</v>
      </c>
      <c r="J29" t="s">
        <v>399</v>
      </c>
      <c r="K29" t="s">
        <v>400</v>
      </c>
      <c r="L29">
        <v>1367</v>
      </c>
      <c r="N29">
        <v>1011</v>
      </c>
      <c r="O29" t="s">
        <v>363</v>
      </c>
      <c r="P29" t="s">
        <v>363</v>
      </c>
      <c r="Q29">
        <v>1</v>
      </c>
      <c r="X29">
        <v>0.03</v>
      </c>
      <c r="Y29">
        <v>0</v>
      </c>
      <c r="Z29">
        <v>93.04</v>
      </c>
      <c r="AA29">
        <v>17.55</v>
      </c>
      <c r="AB29">
        <v>0</v>
      </c>
      <c r="AC29">
        <v>0</v>
      </c>
      <c r="AD29">
        <v>1</v>
      </c>
      <c r="AE29">
        <v>0</v>
      </c>
      <c r="AF29" t="s">
        <v>3</v>
      </c>
      <c r="AG29">
        <v>0.03</v>
      </c>
      <c r="AH29">
        <v>2</v>
      </c>
      <c r="AI29">
        <v>44002347</v>
      </c>
      <c r="AJ29">
        <v>34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2">
      <c r="A30">
        <f>ROW(Source!A85)</f>
        <v>85</v>
      </c>
      <c r="B30">
        <v>44002353</v>
      </c>
      <c r="C30">
        <v>44002345</v>
      </c>
      <c r="D30">
        <v>31525400</v>
      </c>
      <c r="E30">
        <v>1</v>
      </c>
      <c r="F30">
        <v>1</v>
      </c>
      <c r="G30">
        <v>31452184</v>
      </c>
      <c r="H30">
        <v>2</v>
      </c>
      <c r="I30" t="s">
        <v>401</v>
      </c>
      <c r="J30" t="s">
        <v>402</v>
      </c>
      <c r="K30" t="s">
        <v>403</v>
      </c>
      <c r="L30">
        <v>1367</v>
      </c>
      <c r="N30">
        <v>1011</v>
      </c>
      <c r="O30" t="s">
        <v>363</v>
      </c>
      <c r="P30" t="s">
        <v>363</v>
      </c>
      <c r="Q30">
        <v>1</v>
      </c>
      <c r="X30">
        <v>0.03</v>
      </c>
      <c r="Y30">
        <v>0</v>
      </c>
      <c r="Z30">
        <v>10.76</v>
      </c>
      <c r="AA30">
        <v>0.84</v>
      </c>
      <c r="AB30">
        <v>0</v>
      </c>
      <c r="AC30">
        <v>0</v>
      </c>
      <c r="AD30">
        <v>1</v>
      </c>
      <c r="AE30">
        <v>0</v>
      </c>
      <c r="AF30" t="s">
        <v>3</v>
      </c>
      <c r="AG30">
        <v>0.03</v>
      </c>
      <c r="AH30">
        <v>2</v>
      </c>
      <c r="AI30">
        <v>44002348</v>
      </c>
      <c r="AJ30">
        <v>35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2">
      <c r="A31">
        <f>ROW(Source!A85)</f>
        <v>85</v>
      </c>
      <c r="B31">
        <v>44002354</v>
      </c>
      <c r="C31">
        <v>44002345</v>
      </c>
      <c r="D31">
        <v>31524651</v>
      </c>
      <c r="E31">
        <v>1</v>
      </c>
      <c r="F31">
        <v>1</v>
      </c>
      <c r="G31">
        <v>31452184</v>
      </c>
      <c r="H31">
        <v>2</v>
      </c>
      <c r="I31" t="s">
        <v>404</v>
      </c>
      <c r="J31" t="s">
        <v>405</v>
      </c>
      <c r="K31" t="s">
        <v>406</v>
      </c>
      <c r="L31">
        <v>1367</v>
      </c>
      <c r="N31">
        <v>1011</v>
      </c>
      <c r="O31" t="s">
        <v>363</v>
      </c>
      <c r="P31" t="s">
        <v>363</v>
      </c>
      <c r="Q31">
        <v>1</v>
      </c>
      <c r="X31">
        <v>0.09</v>
      </c>
      <c r="Y31">
        <v>0</v>
      </c>
      <c r="Z31">
        <v>123.84</v>
      </c>
      <c r="AA31">
        <v>30.41</v>
      </c>
      <c r="AB31">
        <v>0</v>
      </c>
      <c r="AC31">
        <v>0</v>
      </c>
      <c r="AD31">
        <v>1</v>
      </c>
      <c r="AE31">
        <v>0</v>
      </c>
      <c r="AF31" t="s">
        <v>3</v>
      </c>
      <c r="AG31">
        <v>0.09</v>
      </c>
      <c r="AH31">
        <v>2</v>
      </c>
      <c r="AI31">
        <v>44002349</v>
      </c>
      <c r="AJ31">
        <v>36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2">
      <c r="A32">
        <f>ROW(Source!A85)</f>
        <v>85</v>
      </c>
      <c r="B32">
        <v>44002355</v>
      </c>
      <c r="C32">
        <v>44002345</v>
      </c>
      <c r="D32">
        <v>31465853</v>
      </c>
      <c r="E32">
        <v>31452184</v>
      </c>
      <c r="F32">
        <v>1</v>
      </c>
      <c r="G32">
        <v>31452184</v>
      </c>
      <c r="H32">
        <v>3</v>
      </c>
      <c r="I32" t="s">
        <v>417</v>
      </c>
      <c r="J32" t="s">
        <v>3</v>
      </c>
      <c r="K32" t="s">
        <v>418</v>
      </c>
      <c r="L32">
        <v>1057</v>
      </c>
      <c r="N32">
        <v>1013</v>
      </c>
      <c r="O32" t="s">
        <v>198</v>
      </c>
      <c r="P32" t="s">
        <v>198</v>
      </c>
      <c r="Q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3</v>
      </c>
      <c r="AG32">
        <v>1</v>
      </c>
      <c r="AH32">
        <v>3</v>
      </c>
      <c r="AI32">
        <v>-1</v>
      </c>
      <c r="AJ32" t="s">
        <v>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2">
      <c r="A33">
        <f>ROW(Source!A87)</f>
        <v>87</v>
      </c>
      <c r="B33">
        <v>44002360</v>
      </c>
      <c r="C33">
        <v>44002357</v>
      </c>
      <c r="D33">
        <v>31452189</v>
      </c>
      <c r="E33">
        <v>31452184</v>
      </c>
      <c r="F33">
        <v>1</v>
      </c>
      <c r="G33">
        <v>31452184</v>
      </c>
      <c r="H33">
        <v>1</v>
      </c>
      <c r="I33" t="s">
        <v>357</v>
      </c>
      <c r="J33" t="s">
        <v>3</v>
      </c>
      <c r="K33" t="s">
        <v>358</v>
      </c>
      <c r="L33">
        <v>1191</v>
      </c>
      <c r="N33">
        <v>1013</v>
      </c>
      <c r="O33" t="s">
        <v>359</v>
      </c>
      <c r="P33" t="s">
        <v>359</v>
      </c>
      <c r="Q33">
        <v>1</v>
      </c>
      <c r="X33">
        <v>0.99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 t="s">
        <v>3</v>
      </c>
      <c r="AG33">
        <v>0.99</v>
      </c>
      <c r="AH33">
        <v>2</v>
      </c>
      <c r="AI33">
        <v>44002359</v>
      </c>
      <c r="AJ33">
        <v>38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2">
      <c r="A34">
        <f>ROW(Source!A89)</f>
        <v>89</v>
      </c>
      <c r="B34">
        <v>44002365</v>
      </c>
      <c r="C34">
        <v>44002362</v>
      </c>
      <c r="D34">
        <v>31452189</v>
      </c>
      <c r="E34">
        <v>31452184</v>
      </c>
      <c r="F34">
        <v>1</v>
      </c>
      <c r="G34">
        <v>31452184</v>
      </c>
      <c r="H34">
        <v>1</v>
      </c>
      <c r="I34" t="s">
        <v>357</v>
      </c>
      <c r="J34" t="s">
        <v>3</v>
      </c>
      <c r="K34" t="s">
        <v>358</v>
      </c>
      <c r="L34">
        <v>1191</v>
      </c>
      <c r="N34">
        <v>1013</v>
      </c>
      <c r="O34" t="s">
        <v>359</v>
      </c>
      <c r="P34" t="s">
        <v>359</v>
      </c>
      <c r="Q34">
        <v>1</v>
      </c>
      <c r="X34">
        <v>10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 t="s">
        <v>3</v>
      </c>
      <c r="AG34">
        <v>10</v>
      </c>
      <c r="AH34">
        <v>2</v>
      </c>
      <c r="AI34">
        <v>44002363</v>
      </c>
      <c r="AJ34">
        <v>40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 x14ac:dyDescent="0.2">
      <c r="A35">
        <f>ROW(Source!A91)</f>
        <v>91</v>
      </c>
      <c r="B35">
        <v>44002372</v>
      </c>
      <c r="C35">
        <v>44002367</v>
      </c>
      <c r="D35">
        <v>31452189</v>
      </c>
      <c r="E35">
        <v>31452184</v>
      </c>
      <c r="F35">
        <v>1</v>
      </c>
      <c r="G35">
        <v>31452184</v>
      </c>
      <c r="H35">
        <v>1</v>
      </c>
      <c r="I35" t="s">
        <v>357</v>
      </c>
      <c r="J35" t="s">
        <v>3</v>
      </c>
      <c r="K35" t="s">
        <v>358</v>
      </c>
      <c r="L35">
        <v>1191</v>
      </c>
      <c r="N35">
        <v>1013</v>
      </c>
      <c r="O35" t="s">
        <v>359</v>
      </c>
      <c r="P35" t="s">
        <v>359</v>
      </c>
      <c r="Q35">
        <v>1</v>
      </c>
      <c r="X35">
        <v>9.44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 t="s">
        <v>3</v>
      </c>
      <c r="AG35">
        <v>9.44</v>
      </c>
      <c r="AH35">
        <v>2</v>
      </c>
      <c r="AI35">
        <v>44002368</v>
      </c>
      <c r="AJ35">
        <v>42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2">
      <c r="A36">
        <f>ROW(Source!A130)</f>
        <v>130</v>
      </c>
      <c r="B36">
        <v>44002379</v>
      </c>
      <c r="C36">
        <v>44002376</v>
      </c>
      <c r="D36">
        <v>31452189</v>
      </c>
      <c r="E36">
        <v>31452184</v>
      </c>
      <c r="F36">
        <v>1</v>
      </c>
      <c r="G36">
        <v>31452184</v>
      </c>
      <c r="H36">
        <v>1</v>
      </c>
      <c r="I36" t="s">
        <v>357</v>
      </c>
      <c r="J36" t="s">
        <v>3</v>
      </c>
      <c r="K36" t="s">
        <v>358</v>
      </c>
      <c r="L36">
        <v>1191</v>
      </c>
      <c r="N36">
        <v>1013</v>
      </c>
      <c r="O36" t="s">
        <v>359</v>
      </c>
      <c r="P36" t="s">
        <v>359</v>
      </c>
      <c r="Q36">
        <v>1</v>
      </c>
      <c r="X36">
        <v>2.06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 t="s">
        <v>3</v>
      </c>
      <c r="AG36">
        <v>2.06</v>
      </c>
      <c r="AH36">
        <v>2</v>
      </c>
      <c r="AI36">
        <v>44002377</v>
      </c>
      <c r="AJ36">
        <v>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2">
      <c r="A37">
        <f>ROW(Source!A133)</f>
        <v>133</v>
      </c>
      <c r="B37">
        <v>44002389</v>
      </c>
      <c r="C37">
        <v>44002382</v>
      </c>
      <c r="D37">
        <v>31452189</v>
      </c>
      <c r="E37">
        <v>31452184</v>
      </c>
      <c r="F37">
        <v>1</v>
      </c>
      <c r="G37">
        <v>31452184</v>
      </c>
      <c r="H37">
        <v>1</v>
      </c>
      <c r="I37" t="s">
        <v>357</v>
      </c>
      <c r="J37" t="s">
        <v>3</v>
      </c>
      <c r="K37" t="s">
        <v>358</v>
      </c>
      <c r="L37">
        <v>1191</v>
      </c>
      <c r="N37">
        <v>1013</v>
      </c>
      <c r="O37" t="s">
        <v>359</v>
      </c>
      <c r="P37" t="s">
        <v>359</v>
      </c>
      <c r="Q37">
        <v>1</v>
      </c>
      <c r="X37">
        <v>1.34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 t="s">
        <v>259</v>
      </c>
      <c r="AG37">
        <v>1.0720000000000001</v>
      </c>
      <c r="AH37">
        <v>2</v>
      </c>
      <c r="AI37">
        <v>44002383</v>
      </c>
      <c r="AJ37">
        <v>48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2">
      <c r="A38">
        <f>ROW(Source!A139)</f>
        <v>139</v>
      </c>
      <c r="B38">
        <v>44002399</v>
      </c>
      <c r="C38">
        <v>44002395</v>
      </c>
      <c r="D38">
        <v>31452189</v>
      </c>
      <c r="E38">
        <v>31452184</v>
      </c>
      <c r="F38">
        <v>1</v>
      </c>
      <c r="G38">
        <v>31452184</v>
      </c>
      <c r="H38">
        <v>1</v>
      </c>
      <c r="I38" t="s">
        <v>357</v>
      </c>
      <c r="J38" t="s">
        <v>3</v>
      </c>
      <c r="K38" t="s">
        <v>358</v>
      </c>
      <c r="L38">
        <v>1191</v>
      </c>
      <c r="N38">
        <v>1013</v>
      </c>
      <c r="O38" t="s">
        <v>359</v>
      </c>
      <c r="P38" t="s">
        <v>359</v>
      </c>
      <c r="Q38">
        <v>1</v>
      </c>
      <c r="X38">
        <v>1.03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 t="s">
        <v>3</v>
      </c>
      <c r="AG38">
        <v>1.03</v>
      </c>
      <c r="AH38">
        <v>2</v>
      </c>
      <c r="AI38">
        <v>44002396</v>
      </c>
      <c r="AJ38">
        <v>54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2">
      <c r="A39">
        <f>ROW(Source!A142)</f>
        <v>142</v>
      </c>
      <c r="B39">
        <v>44002406</v>
      </c>
      <c r="C39">
        <v>44002402</v>
      </c>
      <c r="D39">
        <v>31452189</v>
      </c>
      <c r="E39">
        <v>31452184</v>
      </c>
      <c r="F39">
        <v>1</v>
      </c>
      <c r="G39">
        <v>31452184</v>
      </c>
      <c r="H39">
        <v>1</v>
      </c>
      <c r="I39" t="s">
        <v>357</v>
      </c>
      <c r="J39" t="s">
        <v>3</v>
      </c>
      <c r="K39" t="s">
        <v>358</v>
      </c>
      <c r="L39">
        <v>1191</v>
      </c>
      <c r="N39">
        <v>1013</v>
      </c>
      <c r="O39" t="s">
        <v>359</v>
      </c>
      <c r="P39" t="s">
        <v>359</v>
      </c>
      <c r="Q39">
        <v>1</v>
      </c>
      <c r="X39">
        <v>0.5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 t="s">
        <v>3</v>
      </c>
      <c r="AG39">
        <v>0.5</v>
      </c>
      <c r="AH39">
        <v>2</v>
      </c>
      <c r="AI39">
        <v>44002403</v>
      </c>
      <c r="AJ39">
        <v>57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2">
      <c r="A40">
        <f>ROW(Source!A142)</f>
        <v>142</v>
      </c>
      <c r="B40">
        <v>44002407</v>
      </c>
      <c r="C40">
        <v>44002402</v>
      </c>
      <c r="D40">
        <v>31473947</v>
      </c>
      <c r="E40">
        <v>31452184</v>
      </c>
      <c r="F40">
        <v>1</v>
      </c>
      <c r="G40">
        <v>31452184</v>
      </c>
      <c r="H40">
        <v>3</v>
      </c>
      <c r="I40" t="s">
        <v>407</v>
      </c>
      <c r="J40" t="s">
        <v>3</v>
      </c>
      <c r="K40" t="s">
        <v>408</v>
      </c>
      <c r="L40">
        <v>1348</v>
      </c>
      <c r="N40">
        <v>1009</v>
      </c>
      <c r="O40" t="s">
        <v>32</v>
      </c>
      <c r="P40" t="s">
        <v>32</v>
      </c>
      <c r="Q40">
        <v>1000</v>
      </c>
      <c r="X40">
        <v>1E-3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 t="s">
        <v>3</v>
      </c>
      <c r="AG40">
        <v>1E-3</v>
      </c>
      <c r="AH40">
        <v>2</v>
      </c>
      <c r="AI40">
        <v>44002404</v>
      </c>
      <c r="AJ40">
        <v>59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2">
      <c r="A41">
        <f>ROW(Source!A144)</f>
        <v>144</v>
      </c>
      <c r="B41">
        <v>44002412</v>
      </c>
      <c r="C41">
        <v>44002409</v>
      </c>
      <c r="D41">
        <v>31452189</v>
      </c>
      <c r="E41">
        <v>31452184</v>
      </c>
      <c r="F41">
        <v>1</v>
      </c>
      <c r="G41">
        <v>31452184</v>
      </c>
      <c r="H41">
        <v>1</v>
      </c>
      <c r="I41" t="s">
        <v>357</v>
      </c>
      <c r="J41" t="s">
        <v>3</v>
      </c>
      <c r="K41" t="s">
        <v>358</v>
      </c>
      <c r="L41">
        <v>1191</v>
      </c>
      <c r="N41">
        <v>1013</v>
      </c>
      <c r="O41" t="s">
        <v>359</v>
      </c>
      <c r="P41" t="s">
        <v>359</v>
      </c>
      <c r="Q41">
        <v>1</v>
      </c>
      <c r="X41">
        <v>0.93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 t="s">
        <v>3</v>
      </c>
      <c r="AG41">
        <v>0.93</v>
      </c>
      <c r="AH41">
        <v>2</v>
      </c>
      <c r="AI41">
        <v>44002410</v>
      </c>
      <c r="AJ41">
        <v>60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2">
      <c r="A42">
        <f>ROW(Source!A146)</f>
        <v>146</v>
      </c>
      <c r="B42">
        <v>44002417</v>
      </c>
      <c r="C42">
        <v>44002414</v>
      </c>
      <c r="D42">
        <v>31452189</v>
      </c>
      <c r="E42">
        <v>31452184</v>
      </c>
      <c r="F42">
        <v>1</v>
      </c>
      <c r="G42">
        <v>31452184</v>
      </c>
      <c r="H42">
        <v>1</v>
      </c>
      <c r="I42" t="s">
        <v>357</v>
      </c>
      <c r="J42" t="s">
        <v>3</v>
      </c>
      <c r="K42" t="s">
        <v>358</v>
      </c>
      <c r="L42">
        <v>1191</v>
      </c>
      <c r="N42">
        <v>1013</v>
      </c>
      <c r="O42" t="s">
        <v>359</v>
      </c>
      <c r="P42" t="s">
        <v>359</v>
      </c>
      <c r="Q42">
        <v>1</v>
      </c>
      <c r="X42">
        <v>1.02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 t="s">
        <v>3</v>
      </c>
      <c r="AG42">
        <v>1.02</v>
      </c>
      <c r="AH42">
        <v>2</v>
      </c>
      <c r="AI42">
        <v>44002415</v>
      </c>
      <c r="AJ42">
        <v>62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2">
      <c r="A43">
        <f>ROW(Source!A148)</f>
        <v>148</v>
      </c>
      <c r="B43">
        <v>44002422</v>
      </c>
      <c r="C43">
        <v>44002419</v>
      </c>
      <c r="D43">
        <v>31452189</v>
      </c>
      <c r="E43">
        <v>31452184</v>
      </c>
      <c r="F43">
        <v>1</v>
      </c>
      <c r="G43">
        <v>31452184</v>
      </c>
      <c r="H43">
        <v>1</v>
      </c>
      <c r="I43" t="s">
        <v>357</v>
      </c>
      <c r="J43" t="s">
        <v>3</v>
      </c>
      <c r="K43" t="s">
        <v>358</v>
      </c>
      <c r="L43">
        <v>1191</v>
      </c>
      <c r="N43">
        <v>1013</v>
      </c>
      <c r="O43" t="s">
        <v>359</v>
      </c>
      <c r="P43" t="s">
        <v>359</v>
      </c>
      <c r="Q43">
        <v>1</v>
      </c>
      <c r="X43">
        <v>1.03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 t="s">
        <v>3</v>
      </c>
      <c r="AG43">
        <v>1.03</v>
      </c>
      <c r="AH43">
        <v>2</v>
      </c>
      <c r="AI43">
        <v>44002420</v>
      </c>
      <c r="AJ43">
        <v>64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2">
      <c r="A44">
        <f>ROW(Source!A150)</f>
        <v>150</v>
      </c>
      <c r="B44">
        <v>44002427</v>
      </c>
      <c r="C44">
        <v>44002424</v>
      </c>
      <c r="D44">
        <v>31452189</v>
      </c>
      <c r="E44">
        <v>31452184</v>
      </c>
      <c r="F44">
        <v>1</v>
      </c>
      <c r="G44">
        <v>31452184</v>
      </c>
      <c r="H44">
        <v>1</v>
      </c>
      <c r="I44" t="s">
        <v>357</v>
      </c>
      <c r="J44" t="s">
        <v>3</v>
      </c>
      <c r="K44" t="s">
        <v>358</v>
      </c>
      <c r="L44">
        <v>1191</v>
      </c>
      <c r="N44">
        <v>1013</v>
      </c>
      <c r="O44" t="s">
        <v>359</v>
      </c>
      <c r="P44" t="s">
        <v>359</v>
      </c>
      <c r="Q44">
        <v>1</v>
      </c>
      <c r="X44">
        <v>70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 t="s">
        <v>3</v>
      </c>
      <c r="AG44">
        <v>70</v>
      </c>
      <c r="AH44">
        <v>2</v>
      </c>
      <c r="AI44">
        <v>44002425</v>
      </c>
      <c r="AJ44">
        <v>66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 x14ac:dyDescent="0.2">
      <c r="A45">
        <f>ROW(Source!A152)</f>
        <v>152</v>
      </c>
      <c r="B45">
        <v>44002432</v>
      </c>
      <c r="C45">
        <v>44002429</v>
      </c>
      <c r="D45">
        <v>31452189</v>
      </c>
      <c r="E45">
        <v>31452184</v>
      </c>
      <c r="F45">
        <v>1</v>
      </c>
      <c r="G45">
        <v>31452184</v>
      </c>
      <c r="H45">
        <v>1</v>
      </c>
      <c r="I45" t="s">
        <v>357</v>
      </c>
      <c r="J45" t="s">
        <v>3</v>
      </c>
      <c r="K45" t="s">
        <v>358</v>
      </c>
      <c r="L45">
        <v>1191</v>
      </c>
      <c r="N45">
        <v>1013</v>
      </c>
      <c r="O45" t="s">
        <v>359</v>
      </c>
      <c r="P45" t="s">
        <v>359</v>
      </c>
      <c r="Q45">
        <v>1</v>
      </c>
      <c r="X45">
        <v>19.3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 t="s">
        <v>3</v>
      </c>
      <c r="AG45">
        <v>19.3</v>
      </c>
      <c r="AH45">
        <v>2</v>
      </c>
      <c r="AI45">
        <v>44002430</v>
      </c>
      <c r="AJ45">
        <v>68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x14ac:dyDescent="0.2">
      <c r="A46">
        <f>ROW(Source!A154)</f>
        <v>154</v>
      </c>
      <c r="B46">
        <v>44002437</v>
      </c>
      <c r="C46">
        <v>44002434</v>
      </c>
      <c r="D46">
        <v>31452189</v>
      </c>
      <c r="E46">
        <v>31452184</v>
      </c>
      <c r="F46">
        <v>1</v>
      </c>
      <c r="G46">
        <v>31452184</v>
      </c>
      <c r="H46">
        <v>1</v>
      </c>
      <c r="I46" t="s">
        <v>357</v>
      </c>
      <c r="J46" t="s">
        <v>3</v>
      </c>
      <c r="K46" t="s">
        <v>358</v>
      </c>
      <c r="L46">
        <v>1191</v>
      </c>
      <c r="N46">
        <v>1013</v>
      </c>
      <c r="O46" t="s">
        <v>359</v>
      </c>
      <c r="P46" t="s">
        <v>359</v>
      </c>
      <c r="Q46">
        <v>1</v>
      </c>
      <c r="X46">
        <v>33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 t="s">
        <v>3</v>
      </c>
      <c r="AG46">
        <v>33</v>
      </c>
      <c r="AH46">
        <v>2</v>
      </c>
      <c r="AI46">
        <v>44002435</v>
      </c>
      <c r="AJ46">
        <v>70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Смета по ТСН-2001</vt:lpstr>
      <vt:lpstr>Дефектная ведомость</vt:lpstr>
      <vt:lpstr>Source</vt:lpstr>
      <vt:lpstr>SourceObSm</vt:lpstr>
      <vt:lpstr>SmtRes</vt:lpstr>
      <vt:lpstr>EtalonRes</vt:lpstr>
      <vt:lpstr>'Дефектная ведомость'!Заголовки_для_печати</vt:lpstr>
      <vt:lpstr>'Смета по ТСН-2001'!Заголовки_для_печати</vt:lpstr>
      <vt:lpstr>'Дефектная ведомость'!Область_печати</vt:lpstr>
      <vt:lpstr>'Смета по ТСН-2001'!Область_печати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Волженский Вадим Станиславович</dc:creator>
  <cp:lastModifiedBy>Макарова Светлана Александровна</cp:lastModifiedBy>
  <cp:lastPrinted>2020-08-19T12:16:42Z</cp:lastPrinted>
  <dcterms:created xsi:type="dcterms:W3CDTF">2020-08-19T08:36:42Z</dcterms:created>
  <dcterms:modified xsi:type="dcterms:W3CDTF">2020-12-08T10:07:58Z</dcterms:modified>
</cp:coreProperties>
</file>